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PF\25-26\Sep 2025\MHF\Gaurav\Arkade Rare\"/>
    </mc:Choice>
  </mc:AlternateContent>
  <bookViews>
    <workbookView xWindow="0" yWindow="0" windowWidth="20490" windowHeight="7455"/>
  </bookViews>
  <sheets>
    <sheet name="Report" sheetId="1" r:id="rId1"/>
    <sheet name="C%" sheetId="4" r:id="rId2"/>
  </sheets>
  <definedNames>
    <definedName name="_xlnm.Print_Area" localSheetId="0">Report!$A$1:$H$593</definedName>
  </definedNames>
  <calcPr calcId="162913"/>
</workbook>
</file>

<file path=xl/calcChain.xml><?xml version="1.0" encoding="utf-8"?>
<calcChain xmlns="http://schemas.openxmlformats.org/spreadsheetml/2006/main">
  <c r="I433" i="1" l="1"/>
  <c r="A435" i="1" l="1"/>
  <c r="D249" i="1" l="1"/>
  <c r="I28" i="1"/>
  <c r="I60" i="1" l="1"/>
  <c r="I428" i="1" l="1"/>
  <c r="I426" i="1"/>
  <c r="I278" i="1"/>
  <c r="I262" i="1"/>
  <c r="I246" i="1"/>
  <c r="D366" i="1"/>
  <c r="F366" i="1" s="1"/>
  <c r="H366" i="1" s="1"/>
  <c r="D365" i="1"/>
  <c r="F365" i="1" s="1"/>
  <c r="H365" i="1" s="1"/>
  <c r="D363" i="1"/>
  <c r="F363" i="1" s="1"/>
  <c r="H363" i="1" s="1"/>
  <c r="D361" i="1"/>
  <c r="F361" i="1" s="1"/>
  <c r="H361" i="1" s="1"/>
  <c r="D360" i="1"/>
  <c r="F360" i="1" s="1"/>
  <c r="H360" i="1" s="1"/>
  <c r="D359" i="1"/>
  <c r="F359" i="1" s="1"/>
  <c r="H359" i="1" s="1"/>
  <c r="D358" i="1"/>
  <c r="F358" i="1" s="1"/>
  <c r="H358" i="1" s="1"/>
  <c r="A364" i="1"/>
  <c r="A365" i="1" s="1"/>
  <c r="A366" i="1" s="1"/>
  <c r="A359" i="1"/>
  <c r="A360" i="1" s="1"/>
  <c r="A361" i="1" s="1"/>
  <c r="D350" i="1"/>
  <c r="F350" i="1" s="1"/>
  <c r="H350" i="1" s="1"/>
  <c r="D349" i="1"/>
  <c r="F349" i="1" s="1"/>
  <c r="H349" i="1" s="1"/>
  <c r="D347" i="1"/>
  <c r="F347" i="1" s="1"/>
  <c r="H347" i="1" s="1"/>
  <c r="A348" i="1"/>
  <c r="A349" i="1" s="1"/>
  <c r="A350" i="1" s="1"/>
  <c r="D345" i="1"/>
  <c r="F345" i="1" s="1"/>
  <c r="H345" i="1" s="1"/>
  <c r="I345" i="1" s="1"/>
  <c r="D344" i="1"/>
  <c r="F344" i="1" s="1"/>
  <c r="H344" i="1" s="1"/>
  <c r="D343" i="1"/>
  <c r="F343" i="1" s="1"/>
  <c r="H343" i="1" s="1"/>
  <c r="D342" i="1"/>
  <c r="A343" i="1"/>
  <c r="A344" i="1" s="1"/>
  <c r="A345" i="1" s="1"/>
  <c r="F342" i="1"/>
  <c r="H342" i="1" s="1"/>
  <c r="D333" i="1"/>
  <c r="F333" i="1" s="1"/>
  <c r="H333" i="1" s="1"/>
  <c r="E332" i="1"/>
  <c r="F332" i="1" s="1"/>
  <c r="H332" i="1" s="1"/>
  <c r="D332" i="1"/>
  <c r="E329" i="1"/>
  <c r="D329" i="1"/>
  <c r="D327" i="1"/>
  <c r="E326" i="1"/>
  <c r="D326" i="1"/>
  <c r="D325" i="1"/>
  <c r="F325" i="1" s="1"/>
  <c r="H325" i="1" s="1"/>
  <c r="D324" i="1"/>
  <c r="F324" i="1" s="1"/>
  <c r="H324" i="1" s="1"/>
  <c r="D321" i="1"/>
  <c r="E320" i="1"/>
  <c r="D320" i="1"/>
  <c r="F320" i="1" s="1"/>
  <c r="H320" i="1" s="1"/>
  <c r="D319" i="1"/>
  <c r="C183" i="1" s="1"/>
  <c r="D318" i="1"/>
  <c r="F318" i="1" s="1"/>
  <c r="H318" i="1" s="1"/>
  <c r="E317" i="1"/>
  <c r="D317" i="1"/>
  <c r="F317" i="1" s="1"/>
  <c r="H317" i="1" s="1"/>
  <c r="F327" i="1"/>
  <c r="H327" i="1" s="1"/>
  <c r="A324" i="1"/>
  <c r="A325" i="1" s="1"/>
  <c r="A326" i="1" s="1"/>
  <c r="A327" i="1" s="1"/>
  <c r="A330" i="1"/>
  <c r="A331" i="1" s="1"/>
  <c r="A332" i="1" s="1"/>
  <c r="A333" i="1" s="1"/>
  <c r="F321" i="1"/>
  <c r="H321" i="1" s="1"/>
  <c r="A318" i="1"/>
  <c r="A319" i="1" s="1"/>
  <c r="A320" i="1" s="1"/>
  <c r="A321" i="1" s="1"/>
  <c r="E309" i="1"/>
  <c r="D309" i="1"/>
  <c r="F309" i="1" s="1"/>
  <c r="H309" i="1" s="1"/>
  <c r="E308" i="1"/>
  <c r="D308" i="1"/>
  <c r="E306" i="1"/>
  <c r="D306" i="1"/>
  <c r="E305" i="1"/>
  <c r="D305" i="1"/>
  <c r="A309" i="1"/>
  <c r="A306" i="1"/>
  <c r="E296" i="1"/>
  <c r="D296" i="1"/>
  <c r="D292" i="1"/>
  <c r="F292" i="1" s="1"/>
  <c r="H292" i="1" s="1"/>
  <c r="D291" i="1"/>
  <c r="F291" i="1" s="1"/>
  <c r="H291" i="1" s="1"/>
  <c r="A292" i="1"/>
  <c r="A293" i="1" s="1"/>
  <c r="A294" i="1" s="1"/>
  <c r="A296" i="1" s="1"/>
  <c r="D288" i="1"/>
  <c r="E287" i="1"/>
  <c r="D287" i="1"/>
  <c r="D286" i="1"/>
  <c r="F286" i="1" s="1"/>
  <c r="H286" i="1" s="1"/>
  <c r="D285" i="1"/>
  <c r="E283" i="1"/>
  <c r="D283" i="1"/>
  <c r="D282" i="1"/>
  <c r="F282" i="1" s="1"/>
  <c r="H282" i="1" s="1"/>
  <c r="E281" i="1"/>
  <c r="D281" i="1"/>
  <c r="D280" i="1"/>
  <c r="F280" i="1" s="1"/>
  <c r="H280" i="1" s="1"/>
  <c r="D279" i="1"/>
  <c r="F279" i="1" s="1"/>
  <c r="H279" i="1" s="1"/>
  <c r="F288" i="1"/>
  <c r="H288" i="1" s="1"/>
  <c r="A286" i="1"/>
  <c r="A287" i="1" s="1"/>
  <c r="A288" i="1" s="1"/>
  <c r="A289" i="1" s="1"/>
  <c r="F285" i="1"/>
  <c r="H285" i="1" s="1"/>
  <c r="A280" i="1"/>
  <c r="A281" i="1" s="1"/>
  <c r="A282" i="1" s="1"/>
  <c r="A283" i="1" s="1"/>
  <c r="D271" i="1"/>
  <c r="D269" i="1"/>
  <c r="D268" i="1"/>
  <c r="F306" i="1" l="1"/>
  <c r="H306" i="1" s="1"/>
  <c r="F283" i="1"/>
  <c r="H283" i="1" s="1"/>
  <c r="F287" i="1"/>
  <c r="H287" i="1" s="1"/>
  <c r="C182" i="1"/>
  <c r="F308" i="1"/>
  <c r="H308" i="1" s="1"/>
  <c r="F281" i="1"/>
  <c r="H281" i="1" s="1"/>
  <c r="F329" i="1"/>
  <c r="H329" i="1" s="1"/>
  <c r="C184" i="1"/>
  <c r="F326" i="1"/>
  <c r="H326" i="1" s="1"/>
  <c r="F296" i="1"/>
  <c r="H296" i="1" s="1"/>
  <c r="G181" i="1"/>
  <c r="G184" i="1"/>
  <c r="G185" i="1"/>
  <c r="C181" i="1"/>
  <c r="E184" i="1"/>
  <c r="C185" i="1"/>
  <c r="F305" i="1"/>
  <c r="F319" i="1"/>
  <c r="H319" i="1" s="1"/>
  <c r="E181" i="1"/>
  <c r="E185" i="1"/>
  <c r="D266" i="1"/>
  <c r="F266" i="1" s="1"/>
  <c r="H266" i="1" s="1"/>
  <c r="D265" i="1"/>
  <c r="F265" i="1" s="1"/>
  <c r="H265" i="1" s="1"/>
  <c r="D264" i="1"/>
  <c r="F264" i="1" s="1"/>
  <c r="H264" i="1" s="1"/>
  <c r="D263" i="1"/>
  <c r="F263" i="1" s="1"/>
  <c r="F271" i="1"/>
  <c r="H271" i="1" s="1"/>
  <c r="F269" i="1"/>
  <c r="H269" i="1" s="1"/>
  <c r="A269" i="1"/>
  <c r="A270" i="1" s="1"/>
  <c r="A271" i="1" s="1"/>
  <c r="F268" i="1"/>
  <c r="H268" i="1" s="1"/>
  <c r="A264" i="1"/>
  <c r="A265" i="1" s="1"/>
  <c r="A266" i="1" s="1"/>
  <c r="D255" i="1"/>
  <c r="D253" i="1"/>
  <c r="D252" i="1"/>
  <c r="D250" i="1"/>
  <c r="D248" i="1"/>
  <c r="D247" i="1"/>
  <c r="F249" i="1"/>
  <c r="H249" i="1" s="1"/>
  <c r="E183" i="1" l="1"/>
  <c r="G183" i="1"/>
  <c r="H263" i="1"/>
  <c r="G180" i="1" s="1"/>
  <c r="E180" i="1"/>
  <c r="C179" i="1"/>
  <c r="C180" i="1"/>
  <c r="H305" i="1"/>
  <c r="G182" i="1" s="1"/>
  <c r="E182" i="1"/>
  <c r="F255" i="1"/>
  <c r="H255" i="1" s="1"/>
  <c r="F253" i="1"/>
  <c r="H253" i="1" s="1"/>
  <c r="A253" i="1"/>
  <c r="A254" i="1" s="1"/>
  <c r="A255" i="1" s="1"/>
  <c r="F252" i="1"/>
  <c r="H252" i="1" s="1"/>
  <c r="F250" i="1"/>
  <c r="H250" i="1" s="1"/>
  <c r="F248" i="1"/>
  <c r="H248" i="1" s="1"/>
  <c r="A248" i="1"/>
  <c r="A249" i="1" s="1"/>
  <c r="A250" i="1" s="1"/>
  <c r="F247" i="1"/>
  <c r="D234" i="1"/>
  <c r="D233" i="1"/>
  <c r="D232" i="1"/>
  <c r="D231" i="1"/>
  <c r="D230" i="1"/>
  <c r="D229" i="1"/>
  <c r="D228" i="1"/>
  <c r="D227" i="1"/>
  <c r="D226" i="1"/>
  <c r="D225" i="1"/>
  <c r="D224" i="1"/>
  <c r="D222" i="1"/>
  <c r="F222" i="1" s="1"/>
  <c r="H222" i="1" s="1"/>
  <c r="D221" i="1"/>
  <c r="F221" i="1" s="1"/>
  <c r="H221" i="1" s="1"/>
  <c r="D220" i="1"/>
  <c r="F220" i="1" s="1"/>
  <c r="H220" i="1" s="1"/>
  <c r="D219" i="1"/>
  <c r="F219" i="1" s="1"/>
  <c r="H219" i="1" s="1"/>
  <c r="D218" i="1"/>
  <c r="F218" i="1" s="1"/>
  <c r="H218" i="1" s="1"/>
  <c r="D217" i="1"/>
  <c r="F217" i="1" s="1"/>
  <c r="H217" i="1" s="1"/>
  <c r="D216" i="1"/>
  <c r="F216" i="1" s="1"/>
  <c r="H216" i="1" s="1"/>
  <c r="D215" i="1"/>
  <c r="F215" i="1" s="1"/>
  <c r="H215" i="1" s="1"/>
  <c r="D214" i="1"/>
  <c r="F214" i="1" s="1"/>
  <c r="H214" i="1" s="1"/>
  <c r="D213" i="1"/>
  <c r="F213" i="1" s="1"/>
  <c r="H213" i="1" s="1"/>
  <c r="D212" i="1"/>
  <c r="F212" i="1" s="1"/>
  <c r="H212" i="1" s="1"/>
  <c r="D210" i="1"/>
  <c r="F210" i="1" s="1"/>
  <c r="H210" i="1" s="1"/>
  <c r="D209" i="1"/>
  <c r="D208" i="1"/>
  <c r="F208" i="1" s="1"/>
  <c r="H208" i="1" s="1"/>
  <c r="D207" i="1"/>
  <c r="D206" i="1"/>
  <c r="F206" i="1" s="1"/>
  <c r="H206" i="1" s="1"/>
  <c r="D205" i="1"/>
  <c r="F205" i="1" s="1"/>
  <c r="H205" i="1" s="1"/>
  <c r="D204" i="1"/>
  <c r="F204" i="1" s="1"/>
  <c r="H204" i="1" s="1"/>
  <c r="D203" i="1"/>
  <c r="D200" i="1"/>
  <c r="F200" i="1" s="1"/>
  <c r="H200" i="1" s="1"/>
  <c r="D199" i="1"/>
  <c r="F199" i="1" s="1"/>
  <c r="H199" i="1" s="1"/>
  <c r="D198" i="1"/>
  <c r="F198" i="1" s="1"/>
  <c r="H198" i="1" s="1"/>
  <c r="D197" i="1"/>
  <c r="D196" i="1"/>
  <c r="D195" i="1"/>
  <c r="A213" i="1"/>
  <c r="A214" i="1" s="1"/>
  <c r="A215" i="1" s="1"/>
  <c r="A216" i="1" s="1"/>
  <c r="A217" i="1" s="1"/>
  <c r="A218" i="1" s="1"/>
  <c r="A219" i="1" s="1"/>
  <c r="A220" i="1" s="1"/>
  <c r="A221" i="1" s="1"/>
  <c r="A222" i="1" s="1"/>
  <c r="F209" i="1"/>
  <c r="H209" i="1" s="1"/>
  <c r="F207" i="1"/>
  <c r="H207" i="1" s="1"/>
  <c r="F203" i="1"/>
  <c r="H203" i="1" s="1"/>
  <c r="A204" i="1"/>
  <c r="A205" i="1" s="1"/>
  <c r="A206" i="1" s="1"/>
  <c r="A207" i="1" s="1"/>
  <c r="A208" i="1" s="1"/>
  <c r="A209" i="1" s="1"/>
  <c r="A210" i="1" s="1"/>
  <c r="F197" i="1"/>
  <c r="H197" i="1" s="1"/>
  <c r="F196" i="1"/>
  <c r="H196" i="1" s="1"/>
  <c r="A196" i="1"/>
  <c r="A197" i="1" s="1"/>
  <c r="A198" i="1" s="1"/>
  <c r="A199" i="1" s="1"/>
  <c r="A200" i="1" s="1"/>
  <c r="C186" i="1" l="1"/>
  <c r="F195" i="1"/>
  <c r="C175" i="1"/>
  <c r="H247" i="1"/>
  <c r="G179" i="1" s="1"/>
  <c r="G186" i="1" s="1"/>
  <c r="E179" i="1"/>
  <c r="E186" i="1" s="1"/>
  <c r="J157" i="1"/>
  <c r="J156" i="1"/>
  <c r="J155" i="1"/>
  <c r="J154" i="1"/>
  <c r="J143" i="1"/>
  <c r="J142" i="1"/>
  <c r="J141" i="1"/>
  <c r="J140" i="1"/>
  <c r="J129" i="1"/>
  <c r="J128" i="1"/>
  <c r="J127" i="1"/>
  <c r="J126" i="1"/>
  <c r="J115" i="1"/>
  <c r="J114" i="1"/>
  <c r="J113" i="1"/>
  <c r="J112" i="1"/>
  <c r="J101" i="1"/>
  <c r="J100" i="1"/>
  <c r="J99" i="1"/>
  <c r="J98" i="1"/>
  <c r="J87" i="1"/>
  <c r="J86" i="1"/>
  <c r="J85" i="1"/>
  <c r="J84" i="1"/>
  <c r="H135" i="1"/>
  <c r="H107" i="1"/>
  <c r="H79" i="1"/>
  <c r="H121" i="1"/>
  <c r="H93" i="1"/>
  <c r="H149" i="1"/>
  <c r="H195" i="1" l="1"/>
  <c r="F161" i="1"/>
  <c r="J152" i="1"/>
  <c r="J153" i="1" s="1"/>
  <c r="J158" i="1" s="1"/>
  <c r="J159" i="1" s="1"/>
  <c r="E153" i="1" s="1"/>
  <c r="F153" i="1" s="1"/>
  <c r="J151" i="1"/>
  <c r="E152" i="1" s="1"/>
  <c r="F152" i="1" s="1"/>
  <c r="J150" i="1"/>
  <c r="F160" i="1"/>
  <c r="F154" i="1"/>
  <c r="F158" i="1"/>
  <c r="F157" i="1"/>
  <c r="F156" i="1"/>
  <c r="J149" i="1"/>
  <c r="F155" i="1"/>
  <c r="F159" i="1"/>
  <c r="F147" i="1"/>
  <c r="J138" i="1"/>
  <c r="J139" i="1" s="1"/>
  <c r="J144" i="1" s="1"/>
  <c r="J145" i="1" s="1"/>
  <c r="E139" i="1" s="1"/>
  <c r="F139" i="1" s="1"/>
  <c r="J137" i="1"/>
  <c r="E138" i="1" s="1"/>
  <c r="F138" i="1" s="1"/>
  <c r="F141" i="1"/>
  <c r="F146" i="1"/>
  <c r="F140" i="1"/>
  <c r="F145" i="1"/>
  <c r="F144" i="1"/>
  <c r="F143" i="1"/>
  <c r="J136" i="1"/>
  <c r="F142" i="1"/>
  <c r="J135" i="1"/>
  <c r="F133" i="1"/>
  <c r="F131" i="1"/>
  <c r="J124" i="1"/>
  <c r="J125" i="1" s="1"/>
  <c r="J130" i="1" s="1"/>
  <c r="J131" i="1" s="1"/>
  <c r="E125" i="1" s="1"/>
  <c r="F125" i="1" s="1"/>
  <c r="J123" i="1"/>
  <c r="E124" i="1" s="1"/>
  <c r="F124" i="1" s="1"/>
  <c r="J122" i="1"/>
  <c r="F128" i="1"/>
  <c r="J121" i="1"/>
  <c r="F127" i="1"/>
  <c r="F132" i="1"/>
  <c r="F126" i="1"/>
  <c r="F130" i="1"/>
  <c r="F129" i="1"/>
  <c r="F104" i="1"/>
  <c r="F98" i="1"/>
  <c r="F103" i="1"/>
  <c r="J96" i="1"/>
  <c r="J97" i="1" s="1"/>
  <c r="J102" i="1" s="1"/>
  <c r="J103" i="1" s="1"/>
  <c r="E97" i="1" s="1"/>
  <c r="F102" i="1"/>
  <c r="F101" i="1"/>
  <c r="J95" i="1"/>
  <c r="E96" i="1" s="1"/>
  <c r="F96" i="1" s="1"/>
  <c r="J94" i="1"/>
  <c r="F100" i="1"/>
  <c r="J93" i="1"/>
  <c r="F99" i="1"/>
  <c r="F105" i="1"/>
  <c r="F118" i="1"/>
  <c r="F112" i="1"/>
  <c r="F117" i="1"/>
  <c r="J110" i="1"/>
  <c r="J111" i="1" s="1"/>
  <c r="J116" i="1" s="1"/>
  <c r="J117" i="1" s="1"/>
  <c r="E111" i="1" s="1"/>
  <c r="F111" i="1" s="1"/>
  <c r="F115" i="1"/>
  <c r="J109" i="1"/>
  <c r="E110" i="1" s="1"/>
  <c r="F110" i="1" s="1"/>
  <c r="J108" i="1"/>
  <c r="F114" i="1"/>
  <c r="J107" i="1"/>
  <c r="F113" i="1"/>
  <c r="F119" i="1"/>
  <c r="F116" i="1"/>
  <c r="F91" i="1"/>
  <c r="J82" i="1"/>
  <c r="J83" i="1" s="1"/>
  <c r="J88" i="1" s="1"/>
  <c r="J89" i="1" s="1"/>
  <c r="E83" i="1" s="1"/>
  <c r="F88" i="1"/>
  <c r="F87" i="1"/>
  <c r="J81" i="1"/>
  <c r="E82" i="1" s="1"/>
  <c r="F82" i="1" s="1"/>
  <c r="J80" i="1"/>
  <c r="F86" i="1"/>
  <c r="F90" i="1"/>
  <c r="F84" i="1"/>
  <c r="J79" i="1"/>
  <c r="F85" i="1"/>
  <c r="F89" i="1"/>
  <c r="F428" i="1"/>
  <c r="A424" i="1"/>
  <c r="A425" i="1" s="1"/>
  <c r="A426" i="1" s="1"/>
  <c r="A427" i="1" s="1"/>
  <c r="A428" i="1" s="1"/>
  <c r="A429" i="1" s="1"/>
  <c r="A430" i="1" s="1"/>
  <c r="A408" i="1"/>
  <c r="A409" i="1" s="1"/>
  <c r="A410" i="1" s="1"/>
  <c r="A411" i="1" s="1"/>
  <c r="A412" i="1" s="1"/>
  <c r="A413" i="1" s="1"/>
  <c r="A414" i="1" s="1"/>
  <c r="A415" i="1" s="1"/>
  <c r="A416" i="1" s="1"/>
  <c r="A417" i="1" s="1"/>
  <c r="A418" i="1" s="1"/>
  <c r="A395" i="1"/>
  <c r="A396" i="1" s="1"/>
  <c r="A397" i="1" s="1"/>
  <c r="A398" i="1" s="1"/>
  <c r="A399" i="1" s="1"/>
  <c r="A400" i="1" s="1"/>
  <c r="A401" i="1" s="1"/>
  <c r="A402" i="1" s="1"/>
  <c r="A403" i="1" s="1"/>
  <c r="A404" i="1" s="1"/>
  <c r="A405" i="1" s="1"/>
  <c r="A382" i="1"/>
  <c r="A383" i="1" s="1"/>
  <c r="A384" i="1" s="1"/>
  <c r="A385" i="1" s="1"/>
  <c r="A386" i="1" s="1"/>
  <c r="A387" i="1" s="1"/>
  <c r="A388" i="1" s="1"/>
  <c r="A389" i="1" s="1"/>
  <c r="A390" i="1" s="1"/>
  <c r="A391" i="1" s="1"/>
  <c r="A392" i="1" s="1"/>
  <c r="A369" i="1"/>
  <c r="A370" i="1" s="1"/>
  <c r="A371" i="1" s="1"/>
  <c r="A372" i="1" s="1"/>
  <c r="A373" i="1" s="1"/>
  <c r="A374" i="1" s="1"/>
  <c r="A375" i="1" s="1"/>
  <c r="A376" i="1" s="1"/>
  <c r="A377" i="1" s="1"/>
  <c r="A378" i="1" s="1"/>
  <c r="A379" i="1" s="1"/>
  <c r="A225" i="1"/>
  <c r="A226" i="1" s="1"/>
  <c r="A227" i="1" s="1"/>
  <c r="A228" i="1" s="1"/>
  <c r="A229" i="1" s="1"/>
  <c r="A230" i="1" s="1"/>
  <c r="A231" i="1" s="1"/>
  <c r="A232" i="1" s="1"/>
  <c r="A233" i="1" s="1"/>
  <c r="A234" i="1" s="1"/>
  <c r="A235" i="1" s="1"/>
  <c r="F418" i="1"/>
  <c r="H418" i="1" s="1"/>
  <c r="F417" i="1"/>
  <c r="H417" i="1" s="1"/>
  <c r="F416" i="1"/>
  <c r="H416" i="1" s="1"/>
  <c r="F415" i="1"/>
  <c r="H415" i="1" s="1"/>
  <c r="F414" i="1"/>
  <c r="H414" i="1" s="1"/>
  <c r="F413" i="1"/>
  <c r="H413" i="1" s="1"/>
  <c r="F412" i="1"/>
  <c r="H412" i="1" s="1"/>
  <c r="F411" i="1"/>
  <c r="H411" i="1" s="1"/>
  <c r="F410" i="1"/>
  <c r="H410" i="1" s="1"/>
  <c r="F409" i="1"/>
  <c r="H409" i="1" s="1"/>
  <c r="F408" i="1"/>
  <c r="H408" i="1" s="1"/>
  <c r="F407" i="1"/>
  <c r="H407" i="1" s="1"/>
  <c r="F405" i="1"/>
  <c r="H405" i="1" s="1"/>
  <c r="F404" i="1"/>
  <c r="H404" i="1" s="1"/>
  <c r="F403" i="1"/>
  <c r="H403" i="1" s="1"/>
  <c r="F402" i="1"/>
  <c r="H402" i="1" s="1"/>
  <c r="F401" i="1"/>
  <c r="H401" i="1" s="1"/>
  <c r="F400" i="1"/>
  <c r="H400" i="1" s="1"/>
  <c r="F399" i="1"/>
  <c r="H399" i="1" s="1"/>
  <c r="F398" i="1"/>
  <c r="H398" i="1" s="1"/>
  <c r="F397" i="1"/>
  <c r="H397" i="1" s="1"/>
  <c r="F396" i="1"/>
  <c r="H396" i="1" s="1"/>
  <c r="F395" i="1"/>
  <c r="H395" i="1" s="1"/>
  <c r="F394" i="1"/>
  <c r="H394" i="1" s="1"/>
  <c r="F392" i="1"/>
  <c r="H392" i="1" s="1"/>
  <c r="F391" i="1"/>
  <c r="H391" i="1" s="1"/>
  <c r="F390" i="1"/>
  <c r="H390" i="1" s="1"/>
  <c r="F389" i="1"/>
  <c r="H389" i="1" s="1"/>
  <c r="F388" i="1"/>
  <c r="H388" i="1" s="1"/>
  <c r="F387" i="1"/>
  <c r="H387" i="1" s="1"/>
  <c r="F386" i="1"/>
  <c r="H386" i="1" s="1"/>
  <c r="F385" i="1"/>
  <c r="H385" i="1" s="1"/>
  <c r="F384" i="1"/>
  <c r="H384" i="1" s="1"/>
  <c r="F383" i="1"/>
  <c r="H383" i="1" s="1"/>
  <c r="F382" i="1"/>
  <c r="H382" i="1" s="1"/>
  <c r="F381" i="1"/>
  <c r="H381" i="1" s="1"/>
  <c r="F225" i="1"/>
  <c r="H225" i="1" s="1"/>
  <c r="F226" i="1"/>
  <c r="F227" i="1"/>
  <c r="H227" i="1" s="1"/>
  <c r="F228" i="1"/>
  <c r="F229" i="1"/>
  <c r="F230" i="1"/>
  <c r="F231" i="1"/>
  <c r="F232" i="1"/>
  <c r="F233" i="1"/>
  <c r="F234" i="1"/>
  <c r="F235" i="1"/>
  <c r="F224" i="1"/>
  <c r="H224" i="1" s="1"/>
  <c r="F379" i="1"/>
  <c r="H379" i="1" s="1"/>
  <c r="F378" i="1"/>
  <c r="H378" i="1" s="1"/>
  <c r="F377" i="1"/>
  <c r="H377" i="1" s="1"/>
  <c r="F376" i="1"/>
  <c r="H376" i="1" s="1"/>
  <c r="F375" i="1"/>
  <c r="H375" i="1" s="1"/>
  <c r="F374" i="1"/>
  <c r="H374" i="1" s="1"/>
  <c r="F373" i="1"/>
  <c r="H373" i="1" s="1"/>
  <c r="F372" i="1"/>
  <c r="H372" i="1" s="1"/>
  <c r="F371" i="1"/>
  <c r="H371" i="1" s="1"/>
  <c r="F370" i="1"/>
  <c r="H370" i="1" s="1"/>
  <c r="F369" i="1"/>
  <c r="H369" i="1" s="1"/>
  <c r="F368" i="1"/>
  <c r="H368" i="1" s="1"/>
  <c r="G152" i="1" l="1"/>
  <c r="I146" i="1" s="1"/>
  <c r="C150" i="1" s="1"/>
  <c r="G138" i="1"/>
  <c r="I132" i="1" s="1"/>
  <c r="C136" i="1" s="1"/>
  <c r="G124" i="1"/>
  <c r="I118" i="1" s="1"/>
  <c r="C122" i="1" s="1"/>
  <c r="G110" i="1"/>
  <c r="I104" i="1" s="1"/>
  <c r="C108" i="1" s="1"/>
  <c r="F97" i="1"/>
  <c r="F83" i="1"/>
  <c r="G82" i="1"/>
  <c r="I76" i="1" s="1"/>
  <c r="C80" i="1" s="1"/>
  <c r="G96" i="1"/>
  <c r="I90" i="1" s="1"/>
  <c r="C94" i="1" s="1"/>
  <c r="A431" i="1"/>
  <c r="A432" i="1" s="1"/>
  <c r="A433" i="1" s="1"/>
  <c r="A434" i="1" s="1"/>
  <c r="E175" i="1"/>
  <c r="E176" i="1" s="1"/>
  <c r="C176" i="1"/>
  <c r="C187" i="1" s="1"/>
  <c r="E187" i="1" l="1"/>
  <c r="C8" i="1"/>
  <c r="J73" i="1" l="1"/>
  <c r="J72" i="1"/>
  <c r="J71" i="1"/>
  <c r="J70" i="1"/>
  <c r="H65" i="1"/>
  <c r="J67" i="1" l="1"/>
  <c r="E68" i="1" s="1"/>
  <c r="F68" i="1" s="1"/>
  <c r="J65" i="1"/>
  <c r="F72" i="1"/>
  <c r="F77" i="1"/>
  <c r="F71" i="1"/>
  <c r="J68" i="1"/>
  <c r="J69" i="1" s="1"/>
  <c r="J74" i="1" s="1"/>
  <c r="J75" i="1" s="1"/>
  <c r="E69" i="1" s="1"/>
  <c r="F69" i="1" s="1"/>
  <c r="F73" i="1"/>
  <c r="F76" i="1"/>
  <c r="F70" i="1"/>
  <c r="F74" i="1"/>
  <c r="F75" i="1"/>
  <c r="J66" i="1"/>
  <c r="G68" i="1" l="1"/>
  <c r="I62" i="1" s="1"/>
  <c r="C66" i="1" s="1"/>
  <c r="H226" i="1" l="1"/>
  <c r="H228" i="1"/>
  <c r="H229" i="1"/>
  <c r="H230" i="1"/>
  <c r="H231" i="1"/>
  <c r="H232" i="1"/>
  <c r="H233" i="1"/>
  <c r="H234" i="1"/>
  <c r="H235" i="1"/>
  <c r="G175" i="1" l="1"/>
  <c r="G176" i="1" s="1"/>
  <c r="G42" i="1"/>
  <c r="G187" i="1" l="1"/>
  <c r="G5" i="1"/>
  <c r="G43" i="1" l="1"/>
  <c r="G44" i="1" s="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436"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2" authorId="0" shapeId="0">
      <text>
        <r>
          <rPr>
            <b/>
            <sz val="9"/>
            <color indexed="81"/>
            <rFont val="Tahoma"/>
            <family val="2"/>
          </rPr>
          <t>RERA Start date</t>
        </r>
      </text>
    </comment>
    <comment ref="H164" authorId="0" shapeId="0">
      <text>
        <r>
          <rPr>
            <b/>
            <sz val="9"/>
            <color indexed="81"/>
            <rFont val="Tahoma"/>
            <family val="2"/>
          </rPr>
          <t>if multiple buildings are in project and are connected internally</t>
        </r>
      </text>
    </comment>
    <comment ref="C166" authorId="0" shapeId="0">
      <text>
        <r>
          <rPr>
            <b/>
            <sz val="9"/>
            <color indexed="81"/>
            <rFont val="Tahoma"/>
            <family val="2"/>
          </rPr>
          <t>AAC Block or Brick</t>
        </r>
      </text>
    </comment>
    <comment ref="H168"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<sst xmlns="http://schemas.openxmlformats.org/spreadsheetml/2006/main" count="800" uniqueCount="349">
  <si>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</si>
  <si>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</si>
  <si>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</si>
  <si>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</si>
  <si>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</si>
  <si>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</si>
  <si>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</si>
  <si>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</si>
  <si>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</si>
  <si>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</si>
  <si>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</si>
  <si>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</si>
  <si>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</si>
  <si>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</si>
  <si>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</si>
  <si>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</si>
  <si>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</si>
  <si>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</si>
  <si>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</si>
  <si>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</si>
  <si>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</si>
  <si>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</si>
  <si>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</si>
  <si>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</si>
  <si>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</si>
  <si>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</si>
  <si>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</si>
  <si>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</si>
  <si>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</si>
  <si>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</si>
  <si>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</si>
  <si>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</si>
  <si>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</si>
  <si>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</si>
  <si>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</si>
  <si>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</si>
  <si>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</si>
  <si>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</si>
  <si>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</si>
  <si>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</si>
  <si>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</si>
  <si>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</si>
  <si>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</si>
  <si>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</si>
  <si>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</si>
  <si>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</si>
  <si>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</si>
  <si>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</si>
  <si>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</si>
  <si>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</si>
  <si>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</si>
  <si>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</si>
  <si>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</si>
  <si>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</si>
  <si>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</si>
  <si>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</si>
  <si>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</si>
  <si>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</si>
  <si>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</si>
  <si>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</si>
  <si>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</si>
  <si>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</si>
  <si>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</si>
  <si>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</si>
  <si>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</si>
  <si>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</si>
  <si>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</si>
  <si>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</si>
  <si>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</si>
  <si>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</si>
  <si>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</si>
  <si>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</si>
  <si>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</si>
  <si>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</si>
  <si>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</si>
  <si>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</si>
  <si>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</si>
  <si>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</si>
  <si>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</si>
  <si>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</si>
  <si>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</si>
  <si>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</si>
  <si>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</si>
  <si>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</si>
  <si>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</si>
  <si>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</si>
  <si>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</si>
  <si>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</si>
  <si>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</si>
  <si>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</si>
  <si>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</si>
  <si>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</si>
  <si>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</si>
  <si>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</si>
  <si>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</si>
  <si>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</si>
  <si>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</si>
  <si>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</si>
  <si>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</si>
  <si>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</si>
  <si>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</si>
  <si>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</si>
  <si>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</si>
  <si>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</si>
  <si>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</si>
  <si>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</si>
  <si>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</si>
  <si>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</si>
  <si>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</si>
  <si>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</si>
  <si>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</si>
  <si>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</si>
  <si>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</si>
  <si>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</si>
  <si>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</si>
  <si>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</si>
  <si>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</si>
  <si>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</si>
  <si>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</si>
  <si>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</si>
  <si>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</si>
  <si>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</si>
  <si>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</si>
  <si>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</si>
  <si>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</si>
  <si>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</si>
  <si>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</si>
  <si>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</si>
  <si>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</si>
  <si>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</si>
  <si>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</si>
  <si>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</si>
  <si>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</si>
  <si>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</si>
  <si>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</si>
  <si>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</si>
  <si>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</si>
  <si>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</si>
  <si>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</si>
  <si>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</si>
  <si>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</si>
  <si>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</si>
  <si>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</si>
  <si>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</si>
  <si>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</si>
  <si>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</si>
  <si>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</si>
  <si>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CTS No</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</si>
  <si>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</si>
  <si>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</si>
  <si>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</si>
  <si>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</si>
  <si>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</si>
  <si>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</si>
  <si>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</si>
  <si>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</si>
  <si>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</si>
  <si>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</si>
  <si>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</si>
  <si>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</si>
  <si>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</si>
  <si>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</si>
  <si>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</si>
  <si>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</si>
  <si>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</si>
  <si>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</si>
  <si>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</si>
  <si>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</si>
  <si>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</si>
  <si>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</si>
  <si>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</si>
  <si>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</si>
  <si>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</si>
  <si>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</si>
  <si>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</si>
  <si>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</si>
  <si>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</si>
  <si>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</si>
  <si>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</si>
  <si>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</si>
  <si>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</si>
  <si>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</si>
  <si>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</si>
  <si>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</si>
  <si>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</si>
  <si>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</si>
  <si>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</si>
  <si>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</si>
  <si>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</si>
  <si>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</si>
  <si>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</si>
  <si>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</si>
  <si>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</si>
  <si>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</si>
  <si>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</si>
  <si>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</si>
  <si>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</si>
  <si>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Building &amp; Wing</t>
  </si>
  <si>
    <t>No. of Units</t>
  </si>
  <si>
    <t>Total Carpet Area</t>
  </si>
  <si>
    <t>Total Saleable Area</t>
  </si>
  <si>
    <t>Wing A</t>
  </si>
  <si>
    <t>Total</t>
  </si>
  <si>
    <t>Residential Area Details :</t>
  </si>
  <si>
    <t>Wing B</t>
  </si>
  <si>
    <t>Grand Total</t>
  </si>
  <si>
    <t>Approved No. of Floor</t>
  </si>
  <si>
    <t>Proposed No. of Floor</t>
  </si>
  <si>
    <t>Ground Floor</t>
  </si>
  <si>
    <t>Flat No.
(Approved
Plan)</t>
  </si>
  <si>
    <t>Flat No. (Sale Plan)</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</si>
  <si>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</si>
  <si>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</si>
  <si>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</si>
  <si>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</si>
  <si>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</si>
  <si>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</si>
  <si>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</si>
  <si>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</si>
  <si>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</si>
  <si>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</si>
  <si>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</si>
  <si>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Car parking is subjected to authentic documentation.</t>
  </si>
  <si>
    <t>We considered  Saleable area  as per our calculation. Loading</t>
  </si>
  <si>
    <t xml:space="preserve">Date </t>
  </si>
  <si>
    <t>Other statutory permissions</t>
  </si>
  <si>
    <t>NA</t>
  </si>
  <si>
    <t xml:space="preserve">Environmental Clearance Certificate (EC) No
Valid Up for: </t>
  </si>
  <si>
    <t xml:space="preserve">Airport Noc No
Valid Up for: </t>
  </si>
  <si>
    <t xml:space="preserve">Valid upto Dated </t>
  </si>
  <si>
    <t xml:space="preserve">Date - - Valid For one Year
Area - </t>
  </si>
  <si>
    <t>``</t>
  </si>
  <si>
    <t>Validity &amp; Area mentioned:</t>
  </si>
  <si>
    <t>Arkade Rare</t>
  </si>
  <si>
    <t>403B/1, 403B, 403B/2, 403B/3 and 403B/4</t>
  </si>
  <si>
    <t>Kanjur West</t>
  </si>
  <si>
    <t>Samriddhi Garden Road</t>
  </si>
  <si>
    <t>Bhandup West</t>
  </si>
  <si>
    <t>P51800077307</t>
  </si>
  <si>
    <t>Samriddhi Garden</t>
  </si>
  <si>
    <t>19.144783,72.931719</t>
  </si>
  <si>
    <t>https://maps.app.goo.gl/sZKauiJa5SqJq3CZ9</t>
  </si>
  <si>
    <t>Arkade Developers Limited</t>
  </si>
  <si>
    <t>2nd Floor, Arkade House, A.S Marg, Next to Children's Academy, Ashok Nagar, Kandivali East, Borivali, Mumbai - 400101</t>
  </si>
  <si>
    <t>HDFC BANK
IFSC Code - HDFC0000667</t>
  </si>
  <si>
    <t>Mr. Siddhesh - 9653169939</t>
  </si>
  <si>
    <t>Municpal Council of Greater Mumbai (MCGM)</t>
  </si>
  <si>
    <t>Apartments + Shops</t>
  </si>
  <si>
    <t>Wing A to G</t>
  </si>
  <si>
    <t xml:space="preserve">Other Plot </t>
  </si>
  <si>
    <t>Other Plot / 12.20m Existing Road</t>
  </si>
  <si>
    <t>Samriddhi Garden Road / Samriddhi Garden</t>
  </si>
  <si>
    <t>Shreegan Apartment</t>
  </si>
  <si>
    <t xml:space="preserve"> Devi Dayal Compound</t>
  </si>
  <si>
    <t xml:space="preserve"> Ashtavinayak Group Auto Consultant</t>
  </si>
  <si>
    <t>P-18427/2023/(403B And Other)/S Ward/KANJURW/337/3/Amend</t>
  </si>
  <si>
    <t>Wing A to G = St + 5P + 6th to 21st Floor (Height = 69.95m)</t>
  </si>
  <si>
    <t>Excl. OHT</t>
  </si>
  <si>
    <t>-</t>
  </si>
  <si>
    <t>SNCR/WEST/B/021924/918016</t>
  </si>
  <si>
    <t>Site Elevation (AMSL) = 16.9M
Permissible Top Elevation (AMSL) = 166.9M</t>
  </si>
  <si>
    <t>IA/MH/INFRA2/461068/2024</t>
  </si>
  <si>
    <t>CTS no 403/B, 403/B/1, 403B/2, 403B/3 and 403/B/4
Total Plot Area = 11,967.40 sq. m</t>
  </si>
  <si>
    <t>Wing A, B &amp; C</t>
  </si>
  <si>
    <t xml:space="preserve">Commercial Wing 1 + 2 </t>
  </si>
  <si>
    <t>Ground Floor For Entrance Lobby, Commercial &amp; Parking</t>
  </si>
  <si>
    <t>Office</t>
  </si>
  <si>
    <t>1st Podium Floor For Commercial</t>
  </si>
  <si>
    <t>2nd Podium Floor</t>
  </si>
  <si>
    <t>3rd &amp; 4th Podium Floor</t>
  </si>
  <si>
    <t>5th Floor (Service Floor)</t>
  </si>
  <si>
    <t>Ground Floor For Entrance Lobby (Double Heighted) &amp; Parking</t>
  </si>
  <si>
    <t>1st Podium Floor For Meter Room &amp; Parking</t>
  </si>
  <si>
    <t>2nd &amp; 3rd Podium Floor For Parking</t>
  </si>
  <si>
    <t>4th Podium Floor For Courtyard, Fitness Center &amp; Parking</t>
  </si>
  <si>
    <t>5th Podium Floor For Amenity &amp; Society Office</t>
  </si>
  <si>
    <t>6th, 8th to 13th, 15th to 21st Floor For Residential</t>
  </si>
  <si>
    <t>14th Floor (Part Refuge Area)</t>
  </si>
  <si>
    <t>Refuge Area</t>
  </si>
  <si>
    <t>2BHK</t>
  </si>
  <si>
    <t>7th &amp; 14th Floor (Part Refuge Area)</t>
  </si>
  <si>
    <t>Wing C</t>
  </si>
  <si>
    <t>5th Podium Floor For Amenity</t>
  </si>
  <si>
    <t>3BHK</t>
  </si>
  <si>
    <t>7th Floor (Part Refuge Area)</t>
  </si>
  <si>
    <t>14th Floor (Part Refuge Area &amp; Society Office)</t>
  </si>
  <si>
    <t>Society Office</t>
  </si>
  <si>
    <t>Wing D</t>
  </si>
  <si>
    <t>6th Floor For Void</t>
  </si>
  <si>
    <t>8th, 10th, 12th, 14th, 16th, 18th, 20th &amp; 21st Floor</t>
  </si>
  <si>
    <t>7th, 9th, 11th, 13th, 15th, 17th &amp; 19th Floor (Refuge Area at Midlanding of Staircase)</t>
  </si>
  <si>
    <t>Wing E</t>
  </si>
  <si>
    <t>5th Podium Floor For Amenity &amp; Society Office (Wing D &amp; Wing E)</t>
  </si>
  <si>
    <t>Wing F</t>
  </si>
  <si>
    <t>Basement Floor For Plant Room</t>
  </si>
  <si>
    <t>Wing G</t>
  </si>
  <si>
    <t>Ground Floor For Entrance Lobby (Double Heighted), Meter Room &amp; Parking</t>
  </si>
  <si>
    <t>1st Podium Floor For Entrance Lobby Below</t>
  </si>
  <si>
    <t>2nd Podium Floor For Fitness Center/Badminton Court &amp; Parking</t>
  </si>
  <si>
    <t>3rd &amp; 4th Podium Floor For Parking</t>
  </si>
  <si>
    <t>RERA Carpet area</t>
  </si>
  <si>
    <t>Balcony Area</t>
  </si>
  <si>
    <t>We considered Gross carpet area = Net carpet + Balcony Area.</t>
  </si>
  <si>
    <t>Mr. Pravin Mestri</t>
  </si>
  <si>
    <t>1. 1.2km from Cosmos English High School &amp; Junior College
2. 1.6km from NES High School
3. 1.0km from Saarthi Hospital
4. 1.3Km from  Dr. Meena's Multi Speciality Hospital Bhandup
5. 1.3km from Neptune Magnet Mall
6. 1.1km from  Mallu Mini Super Market
7. 1.3km from Shree Pimpleshwar Mahadev Mandir
8. 1.8km from Shree Maruti Mandir
9. 0.4km from  Ishwar Nagar or Bhandup (W) Bus stop
10. 0.8km from Bhandup Railway Station</t>
  </si>
  <si>
    <t>Yes, Approx 40ft</t>
  </si>
  <si>
    <t>Recommended rate of the flat Per Sq. Ft. (on Saleable area)</t>
  </si>
  <si>
    <t>On Carpet</t>
  </si>
  <si>
    <t>https://www.99acres.com/arkade-rare-bhandup-west-central-mumbai-suburbs-npxid-r432448</t>
  </si>
  <si>
    <t>As per RERA</t>
  </si>
  <si>
    <t>https://www.arkaderarebhandupwest.com/?utm_source=google&amp;utm_medium=cpc&amp;utm_campaign=Arkade+Rare+Central&amp;utm_term=arkade%20rare&amp;utm_Physical_Location=9062223&amp;utm_Targetid=kwd-2321075479859&amp;utm_Target=&amp;utm_Placement=&amp;utm_Adposition=&amp;gad_source=1&amp;gad_campaignid=21616592589&amp;gbraid=0AAAAA9iUuL4ddRxdBNH9G9dpK8gf7qML2&amp;gclid=CjwKCAjwv5zEBhBwEiwAOg2YKHwft_d7XSWvehr_4DS5HwhpdO0ZiDi51NnaGwuXr6Mu0mS_moXnEhoCZekQAvD_BwE</t>
  </si>
  <si>
    <t>Mahindra Rural Housing Finance - Thane</t>
  </si>
  <si>
    <t>Mr. Siddhesh - 8652734528</t>
  </si>
  <si>
    <t>22/09/2025 at 12.15 PM</t>
  </si>
  <si>
    <t>Flats - 432
Offices - 47</t>
  </si>
  <si>
    <t>We have referred approved plans, CC &amp; Airport Noc from MCGM site.</t>
  </si>
  <si>
    <t>CTS No. 403B/1, 403B, 403B/2, 403B/3 and 403B/4</t>
  </si>
  <si>
    <t>Construction/Building Permission
Valid Upto</t>
  </si>
  <si>
    <t xml:space="preserve">Date
</t>
  </si>
  <si>
    <t xml:space="preserve">Valid Upto Date </t>
  </si>
  <si>
    <t xml:space="preserve">P-18427/2023/(403B And Other)/S Ward/KANJUR-W/FCC/1/Amend
</t>
  </si>
  <si>
    <r>
      <t xml:space="preserve">Full C.C. is re-endorsed for </t>
    </r>
    <r>
      <rPr>
        <b/>
        <sz val="10"/>
        <color rgb="FF000000"/>
        <rFont val="Times New Roman"/>
        <family val="1"/>
      </rPr>
      <t xml:space="preserve">Wings D, E, F &amp; G </t>
    </r>
    <r>
      <rPr>
        <sz val="10"/>
        <color rgb="FF000000"/>
        <rFont val="Times New Roman"/>
        <family val="1"/>
      </rPr>
      <t xml:space="preserve">including top podium; Further CC is granted for Ground to 4th commercial upper floors below Wings A,B &amp; C; up to 16th residential floors for </t>
    </r>
    <r>
      <rPr>
        <b/>
        <sz val="10"/>
        <color rgb="FF000000"/>
        <rFont val="Times New Roman"/>
        <family val="1"/>
      </rPr>
      <t xml:space="preserve">Wings-A &amp; B </t>
    </r>
    <r>
      <rPr>
        <sz val="10"/>
        <color rgb="FF000000"/>
        <rFont val="Times New Roman"/>
        <family val="1"/>
      </rPr>
      <t>&amp; up to 17th residential floors for</t>
    </r>
    <r>
      <rPr>
        <b/>
        <sz val="10"/>
        <color rgb="FF000000"/>
        <rFont val="Times New Roman"/>
        <family val="1"/>
      </rPr>
      <t xml:space="preserve"> Wing-C</t>
    </r>
    <r>
      <rPr>
        <sz val="10"/>
        <color rgb="FF000000"/>
        <rFont val="Times New Roman"/>
        <family val="1"/>
      </rPr>
      <t xml:space="preserve"> (C.C. of FSI benefit of Amenity open space and BUA of Temporary structure is restricted) as per amended approved plans dated 15.01.2025, subject to timely renewal of B.G, SWM NOC, Workmen’s compensation policy and taking all sorts of precautions during construction and for air pollution.</t>
    </r>
  </si>
  <si>
    <t>On Site, we meet Mr. Siddhesh - 8652734528</t>
  </si>
  <si>
    <t xml:space="preserve">Wing A, B &amp; C </t>
  </si>
  <si>
    <t>Commercial Area Details : (Office)</t>
  </si>
  <si>
    <r>
      <t>Remark (</t>
    </r>
    <r>
      <rPr>
        <sz val="10"/>
        <rFont val="Times New Roman"/>
        <family val="1"/>
      </rPr>
      <t>Flat configuration /Bungalows, etc.)</t>
    </r>
  </si>
  <si>
    <t>5th Podium Floor For Amenities</t>
  </si>
  <si>
    <t>Wing A to G = Gr + P1 to P5 + 6th to 21st Floor</t>
  </si>
  <si>
    <t>Wing A = Gr + P1 to P5 + 6th to 21st Floor</t>
  </si>
  <si>
    <t>Wing B = Gr + P1 to P5 + 6th to 21st Floor</t>
  </si>
  <si>
    <t>Wing C = Gr + P1 to P5 + 6th to 21st Floor</t>
  </si>
  <si>
    <t>Wing D = Gr + P1 to P5 + 6th to 21st Floor</t>
  </si>
  <si>
    <t>Wing E = Gr + P1 to P5 + 6th to 21st Floor</t>
  </si>
  <si>
    <t>Wing F = Gr + P1 to P5 + 6th to 21st Floor</t>
  </si>
  <si>
    <t>Wing G = Gr + P1 to P5 + 6th to 21st Floor</t>
  </si>
  <si>
    <t>Construction Details:</t>
  </si>
  <si>
    <t>Internal Visit Not Allowed Data referred from Youtube Construction Update</t>
  </si>
  <si>
    <t>https://www.youtube.com/shorts/EjPFy_uFvSs</t>
  </si>
  <si>
    <t>Visi identified  Wing A to C On site visit dtd. 22/09/2025</t>
  </si>
  <si>
    <t>Construction work is in process at the time of Visit. (Internal visit was not allowed)</t>
  </si>
  <si>
    <t xml:space="preserve"> Office Duplex (With Ground Floor)</t>
  </si>
  <si>
    <t xml:space="preserve"> Office Duplex (With 1st Floor)</t>
  </si>
  <si>
    <t xml:space="preserve">Fire Noc No
Valid Up to: </t>
  </si>
  <si>
    <t>P-18427/2023/(403B And Other)/S Ward/ KANJUR-W-CFO/1/New.
Wing A to G = St + 1st to 5th Podium + 6th to 21st Floor 
(Height = 69.95 Mtrs)</t>
  </si>
  <si>
    <t xml:space="preserve">As per the approved plans dated 15/01/2025 in Wing A, B &amp; C are partially used for Commercial area (i.e
Offices) from Gr + 1st to 4th Podium Floor And is mentioned in approved plans as Commercial Wing 1 &amp; 2.
</t>
  </si>
  <si>
    <t>Recommended rate should be considered as all inclusive rate if other charges are not mentioned. (Excluding Stamp duty &amp; legal charges)</t>
  </si>
  <si>
    <t>7,50,000/-</t>
  </si>
  <si>
    <t>As per Government Guideline/ Circle rate for Flat/Unit/ Built up (Rs per sqft) = 13213</t>
  </si>
  <si>
    <t>16000 to 18000 change rate on 26/09/2025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</si>
</sst>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0"/>
  </numFmts>
  <fonts count="17"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334">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6" fillId="0" borderId="0" xfId="0" applyFont="1" applyFill="1"/>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2" fillId="4" borderId="14" xfId="1" applyNumberFormat="1" applyFont="1" applyFill="1" applyBorder="1" applyAlignment="1" applyProtection="1">
      <alignment horizontal="left" vertical="center"/>
      <protection hidden="1"/>
    </xf>
    <xf numFmtId="9" fontId="12"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2" fillId="4" borderId="28" xfId="1" applyNumberFormat="1" applyFont="1" applyFill="1" applyBorder="1" applyAlignment="1" applyProtection="1">
      <alignment horizontal="left" vertical="center"/>
      <protection hidden="1"/>
    </xf>
    <xf numFmtId="0" fontId="6" fillId="0" borderId="30" xfId="1" applyFont="1" applyFill="1" applyBorder="1" applyProtection="1">
      <protection hidden="1"/>
    </xf>
    <xf numFmtId="0" fontId="6" fillId="0" borderId="31" xfId="1" applyFont="1" applyBorder="1" applyProtection="1">
      <protection hidden="1"/>
    </xf>
    <xf numFmtId="0" fontId="6" fillId="0" borderId="0" xfId="1" applyFont="1" applyFill="1" applyBorder="1" applyProtection="1">
      <protection hidden="1"/>
    </xf>
    <xf numFmtId="0" fontId="6" fillId="0" borderId="3" xfId="1" applyFont="1" applyBorder="1" applyProtection="1">
      <protection hidden="1"/>
    </xf>
    <xf numFmtId="0" fontId="6" fillId="0" borderId="3" xfId="1" applyFont="1" applyBorder="1"/>
    <xf numFmtId="0" fontId="5" fillId="0" borderId="3" xfId="0" applyNumberFormat="1"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6" fillId="0" borderId="0" xfId="0" applyFont="1" applyAlignment="1">
      <alignment wrapText="1"/>
    </xf>
    <xf numFmtId="0" fontId="11" fillId="0" borderId="0" xfId="0" applyFont="1" applyFill="1" applyAlignment="1">
      <alignment horizontal="center" vertical="center"/>
    </xf>
    <xf numFmtId="20" fontId="6" fillId="0" borderId="0" xfId="0" applyNumberFormat="1" applyFont="1"/>
    <xf numFmtId="1" fontId="6" fillId="0" borderId="0" xfId="0" applyNumberFormat="1" applyFont="1"/>
    <xf numFmtId="0" fontId="6" fillId="0" borderId="0" xfId="0" applyFont="1" applyAlignment="1">
      <alignment horizontal="center"/>
    </xf>
    <xf numFmtId="1" fontId="6" fillId="0" borderId="0" xfId="0" applyNumberFormat="1" applyFont="1" applyAlignment="1">
      <alignment horizontal="center"/>
    </xf>
    <xf numFmtId="1" fontId="16" fillId="0" borderId="0" xfId="3" applyNumberFormat="1" applyAlignment="1">
      <alignment horizontal="center"/>
    </xf>
    <xf numFmtId="0" fontId="11" fillId="0" borderId="0" xfId="0" applyFont="1"/>
    <xf numFmtId="0" fontId="16" fillId="0" borderId="0" xfId="3" applyAlignment="1">
      <alignment vertical="top"/>
    </xf>
    <xf numFmtId="165" fontId="6" fillId="0" borderId="0" xfId="0" applyNumberFormat="1" applyFont="1"/>
    <xf numFmtId="0" fontId="16" fillId="0" borderId="0" xfId="3"/>
    <xf numFmtId="0" fontId="1" fillId="0" borderId="4" xfId="0" applyFont="1" applyFill="1" applyBorder="1" applyAlignment="1">
      <alignment horizontal="left" vertical="center"/>
    </xf>
    <xf numFmtId="0" fontId="1" fillId="0" borderId="4" xfId="0" applyFont="1" applyFill="1" applyBorder="1" applyAlignment="1">
      <alignment horizontal="left" vertical="center" wrapText="1"/>
    </xf>
    <xf numFmtId="0" fontId="9" fillId="0" borderId="4" xfId="0" applyFont="1" applyFill="1" applyBorder="1" applyAlignment="1">
      <alignment horizontal="left" vertical="top" wrapText="1"/>
    </xf>
    <xf numFmtId="0" fontId="9" fillId="0" borderId="4" xfId="0" applyFont="1" applyFill="1" applyBorder="1" applyAlignment="1">
      <alignment horizontal="center" vertical="top"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9" fillId="0" borderId="4" xfId="0" applyFont="1" applyFill="1" applyBorder="1" applyAlignment="1">
      <alignment vertical="top" wrapText="1"/>
    </xf>
    <xf numFmtId="14" fontId="5" fillId="0" borderId="4" xfId="0" applyNumberFormat="1" applyFont="1" applyFill="1" applyBorder="1" applyAlignment="1">
      <alignment horizontal="left" vertical="top" wrapText="1"/>
    </xf>
    <xf numFmtId="14" fontId="5" fillId="0" borderId="10" xfId="0" applyNumberFormat="1" applyFont="1" applyFill="1" applyBorder="1" applyAlignment="1">
      <alignment horizontal="left" vertical="top" wrapText="1"/>
    </xf>
    <xf numFmtId="0" fontId="8" fillId="0" borderId="4" xfId="0" applyFont="1" applyFill="1" applyBorder="1" applyAlignment="1">
      <alignment vertical="center"/>
    </xf>
    <xf numFmtId="0" fontId="1" fillId="0" borderId="4" xfId="0" applyFont="1" applyFill="1" applyBorder="1" applyAlignment="1">
      <alignment vertical="top" wrapText="1"/>
    </xf>
    <xf numFmtId="14" fontId="6" fillId="0" borderId="4" xfId="0" applyNumberFormat="1" applyFont="1" applyFill="1" applyBorder="1" applyAlignment="1">
      <alignment horizontal="left" vertical="top" wrapText="1"/>
    </xf>
    <xf numFmtId="0" fontId="6" fillId="0" borderId="16" xfId="1" applyFont="1" applyFill="1" applyBorder="1" applyAlignment="1" applyProtection="1">
      <alignment horizontal="center" vertical="center"/>
      <protection locked="0"/>
    </xf>
    <xf numFmtId="0" fontId="6" fillId="0" borderId="17" xfId="1" applyFont="1" applyFill="1" applyBorder="1" applyAlignment="1" applyProtection="1">
      <alignment horizontal="center" vertical="center"/>
      <protection locked="0"/>
    </xf>
    <xf numFmtId="0" fontId="6" fillId="0" borderId="4" xfId="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locked="0"/>
    </xf>
    <xf numFmtId="0" fontId="1" fillId="0" borderId="5" xfId="0" applyFont="1" applyFill="1" applyBorder="1" applyAlignment="1">
      <alignment horizontal="left" vertical="top"/>
    </xf>
    <xf numFmtId="0" fontId="1" fillId="0" borderId="4" xfId="0" applyFont="1" applyFill="1" applyBorder="1" applyAlignment="1">
      <alignment horizontal="left" vertical="top"/>
    </xf>
    <xf numFmtId="0" fontId="6" fillId="0" borderId="4"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wrapText="1"/>
      <protection locked="0"/>
    </xf>
    <xf numFmtId="9" fontId="6" fillId="0" borderId="4" xfId="1" applyNumberFormat="1" applyFont="1" applyFill="1" applyBorder="1" applyAlignment="1" applyProtection="1">
      <alignment horizontal="center" vertical="center" wrapText="1"/>
      <protection hidden="1"/>
    </xf>
    <xf numFmtId="1" fontId="6" fillId="0" borderId="4" xfId="1" applyNumberFormat="1" applyFont="1" applyFill="1" applyBorder="1" applyAlignment="1" applyProtection="1">
      <alignment horizontal="center" wrapText="1"/>
      <protection locked="0"/>
    </xf>
    <xf numFmtId="0" fontId="6" fillId="0" borderId="12" xfId="1" applyFont="1" applyFill="1" applyBorder="1" applyAlignment="1" applyProtection="1">
      <alignment horizontal="center" wrapText="1"/>
      <protection locked="0"/>
    </xf>
    <xf numFmtId="9" fontId="6" fillId="0" borderId="12" xfId="1" applyNumberFormat="1" applyFont="1" applyFill="1" applyBorder="1" applyAlignment="1" applyProtection="1">
      <alignment horizontal="center" vertical="center" wrapText="1"/>
      <protection hidden="1"/>
    </xf>
    <xf numFmtId="0" fontId="8" fillId="0" borderId="16" xfId="1" applyFont="1" applyFill="1" applyBorder="1" applyAlignment="1" applyProtection="1">
      <alignment horizontal="center" vertical="center"/>
      <protection locked="0"/>
    </xf>
    <xf numFmtId="0" fontId="8" fillId="0" borderId="17" xfId="1" applyFont="1" applyFill="1" applyBorder="1" applyAlignment="1" applyProtection="1">
      <alignment horizontal="center" vertical="center"/>
      <protection locked="0"/>
    </xf>
    <xf numFmtId="0" fontId="8" fillId="0" borderId="4" xfId="1" applyFont="1" applyFill="1" applyBorder="1" applyAlignment="1" applyProtection="1">
      <alignment horizontal="center" vertical="center"/>
      <protection locked="0"/>
    </xf>
    <xf numFmtId="0" fontId="8" fillId="0" borderId="6" xfId="1" applyFont="1" applyFill="1" applyBorder="1" applyAlignment="1" applyProtection="1">
      <alignment horizontal="center" vertical="center"/>
      <protection locked="0"/>
    </xf>
    <xf numFmtId="0" fontId="7" fillId="0" borderId="5" xfId="0" applyFont="1" applyFill="1" applyBorder="1" applyAlignment="1">
      <alignment horizontal="left" vertical="top"/>
    </xf>
    <xf numFmtId="0" fontId="7" fillId="0" borderId="4" xfId="0" applyFont="1" applyFill="1" applyBorder="1" applyAlignment="1">
      <alignment horizontal="left" vertical="top"/>
    </xf>
    <xf numFmtId="0" fontId="8" fillId="0" borderId="4" xfId="1" applyFont="1" applyFill="1" applyBorder="1" applyAlignment="1" applyProtection="1">
      <alignment horizontal="center" vertical="top" wrapText="1"/>
      <protection locked="0"/>
    </xf>
    <xf numFmtId="0" fontId="8" fillId="0" borderId="4" xfId="1" applyFont="1" applyFill="1" applyBorder="1" applyAlignment="1" applyProtection="1">
      <alignment horizontal="center" wrapText="1"/>
      <protection locked="0"/>
    </xf>
    <xf numFmtId="9" fontId="8" fillId="0" borderId="4" xfId="1" applyNumberFormat="1" applyFont="1" applyFill="1" applyBorder="1" applyAlignment="1" applyProtection="1">
      <alignment horizontal="center" vertical="center" wrapText="1"/>
      <protection hidden="1"/>
    </xf>
    <xf numFmtId="1" fontId="8" fillId="0" borderId="4" xfId="1" applyNumberFormat="1" applyFont="1" applyFill="1" applyBorder="1" applyAlignment="1" applyProtection="1">
      <alignment horizontal="center" wrapText="1"/>
      <protection locked="0"/>
    </xf>
    <xf numFmtId="0" fontId="8" fillId="0" borderId="12" xfId="1" applyFont="1" applyFill="1" applyBorder="1" applyAlignment="1" applyProtection="1">
      <alignment horizontal="center" wrapText="1"/>
      <protection locked="0"/>
    </xf>
    <xf numFmtId="9" fontId="8" fillId="0" borderId="12" xfId="1" applyNumberFormat="1" applyFont="1" applyFill="1" applyBorder="1" applyAlignment="1" applyProtection="1">
      <alignment horizontal="center" vertical="center" wrapText="1"/>
      <protection hidden="1"/>
    </xf>
    <xf numFmtId="0" fontId="8"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4" xfId="0" applyFont="1" applyFill="1" applyBorder="1" applyAlignment="1">
      <alignment horizontal="center" vertical="top" wrapText="1"/>
    </xf>
    <xf numFmtId="9" fontId="7" fillId="0" borderId="13" xfId="2" applyFont="1" applyFill="1" applyBorder="1" applyAlignment="1" applyProtection="1">
      <alignment horizontal="center" vertical="top" wrapText="1"/>
      <protection locked="0"/>
    </xf>
    <xf numFmtId="0" fontId="8" fillId="0" borderId="4" xfId="0" applyFont="1" applyFill="1" applyBorder="1" applyAlignment="1">
      <alignment horizontal="center" vertical="center"/>
    </xf>
    <xf numFmtId="1" fontId="8" fillId="0" borderId="4" xfId="0" applyNumberFormat="1" applyFont="1" applyFill="1" applyBorder="1" applyAlignment="1">
      <alignment horizontal="center" vertical="center"/>
    </xf>
    <xf numFmtId="1" fontId="5" fillId="0" borderId="4" xfId="0" applyNumberFormat="1" applyFont="1" applyFill="1" applyBorder="1" applyAlignment="1">
      <alignment horizontal="center" vertical="center"/>
    </xf>
    <xf numFmtId="0" fontId="9" fillId="0" borderId="29" xfId="0" applyFont="1" applyFill="1" applyBorder="1" applyAlignment="1">
      <alignment horizontal="center" vertical="top" wrapText="1"/>
    </xf>
    <xf numFmtId="0" fontId="9" fillId="0" borderId="14" xfId="0" applyFont="1" applyFill="1" applyBorder="1" applyAlignment="1">
      <alignment horizontal="center" vertical="top" wrapText="1"/>
    </xf>
    <xf numFmtId="9" fontId="9" fillId="0" borderId="20" xfId="0" applyNumberFormat="1" applyFont="1" applyFill="1" applyBorder="1" applyAlignment="1">
      <alignment horizontal="center" vertical="top" wrapText="1"/>
    </xf>
    <xf numFmtId="9" fontId="1" fillId="0" borderId="13" xfId="2" applyFont="1" applyFill="1" applyBorder="1" applyAlignment="1" applyProtection="1">
      <alignment horizontal="center" vertical="top" wrapText="1"/>
      <protection locked="0"/>
    </xf>
    <xf numFmtId="0" fontId="7" fillId="0" borderId="4" xfId="0" applyFont="1" applyFill="1" applyBorder="1" applyAlignment="1">
      <alignment horizontal="center" vertical="center" wrapText="1"/>
    </xf>
    <xf numFmtId="9" fontId="1" fillId="0" borderId="8" xfId="0" applyNumberFormat="1" applyFont="1" applyFill="1" applyBorder="1" applyAlignment="1">
      <alignment horizontal="left" vertical="top" wrapText="1"/>
    </xf>
    <xf numFmtId="0" fontId="1" fillId="0" borderId="8" xfId="0" applyFont="1" applyFill="1" applyBorder="1" applyAlignment="1">
      <alignment vertical="top" wrapText="1"/>
    </xf>
    <xf numFmtId="0" fontId="1" fillId="0" borderId="10" xfId="0" applyFont="1" applyFill="1" applyBorder="1" applyAlignment="1">
      <alignment vertical="top"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top" wrapText="1"/>
    </xf>
    <xf numFmtId="0" fontId="7" fillId="0" borderId="13" xfId="0" applyFont="1" applyFill="1" applyBorder="1" applyAlignment="1">
      <alignment horizontal="center" vertical="top" wrapText="1"/>
    </xf>
    <xf numFmtId="0" fontId="9" fillId="0" borderId="4"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6" fillId="0" borderId="18" xfId="0" applyFont="1" applyBorder="1" applyAlignment="1">
      <alignment horizontal="center"/>
    </xf>
    <xf numFmtId="0" fontId="6" fillId="0" borderId="0" xfId="0" applyFont="1" applyAlignment="1">
      <alignment horizontal="center"/>
    </xf>
    <xf numFmtId="0" fontId="5" fillId="0" borderId="4" xfId="0" applyFont="1" applyFill="1" applyBorder="1" applyAlignment="1">
      <alignment horizontal="center" vertical="center" wrapText="1"/>
    </xf>
    <xf numFmtId="1" fontId="5" fillId="0" borderId="7" xfId="0" applyNumberFormat="1" applyFont="1" applyFill="1" applyBorder="1" applyAlignment="1">
      <alignment horizontal="center" vertical="center" wrapText="1"/>
    </xf>
    <xf numFmtId="1" fontId="5" fillId="0" borderId="10" xfId="0" applyNumberFormat="1" applyFont="1" applyFill="1" applyBorder="1" applyAlignment="1">
      <alignment horizontal="center" vertical="center" wrapText="1"/>
    </xf>
    <xf numFmtId="1" fontId="5" fillId="0" borderId="7" xfId="0" applyNumberFormat="1" applyFont="1" applyFill="1" applyBorder="1" applyAlignment="1">
      <alignment horizontal="center" vertical="center"/>
    </xf>
    <xf numFmtId="1" fontId="5" fillId="0" borderId="8" xfId="0" applyNumberFormat="1" applyFont="1" applyFill="1" applyBorder="1" applyAlignment="1">
      <alignment horizontal="center" vertical="center"/>
    </xf>
    <xf numFmtId="1" fontId="5" fillId="0" borderId="10"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6" fillId="0" borderId="11" xfId="1" applyFont="1" applyFill="1" applyBorder="1" applyAlignment="1" applyProtection="1">
      <alignment horizontal="center" vertical="top" wrapText="1"/>
      <protection locked="0"/>
    </xf>
    <xf numFmtId="0" fontId="6" fillId="0" borderId="12" xfId="1" applyFont="1" applyFill="1" applyBorder="1" applyAlignment="1" applyProtection="1">
      <alignment horizontal="center" vertical="top" wrapText="1"/>
      <protection locked="0"/>
    </xf>
    <xf numFmtId="9" fontId="6" fillId="0" borderId="12" xfId="0" applyNumberFormat="1" applyFont="1" applyFill="1" applyBorder="1" applyAlignment="1">
      <alignment horizontal="center"/>
    </xf>
    <xf numFmtId="0" fontId="7" fillId="0" borderId="4"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 fillId="0" borderId="33" xfId="1" applyFont="1" applyFill="1" applyBorder="1" applyAlignment="1" applyProtection="1">
      <alignment horizontal="left" vertical="top" wrapText="1"/>
      <protection locked="0"/>
    </xf>
    <xf numFmtId="0" fontId="1" fillId="0" borderId="30" xfId="1" applyFont="1" applyFill="1" applyBorder="1" applyAlignment="1" applyProtection="1">
      <alignment horizontal="left" vertical="top" wrapText="1"/>
      <protection locked="0"/>
    </xf>
    <xf numFmtId="0" fontId="1" fillId="0" borderId="34" xfId="1" applyFont="1" applyFill="1" applyBorder="1" applyAlignment="1" applyProtection="1">
      <alignment horizontal="left" vertical="top" wrapText="1"/>
      <protection locked="0"/>
    </xf>
    <xf numFmtId="0" fontId="1" fillId="0" borderId="35" xfId="1" applyFont="1" applyFill="1" applyBorder="1" applyAlignment="1" applyProtection="1">
      <alignment horizontal="left" vertical="top" wrapText="1"/>
      <protection locked="0"/>
    </xf>
    <xf numFmtId="0" fontId="1" fillId="0" borderId="21" xfId="1" applyFont="1" applyFill="1" applyBorder="1" applyAlignment="1" applyProtection="1">
      <alignment horizontal="left" vertical="top" wrapText="1"/>
      <protection locked="0"/>
    </xf>
    <xf numFmtId="0" fontId="1" fillId="0" borderId="22" xfId="1" applyFont="1" applyFill="1" applyBorder="1" applyAlignment="1" applyProtection="1">
      <alignment horizontal="left" vertical="top" wrapText="1"/>
      <protection locked="0"/>
    </xf>
    <xf numFmtId="0" fontId="1" fillId="0" borderId="4" xfId="1" applyFont="1" applyFill="1" applyBorder="1" applyAlignment="1" applyProtection="1">
      <alignment horizontal="left" vertical="top" wrapText="1"/>
      <protection locked="0"/>
    </xf>
    <xf numFmtId="0" fontId="1" fillId="0" borderId="6" xfId="1" applyFont="1" applyFill="1" applyBorder="1" applyAlignment="1" applyProtection="1">
      <alignment horizontal="left" vertical="top" wrapText="1"/>
      <protection locked="0"/>
    </xf>
    <xf numFmtId="0" fontId="6" fillId="0" borderId="5"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top" wrapText="1"/>
      <protection locked="0"/>
    </xf>
    <xf numFmtId="0" fontId="6" fillId="0" borderId="4" xfId="0" applyFont="1" applyFill="1" applyBorder="1" applyAlignment="1">
      <alignment horizontal="center"/>
    </xf>
    <xf numFmtId="0" fontId="6" fillId="0" borderId="4" xfId="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9" fontId="6" fillId="0" borderId="4" xfId="0" applyNumberFormat="1" applyFont="1" applyFill="1" applyBorder="1" applyAlignment="1">
      <alignment horizontal="center"/>
    </xf>
    <xf numFmtId="9" fontId="6" fillId="0" borderId="4" xfId="1" applyNumberFormat="1" applyFont="1" applyFill="1" applyBorder="1" applyAlignment="1" applyProtection="1">
      <alignment horizontal="center" vertical="center" wrapText="1"/>
      <protection hidden="1"/>
    </xf>
    <xf numFmtId="9" fontId="6" fillId="0" borderId="6" xfId="1" applyNumberFormat="1" applyFont="1" applyFill="1" applyBorder="1" applyAlignment="1" applyProtection="1">
      <alignment horizontal="center" vertical="center" wrapText="1"/>
      <protection hidden="1"/>
    </xf>
    <xf numFmtId="9" fontId="6" fillId="0" borderId="12" xfId="1" applyNumberFormat="1" applyFont="1" applyFill="1" applyBorder="1" applyAlignment="1" applyProtection="1">
      <alignment horizontal="center" vertical="center" wrapText="1"/>
      <protection hidden="1"/>
    </xf>
    <xf numFmtId="9" fontId="6" fillId="0" borderId="32" xfId="1" applyNumberFormat="1" applyFont="1" applyFill="1" applyBorder="1" applyAlignment="1" applyProtection="1">
      <alignment horizontal="center" vertical="center" wrapText="1"/>
      <protection hidden="1"/>
    </xf>
    <xf numFmtId="0" fontId="8" fillId="0" borderId="11" xfId="1" applyFont="1" applyFill="1" applyBorder="1" applyAlignment="1" applyProtection="1">
      <alignment horizontal="center" vertical="top" wrapText="1"/>
      <protection locked="0"/>
    </xf>
    <xf numFmtId="0" fontId="8" fillId="0" borderId="12" xfId="1" applyFont="1" applyFill="1" applyBorder="1" applyAlignment="1" applyProtection="1">
      <alignment horizontal="center" vertical="top" wrapText="1"/>
      <protection locked="0"/>
    </xf>
    <xf numFmtId="9" fontId="8" fillId="0" borderId="12" xfId="0" applyNumberFormat="1" applyFont="1" applyFill="1" applyBorder="1" applyAlignment="1">
      <alignment horizontal="center"/>
    </xf>
    <xf numFmtId="0" fontId="7" fillId="0" borderId="33" xfId="1" applyFont="1" applyFill="1" applyBorder="1" applyAlignment="1" applyProtection="1">
      <alignment horizontal="left" vertical="top" wrapText="1"/>
      <protection locked="0"/>
    </xf>
    <xf numFmtId="0" fontId="7" fillId="0" borderId="30" xfId="1" applyFont="1" applyFill="1" applyBorder="1" applyAlignment="1" applyProtection="1">
      <alignment horizontal="left" vertical="top" wrapText="1"/>
      <protection locked="0"/>
    </xf>
    <xf numFmtId="0" fontId="7" fillId="0" borderId="34" xfId="1" applyFont="1" applyFill="1" applyBorder="1" applyAlignment="1" applyProtection="1">
      <alignment horizontal="left" vertical="top" wrapText="1"/>
      <protection locked="0"/>
    </xf>
    <xf numFmtId="0" fontId="7" fillId="0" borderId="35" xfId="1" applyFont="1" applyFill="1" applyBorder="1" applyAlignment="1" applyProtection="1">
      <alignment horizontal="left" vertical="top" wrapText="1"/>
      <protection locked="0"/>
    </xf>
    <xf numFmtId="0" fontId="7" fillId="0" borderId="21" xfId="1" applyFont="1" applyFill="1" applyBorder="1" applyAlignment="1" applyProtection="1">
      <alignment horizontal="left" vertical="top" wrapText="1"/>
      <protection locked="0"/>
    </xf>
    <xf numFmtId="0" fontId="7" fillId="0" borderId="22" xfId="1" applyFont="1" applyFill="1" applyBorder="1" applyAlignment="1" applyProtection="1">
      <alignment horizontal="left" vertical="top" wrapText="1"/>
      <protection locked="0"/>
    </xf>
    <xf numFmtId="0" fontId="7" fillId="0" borderId="4" xfId="1" applyFont="1" applyFill="1" applyBorder="1" applyAlignment="1" applyProtection="1">
      <alignment horizontal="left" vertical="top" wrapText="1"/>
      <protection locked="0"/>
    </xf>
    <xf numFmtId="0" fontId="7" fillId="0" borderId="6" xfId="1" applyFont="1" applyFill="1" applyBorder="1" applyAlignment="1" applyProtection="1">
      <alignment horizontal="left" vertical="top" wrapText="1"/>
      <protection locked="0"/>
    </xf>
    <xf numFmtId="0" fontId="8" fillId="0" borderId="5" xfId="1" applyFont="1" applyFill="1" applyBorder="1" applyAlignment="1" applyProtection="1">
      <alignment horizontal="center" vertical="top" wrapText="1"/>
      <protection locked="0"/>
    </xf>
    <xf numFmtId="0" fontId="8" fillId="0" borderId="4" xfId="1" applyFont="1" applyFill="1" applyBorder="1" applyAlignment="1" applyProtection="1">
      <alignment horizontal="center" vertical="top" wrapText="1"/>
      <protection locked="0"/>
    </xf>
    <xf numFmtId="0" fontId="8" fillId="0" borderId="4" xfId="0" applyFont="1" applyFill="1" applyBorder="1" applyAlignment="1">
      <alignment horizontal="center"/>
    </xf>
    <xf numFmtId="0" fontId="8" fillId="0" borderId="4"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9" fontId="8" fillId="0" borderId="4" xfId="0" applyNumberFormat="1" applyFont="1" applyFill="1" applyBorder="1" applyAlignment="1">
      <alignment horizontal="center"/>
    </xf>
    <xf numFmtId="9" fontId="8" fillId="0" borderId="4" xfId="1" applyNumberFormat="1" applyFont="1" applyFill="1" applyBorder="1" applyAlignment="1" applyProtection="1">
      <alignment horizontal="center" vertical="center" wrapText="1"/>
      <protection hidden="1"/>
    </xf>
    <xf numFmtId="9" fontId="8" fillId="0" borderId="6" xfId="1" applyNumberFormat="1" applyFont="1" applyFill="1" applyBorder="1" applyAlignment="1" applyProtection="1">
      <alignment horizontal="center" vertical="center" wrapText="1"/>
      <protection hidden="1"/>
    </xf>
    <xf numFmtId="9" fontId="8" fillId="0" borderId="12" xfId="1" applyNumberFormat="1" applyFont="1" applyFill="1" applyBorder="1" applyAlignment="1" applyProtection="1">
      <alignment horizontal="center" vertical="center" wrapText="1"/>
      <protection hidden="1"/>
    </xf>
    <xf numFmtId="9" fontId="8" fillId="0" borderId="32" xfId="1" applyNumberFormat="1" applyFont="1" applyFill="1" applyBorder="1" applyAlignment="1" applyProtection="1">
      <alignment horizontal="center" vertical="center" wrapText="1"/>
      <protection hidden="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9"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22"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10" xfId="0" applyFont="1" applyFill="1" applyBorder="1" applyAlignment="1">
      <alignment horizontal="left" vertical="top"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29" xfId="0" applyFont="1" applyFill="1" applyBorder="1" applyAlignment="1">
      <alignment horizontal="left" vertical="top" wrapText="1"/>
    </xf>
    <xf numFmtId="0" fontId="7" fillId="0" borderId="25" xfId="0" applyFont="1" applyFill="1" applyBorder="1" applyAlignment="1">
      <alignment horizontal="left" vertical="top" wrapText="1"/>
    </xf>
    <xf numFmtId="0" fontId="7" fillId="0" borderId="24" xfId="0" applyFont="1" applyFill="1" applyBorder="1" applyAlignment="1">
      <alignment horizontal="left" vertical="top" wrapText="1"/>
    </xf>
    <xf numFmtId="0" fontId="1" fillId="0" borderId="14" xfId="0" applyFont="1" applyFill="1" applyBorder="1" applyAlignment="1">
      <alignment horizontal="center" vertical="top" wrapText="1"/>
    </xf>
    <xf numFmtId="0" fontId="1" fillId="0" borderId="13" xfId="0" applyFont="1" applyFill="1" applyBorder="1" applyAlignment="1">
      <alignment horizontal="center" vertical="top" wrapText="1"/>
    </xf>
    <xf numFmtId="0" fontId="9" fillId="0" borderId="14" xfId="0" applyFont="1" applyFill="1" applyBorder="1" applyAlignment="1">
      <alignment horizontal="center" vertical="top" wrapText="1"/>
    </xf>
    <xf numFmtId="0" fontId="9" fillId="0" borderId="13" xfId="0" applyFont="1" applyFill="1" applyBorder="1" applyAlignment="1">
      <alignment horizontal="center" vertical="top" wrapText="1"/>
    </xf>
    <xf numFmtId="1" fontId="9" fillId="0" borderId="7" xfId="0" applyNumberFormat="1" applyFont="1" applyFill="1" applyBorder="1" applyAlignment="1">
      <alignment horizontal="center" vertical="center" wrapText="1"/>
    </xf>
    <xf numFmtId="0" fontId="7" fillId="0" borderId="14" xfId="1" applyFont="1" applyFill="1" applyBorder="1" applyAlignment="1" applyProtection="1">
      <alignment horizontal="center" vertical="top" wrapText="1"/>
      <protection locked="0"/>
    </xf>
    <xf numFmtId="14" fontId="6" fillId="0" borderId="7" xfId="0" applyNumberFormat="1" applyFont="1" applyFill="1" applyBorder="1" applyAlignment="1">
      <alignment horizontal="center" vertical="center"/>
    </xf>
    <xf numFmtId="14" fontId="6" fillId="0" borderId="10"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0" xfId="0" applyFont="1" applyFill="1" applyBorder="1" applyAlignment="1">
      <alignment horizontal="left" vertical="top" wrapText="1"/>
    </xf>
    <xf numFmtId="0" fontId="9" fillId="0" borderId="7" xfId="0" applyFont="1" applyFill="1" applyBorder="1" applyAlignment="1">
      <alignment horizontal="left" vertical="center"/>
    </xf>
    <xf numFmtId="0" fontId="9" fillId="0" borderId="10" xfId="0" applyFont="1" applyFill="1" applyBorder="1" applyAlignment="1">
      <alignment horizontal="left"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1" fillId="0" borderId="29"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2"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5" fillId="0" borderId="29"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22" xfId="0" applyFont="1" applyFill="1" applyBorder="1" applyAlignment="1">
      <alignment horizontal="left" vertical="top" wrapText="1"/>
    </xf>
    <xf numFmtId="0" fontId="8" fillId="0" borderId="7" xfId="0" applyFont="1" applyFill="1" applyBorder="1" applyAlignment="1">
      <alignment horizontal="left" vertical="center"/>
    </xf>
    <xf numFmtId="0" fontId="8" fillId="0" borderId="10" xfId="0" applyFont="1" applyFill="1" applyBorder="1" applyAlignment="1">
      <alignment horizontal="left"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0" xfId="0" applyFont="1" applyFill="1" applyBorder="1" applyAlignment="1">
      <alignment horizontal="left" vertical="top" wrapText="1"/>
    </xf>
    <xf numFmtId="0" fontId="1" fillId="0" borderId="29" xfId="0" applyFont="1" applyFill="1" applyBorder="1" applyAlignment="1">
      <alignment vertical="top" wrapText="1"/>
    </xf>
    <xf numFmtId="0" fontId="1" fillId="0" borderId="24" xfId="0" applyFont="1" applyFill="1" applyBorder="1" applyAlignment="1">
      <alignment vertical="top" wrapText="1"/>
    </xf>
    <xf numFmtId="0" fontId="1" fillId="0" borderId="18" xfId="0" applyFont="1" applyFill="1" applyBorder="1" applyAlignment="1">
      <alignment vertical="top" wrapText="1"/>
    </xf>
    <xf numFmtId="0" fontId="1" fillId="0" borderId="19" xfId="0" applyFont="1" applyFill="1" applyBorder="1" applyAlignment="1">
      <alignment vertical="top" wrapText="1"/>
    </xf>
    <xf numFmtId="0" fontId="1" fillId="0" borderId="20" xfId="0" applyFont="1" applyFill="1" applyBorder="1" applyAlignment="1">
      <alignment vertical="top" wrapText="1"/>
    </xf>
    <xf numFmtId="0" fontId="1" fillId="0" borderId="22" xfId="0" applyFont="1" applyFill="1" applyBorder="1" applyAlignment="1">
      <alignment vertical="top" wrapText="1"/>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8" fillId="0" borderId="8" xfId="0" applyFont="1" applyFill="1" applyBorder="1" applyAlignment="1">
      <alignment horizontal="left" vertical="center"/>
    </xf>
    <xf numFmtId="164" fontId="6" fillId="0" borderId="4" xfId="1" applyNumberFormat="1" applyFont="1" applyFill="1" applyBorder="1" applyAlignment="1" applyProtection="1">
      <alignment horizontal="left" vertical="center" wrapText="1"/>
      <protection locked="0"/>
    </xf>
    <xf numFmtId="22" fontId="8" fillId="0" borderId="4" xfId="0" applyNumberFormat="1" applyFont="1" applyFill="1" applyBorder="1" applyAlignment="1">
      <alignment horizontal="left" vertical="center" wrapText="1"/>
    </xf>
    <xf numFmtId="164" fontId="8" fillId="0" borderId="4" xfId="1" applyNumberFormat="1" applyFont="1" applyFill="1" applyBorder="1" applyAlignment="1" applyProtection="1">
      <alignment horizontal="left" vertical="center" wrapText="1"/>
      <protection locked="0"/>
    </xf>
    <xf numFmtId="0" fontId="9" fillId="0" borderId="7"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7"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29"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2" xfId="0" applyFont="1" applyFill="1" applyBorder="1" applyAlignment="1">
      <alignment horizontal="left"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0" xfId="0" applyFont="1" applyFill="1" applyBorder="1" applyAlignment="1">
      <alignment horizontal="center" vertical="top"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1" fontId="9" fillId="0" borderId="4" xfId="0" applyNumberFormat="1" applyFont="1" applyFill="1" applyBorder="1" applyAlignment="1">
      <alignment horizontal="center" vertical="center" wrapText="1"/>
    </xf>
    <xf numFmtId="0" fontId="5" fillId="0" borderId="8" xfId="0" applyFont="1" applyFill="1" applyBorder="1" applyAlignment="1">
      <alignment horizontal="left" vertical="top"/>
    </xf>
    <xf numFmtId="0" fontId="5" fillId="0" borderId="10" xfId="0" applyFont="1" applyFill="1" applyBorder="1" applyAlignment="1">
      <alignment horizontal="left" vertical="top"/>
    </xf>
    <xf numFmtId="0" fontId="9" fillId="0" borderId="2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9"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1" fillId="0" borderId="7" xfId="0" applyFont="1" applyFill="1" applyBorder="1" applyAlignment="1">
      <alignment vertical="top" wrapText="1"/>
    </xf>
    <xf numFmtId="0" fontId="1" fillId="0" borderId="10" xfId="0" applyFont="1" applyFill="1" applyBorder="1" applyAlignment="1">
      <alignment vertical="top" wrapText="1"/>
    </xf>
    <xf numFmtId="0" fontId="5" fillId="0" borderId="4" xfId="0" applyFont="1" applyFill="1" applyBorder="1" applyAlignment="1">
      <alignment horizontal="left" vertical="center"/>
    </xf>
    <xf numFmtId="2" fontId="6" fillId="0" borderId="4"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13" xfId="0" applyFont="1" applyFill="1" applyBorder="1" applyAlignment="1">
      <alignment horizontal="left" vertical="center"/>
    </xf>
    <xf numFmtId="0" fontId="1" fillId="0" borderId="4" xfId="0" applyFont="1" applyFill="1" applyBorder="1" applyAlignment="1">
      <alignment horizontal="center" vertical="top" wrapText="1"/>
    </xf>
    <xf numFmtId="0" fontId="1" fillId="0" borderId="4" xfId="0" applyFont="1" applyFill="1" applyBorder="1" applyAlignment="1">
      <alignment horizontal="center" vertical="top"/>
    </xf>
    <xf numFmtId="0" fontId="5" fillId="0" borderId="4" xfId="0" applyFont="1" applyFill="1" applyBorder="1" applyAlignment="1">
      <alignment vertical="top" wrapText="1"/>
    </xf>
    <xf numFmtId="0" fontId="5" fillId="0" borderId="4" xfId="0" applyFont="1" applyFill="1" applyBorder="1" applyAlignment="1">
      <alignment vertical="top"/>
    </xf>
    <xf numFmtId="0" fontId="5" fillId="0" borderId="4" xfId="0" applyFont="1" applyFill="1" applyBorder="1" applyAlignment="1">
      <alignment horizontal="left" vertical="top"/>
    </xf>
    <xf numFmtId="0" fontId="6" fillId="0" borderId="4" xfId="0" applyFont="1" applyFill="1" applyBorder="1" applyAlignment="1">
      <alignment horizontal="left" vertical="top"/>
    </xf>
    <xf numFmtId="0" fontId="8" fillId="0" borderId="4" xfId="0" applyFont="1" applyFill="1" applyBorder="1" applyAlignment="1">
      <alignment horizontal="left" vertical="top" wrapText="1"/>
    </xf>
    <xf numFmtId="0" fontId="3" fillId="0" borderId="4" xfId="0" applyFont="1" applyFill="1" applyBorder="1" applyAlignment="1">
      <alignment horizontal="center" vertical="center"/>
    </xf>
    <xf numFmtId="0" fontId="6" fillId="0" borderId="4" xfId="0" applyFont="1" applyFill="1" applyBorder="1" applyAlignment="1">
      <alignment vertical="top" wrapText="1"/>
    </xf>
    <xf numFmtId="0" fontId="10" fillId="0" borderId="4" xfId="0" applyFont="1" applyFill="1" applyBorder="1" applyAlignment="1">
      <alignment vertical="top" wrapText="1"/>
    </xf>
    <xf numFmtId="0" fontId="16" fillId="0" borderId="7" xfId="3" applyFill="1" applyBorder="1" applyAlignment="1">
      <alignment horizontal="center" vertical="top" wrapText="1"/>
    </xf>
    <xf numFmtId="0" fontId="1" fillId="0" borderId="7"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4" xfId="0" applyFont="1" applyFill="1" applyBorder="1" applyAlignment="1">
      <alignment horizontal="left" vertical="center" wrapText="1"/>
    </xf>
    <xf numFmtId="0" fontId="8" fillId="0" borderId="4" xfId="0" applyFont="1" applyFill="1" applyBorder="1" applyAlignment="1">
      <alignment horizontal="left" vertical="center"/>
    </xf>
    <xf numFmtId="0" fontId="6" fillId="0" borderId="4" xfId="0" applyFont="1" applyFill="1" applyBorder="1" applyAlignment="1">
      <alignment horizontal="left" vertical="center"/>
    </xf>
    <xf numFmtId="0" fontId="8" fillId="0" borderId="4" xfId="0" applyFont="1" applyFill="1" applyBorder="1" applyAlignment="1">
      <alignment horizontal="left" vertical="top"/>
    </xf>
    <xf numFmtId="0" fontId="9" fillId="0" borderId="4" xfId="0" applyFont="1" applyFill="1" applyBorder="1" applyAlignment="1">
      <alignment horizontal="left" vertical="top" wrapText="1"/>
    </xf>
    <xf numFmtId="1" fontId="8" fillId="0" borderId="4" xfId="0" applyNumberFormat="1" applyFont="1" applyFill="1" applyBorder="1" applyAlignment="1">
      <alignment horizontal="left" vertical="top"/>
    </xf>
    <xf numFmtId="0" fontId="6" fillId="0" borderId="4" xfId="0" applyFont="1" applyFill="1" applyBorder="1" applyAlignment="1">
      <alignment horizontal="center" vertical="center"/>
    </xf>
    <xf numFmtId="0" fontId="9" fillId="0" borderId="4" xfId="0" applyFont="1" applyFill="1" applyBorder="1" applyAlignment="1">
      <alignment horizontal="center" vertical="top" wrapText="1"/>
    </xf>
    <xf numFmtId="0" fontId="6" fillId="0" borderId="4" xfId="0" applyFont="1" applyFill="1" applyBorder="1" applyAlignment="1">
      <alignment horizontal="left" vertical="top" wrapText="1"/>
    </xf>
    <xf numFmtId="0" fontId="8" fillId="0" borderId="4" xfId="0" applyFont="1" applyFill="1" applyBorder="1" applyAlignment="1">
      <alignment horizontal="left" vertical="center" wrapText="1"/>
    </xf>
    <xf numFmtId="2" fontId="6" fillId="0" borderId="7" xfId="0" applyNumberFormat="1" applyFont="1" applyFill="1" applyBorder="1" applyAlignment="1">
      <alignment horizontal="center" vertical="center" wrapText="1"/>
    </xf>
    <xf numFmtId="2" fontId="6" fillId="0" borderId="10"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jpeg"/><Relationship Id="rId8" Type="http://schemas.openxmlformats.org/officeDocument/2006/relationships/image" Target="../media/image8.png"/><Relationship Id="rId3"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8</xdr:col>
      <xdr:colOff>157369</xdr:colOff>
      <xdr:row>38</xdr:row>
      <xdr:rowOff>107675</xdr:rowOff>
    </xdr:from>
    <xdr:to>
      <xdr:col>15</xdr:col>
      <xdr:colOff>532751</xdr:colOff>
      <xdr:row>46</xdr:row>
      <xdr:rowOff>113023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932543" y="12233414"/>
          <a:ext cx="4980512" cy="1519409"/>
        </a:xfrm>
        <a:prstGeom prst="rect">
          <a:avLst/>
        </a:prstGeom>
      </xdr:spPr>
    </xdr:pic>
    <xdr:clientData/>
  </xdr:twoCellAnchor>
  <xdr:twoCellAnchor editAs="oneCell">
    <xdr:from>
      <xdr:col>9</xdr:col>
      <xdr:colOff>174244</xdr:colOff>
      <xdr:row>57</xdr:row>
      <xdr:rowOff>10496</xdr:rowOff>
    </xdr:from>
    <xdr:to>
      <xdr:col>15</xdr:col>
      <xdr:colOff>96352</xdr:colOff>
      <xdr:row>65</xdr:row>
      <xdr:rowOff>45959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841869" y="16936421"/>
          <a:ext cx="3579708" cy="1660876"/>
        </a:xfrm>
        <a:prstGeom prst="rect">
          <a:avLst/>
        </a:prstGeom>
      </xdr:spPr>
    </xdr:pic>
    <xdr:clientData/>
  </xdr:twoCellAnchor>
  <xdr:twoCellAnchor editAs="oneCell">
    <xdr:from>
      <xdr:col>8</xdr:col>
      <xdr:colOff>499913</xdr:colOff>
      <xdr:row>54</xdr:row>
      <xdr:rowOff>470435</xdr:rowOff>
    </xdr:from>
    <xdr:to>
      <xdr:col>13</xdr:col>
      <xdr:colOff>609</xdr:colOff>
      <xdr:row>58</xdr:row>
      <xdr:rowOff>266389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275087" y="18543087"/>
          <a:ext cx="2880000" cy="1149331"/>
        </a:xfrm>
        <a:prstGeom prst="rect">
          <a:avLst/>
        </a:prstGeom>
      </xdr:spPr>
    </xdr:pic>
    <xdr:clientData/>
  </xdr:twoCellAnchor>
  <xdr:twoCellAnchor editAs="oneCell">
    <xdr:from>
      <xdr:col>11</xdr:col>
      <xdr:colOff>8283</xdr:colOff>
      <xdr:row>354</xdr:row>
      <xdr:rowOff>49695</xdr:rowOff>
    </xdr:from>
    <xdr:to>
      <xdr:col>16</xdr:col>
      <xdr:colOff>543718</xdr:colOff>
      <xdr:row>362</xdr:row>
      <xdr:rowOff>5621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8936935" y="75595369"/>
          <a:ext cx="3600000" cy="1281144"/>
        </a:xfrm>
        <a:prstGeom prst="rect">
          <a:avLst/>
        </a:prstGeom>
      </xdr:spPr>
    </xdr:pic>
    <xdr:clientData/>
  </xdr:twoCellAnchor>
  <xdr:twoCellAnchor editAs="oneCell">
    <xdr:from>
      <xdr:col>10</xdr:col>
      <xdr:colOff>431879</xdr:colOff>
      <xdr:row>363</xdr:row>
      <xdr:rowOff>35602</xdr:rowOff>
    </xdr:from>
    <xdr:to>
      <xdr:col>16</xdr:col>
      <xdr:colOff>354401</xdr:colOff>
      <xdr:row>424</xdr:row>
      <xdr:rowOff>72483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8747618" y="77072145"/>
          <a:ext cx="3600000" cy="1544315"/>
        </a:xfrm>
        <a:prstGeom prst="rect">
          <a:avLst/>
        </a:prstGeom>
      </xdr:spPr>
    </xdr:pic>
    <xdr:clientData/>
  </xdr:twoCellAnchor>
  <xdr:twoCellAnchor editAs="oneCell">
    <xdr:from>
      <xdr:col>17</xdr:col>
      <xdr:colOff>58255</xdr:colOff>
      <xdr:row>352</xdr:row>
      <xdr:rowOff>157369</xdr:rowOff>
    </xdr:from>
    <xdr:to>
      <xdr:col>22</xdr:col>
      <xdr:colOff>593689</xdr:colOff>
      <xdr:row>362</xdr:row>
      <xdr:rowOff>65265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12664385" y="75371739"/>
          <a:ext cx="3600000" cy="1564420"/>
        </a:xfrm>
        <a:prstGeom prst="rect">
          <a:avLst/>
        </a:prstGeom>
      </xdr:spPr>
    </xdr:pic>
    <xdr:clientData/>
  </xdr:twoCellAnchor>
  <xdr:twoCellAnchor editAs="oneCell">
    <xdr:from>
      <xdr:col>16</xdr:col>
      <xdr:colOff>435708</xdr:colOff>
      <xdr:row>363</xdr:row>
      <xdr:rowOff>91007</xdr:rowOff>
    </xdr:from>
    <xdr:to>
      <xdr:col>22</xdr:col>
      <xdr:colOff>358229</xdr:colOff>
      <xdr:row>423</xdr:row>
      <xdr:rowOff>12714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12428925" y="77127550"/>
          <a:ext cx="3600000" cy="1263491"/>
        </a:xfrm>
        <a:prstGeom prst="rect">
          <a:avLst/>
        </a:prstGeom>
      </xdr:spPr>
    </xdr:pic>
    <xdr:clientData/>
  </xdr:twoCellAnchor>
  <xdr:twoCellAnchor editAs="oneCell">
    <xdr:from>
      <xdr:col>10</xdr:col>
      <xdr:colOff>496957</xdr:colOff>
      <xdr:row>330</xdr:row>
      <xdr:rowOff>40230</xdr:rowOff>
    </xdr:from>
    <xdr:to>
      <xdr:col>17</xdr:col>
      <xdr:colOff>62971</xdr:colOff>
      <xdr:row>339</xdr:row>
      <xdr:rowOff>68768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8812696" y="71610252"/>
          <a:ext cx="3856405" cy="1519408"/>
        </a:xfrm>
        <a:prstGeom prst="rect">
          <a:avLst/>
        </a:prstGeom>
      </xdr:spPr>
    </xdr:pic>
    <xdr:clientData/>
  </xdr:twoCellAnchor>
  <xdr:twoCellAnchor editAs="oneCell">
    <xdr:from>
      <xdr:col>10</xdr:col>
      <xdr:colOff>510564</xdr:colOff>
      <xdr:row>339</xdr:row>
      <xdr:rowOff>163807</xdr:rowOff>
    </xdr:from>
    <xdr:to>
      <xdr:col>17</xdr:col>
      <xdr:colOff>143262</xdr:colOff>
      <xdr:row>348</xdr:row>
      <xdr:rowOff>97083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8826303" y="73224698"/>
          <a:ext cx="3923089" cy="1424146"/>
        </a:xfrm>
        <a:prstGeom prst="rect">
          <a:avLst/>
        </a:prstGeom>
      </xdr:spPr>
    </xdr:pic>
    <xdr:clientData/>
  </xdr:twoCellAnchor>
  <xdr:twoCellAnchor editAs="oneCell">
    <xdr:from>
      <xdr:col>17</xdr:col>
      <xdr:colOff>296886</xdr:colOff>
      <xdr:row>333</xdr:row>
      <xdr:rowOff>33131</xdr:rowOff>
    </xdr:from>
    <xdr:to>
      <xdr:col>23</xdr:col>
      <xdr:colOff>512880</xdr:colOff>
      <xdr:row>342</xdr:row>
      <xdr:rowOff>128351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12903016" y="72100109"/>
          <a:ext cx="3893473" cy="1586092"/>
        </a:xfrm>
        <a:prstGeom prst="rect">
          <a:avLst/>
        </a:prstGeom>
      </xdr:spPr>
    </xdr:pic>
    <xdr:clientData/>
  </xdr:twoCellAnchor>
  <xdr:twoCellAnchor editAs="oneCell">
    <xdr:from>
      <xdr:col>17</xdr:col>
      <xdr:colOff>395095</xdr:colOff>
      <xdr:row>342</xdr:row>
      <xdr:rowOff>149610</xdr:rowOff>
    </xdr:from>
    <xdr:to>
      <xdr:col>24</xdr:col>
      <xdr:colOff>36282</xdr:colOff>
      <xdr:row>353</xdr:row>
      <xdr:rowOff>36573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13001225" y="73707458"/>
          <a:ext cx="3931579" cy="1709136"/>
        </a:xfrm>
        <a:prstGeom prst="rect">
          <a:avLst/>
        </a:prstGeom>
      </xdr:spPr>
    </xdr:pic>
    <xdr:clientData/>
  </xdr:twoCellAnchor>
  <xdr:twoCellAnchor editAs="oneCell">
    <xdr:from>
      <xdr:col>9</xdr:col>
      <xdr:colOff>521806</xdr:colOff>
      <xdr:row>302</xdr:row>
      <xdr:rowOff>159144</xdr:rowOff>
    </xdr:from>
    <xdr:to>
      <xdr:col>15</xdr:col>
      <xdr:colOff>22041</xdr:colOff>
      <xdr:row>318</xdr:row>
      <xdr:rowOff>34710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xfrm>
          <a:off x="8224632" y="67090905"/>
          <a:ext cx="3177713" cy="2526001"/>
        </a:xfrm>
        <a:prstGeom prst="rect">
          <a:avLst/>
        </a:prstGeom>
      </xdr:spPr>
    </xdr:pic>
    <xdr:clientData/>
  </xdr:twoCellAnchor>
  <xdr:twoCellAnchor editAs="oneCell">
    <xdr:from>
      <xdr:col>9</xdr:col>
      <xdr:colOff>344913</xdr:colOff>
      <xdr:row>318</xdr:row>
      <xdr:rowOff>126293</xdr:rowOff>
    </xdr:from>
    <xdr:to>
      <xdr:col>14</xdr:col>
      <xdr:colOff>429482</xdr:colOff>
      <xdr:row>327</xdr:row>
      <xdr:rowOff>11938</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xfrm>
          <a:off x="8047739" y="69708489"/>
          <a:ext cx="3149134" cy="1376515"/>
        </a:xfrm>
        <a:prstGeom prst="rect">
          <a:avLst/>
        </a:prstGeom>
      </xdr:spPr>
    </xdr:pic>
    <xdr:clientData/>
  </xdr:twoCellAnchor>
  <xdr:twoCellAnchor editAs="oneCell">
    <xdr:from>
      <xdr:col>15</xdr:col>
      <xdr:colOff>65567</xdr:colOff>
      <xdr:row>302</xdr:row>
      <xdr:rowOff>8281</xdr:rowOff>
    </xdr:from>
    <xdr:to>
      <xdr:col>20</xdr:col>
      <xdr:colOff>256447</xdr:colOff>
      <xdr:row>314</xdr:row>
      <xdr:rowOff>109841</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xfrm>
          <a:off x="11445871" y="66940042"/>
          <a:ext cx="3255446" cy="2089389"/>
        </a:xfrm>
        <a:prstGeom prst="rect">
          <a:avLst/>
        </a:prstGeom>
      </xdr:spPr>
    </xdr:pic>
    <xdr:clientData/>
  </xdr:twoCellAnchor>
  <xdr:twoCellAnchor editAs="oneCell">
    <xdr:from>
      <xdr:col>14</xdr:col>
      <xdr:colOff>537083</xdr:colOff>
      <xdr:row>315</xdr:row>
      <xdr:rowOff>40928</xdr:rowOff>
    </xdr:from>
    <xdr:to>
      <xdr:col>19</xdr:col>
      <xdr:colOff>575542</xdr:colOff>
      <xdr:row>331</xdr:row>
      <xdr:rowOff>134795</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xfrm>
          <a:off x="11304474" y="69126167"/>
          <a:ext cx="3103025" cy="2744306"/>
        </a:xfrm>
        <a:prstGeom prst="rect">
          <a:avLst/>
        </a:prstGeom>
      </xdr:spPr>
    </xdr:pic>
    <xdr:clientData/>
  </xdr:twoCellAnchor>
  <xdr:twoCellAnchor editAs="oneCell">
    <xdr:from>
      <xdr:col>20</xdr:col>
      <xdr:colOff>86447</xdr:colOff>
      <xdr:row>312</xdr:row>
      <xdr:rowOff>90143</xdr:rowOff>
    </xdr:from>
    <xdr:to>
      <xdr:col>25</xdr:col>
      <xdr:colOff>205763</xdr:colOff>
      <xdr:row>322</xdr:row>
      <xdr:rowOff>87637</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xfrm>
          <a:off x="14531317" y="68678426"/>
          <a:ext cx="3183881" cy="1654015"/>
        </a:xfrm>
        <a:prstGeom prst="rect">
          <a:avLst/>
        </a:prstGeom>
      </xdr:spPr>
    </xdr:pic>
    <xdr:clientData/>
  </xdr:twoCellAnchor>
  <xdr:twoCellAnchor editAs="oneCell">
    <xdr:from>
      <xdr:col>9</xdr:col>
      <xdr:colOff>180272</xdr:colOff>
      <xdr:row>286</xdr:row>
      <xdr:rowOff>132522</xdr:rowOff>
    </xdr:from>
    <xdr:to>
      <xdr:col>14</xdr:col>
      <xdr:colOff>3502</xdr:colOff>
      <xdr:row>300</xdr:row>
      <xdr:rowOff>20159</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xfrm>
          <a:off x="7883098" y="64389000"/>
          <a:ext cx="2880000" cy="2231616"/>
        </a:xfrm>
        <a:prstGeom prst="rect">
          <a:avLst/>
        </a:prstGeom>
      </xdr:spPr>
    </xdr:pic>
    <xdr:clientData/>
  </xdr:twoCellAnchor>
  <xdr:twoCellAnchor editAs="oneCell">
    <xdr:from>
      <xdr:col>14</xdr:col>
      <xdr:colOff>57981</xdr:colOff>
      <xdr:row>286</xdr:row>
      <xdr:rowOff>81293</xdr:rowOff>
    </xdr:from>
    <xdr:to>
      <xdr:col>18</xdr:col>
      <xdr:colOff>486329</xdr:colOff>
      <xdr:row>300</xdr:row>
      <xdr:rowOff>65924</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xfrm>
          <a:off x="10825372" y="64337771"/>
          <a:ext cx="2880000" cy="2328610"/>
        </a:xfrm>
        <a:prstGeom prst="rect">
          <a:avLst/>
        </a:prstGeom>
      </xdr:spPr>
    </xdr:pic>
    <xdr:clientData/>
  </xdr:twoCellAnchor>
  <xdr:twoCellAnchor editAs="oneCell">
    <xdr:from>
      <xdr:col>8</xdr:col>
      <xdr:colOff>182217</xdr:colOff>
      <xdr:row>33</xdr:row>
      <xdr:rowOff>265043</xdr:rowOff>
    </xdr:from>
    <xdr:to>
      <xdr:col>13</xdr:col>
      <xdr:colOff>402913</xdr:colOff>
      <xdr:row>36</xdr:row>
      <xdr:rowOff>82918</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xfrm>
          <a:off x="6957391" y="8705021"/>
          <a:ext cx="3600000" cy="1325310"/>
        </a:xfrm>
        <a:prstGeom prst="rect">
          <a:avLst/>
        </a:prstGeom>
      </xdr:spPr>
    </xdr:pic>
    <xdr:clientData/>
  </xdr:twoCellAnchor>
  <xdr:twoCellAnchor>
    <xdr:from>
      <xdr:col>0</xdr:col>
      <xdr:colOff>173935</xdr:colOff>
      <xdr:row>489</xdr:row>
      <xdr:rowOff>157371</xdr:rowOff>
    </xdr:from>
    <xdr:to>
      <xdr:col>7</xdr:col>
      <xdr:colOff>740152</xdr:colOff>
      <xdr:row>516</xdr:row>
      <xdr:rowOff>4762</xdr:rowOff>
    </xdr:to>
    <xdr:grpSp>
      <xdr:nvGrpSpPr>
        <xdr:cNvPr id="21" name="Group 20">
          <a:extLst>
            <a:ext uri="{FF2B5EF4-FFF2-40B4-BE49-F238E27FC236}">
              <a16:creationId xmlns:a16="http://schemas.microsoft.com/office/drawing/2014/main" id="{00000000-0008-0000-0000-000015000000}"/>
            </a:ext>
          </a:extLst>
        </xdr:cNvPr>
        <xdr:cNvGrpSpPr/>
      </xdr:nvGrpSpPr>
      <xdr:grpSpPr>
        <a:xfrm>
          <a:off x="173935" y="81131077"/>
          <a:ext cx="6471717" cy="4083214"/>
          <a:chOff x="-340660" y="552496"/>
          <a:chExt cx="6858000" cy="4629561"/>
        </a:xfrm>
      </xdr:grpSpPr>
      <xdr:grpSp>
        <xdr:nvGrpSpPr>
          <xdr:cNvPr id="22" name="Group 21">
            <a:extLst>
              <a:ext uri="{FF2B5EF4-FFF2-40B4-BE49-F238E27FC236}">
                <a16:creationId xmlns:a16="http://schemas.microsoft.com/office/drawing/2014/main" id="{00000000-0008-0000-0000-000016000000}"/>
              </a:ext>
            </a:extLst>
          </xdr:cNvPr>
          <xdr:cNvGrpSpPr/>
        </xdr:nvGrpSpPr>
        <xdr:grpSpPr>
          <a:xfrm>
            <a:off x="-340660" y="552496"/>
            <a:ext cx="6858000" cy="4629561"/>
            <a:chOff x="0" y="2257219"/>
            <a:chExt cx="6858000" cy="4629561"/>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0" y="2257219"/>
              <a:ext cx="6858000" cy="4629561"/>
            </a:xfrm>
            <a:prstGeom prst="rect">
              <a:avLst/>
            </a:prstGeom>
            <a:ln>
              <a:solidFill>
                <a:schemeClr val="tx1"/>
              </a:solidFill>
            </a:ln>
          </xdr:spPr>
        </xdr:pic>
        <xdr:sp macro="" textlink="">
          <xdr:nvSpPr>
            <xdr:cNvPr id="31" name="TextBox 2">
              <a:extLst>
                <a:ext uri="{FF2B5EF4-FFF2-40B4-BE49-F238E27FC236}">
                  <a16:creationId xmlns:a16="http://schemas.microsoft.com/office/drawing/2014/main" id="{00000000-0008-0000-0000-00001F000000}"/>
                </a:ext>
              </a:extLst>
            </xdr:cNvPr>
            <xdr:cNvSpPr txBox="1"/>
          </xdr:nvSpPr>
          <xdr:spPr>
            <a:xfrm>
              <a:off x="2936530" y="2973644"/>
              <a:ext cx="990013" cy="4009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32" name="TextBox 5">
              <a:extLst>
                <a:ext uri="{FF2B5EF4-FFF2-40B4-BE49-F238E27FC236}">
                  <a16:creationId xmlns:a16="http://schemas.microsoft.com/office/drawing/2014/main" id="{00000000-0008-0000-0000-000020000000}"/>
                </a:ext>
              </a:extLst>
            </xdr:cNvPr>
            <xdr:cNvSpPr txBox="1"/>
          </xdr:nvSpPr>
          <xdr:spPr>
            <a:xfrm>
              <a:off x="2954061" y="3841332"/>
              <a:ext cx="945301" cy="4009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33" name="TextBox 6">
              <a:extLst>
                <a:ext uri="{FF2B5EF4-FFF2-40B4-BE49-F238E27FC236}">
                  <a16:creationId xmlns:a16="http://schemas.microsoft.com/office/drawing/2014/main" id="{00000000-0008-0000-0000-000021000000}"/>
                </a:ext>
              </a:extLst>
            </xdr:cNvPr>
            <xdr:cNvSpPr txBox="1"/>
          </xdr:nvSpPr>
          <xdr:spPr>
            <a:xfrm>
              <a:off x="2945295" y="4268588"/>
              <a:ext cx="938363" cy="4009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34" name="TextBox 7">
              <a:extLst>
                <a:ext uri="{FF2B5EF4-FFF2-40B4-BE49-F238E27FC236}">
                  <a16:creationId xmlns:a16="http://schemas.microsoft.com/office/drawing/2014/main" id="{00000000-0008-0000-0000-000022000000}"/>
                </a:ext>
              </a:extLst>
            </xdr:cNvPr>
            <xdr:cNvSpPr txBox="1"/>
          </xdr:nvSpPr>
          <xdr:spPr>
            <a:xfrm>
              <a:off x="2454413" y="5659472"/>
              <a:ext cx="998633" cy="4009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sp macro="" textlink="">
          <xdr:nvSpPr>
            <xdr:cNvPr id="35" name="TextBox 8">
              <a:extLst>
                <a:ext uri="{FF2B5EF4-FFF2-40B4-BE49-F238E27FC236}">
                  <a16:creationId xmlns:a16="http://schemas.microsoft.com/office/drawing/2014/main" id="{00000000-0008-0000-0000-000023000000}"/>
                </a:ext>
              </a:extLst>
            </xdr:cNvPr>
            <xdr:cNvSpPr txBox="1"/>
          </xdr:nvSpPr>
          <xdr:spPr>
            <a:xfrm>
              <a:off x="1904581" y="4244900"/>
              <a:ext cx="909229" cy="4009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a:t>
              </a:r>
              <a:endParaRPr lang="en-IN" b="1">
                <a:solidFill>
                  <a:srgbClr val="FF0000"/>
                </a:solidFill>
              </a:endParaRPr>
            </a:p>
          </xdr:txBody>
        </xdr:sp>
        <xdr:sp macro="" textlink="">
          <xdr:nvSpPr>
            <xdr:cNvPr id="36" name="TextBox 9">
              <a:extLst>
                <a:ext uri="{FF2B5EF4-FFF2-40B4-BE49-F238E27FC236}">
                  <a16:creationId xmlns:a16="http://schemas.microsoft.com/office/drawing/2014/main" id="{00000000-0008-0000-0000-000024000000}"/>
                </a:ext>
              </a:extLst>
            </xdr:cNvPr>
            <xdr:cNvSpPr txBox="1"/>
          </xdr:nvSpPr>
          <xdr:spPr>
            <a:xfrm>
              <a:off x="1892092" y="3719019"/>
              <a:ext cx="921717" cy="4009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F</a:t>
              </a:r>
              <a:endParaRPr lang="en-IN" b="1">
                <a:solidFill>
                  <a:srgbClr val="FF0000"/>
                </a:solidFill>
              </a:endParaRPr>
            </a:p>
          </xdr:txBody>
        </xdr:sp>
        <xdr:sp macro="" textlink="">
          <xdr:nvSpPr>
            <xdr:cNvPr id="37" name="TextBox 10">
              <a:extLst>
                <a:ext uri="{FF2B5EF4-FFF2-40B4-BE49-F238E27FC236}">
                  <a16:creationId xmlns:a16="http://schemas.microsoft.com/office/drawing/2014/main" id="{00000000-0008-0000-0000-000025000000}"/>
                </a:ext>
              </a:extLst>
            </xdr:cNvPr>
            <xdr:cNvSpPr txBox="1"/>
          </xdr:nvSpPr>
          <xdr:spPr>
            <a:xfrm>
              <a:off x="1891576" y="2823820"/>
              <a:ext cx="930998" cy="4009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G</a:t>
              </a:r>
              <a:endParaRPr lang="en-IN" b="1">
                <a:solidFill>
                  <a:srgbClr val="FF0000"/>
                </a:solidFill>
              </a:endParaRPr>
            </a:p>
          </xdr:txBody>
        </xdr:sp>
      </xdr:grpSp>
      <xdr:sp macro="" textlink="">
        <xdr:nvSpPr>
          <xdr:cNvPr id="23" name="Rectangle 22">
            <a:extLst>
              <a:ext uri="{FF2B5EF4-FFF2-40B4-BE49-F238E27FC236}">
                <a16:creationId xmlns:a16="http://schemas.microsoft.com/office/drawing/2014/main" id="{00000000-0008-0000-0000-000017000000}"/>
              </a:ext>
            </a:extLst>
          </xdr:cNvPr>
          <xdr:cNvSpPr/>
        </xdr:nvSpPr>
        <xdr:spPr>
          <a:xfrm>
            <a:off x="3536586" y="1039906"/>
            <a:ext cx="694755" cy="860612"/>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Rectangle 23">
            <a:extLst>
              <a:ext uri="{FF2B5EF4-FFF2-40B4-BE49-F238E27FC236}">
                <a16:creationId xmlns:a16="http://schemas.microsoft.com/office/drawing/2014/main" id="{00000000-0008-0000-0000-000018000000}"/>
              </a:ext>
            </a:extLst>
          </xdr:cNvPr>
          <xdr:cNvSpPr/>
        </xdr:nvSpPr>
        <xdr:spPr>
          <a:xfrm>
            <a:off x="3536585" y="1900518"/>
            <a:ext cx="694755" cy="977153"/>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a:off x="3055621" y="2877672"/>
            <a:ext cx="1175720" cy="1077077"/>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Rectangle 25">
            <a:extLst>
              <a:ext uri="{FF2B5EF4-FFF2-40B4-BE49-F238E27FC236}">
                <a16:creationId xmlns:a16="http://schemas.microsoft.com/office/drawing/2014/main" id="{00000000-0008-0000-0000-00001A000000}"/>
              </a:ext>
            </a:extLst>
          </xdr:cNvPr>
          <xdr:cNvSpPr/>
        </xdr:nvSpPr>
        <xdr:spPr>
          <a:xfrm>
            <a:off x="1972381" y="3367939"/>
            <a:ext cx="1083240" cy="606959"/>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Rectangle 26">
            <a:extLst>
              <a:ext uri="{FF2B5EF4-FFF2-40B4-BE49-F238E27FC236}">
                <a16:creationId xmlns:a16="http://schemas.microsoft.com/office/drawing/2014/main" id="{00000000-0008-0000-0000-00001B000000}"/>
              </a:ext>
            </a:extLst>
          </xdr:cNvPr>
          <xdr:cNvSpPr/>
        </xdr:nvSpPr>
        <xdr:spPr>
          <a:xfrm>
            <a:off x="774751" y="2829400"/>
            <a:ext cx="1175720" cy="1077077"/>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8" name="Rectangle 27">
            <a:extLst>
              <a:ext uri="{FF2B5EF4-FFF2-40B4-BE49-F238E27FC236}">
                <a16:creationId xmlns:a16="http://schemas.microsoft.com/office/drawing/2014/main" id="{00000000-0008-0000-0000-00001C000000}"/>
              </a:ext>
            </a:extLst>
          </xdr:cNvPr>
          <xdr:cNvSpPr/>
        </xdr:nvSpPr>
        <xdr:spPr>
          <a:xfrm>
            <a:off x="787860" y="1870225"/>
            <a:ext cx="802356" cy="95917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9" name="Rectangle 28">
            <a:extLst>
              <a:ext uri="{FF2B5EF4-FFF2-40B4-BE49-F238E27FC236}">
                <a16:creationId xmlns:a16="http://schemas.microsoft.com/office/drawing/2014/main" id="{00000000-0008-0000-0000-00001D000000}"/>
              </a:ext>
            </a:extLst>
          </xdr:cNvPr>
          <xdr:cNvSpPr/>
        </xdr:nvSpPr>
        <xdr:spPr>
          <a:xfrm>
            <a:off x="764603" y="1039906"/>
            <a:ext cx="802357" cy="830319"/>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2</xdr:col>
      <xdr:colOff>563600</xdr:colOff>
      <xdr:row>517</xdr:row>
      <xdr:rowOff>85236</xdr:rowOff>
    </xdr:from>
    <xdr:to>
      <xdr:col>5</xdr:col>
      <xdr:colOff>568274</xdr:colOff>
      <xdr:row>539</xdr:row>
      <xdr:rowOff>40889</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170426" y="93744975"/>
          <a:ext cx="2588848" cy="3600000"/>
        </a:xfrm>
        <a:prstGeom prst="rect">
          <a:avLst/>
        </a:prstGeom>
        <a:ln>
          <a:solidFill>
            <a:schemeClr val="tx1"/>
          </a:solidFill>
        </a:ln>
      </xdr:spPr>
    </xdr:pic>
    <xdr:clientData/>
  </xdr:twoCellAnchor>
  <xdr:twoCellAnchor editAs="oneCell">
    <xdr:from>
      <xdr:col>0</xdr:col>
      <xdr:colOff>759986</xdr:colOff>
      <xdr:row>569</xdr:row>
      <xdr:rowOff>45885</xdr:rowOff>
    </xdr:from>
    <xdr:to>
      <xdr:col>7</xdr:col>
      <xdr:colOff>122464</xdr:colOff>
      <xdr:row>590</xdr:row>
      <xdr:rowOff>89047</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759986" y="101514349"/>
          <a:ext cx="5254371" cy="3472162"/>
        </a:xfrm>
        <a:prstGeom prst="rect">
          <a:avLst/>
        </a:prstGeom>
        <a:ln>
          <a:solidFill>
            <a:schemeClr val="tx1"/>
          </a:solidFill>
        </a:ln>
      </xdr:spPr>
    </xdr:pic>
    <xdr:clientData/>
  </xdr:twoCellAnchor>
  <xdr:twoCellAnchor>
    <xdr:from>
      <xdr:col>0</xdr:col>
      <xdr:colOff>289891</xdr:colOff>
      <xdr:row>545</xdr:row>
      <xdr:rowOff>107674</xdr:rowOff>
    </xdr:from>
    <xdr:to>
      <xdr:col>7</xdr:col>
      <xdr:colOff>496956</xdr:colOff>
      <xdr:row>568</xdr:row>
      <xdr:rowOff>124239</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289891" y="89866792"/>
          <a:ext cx="6112565" cy="3624859"/>
          <a:chOff x="558027" y="609598"/>
          <a:chExt cx="5473634" cy="3240000"/>
        </a:xfrm>
      </xdr:grpSpPr>
      <xdr:grpSp>
        <xdr:nvGrpSpPr>
          <xdr:cNvPr id="41" name="Group 40">
            <a:extLst>
              <a:ext uri="{FF2B5EF4-FFF2-40B4-BE49-F238E27FC236}">
                <a16:creationId xmlns:a16="http://schemas.microsoft.com/office/drawing/2014/main" id="{00000000-0008-0000-0000-000029000000}"/>
              </a:ext>
            </a:extLst>
          </xdr:cNvPr>
          <xdr:cNvGrpSpPr/>
        </xdr:nvGrpSpPr>
        <xdr:grpSpPr>
          <a:xfrm>
            <a:off x="558027" y="609598"/>
            <a:ext cx="5473634" cy="3240000"/>
            <a:chOff x="558027" y="609598"/>
            <a:chExt cx="5473634" cy="3240000"/>
          </a:xfrm>
        </xdr:grpSpPr>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a:stretch/>
          </xdr:blipFill>
          <xdr:spPr>
            <a:xfrm>
              <a:off x="558027" y="609598"/>
              <a:ext cx="5473634" cy="3240000"/>
            </a:xfrm>
            <a:prstGeom prst="rect">
              <a:avLst/>
            </a:prstGeom>
            <a:ln>
              <a:solidFill>
                <a:schemeClr val="tx1"/>
              </a:solidFill>
            </a:ln>
          </xdr:spPr>
        </xdr:pic>
        <xdr:sp macro="" textlink="">
          <xdr:nvSpPr>
            <xdr:cNvPr id="50" name="Rectangle 49">
              <a:extLst>
                <a:ext uri="{FF2B5EF4-FFF2-40B4-BE49-F238E27FC236}">
                  <a16:creationId xmlns:a16="http://schemas.microsoft.com/office/drawing/2014/main" id="{00000000-0008-0000-0000-000032000000}"/>
                </a:ext>
              </a:extLst>
            </xdr:cNvPr>
            <xdr:cNvSpPr/>
          </xdr:nvSpPr>
          <xdr:spPr>
            <a:xfrm>
              <a:off x="2457450" y="1295400"/>
              <a:ext cx="2057400" cy="17907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1" name="TextBox 48">
              <a:extLst>
                <a:ext uri="{FF2B5EF4-FFF2-40B4-BE49-F238E27FC236}">
                  <a16:creationId xmlns:a16="http://schemas.microsoft.com/office/drawing/2014/main" id="{00000000-0008-0000-0000-000033000000}"/>
                </a:ext>
              </a:extLst>
            </xdr:cNvPr>
            <xdr:cNvSpPr txBox="1"/>
          </xdr:nvSpPr>
          <xdr:spPr>
            <a:xfrm>
              <a:off x="2460775" y="926068"/>
              <a:ext cx="270016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Arkade Rare (Wing A to G)</a:t>
              </a:r>
              <a:endParaRPr lang="en-IN" b="1">
                <a:solidFill>
                  <a:srgbClr val="FFFF00"/>
                </a:solidFill>
              </a:endParaRPr>
            </a:p>
          </xdr:txBody>
        </xdr:sp>
      </xdr:grpSp>
      <xdr:sp macro="" textlink="">
        <xdr:nvSpPr>
          <xdr:cNvPr id="42" name="TextBox 50">
            <a:extLst>
              <a:ext uri="{FF2B5EF4-FFF2-40B4-BE49-F238E27FC236}">
                <a16:creationId xmlns:a16="http://schemas.microsoft.com/office/drawing/2014/main" id="{00000000-0008-0000-0000-00002A000000}"/>
              </a:ext>
            </a:extLst>
          </xdr:cNvPr>
          <xdr:cNvSpPr txBox="1"/>
        </xdr:nvSpPr>
        <xdr:spPr>
          <a:xfrm>
            <a:off x="3914775" y="1510843"/>
            <a:ext cx="29367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A</a:t>
            </a:r>
            <a:endParaRPr lang="en-IN" sz="1400" b="1">
              <a:solidFill>
                <a:srgbClr val="FFFF00"/>
              </a:solidFill>
            </a:endParaRPr>
          </a:p>
        </xdr:txBody>
      </xdr:sp>
      <xdr:sp macro="" textlink="">
        <xdr:nvSpPr>
          <xdr:cNvPr id="43" name="TextBox 51">
            <a:extLst>
              <a:ext uri="{FF2B5EF4-FFF2-40B4-BE49-F238E27FC236}">
                <a16:creationId xmlns:a16="http://schemas.microsoft.com/office/drawing/2014/main" id="{00000000-0008-0000-0000-00002B000000}"/>
              </a:ext>
            </a:extLst>
          </xdr:cNvPr>
          <xdr:cNvSpPr txBox="1"/>
        </xdr:nvSpPr>
        <xdr:spPr>
          <a:xfrm>
            <a:off x="3932220" y="1990694"/>
            <a:ext cx="29367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B</a:t>
            </a:r>
            <a:endParaRPr lang="en-IN" sz="1400" b="1">
              <a:solidFill>
                <a:srgbClr val="FFFF00"/>
              </a:solidFill>
            </a:endParaRPr>
          </a:p>
        </xdr:txBody>
      </xdr:sp>
      <xdr:sp macro="" textlink="">
        <xdr:nvSpPr>
          <xdr:cNvPr id="44" name="TextBox 52">
            <a:extLst>
              <a:ext uri="{FF2B5EF4-FFF2-40B4-BE49-F238E27FC236}">
                <a16:creationId xmlns:a16="http://schemas.microsoft.com/office/drawing/2014/main" id="{00000000-0008-0000-0000-00002C000000}"/>
              </a:ext>
            </a:extLst>
          </xdr:cNvPr>
          <xdr:cNvSpPr txBox="1"/>
        </xdr:nvSpPr>
        <xdr:spPr>
          <a:xfrm>
            <a:off x="3910012" y="2447884"/>
            <a:ext cx="27924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C</a:t>
            </a:r>
            <a:endParaRPr lang="en-IN" sz="1400" b="1">
              <a:solidFill>
                <a:srgbClr val="FFFF00"/>
              </a:solidFill>
            </a:endParaRPr>
          </a:p>
        </xdr:txBody>
      </xdr:sp>
      <xdr:sp macro="" textlink="">
        <xdr:nvSpPr>
          <xdr:cNvPr id="45" name="TextBox 53">
            <a:extLst>
              <a:ext uri="{FF2B5EF4-FFF2-40B4-BE49-F238E27FC236}">
                <a16:creationId xmlns:a16="http://schemas.microsoft.com/office/drawing/2014/main" id="{00000000-0008-0000-0000-00002D000000}"/>
              </a:ext>
            </a:extLst>
          </xdr:cNvPr>
          <xdr:cNvSpPr txBox="1"/>
        </xdr:nvSpPr>
        <xdr:spPr>
          <a:xfrm>
            <a:off x="3262319" y="2465495"/>
            <a:ext cx="29848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D</a:t>
            </a:r>
            <a:endParaRPr lang="en-IN" sz="1400" b="1">
              <a:solidFill>
                <a:srgbClr val="FFFF00"/>
              </a:solidFill>
            </a:endParaRPr>
          </a:p>
        </xdr:txBody>
      </xdr:sp>
      <xdr:sp macro="" textlink="">
        <xdr:nvSpPr>
          <xdr:cNvPr id="46" name="TextBox 54">
            <a:extLst>
              <a:ext uri="{FF2B5EF4-FFF2-40B4-BE49-F238E27FC236}">
                <a16:creationId xmlns:a16="http://schemas.microsoft.com/office/drawing/2014/main" id="{00000000-0008-0000-0000-00002E000000}"/>
              </a:ext>
            </a:extLst>
          </xdr:cNvPr>
          <xdr:cNvSpPr txBox="1"/>
        </xdr:nvSpPr>
        <xdr:spPr>
          <a:xfrm>
            <a:off x="2678084" y="2274648"/>
            <a:ext cx="272832"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E</a:t>
            </a:r>
            <a:endParaRPr lang="en-IN" sz="1400" b="1">
              <a:solidFill>
                <a:srgbClr val="FFFF00"/>
              </a:solidFill>
            </a:endParaRPr>
          </a:p>
        </xdr:txBody>
      </xdr:sp>
      <xdr:sp macro="" textlink="">
        <xdr:nvSpPr>
          <xdr:cNvPr id="47" name="TextBox 55">
            <a:extLst>
              <a:ext uri="{FF2B5EF4-FFF2-40B4-BE49-F238E27FC236}">
                <a16:creationId xmlns:a16="http://schemas.microsoft.com/office/drawing/2014/main" id="{00000000-0008-0000-0000-00002F000000}"/>
              </a:ext>
            </a:extLst>
          </xdr:cNvPr>
          <xdr:cNvSpPr txBox="1"/>
        </xdr:nvSpPr>
        <xdr:spPr>
          <a:xfrm>
            <a:off x="2657246" y="1928804"/>
            <a:ext cx="26642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F</a:t>
            </a:r>
            <a:endParaRPr lang="en-IN" sz="1400" b="1">
              <a:solidFill>
                <a:srgbClr val="FFFF00"/>
              </a:solidFill>
            </a:endParaRPr>
          </a:p>
        </xdr:txBody>
      </xdr:sp>
      <xdr:sp macro="" textlink="">
        <xdr:nvSpPr>
          <xdr:cNvPr id="48" name="TextBox 56">
            <a:extLst>
              <a:ext uri="{FF2B5EF4-FFF2-40B4-BE49-F238E27FC236}">
                <a16:creationId xmlns:a16="http://schemas.microsoft.com/office/drawing/2014/main" id="{00000000-0008-0000-0000-000030000000}"/>
              </a:ext>
            </a:extLst>
          </xdr:cNvPr>
          <xdr:cNvSpPr txBox="1"/>
        </xdr:nvSpPr>
        <xdr:spPr>
          <a:xfrm>
            <a:off x="2666862" y="1470082"/>
            <a:ext cx="29848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G</a:t>
            </a:r>
            <a:endParaRPr lang="en-IN" sz="1400" b="1">
              <a:solidFill>
                <a:srgbClr val="FFFF00"/>
              </a:solidFill>
            </a:endParaRPr>
          </a:p>
        </xdr:txBody>
      </xdr:sp>
    </xdr:grpSp>
    <xdr:clientData/>
  </xdr:twoCellAnchor>
  <xdr:twoCellAnchor editAs="oneCell">
    <xdr:from>
      <xdr:col>8</xdr:col>
      <xdr:colOff>248478</xdr:colOff>
      <xdr:row>46</xdr:row>
      <xdr:rowOff>331305</xdr:rowOff>
    </xdr:from>
    <xdr:to>
      <xdr:col>14</xdr:col>
      <xdr:colOff>576261</xdr:colOff>
      <xdr:row>53</xdr:row>
      <xdr:rowOff>81507</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4"/>
        <a:stretch>
          <a:fillRect/>
        </a:stretch>
      </xdr:blipFill>
      <xdr:spPr>
        <a:xfrm>
          <a:off x="7023652" y="13856805"/>
          <a:ext cx="4320000" cy="2205406"/>
        </a:xfrm>
        <a:prstGeom prst="rect">
          <a:avLst/>
        </a:prstGeom>
      </xdr:spPr>
    </xdr:pic>
    <xdr:clientData/>
  </xdr:twoCellAnchor>
  <xdr:twoCellAnchor editAs="oneCell">
    <xdr:from>
      <xdr:col>8</xdr:col>
      <xdr:colOff>240196</xdr:colOff>
      <xdr:row>50</xdr:row>
      <xdr:rowOff>0</xdr:rowOff>
    </xdr:from>
    <xdr:to>
      <xdr:col>14</xdr:col>
      <xdr:colOff>567979</xdr:colOff>
      <xdr:row>55</xdr:row>
      <xdr:rowOff>109200</xdr:rowOff>
    </xdr:to>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
        <a:stretch>
          <a:fillRect/>
        </a:stretch>
      </xdr:blipFill>
      <xdr:spPr>
        <a:xfrm>
          <a:off x="7015370" y="16109675"/>
          <a:ext cx="4320000" cy="1383577"/>
        </a:xfrm>
        <a:prstGeom prst="rect">
          <a:avLst/>
        </a:prstGeom>
      </xdr:spPr>
    </xdr:pic>
    <xdr:clientData/>
  </xdr:twoCellAnchor>
  <xdr:twoCellAnchor editAs="oneCell">
    <xdr:from>
      <xdr:col>9</xdr:col>
      <xdr:colOff>538369</xdr:colOff>
      <xdr:row>425</xdr:row>
      <xdr:rowOff>24847</xdr:rowOff>
    </xdr:from>
    <xdr:to>
      <xdr:col>15</xdr:col>
      <xdr:colOff>460891</xdr:colOff>
      <xdr:row>431</xdr:row>
      <xdr:rowOff>117321</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6"/>
        <a:stretch>
          <a:fillRect/>
        </a:stretch>
      </xdr:blipFill>
      <xdr:spPr>
        <a:xfrm>
          <a:off x="8241195" y="78734477"/>
          <a:ext cx="3600000" cy="1293452"/>
        </a:xfrm>
        <a:prstGeom prst="rect">
          <a:avLst/>
        </a:prstGeom>
      </xdr:spPr>
    </xdr:pic>
    <xdr:clientData/>
  </xdr:twoCellAnchor>
  <xdr:twoCellAnchor editAs="oneCell">
    <xdr:from>
      <xdr:col>8</xdr:col>
      <xdr:colOff>233418</xdr:colOff>
      <xdr:row>8</xdr:row>
      <xdr:rowOff>59883</xdr:rowOff>
    </xdr:from>
    <xdr:to>
      <xdr:col>20</xdr:col>
      <xdr:colOff>503776</xdr:colOff>
      <xdr:row>10</xdr:row>
      <xdr:rowOff>48720</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7"/>
        <a:stretch>
          <a:fillRect/>
        </a:stretch>
      </xdr:blipFill>
      <xdr:spPr>
        <a:xfrm>
          <a:off x="7001771" y="2480354"/>
          <a:ext cx="7845534" cy="369837"/>
        </a:xfrm>
        <a:prstGeom prst="rect">
          <a:avLst/>
        </a:prstGeom>
      </xdr:spPr>
    </xdr:pic>
    <xdr:clientData/>
  </xdr:twoCellAnchor>
  <xdr:twoCellAnchor editAs="oneCell">
    <xdr:from>
      <xdr:col>9</xdr:col>
      <xdr:colOff>306456</xdr:colOff>
      <xdr:row>17</xdr:row>
      <xdr:rowOff>74544</xdr:rowOff>
    </xdr:from>
    <xdr:to>
      <xdr:col>12</xdr:col>
      <xdr:colOff>267717</xdr:colOff>
      <xdr:row>24</xdr:row>
      <xdr:rowOff>296346</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8009282" y="4207566"/>
          <a:ext cx="1800000" cy="1803780"/>
        </a:xfrm>
        <a:prstGeom prst="rect">
          <a:avLst/>
        </a:prstGeom>
      </xdr:spPr>
    </xdr:pic>
    <xdr:clientData/>
  </xdr:twoCellAnchor>
  <xdr:twoCellAnchor editAs="oneCell">
    <xdr:from>
      <xdr:col>9</xdr:col>
      <xdr:colOff>538627</xdr:colOff>
      <xdr:row>25</xdr:row>
      <xdr:rowOff>91108</xdr:rowOff>
    </xdr:from>
    <xdr:to>
      <xdr:col>13</xdr:col>
      <xdr:colOff>187685</xdr:colOff>
      <xdr:row>34</xdr:row>
      <xdr:rowOff>111442</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9"/>
        <a:stretch>
          <a:fillRect/>
        </a:stretch>
      </xdr:blipFill>
      <xdr:spPr>
        <a:xfrm>
          <a:off x="8241453" y="6162260"/>
          <a:ext cx="2100710" cy="3192086"/>
        </a:xfrm>
        <a:prstGeom prst="rect">
          <a:avLst/>
        </a:prstGeom>
      </xdr:spPr>
    </xdr:pic>
    <xdr:clientData/>
  </xdr:twoCellAnchor>
  <xdr:twoCellAnchor editAs="oneCell">
    <xdr:from>
      <xdr:col>17</xdr:col>
      <xdr:colOff>4330</xdr:colOff>
      <xdr:row>440</xdr:row>
      <xdr:rowOff>20410</xdr:rowOff>
    </xdr:from>
    <xdr:to>
      <xdr:col>26</xdr:col>
      <xdr:colOff>33904</xdr:colOff>
      <xdr:row>474</xdr:row>
      <xdr:rowOff>45329</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30"/>
        <a:stretch>
          <a:fillRect/>
        </a:stretch>
      </xdr:blipFill>
      <xdr:spPr>
        <a:xfrm>
          <a:off x="12560012" y="76133819"/>
          <a:ext cx="5484801" cy="5324283"/>
        </a:xfrm>
        <a:prstGeom prst="rect">
          <a:avLst/>
        </a:prstGeom>
      </xdr:spPr>
    </xdr:pic>
    <xdr:clientData/>
  </xdr:twoCellAnchor>
  <xdr:twoCellAnchor editAs="oneCell">
    <xdr:from>
      <xdr:col>11</xdr:col>
      <xdr:colOff>381000</xdr:colOff>
      <xdr:row>330</xdr:row>
      <xdr:rowOff>138546</xdr:rowOff>
    </xdr:from>
    <xdr:to>
      <xdr:col>22</xdr:col>
      <xdr:colOff>250526</xdr:colOff>
      <xdr:row>360</xdr:row>
      <xdr:rowOff>74240</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1"/>
        <a:stretch>
          <a:fillRect/>
        </a:stretch>
      </xdr:blipFill>
      <xdr:spPr>
        <a:xfrm>
          <a:off x="9299864" y="67263819"/>
          <a:ext cx="6537026" cy="4611604"/>
        </a:xfrm>
        <a:prstGeom prst="rect">
          <a:avLst/>
        </a:prstGeom>
      </xdr:spPr>
    </xdr:pic>
    <xdr:clientData/>
  </xdr:twoCellAnchor>
  <xdr:twoCellAnchor editAs="oneCell">
    <xdr:from>
      <xdr:col>23</xdr:col>
      <xdr:colOff>435120</xdr:colOff>
      <xdr:row>446</xdr:row>
      <xdr:rowOff>131124</xdr:rowOff>
    </xdr:from>
    <xdr:to>
      <xdr:col>34</xdr:col>
      <xdr:colOff>322583</xdr:colOff>
      <xdr:row>476</xdr:row>
      <xdr:rowOff>66817</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31"/>
        <a:stretch>
          <a:fillRect/>
        </a:stretch>
      </xdr:blipFill>
      <xdr:spPr>
        <a:xfrm>
          <a:off x="16627620" y="77179715"/>
          <a:ext cx="6554963" cy="4611602"/>
        </a:xfrm>
        <a:prstGeom prst="rect">
          <a:avLst/>
        </a:prstGeom>
      </xdr:spPr>
    </xdr:pic>
    <xdr:clientData/>
  </xdr:twoCellAnchor>
  <xdr:twoCellAnchor editAs="oneCell">
    <xdr:from>
      <xdr:col>20</xdr:col>
      <xdr:colOff>491405</xdr:colOff>
      <xdr:row>364</xdr:row>
      <xdr:rowOff>70509</xdr:rowOff>
    </xdr:from>
    <xdr:to>
      <xdr:col>29</xdr:col>
      <xdr:colOff>340844</xdr:colOff>
      <xdr:row>435</xdr:row>
      <xdr:rowOff>113090</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32"/>
        <a:stretch>
          <a:fillRect/>
        </a:stretch>
      </xdr:blipFill>
      <xdr:spPr>
        <a:xfrm>
          <a:off x="14865496" y="72495145"/>
          <a:ext cx="5304666" cy="3441990"/>
        </a:xfrm>
        <a:prstGeom prst="rect">
          <a:avLst/>
        </a:prstGeom>
      </xdr:spPr>
    </xdr:pic>
    <xdr:clientData/>
  </xdr:twoCellAnchor>
  <xdr:twoCellAnchor>
    <xdr:from>
      <xdr:col>0</xdr:col>
      <xdr:colOff>126310</xdr:colOff>
      <xdr:row>437</xdr:row>
      <xdr:rowOff>5383</xdr:rowOff>
    </xdr:from>
    <xdr:to>
      <xdr:col>7</xdr:col>
      <xdr:colOff>697810</xdr:colOff>
      <xdr:row>480</xdr:row>
      <xdr:rowOff>141295</xdr:rowOff>
    </xdr:to>
    <xdr:grpSp>
      <xdr:nvGrpSpPr>
        <xdr:cNvPr id="63" name="Group 62">
          <a:extLst>
            <a:ext uri="{FF2B5EF4-FFF2-40B4-BE49-F238E27FC236}">
              <a16:creationId xmlns:a16="http://schemas.microsoft.com/office/drawing/2014/main" id="{7E392AF9-53D8-48C2-BC36-BCDFAA561783}"/>
            </a:ext>
          </a:extLst>
        </xdr:cNvPr>
        <xdr:cNvGrpSpPr/>
      </xdr:nvGrpSpPr>
      <xdr:grpSpPr>
        <a:xfrm>
          <a:off x="126310" y="72821207"/>
          <a:ext cx="6477000" cy="6881853"/>
          <a:chOff x="-295058" y="297140"/>
          <a:chExt cx="7303604" cy="7780759"/>
        </a:xfrm>
      </xdr:grpSpPr>
      <xdr:grpSp>
        <xdr:nvGrpSpPr>
          <xdr:cNvPr id="64" name="Group 63">
            <a:extLst>
              <a:ext uri="{FF2B5EF4-FFF2-40B4-BE49-F238E27FC236}">
                <a16:creationId xmlns:a16="http://schemas.microsoft.com/office/drawing/2014/main" id="{C2B8F2A3-78EE-4304-9F1B-AD6E83B13E6D}"/>
              </a:ext>
            </a:extLst>
          </xdr:cNvPr>
          <xdr:cNvGrpSpPr/>
        </xdr:nvGrpSpPr>
        <xdr:grpSpPr>
          <a:xfrm>
            <a:off x="-295058" y="297140"/>
            <a:ext cx="7303604" cy="7780759"/>
            <a:chOff x="-295058" y="297140"/>
            <a:chExt cx="7303604" cy="7780759"/>
          </a:xfrm>
        </xdr:grpSpPr>
        <xdr:pic>
          <xdr:nvPicPr>
            <xdr:cNvPr id="74" name="Picture 73">
              <a:extLst>
                <a:ext uri="{FF2B5EF4-FFF2-40B4-BE49-F238E27FC236}">
                  <a16:creationId xmlns:a16="http://schemas.microsoft.com/office/drawing/2014/main" id="{4FB2E330-AF1F-49F2-BF14-366429DD511C}"/>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295058" y="297140"/>
              <a:ext cx="3561751" cy="3060000"/>
            </a:xfrm>
            <a:prstGeom prst="rect">
              <a:avLst/>
            </a:prstGeom>
            <a:ln>
              <a:solidFill>
                <a:schemeClr val="tx1"/>
              </a:solidFill>
            </a:ln>
          </xdr:spPr>
        </xdr:pic>
        <xdr:pic>
          <xdr:nvPicPr>
            <xdr:cNvPr id="75" name="Picture 74">
              <a:extLst>
                <a:ext uri="{FF2B5EF4-FFF2-40B4-BE49-F238E27FC236}">
                  <a16:creationId xmlns:a16="http://schemas.microsoft.com/office/drawing/2014/main" id="{7901A57B-934E-4E4C-BCDE-094ABF0D43C7}"/>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295058" y="3596150"/>
              <a:ext cx="2337834" cy="2340000"/>
            </a:xfrm>
            <a:prstGeom prst="rect">
              <a:avLst/>
            </a:prstGeom>
            <a:ln>
              <a:solidFill>
                <a:schemeClr val="tx1"/>
              </a:solidFill>
            </a:ln>
          </xdr:spPr>
        </xdr:pic>
        <xdr:pic>
          <xdr:nvPicPr>
            <xdr:cNvPr id="76" name="Picture 75">
              <a:extLst>
                <a:ext uri="{FF2B5EF4-FFF2-40B4-BE49-F238E27FC236}">
                  <a16:creationId xmlns:a16="http://schemas.microsoft.com/office/drawing/2014/main" id="{D2B97587-6C56-46E8-BAE0-1F81D0BE1029}"/>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2187828" y="3596150"/>
              <a:ext cx="2337833" cy="2340000"/>
            </a:xfrm>
            <a:prstGeom prst="rect">
              <a:avLst/>
            </a:prstGeom>
            <a:ln>
              <a:solidFill>
                <a:schemeClr val="tx1"/>
              </a:solidFill>
            </a:ln>
          </xdr:spPr>
        </xdr:pic>
        <xdr:pic>
          <xdr:nvPicPr>
            <xdr:cNvPr id="77" name="Picture 76">
              <a:extLst>
                <a:ext uri="{FF2B5EF4-FFF2-40B4-BE49-F238E27FC236}">
                  <a16:creationId xmlns:a16="http://schemas.microsoft.com/office/drawing/2014/main" id="{F85FBDC2-72B0-43C6-9211-9CAC965C544F}"/>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a:ext>
              </a:extLst>
            </a:blip>
            <a:stretch>
              <a:fillRect/>
            </a:stretch>
          </xdr:blipFill>
          <xdr:spPr>
            <a:xfrm>
              <a:off x="3429000" y="297140"/>
              <a:ext cx="3579546" cy="3060000"/>
            </a:xfrm>
            <a:prstGeom prst="rect">
              <a:avLst/>
            </a:prstGeom>
            <a:ln>
              <a:solidFill>
                <a:schemeClr val="tx1"/>
              </a:solidFill>
            </a:ln>
          </xdr:spPr>
        </xdr:pic>
        <xdr:pic>
          <xdr:nvPicPr>
            <xdr:cNvPr id="78" name="Picture 77">
              <a:extLst>
                <a:ext uri="{FF2B5EF4-FFF2-40B4-BE49-F238E27FC236}">
                  <a16:creationId xmlns:a16="http://schemas.microsoft.com/office/drawing/2014/main" id="{DD4DE251-9421-49ED-BC10-4680BE46F141}"/>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a:ext>
              </a:extLst>
            </a:blip>
            <a:stretch>
              <a:fillRect/>
            </a:stretch>
          </xdr:blipFill>
          <xdr:spPr>
            <a:xfrm>
              <a:off x="4670713" y="3596150"/>
              <a:ext cx="2337833" cy="2340000"/>
            </a:xfrm>
            <a:prstGeom prst="rect">
              <a:avLst/>
            </a:prstGeom>
            <a:ln>
              <a:solidFill>
                <a:schemeClr val="tx1"/>
              </a:solidFill>
            </a:ln>
          </xdr:spPr>
        </xdr:pic>
        <xdr:pic>
          <xdr:nvPicPr>
            <xdr:cNvPr id="79" name="Picture 78">
              <a:extLst>
                <a:ext uri="{FF2B5EF4-FFF2-40B4-BE49-F238E27FC236}">
                  <a16:creationId xmlns:a16="http://schemas.microsoft.com/office/drawing/2014/main" id="{E9A84F3C-91A2-46A7-92EE-51A5284A4F27}"/>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a:ext>
              </a:extLst>
            </a:blip>
            <a:stretch>
              <a:fillRect/>
            </a:stretch>
          </xdr:blipFill>
          <xdr:spPr>
            <a:xfrm>
              <a:off x="1342314" y="6097899"/>
              <a:ext cx="1978166" cy="1980000"/>
            </a:xfrm>
            <a:prstGeom prst="rect">
              <a:avLst/>
            </a:prstGeom>
            <a:ln>
              <a:solidFill>
                <a:schemeClr val="tx1"/>
              </a:solidFill>
            </a:ln>
          </xdr:spPr>
        </xdr:pic>
        <xdr:pic>
          <xdr:nvPicPr>
            <xdr:cNvPr id="80" name="Picture 79">
              <a:extLst>
                <a:ext uri="{FF2B5EF4-FFF2-40B4-BE49-F238E27FC236}">
                  <a16:creationId xmlns:a16="http://schemas.microsoft.com/office/drawing/2014/main" id="{298DA544-5407-4DC8-8C4B-7A417820AE9F}"/>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a:ext>
              </a:extLst>
            </a:blip>
            <a:stretch>
              <a:fillRect/>
            </a:stretch>
          </xdr:blipFill>
          <xdr:spPr>
            <a:xfrm>
              <a:off x="3482787" y="6097899"/>
              <a:ext cx="1978167" cy="1980000"/>
            </a:xfrm>
            <a:prstGeom prst="rect">
              <a:avLst/>
            </a:prstGeom>
            <a:ln>
              <a:solidFill>
                <a:schemeClr val="tx1"/>
              </a:solidFill>
            </a:ln>
          </xdr:spPr>
        </xdr:pic>
      </xdr:grpSp>
      <xdr:sp macro="" textlink="">
        <xdr:nvSpPr>
          <xdr:cNvPr id="65" name="TextBox 29">
            <a:extLst>
              <a:ext uri="{FF2B5EF4-FFF2-40B4-BE49-F238E27FC236}">
                <a16:creationId xmlns:a16="http://schemas.microsoft.com/office/drawing/2014/main" id="{C5E2EC1C-9038-45AC-A81B-3BF614FCA363}"/>
              </a:ext>
            </a:extLst>
          </xdr:cNvPr>
          <xdr:cNvSpPr txBox="1"/>
        </xdr:nvSpPr>
        <xdr:spPr>
          <a:xfrm>
            <a:off x="142259" y="458504"/>
            <a:ext cx="1006168" cy="410306"/>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66" name="TextBox 30">
            <a:extLst>
              <a:ext uri="{FF2B5EF4-FFF2-40B4-BE49-F238E27FC236}">
                <a16:creationId xmlns:a16="http://schemas.microsoft.com/office/drawing/2014/main" id="{3E4E6619-F5ED-49C7-8AF2-FA2DB72AD4FC}"/>
              </a:ext>
            </a:extLst>
          </xdr:cNvPr>
          <xdr:cNvSpPr txBox="1"/>
        </xdr:nvSpPr>
        <xdr:spPr>
          <a:xfrm>
            <a:off x="5218773" y="643170"/>
            <a:ext cx="1003397" cy="410306"/>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sp macro="" textlink="">
        <xdr:nvSpPr>
          <xdr:cNvPr id="67" name="TextBox 31">
            <a:extLst>
              <a:ext uri="{FF2B5EF4-FFF2-40B4-BE49-F238E27FC236}">
                <a16:creationId xmlns:a16="http://schemas.microsoft.com/office/drawing/2014/main" id="{10C0368A-6F32-4AA5-8E1A-5B9D28C87F35}"/>
              </a:ext>
            </a:extLst>
          </xdr:cNvPr>
          <xdr:cNvSpPr txBox="1"/>
        </xdr:nvSpPr>
        <xdr:spPr>
          <a:xfrm>
            <a:off x="327578" y="3617162"/>
            <a:ext cx="993205" cy="410306"/>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C</a:t>
            </a:r>
            <a:endParaRPr lang="en-IN" b="1"/>
          </a:p>
        </xdr:txBody>
      </xdr:sp>
      <xdr:sp macro="" textlink="">
        <xdr:nvSpPr>
          <xdr:cNvPr id="68" name="TextBox 32">
            <a:extLst>
              <a:ext uri="{FF2B5EF4-FFF2-40B4-BE49-F238E27FC236}">
                <a16:creationId xmlns:a16="http://schemas.microsoft.com/office/drawing/2014/main" id="{0F5128BC-0633-4641-B30F-BAA93AF113E5}"/>
              </a:ext>
            </a:extLst>
          </xdr:cNvPr>
          <xdr:cNvSpPr txBox="1"/>
        </xdr:nvSpPr>
        <xdr:spPr>
          <a:xfrm>
            <a:off x="2105832" y="4204704"/>
            <a:ext cx="841565" cy="3416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C</a:t>
            </a:r>
            <a:endParaRPr lang="en-IN" sz="1400" b="1"/>
          </a:p>
        </xdr:txBody>
      </xdr:sp>
      <xdr:sp macro="" textlink="">
        <xdr:nvSpPr>
          <xdr:cNvPr id="69" name="TextBox 33">
            <a:extLst>
              <a:ext uri="{FF2B5EF4-FFF2-40B4-BE49-F238E27FC236}">
                <a16:creationId xmlns:a16="http://schemas.microsoft.com/office/drawing/2014/main" id="{B915C1FE-6F62-4481-AAF1-D8D42CEB7B09}"/>
              </a:ext>
            </a:extLst>
          </xdr:cNvPr>
          <xdr:cNvSpPr txBox="1"/>
        </xdr:nvSpPr>
        <xdr:spPr>
          <a:xfrm>
            <a:off x="3230358" y="3545375"/>
            <a:ext cx="837355" cy="3416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B</a:t>
            </a:r>
            <a:endParaRPr lang="en-IN" sz="1400" b="1"/>
          </a:p>
        </xdr:txBody>
      </xdr:sp>
      <xdr:sp macro="" textlink="">
        <xdr:nvSpPr>
          <xdr:cNvPr id="70" name="TextBox 34">
            <a:extLst>
              <a:ext uri="{FF2B5EF4-FFF2-40B4-BE49-F238E27FC236}">
                <a16:creationId xmlns:a16="http://schemas.microsoft.com/office/drawing/2014/main" id="{1D190A55-17AA-4D83-9C60-01C216022471}"/>
              </a:ext>
            </a:extLst>
          </xdr:cNvPr>
          <xdr:cNvSpPr txBox="1"/>
        </xdr:nvSpPr>
        <xdr:spPr>
          <a:xfrm>
            <a:off x="2277009" y="3859872"/>
            <a:ext cx="853516" cy="3416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D</a:t>
            </a:r>
            <a:endParaRPr lang="en-IN" sz="1400" b="1"/>
          </a:p>
        </xdr:txBody>
      </xdr:sp>
      <xdr:cxnSp macro="">
        <xdr:nvCxnSpPr>
          <xdr:cNvPr id="71" name="Straight Arrow Connector 70">
            <a:extLst>
              <a:ext uri="{FF2B5EF4-FFF2-40B4-BE49-F238E27FC236}">
                <a16:creationId xmlns:a16="http://schemas.microsoft.com/office/drawing/2014/main" id="{15EB6FA4-80B5-4127-A775-34AEF3872A23}"/>
              </a:ext>
            </a:extLst>
          </xdr:cNvPr>
          <xdr:cNvCxnSpPr>
            <a:cxnSpLocks/>
          </xdr:cNvCxnSpPr>
        </xdr:nvCxnSpPr>
        <xdr:spPr>
          <a:xfrm>
            <a:off x="3802380" y="3844806"/>
            <a:ext cx="129540" cy="14168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2" name="Straight Arrow Connector 71">
            <a:extLst>
              <a:ext uri="{FF2B5EF4-FFF2-40B4-BE49-F238E27FC236}">
                <a16:creationId xmlns:a16="http://schemas.microsoft.com/office/drawing/2014/main" id="{6ACBB58B-4B0C-4D24-8FF4-7026577FCE63}"/>
              </a:ext>
            </a:extLst>
          </xdr:cNvPr>
          <xdr:cNvCxnSpPr>
            <a:cxnSpLocks/>
          </xdr:cNvCxnSpPr>
        </xdr:nvCxnSpPr>
        <xdr:spPr>
          <a:xfrm>
            <a:off x="2789923" y="4148519"/>
            <a:ext cx="129540" cy="14168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3" name="Straight Arrow Connector 72">
            <a:extLst>
              <a:ext uri="{FF2B5EF4-FFF2-40B4-BE49-F238E27FC236}">
                <a16:creationId xmlns:a16="http://schemas.microsoft.com/office/drawing/2014/main" id="{32422EBD-020D-46A5-9EA8-70A16413CAFB}"/>
              </a:ext>
            </a:extLst>
          </xdr:cNvPr>
          <xdr:cNvCxnSpPr>
            <a:cxnSpLocks/>
          </xdr:cNvCxnSpPr>
        </xdr:nvCxnSpPr>
        <xdr:spPr>
          <a:xfrm>
            <a:off x="2586671" y="4501156"/>
            <a:ext cx="129540" cy="14168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410134</xdr:colOff>
      <xdr:row>358</xdr:row>
      <xdr:rowOff>20172</xdr:rowOff>
    </xdr:from>
    <xdr:to>
      <xdr:col>20</xdr:col>
      <xdr:colOff>506238</xdr:colOff>
      <xdr:row>429</xdr:row>
      <xdr:rowOff>137484</xdr:rowOff>
    </xdr:to>
    <xdr:pic>
      <xdr:nvPicPr>
        <xdr:cNvPr id="81" name="Picture 80">
          <a:extLst>
            <a:ext uri="{FF2B5EF4-FFF2-40B4-BE49-F238E27FC236}">
              <a16:creationId xmlns:a16="http://schemas.microsoft.com/office/drawing/2014/main" id="{16BD1389-0E7E-4F67-A38A-167158528DBD}"/>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7178487" y="68140731"/>
          <a:ext cx="7671280" cy="31204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arkaderarebhandupwest.com/?utm_source=google&amp;utm_medium=cpc&amp;utm_campaign=Arkade+Rare+Central&amp;utm_term=arkade%20rare&amp;utm_Physical_Location=9062223&amp;utm_Targetid=kwd-2321075479859&amp;utm_Target=&amp;utm_Placement=&amp;utm_Adposition=&amp;gad_source=1&amp;gad_campaignid=21616592589&amp;gbraid=0AAAAA9iUuL4ddRxdBNH9G9dpK8gf7qML2&amp;gclid=CjwKCAjwv5zEBhBwEiwAOg2YKHwft_d7XSWvehr_4DS5HwhpdO0ZiDi51NnaGwuXr6Mu0mS_moXnEhoCZekQAvD_BwE" TargetMode="External"/><Relationship Id="rId7" Type="http://schemas.openxmlformats.org/officeDocument/2006/relationships/hyperlink" Target="https://www.youtube.com/shorts/EjPFy_uFvSs" TargetMode="External"/><Relationship Id="rId12" Type="http://schemas.openxmlformats.org/officeDocument/2006/relationships/comments" Target="../comments1.xml"/><Relationship Id="rId2" Type="http://schemas.openxmlformats.org/officeDocument/2006/relationships/hyperlink" Target="https://www.99acres.com/arkade-rare-bhandup-west-central-mumbai-suburbs-npxid-r432448" TargetMode="External"/><Relationship Id="rId1" Type="http://schemas.openxmlformats.org/officeDocument/2006/relationships/hyperlink" Target="https://maps.app.goo.gl/sZKauiJa5SqJq3CZ9" TargetMode="External"/><Relationship Id="rId6" Type="http://schemas.openxmlformats.org/officeDocument/2006/relationships/hyperlink" Target="https://www.youtube.com/shorts/EjPFy_uFvSs" TargetMode="External"/><Relationship Id="rId11" Type="http://schemas.openxmlformats.org/officeDocument/2006/relationships/vmlDrawing" Target="../drawings/vmlDrawing2.vml"/><Relationship Id="rId5" Type="http://schemas.openxmlformats.org/officeDocument/2006/relationships/hyperlink" Target="https://www.youtube.com/shorts/EjPFy_uFvSs" TargetMode="External"/><Relationship Id="rId10" Type="http://schemas.openxmlformats.org/officeDocument/2006/relationships/vmlDrawing" Target="../drawings/vmlDrawing1.vml"/><Relationship Id="rId4" Type="http://schemas.openxmlformats.org/officeDocument/2006/relationships/hyperlink" Target="https://www.youtube.com/shorts/EjPFy_uFvSs"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93"/>
  <sheetViews>
    <sheetView tabSelected="1" view="pageBreakPreview" topLeftCell="A360" zoomScale="85" zoomScaleNormal="115" zoomScaleSheetLayoutView="85" workbookViewId="0">
      <selection activeCell="I433" sqref="I433"/>
    </sheetView>
  </sheetViews>
  <sheetFormatPr defaultRowHeight="12.75" x14ac:dyDescent="0.2"/>
  <cols>
    <col min="1" max="2" width="12" style="11" customWidth="1"/>
    <col min="3" max="8" width="12.85546875" style="11" customWidth="1"/>
    <col min="9" max="9" width="13.85546875" style="6" customWidth="1"/>
    <col min="10" max="16384" width="9.140625" style="6"/>
  </cols>
  <sheetData>
    <row r="1" spans="1:20" ht="41.25" customHeight="1" x14ac:dyDescent="0.2">
      <c r="A1" s="294" t="s">
        <v>143</v>
      </c>
      <c r="B1" s="294"/>
      <c r="C1" s="295"/>
      <c r="D1" s="295"/>
      <c r="E1" s="295"/>
      <c r="F1" s="295"/>
      <c r="G1" s="295"/>
      <c r="H1" s="295"/>
    </row>
    <row r="2" spans="1:20" ht="14.25" x14ac:dyDescent="0.2">
      <c r="A2" s="301" t="s">
        <v>84</v>
      </c>
      <c r="B2" s="301"/>
      <c r="C2" s="301"/>
      <c r="D2" s="301"/>
      <c r="E2" s="301"/>
      <c r="F2" s="301"/>
      <c r="G2" s="301"/>
      <c r="H2" s="301"/>
    </row>
    <row r="3" spans="1:20" ht="25.5" x14ac:dyDescent="0.2">
      <c r="A3" s="52" t="s">
        <v>101</v>
      </c>
      <c r="B3" s="52"/>
      <c r="C3" s="248" t="s">
        <v>107</v>
      </c>
      <c r="D3" s="249"/>
      <c r="E3" s="250"/>
      <c r="F3" s="53" t="s">
        <v>102</v>
      </c>
      <c r="G3" s="252">
        <v>45919</v>
      </c>
      <c r="H3" s="252"/>
    </row>
    <row r="4" spans="1:20" ht="25.5" x14ac:dyDescent="0.2">
      <c r="A4" s="52" t="s">
        <v>105</v>
      </c>
      <c r="B4" s="52"/>
      <c r="C4" s="234" t="s">
        <v>311</v>
      </c>
      <c r="D4" s="251"/>
      <c r="E4" s="235"/>
      <c r="F4" s="53" t="s">
        <v>103</v>
      </c>
      <c r="G4" s="253" t="s">
        <v>313</v>
      </c>
      <c r="H4" s="253"/>
    </row>
    <row r="5" spans="1:20" ht="25.5" x14ac:dyDescent="0.2">
      <c r="A5" s="305" t="s">
        <v>106</v>
      </c>
      <c r="B5" s="306"/>
      <c r="C5" s="248" t="s">
        <v>312</v>
      </c>
      <c r="D5" s="249"/>
      <c r="E5" s="250"/>
      <c r="F5" s="53" t="s">
        <v>104</v>
      </c>
      <c r="G5" s="254" t="str">
        <f ca="1">TEXT(TODAY(),"DD/MM/YYYY")</f>
        <v>26/09/2025</v>
      </c>
      <c r="H5" s="254"/>
    </row>
    <row r="6" spans="1:20" ht="14.25" x14ac:dyDescent="0.2">
      <c r="A6" s="301" t="s">
        <v>100</v>
      </c>
      <c r="B6" s="301"/>
      <c r="C6" s="301"/>
      <c r="D6" s="301"/>
      <c r="E6" s="301"/>
      <c r="F6" s="301"/>
      <c r="G6" s="301"/>
      <c r="H6" s="301"/>
    </row>
    <row r="7" spans="1:20" ht="14.25" x14ac:dyDescent="0.2">
      <c r="A7" s="257" t="s">
        <v>0</v>
      </c>
      <c r="B7" s="258"/>
      <c r="C7" s="303" t="s">
        <v>233</v>
      </c>
      <c r="D7" s="303"/>
      <c r="E7" s="303"/>
      <c r="F7" s="303"/>
      <c r="G7" s="303"/>
      <c r="H7" s="303"/>
    </row>
    <row r="8" spans="1:20" ht="30" customHeight="1" x14ac:dyDescent="0.2">
      <c r="A8" s="257" t="s">
        <v>1</v>
      </c>
      <c r="B8" s="258"/>
      <c r="C8" s="296" t="str">
        <f>CONCATENATE((IF(OR(C7="",C7="NA"),"",C7)),", ",(IF(OR(A9="",A9="NA"),"",A9)),".",(IF(OR(C9="",C9="NA"),"",C9)),", near ",(IF(OR(C17="",C17="NA"),"",C17)),", ",(IF(OR(C11="",C11="NA"),"",C11)),", ",(IF(OR(C10="",C10="NA"),"",C10)),", ",(IF(OR(C12="",C12="NA"),"",C12)),", ",(IF(OR(C13="",C13="NA"),"",C13)),", ",(IF(OR(C14="",C14="NA"),"",C14))," - ",(IF(OR(C15="",C15="NA"),"",C15)),".")</f>
        <v>Arkade Rare, CTS No.403B/1, 403B, 403B/2, 403B/3 and 403B/4, near Samriddhi Garden, Samriddhi Garden Road, Kanjur West, Bhandup West, Kurla, Mumbai - 400078.</v>
      </c>
      <c r="D8" s="296"/>
      <c r="E8" s="296"/>
      <c r="F8" s="296"/>
      <c r="G8" s="296"/>
      <c r="H8" s="296"/>
      <c r="P8" s="40" t="s">
        <v>148</v>
      </c>
      <c r="Q8" s="40" t="s">
        <v>149</v>
      </c>
      <c r="R8" s="40" t="s">
        <v>150</v>
      </c>
      <c r="S8" s="40" t="s">
        <v>151</v>
      </c>
      <c r="T8" s="40" t="s">
        <v>152</v>
      </c>
    </row>
    <row r="9" spans="1:20" ht="15" x14ac:dyDescent="0.2">
      <c r="A9" s="257" t="s">
        <v>147</v>
      </c>
      <c r="B9" s="258"/>
      <c r="C9" s="296" t="s">
        <v>234</v>
      </c>
      <c r="D9" s="296"/>
      <c r="E9" s="296"/>
      <c r="F9" s="296"/>
      <c r="G9" s="296"/>
      <c r="H9" s="296"/>
      <c r="P9" s="40" t="s">
        <v>153</v>
      </c>
      <c r="Q9" s="40" t="s">
        <v>154</v>
      </c>
      <c r="R9" s="40" t="s">
        <v>155</v>
      </c>
      <c r="S9" s="40" t="s">
        <v>156</v>
      </c>
      <c r="T9" s="40" t="s">
        <v>157</v>
      </c>
    </row>
    <row r="10" spans="1:20" ht="15" x14ac:dyDescent="0.2">
      <c r="A10" s="257" t="s">
        <v>6</v>
      </c>
      <c r="B10" s="258"/>
      <c r="C10" s="297" t="s">
        <v>235</v>
      </c>
      <c r="D10" s="297"/>
      <c r="E10" s="297"/>
      <c r="F10" s="297"/>
      <c r="G10" s="297"/>
      <c r="H10" s="297"/>
      <c r="P10" s="40" t="s">
        <v>158</v>
      </c>
      <c r="Q10" s="40" t="s">
        <v>159</v>
      </c>
      <c r="R10" s="40" t="s">
        <v>160</v>
      </c>
      <c r="S10" s="40" t="s">
        <v>161</v>
      </c>
      <c r="T10" s="40" t="s">
        <v>162</v>
      </c>
    </row>
    <row r="11" spans="1:20" ht="15" x14ac:dyDescent="0.2">
      <c r="A11" s="257" t="s">
        <v>145</v>
      </c>
      <c r="B11" s="258"/>
      <c r="C11" s="297" t="s">
        <v>236</v>
      </c>
      <c r="D11" s="297"/>
      <c r="E11" s="297"/>
      <c r="F11" s="297"/>
      <c r="G11" s="297"/>
      <c r="H11" s="297"/>
      <c r="P11" s="40" t="s">
        <v>163</v>
      </c>
      <c r="Q11" s="40" t="s">
        <v>164</v>
      </c>
      <c r="R11" s="40" t="s">
        <v>165</v>
      </c>
      <c r="S11" s="40" t="s">
        <v>166</v>
      </c>
      <c r="T11" s="40" t="s">
        <v>167</v>
      </c>
    </row>
    <row r="12" spans="1:20" ht="15" x14ac:dyDescent="0.2">
      <c r="A12" s="257" t="s">
        <v>146</v>
      </c>
      <c r="B12" s="258"/>
      <c r="C12" s="297" t="s">
        <v>237</v>
      </c>
      <c r="D12" s="297"/>
      <c r="E12" s="297"/>
      <c r="F12" s="297"/>
      <c r="G12" s="297"/>
      <c r="H12" s="297"/>
      <c r="P12" s="40" t="s">
        <v>168</v>
      </c>
      <c r="Q12" s="40" t="s">
        <v>169</v>
      </c>
      <c r="R12" s="40" t="s">
        <v>150</v>
      </c>
      <c r="S12" s="40" t="s">
        <v>170</v>
      </c>
      <c r="T12" s="40" t="s">
        <v>171</v>
      </c>
    </row>
    <row r="13" spans="1:20" ht="15" x14ac:dyDescent="0.2">
      <c r="A13" s="257" t="s">
        <v>132</v>
      </c>
      <c r="B13" s="258"/>
      <c r="C13" s="297" t="s">
        <v>165</v>
      </c>
      <c r="D13" s="297"/>
      <c r="E13" s="297"/>
      <c r="F13" s="297"/>
      <c r="G13" s="297"/>
      <c r="H13" s="297"/>
      <c r="P13" s="40" t="s">
        <v>172</v>
      </c>
      <c r="Q13" s="40" t="s">
        <v>149</v>
      </c>
      <c r="R13" s="40"/>
      <c r="S13" s="40" t="s">
        <v>173</v>
      </c>
      <c r="T13" s="40" t="s">
        <v>174</v>
      </c>
    </row>
    <row r="14" spans="1:20" ht="15" x14ac:dyDescent="0.2">
      <c r="A14" s="257" t="s">
        <v>133</v>
      </c>
      <c r="B14" s="258"/>
      <c r="C14" s="297" t="s">
        <v>150</v>
      </c>
      <c r="D14" s="297"/>
      <c r="E14" s="297"/>
      <c r="F14" s="297"/>
      <c r="G14" s="297"/>
      <c r="H14" s="297"/>
      <c r="P14" s="40" t="s">
        <v>175</v>
      </c>
      <c r="Q14" s="40" t="s">
        <v>176</v>
      </c>
      <c r="R14" s="40"/>
      <c r="S14" s="40" t="s">
        <v>177</v>
      </c>
      <c r="T14" s="40" t="s">
        <v>178</v>
      </c>
    </row>
    <row r="15" spans="1:20" ht="15" x14ac:dyDescent="0.2">
      <c r="A15" s="257" t="s">
        <v>134</v>
      </c>
      <c r="B15" s="258"/>
      <c r="C15" s="298">
        <v>400078</v>
      </c>
      <c r="D15" s="298"/>
      <c r="E15" s="298"/>
      <c r="F15" s="298"/>
      <c r="G15" s="298"/>
      <c r="H15" s="298"/>
      <c r="P15" s="40" t="s">
        <v>179</v>
      </c>
      <c r="Q15" s="40" t="s">
        <v>180</v>
      </c>
      <c r="R15" s="40"/>
      <c r="S15" s="40" t="s">
        <v>181</v>
      </c>
      <c r="T15" s="40" t="s">
        <v>182</v>
      </c>
    </row>
    <row r="16" spans="1:20" ht="15" x14ac:dyDescent="0.2">
      <c r="A16" s="257" t="s">
        <v>48</v>
      </c>
      <c r="B16" s="258"/>
      <c r="C16" s="296" t="s">
        <v>238</v>
      </c>
      <c r="D16" s="296"/>
      <c r="E16" s="296"/>
      <c r="F16" s="296"/>
      <c r="G16" s="296"/>
      <c r="H16" s="296"/>
      <c r="P16" s="40"/>
      <c r="Q16" s="40"/>
      <c r="R16" s="40"/>
      <c r="S16" s="40" t="s">
        <v>183</v>
      </c>
      <c r="T16" s="40" t="s">
        <v>184</v>
      </c>
    </row>
    <row r="17" spans="1:20" ht="15" x14ac:dyDescent="0.2">
      <c r="A17" s="257" t="s">
        <v>89</v>
      </c>
      <c r="B17" s="258"/>
      <c r="C17" s="300" t="s">
        <v>239</v>
      </c>
      <c r="D17" s="300"/>
      <c r="E17" s="300"/>
      <c r="F17" s="300"/>
      <c r="G17" s="300"/>
      <c r="H17" s="300"/>
      <c r="P17" s="40"/>
      <c r="Q17" s="40"/>
      <c r="R17" s="40"/>
      <c r="S17" s="40" t="s">
        <v>185</v>
      </c>
      <c r="T17" s="40" t="s">
        <v>186</v>
      </c>
    </row>
    <row r="18" spans="1:20" ht="15" x14ac:dyDescent="0.2">
      <c r="A18" s="257" t="s">
        <v>88</v>
      </c>
      <c r="B18" s="258"/>
      <c r="C18" s="265" t="s">
        <v>144</v>
      </c>
      <c r="D18" s="266"/>
      <c r="E18" s="267"/>
      <c r="F18" s="265" t="s">
        <v>240</v>
      </c>
      <c r="G18" s="266"/>
      <c r="H18" s="267"/>
      <c r="P18" s="40"/>
      <c r="Q18" s="40"/>
      <c r="R18" s="40"/>
      <c r="S18" s="40" t="s">
        <v>187</v>
      </c>
      <c r="T18" s="40" t="s">
        <v>188</v>
      </c>
    </row>
    <row r="19" spans="1:20" ht="15" x14ac:dyDescent="0.2">
      <c r="A19" s="257" t="s">
        <v>135</v>
      </c>
      <c r="B19" s="258"/>
      <c r="C19" s="304" t="s">
        <v>241</v>
      </c>
      <c r="D19" s="266"/>
      <c r="E19" s="266"/>
      <c r="F19" s="266"/>
      <c r="G19" s="266"/>
      <c r="H19" s="267"/>
      <c r="P19" s="40"/>
      <c r="Q19" s="40"/>
      <c r="R19" s="40"/>
      <c r="S19" s="40" t="s">
        <v>189</v>
      </c>
      <c r="T19" s="40" t="s">
        <v>190</v>
      </c>
    </row>
    <row r="20" spans="1:20" ht="15" x14ac:dyDescent="0.2">
      <c r="A20" s="257" t="s">
        <v>2</v>
      </c>
      <c r="B20" s="258"/>
      <c r="C20" s="296" t="s">
        <v>242</v>
      </c>
      <c r="D20" s="296"/>
      <c r="E20" s="296"/>
      <c r="F20" s="296"/>
      <c r="G20" s="296"/>
      <c r="H20" s="296"/>
      <c r="P20" s="40"/>
      <c r="Q20" s="40"/>
      <c r="R20" s="40"/>
      <c r="S20" s="40" t="s">
        <v>191</v>
      </c>
      <c r="T20" s="40" t="s">
        <v>192</v>
      </c>
    </row>
    <row r="21" spans="1:20" ht="27" customHeight="1" x14ac:dyDescent="0.2">
      <c r="A21" s="257" t="s">
        <v>3</v>
      </c>
      <c r="B21" s="258"/>
      <c r="C21" s="302" t="s">
        <v>243</v>
      </c>
      <c r="D21" s="302"/>
      <c r="E21" s="302"/>
      <c r="F21" s="302"/>
      <c r="G21" s="302"/>
      <c r="H21" s="302"/>
      <c r="I21" s="48" t="s">
        <v>309</v>
      </c>
      <c r="P21" s="40"/>
      <c r="Q21" s="40"/>
      <c r="R21" s="40"/>
      <c r="S21" s="40" t="s">
        <v>193</v>
      </c>
      <c r="T21" s="40" t="s">
        <v>194</v>
      </c>
    </row>
    <row r="22" spans="1:20" ht="15" customHeight="1" x14ac:dyDescent="0.2">
      <c r="A22" s="257" t="s">
        <v>108</v>
      </c>
      <c r="B22" s="258"/>
      <c r="C22" s="298" t="s">
        <v>52</v>
      </c>
      <c r="D22" s="298"/>
      <c r="E22" s="298"/>
      <c r="F22" s="298"/>
      <c r="G22" s="298"/>
      <c r="H22" s="298"/>
      <c r="P22" s="40"/>
      <c r="Q22" s="40"/>
      <c r="R22" s="40"/>
      <c r="S22" s="40" t="s">
        <v>195</v>
      </c>
      <c r="T22" s="40" t="s">
        <v>196</v>
      </c>
    </row>
    <row r="23" spans="1:20" ht="24.75" customHeight="1" x14ac:dyDescent="0.2">
      <c r="A23" s="257" t="s">
        <v>4</v>
      </c>
      <c r="B23" s="258"/>
      <c r="C23" s="296" t="s">
        <v>244</v>
      </c>
      <c r="D23" s="297"/>
      <c r="E23" s="297"/>
      <c r="F23" s="297"/>
      <c r="G23" s="297"/>
      <c r="H23" s="297"/>
    </row>
    <row r="24" spans="1:20" x14ac:dyDescent="0.2">
      <c r="A24" s="257" t="s">
        <v>5</v>
      </c>
      <c r="B24" s="258"/>
      <c r="C24" s="297" t="s">
        <v>245</v>
      </c>
      <c r="D24" s="297"/>
      <c r="E24" s="297"/>
      <c r="F24" s="297"/>
      <c r="G24" s="297"/>
      <c r="H24" s="297"/>
    </row>
    <row r="25" spans="1:20" ht="27.75" customHeight="1" x14ac:dyDescent="0.2">
      <c r="A25" s="257" t="s">
        <v>86</v>
      </c>
      <c r="B25" s="258"/>
      <c r="C25" s="297" t="s">
        <v>246</v>
      </c>
      <c r="D25" s="297"/>
      <c r="E25" s="297"/>
      <c r="F25" s="297"/>
      <c r="G25" s="297"/>
      <c r="H25" s="297"/>
    </row>
    <row r="26" spans="1:20" ht="45.75" customHeight="1" x14ac:dyDescent="0.2">
      <c r="A26" s="189" t="s">
        <v>87</v>
      </c>
      <c r="B26" s="191"/>
      <c r="C26" s="299" t="s">
        <v>247</v>
      </c>
      <c r="D26" s="299"/>
      <c r="E26" s="299"/>
      <c r="F26" s="299"/>
      <c r="G26" s="299"/>
      <c r="H26" s="299"/>
    </row>
    <row r="27" spans="1:20" ht="38.25" x14ac:dyDescent="0.2">
      <c r="A27" s="257" t="s">
        <v>91</v>
      </c>
      <c r="B27" s="258"/>
      <c r="C27" s="307" t="s">
        <v>248</v>
      </c>
      <c r="D27" s="307"/>
      <c r="E27" s="307"/>
      <c r="F27" s="54" t="s">
        <v>7</v>
      </c>
      <c r="G27" s="311" t="s">
        <v>90</v>
      </c>
      <c r="H27" s="311"/>
      <c r="I27" s="49" t="s">
        <v>310</v>
      </c>
    </row>
    <row r="28" spans="1:20" ht="25.5" x14ac:dyDescent="0.2">
      <c r="A28" s="180" t="s">
        <v>8</v>
      </c>
      <c r="B28" s="182"/>
      <c r="C28" s="300" t="s">
        <v>314</v>
      </c>
      <c r="D28" s="311"/>
      <c r="E28" s="311"/>
      <c r="F28" s="54" t="s">
        <v>122</v>
      </c>
      <c r="G28" s="313">
        <v>64</v>
      </c>
      <c r="H28" s="313"/>
      <c r="I28" s="50">
        <f>432*0.15</f>
        <v>64.8</v>
      </c>
    </row>
    <row r="29" spans="1:20" x14ac:dyDescent="0.2">
      <c r="A29" s="257" t="s">
        <v>206</v>
      </c>
      <c r="B29" s="258"/>
      <c r="C29" s="211" t="s">
        <v>327</v>
      </c>
      <c r="D29" s="212"/>
      <c r="E29" s="274"/>
      <c r="F29" s="274"/>
      <c r="G29" s="274"/>
      <c r="H29" s="275"/>
    </row>
    <row r="30" spans="1:20" ht="12.75" customHeight="1" x14ac:dyDescent="0.2">
      <c r="A30" s="257" t="s">
        <v>207</v>
      </c>
      <c r="B30" s="258"/>
      <c r="C30" s="211" t="s">
        <v>327</v>
      </c>
      <c r="D30" s="212"/>
      <c r="E30" s="274"/>
      <c r="F30" s="274"/>
      <c r="G30" s="274"/>
      <c r="H30" s="275"/>
    </row>
    <row r="31" spans="1:20" ht="12.75" customHeight="1" x14ac:dyDescent="0.2">
      <c r="A31" s="259" t="s">
        <v>9</v>
      </c>
      <c r="B31" s="260"/>
      <c r="C31" s="255" t="s">
        <v>92</v>
      </c>
      <c r="D31" s="256"/>
      <c r="E31" s="55" t="s">
        <v>12</v>
      </c>
      <c r="F31" s="55" t="s">
        <v>13</v>
      </c>
      <c r="G31" s="55" t="s">
        <v>14</v>
      </c>
      <c r="H31" s="55" t="s">
        <v>15</v>
      </c>
    </row>
    <row r="32" spans="1:20" ht="12.75" customHeight="1" x14ac:dyDescent="0.2">
      <c r="A32" s="261"/>
      <c r="B32" s="262"/>
      <c r="C32" s="255" t="s">
        <v>10</v>
      </c>
      <c r="D32" s="256"/>
      <c r="E32" s="56" t="s">
        <v>226</v>
      </c>
      <c r="F32" s="56" t="s">
        <v>226</v>
      </c>
      <c r="G32" s="56" t="s">
        <v>226</v>
      </c>
      <c r="H32" s="56" t="s">
        <v>226</v>
      </c>
    </row>
    <row r="33" spans="1:11" ht="24.75" customHeight="1" x14ac:dyDescent="0.2">
      <c r="A33" s="261"/>
      <c r="B33" s="262"/>
      <c r="C33" s="132" t="s">
        <v>85</v>
      </c>
      <c r="D33" s="133"/>
      <c r="E33" s="57" t="s">
        <v>249</v>
      </c>
      <c r="F33" s="57" t="s">
        <v>249</v>
      </c>
      <c r="G33" s="56" t="s">
        <v>250</v>
      </c>
      <c r="H33" s="57" t="s">
        <v>249</v>
      </c>
    </row>
    <row r="34" spans="1:11" ht="51" customHeight="1" x14ac:dyDescent="0.2">
      <c r="A34" s="263"/>
      <c r="B34" s="264"/>
      <c r="C34" s="132" t="s">
        <v>11</v>
      </c>
      <c r="D34" s="133"/>
      <c r="E34" s="56" t="s">
        <v>253</v>
      </c>
      <c r="F34" s="56" t="s">
        <v>254</v>
      </c>
      <c r="G34" s="56" t="s">
        <v>251</v>
      </c>
      <c r="H34" s="56" t="s">
        <v>252</v>
      </c>
    </row>
    <row r="35" spans="1:11" ht="29.25" customHeight="1" x14ac:dyDescent="0.2">
      <c r="A35" s="257" t="s">
        <v>16</v>
      </c>
      <c r="B35" s="258"/>
      <c r="C35" s="308" t="s">
        <v>316</v>
      </c>
      <c r="D35" s="308"/>
      <c r="E35" s="308"/>
      <c r="F35" s="308"/>
      <c r="G35" s="308"/>
      <c r="H35" s="308"/>
    </row>
    <row r="36" spans="1:11" ht="38.25" customHeight="1" x14ac:dyDescent="0.2">
      <c r="A36" s="257" t="s">
        <v>129</v>
      </c>
      <c r="B36" s="258"/>
      <c r="C36" s="318">
        <v>11967.4</v>
      </c>
      <c r="D36" s="319"/>
      <c r="E36" s="312" t="s">
        <v>130</v>
      </c>
      <c r="F36" s="312"/>
      <c r="G36" s="314">
        <v>10734.51</v>
      </c>
      <c r="H36" s="314"/>
    </row>
    <row r="37" spans="1:11" x14ac:dyDescent="0.2">
      <c r="A37" s="257" t="s">
        <v>17</v>
      </c>
      <c r="B37" s="258"/>
      <c r="C37" s="310" t="s">
        <v>305</v>
      </c>
      <c r="D37" s="310"/>
      <c r="E37" s="310"/>
      <c r="F37" s="310"/>
      <c r="G37" s="310"/>
      <c r="H37" s="310"/>
    </row>
    <row r="38" spans="1:11" ht="130.5" customHeight="1" x14ac:dyDescent="0.2">
      <c r="A38" s="257" t="s">
        <v>121</v>
      </c>
      <c r="B38" s="258"/>
      <c r="C38" s="316" t="s">
        <v>304</v>
      </c>
      <c r="D38" s="316"/>
      <c r="E38" s="299"/>
      <c r="F38" s="299"/>
      <c r="G38" s="299"/>
      <c r="H38" s="299"/>
      <c r="I38" s="41"/>
    </row>
    <row r="39" spans="1:11" x14ac:dyDescent="0.2">
      <c r="A39" s="315" t="s">
        <v>93</v>
      </c>
      <c r="B39" s="315"/>
      <c r="C39" s="315"/>
      <c r="D39" s="315"/>
      <c r="E39" s="315"/>
      <c r="F39" s="315"/>
      <c r="G39" s="315"/>
      <c r="H39" s="315"/>
    </row>
    <row r="40" spans="1:11" ht="12.75" customHeight="1" x14ac:dyDescent="0.2">
      <c r="A40" s="276" t="s">
        <v>19</v>
      </c>
      <c r="B40" s="277"/>
      <c r="C40" s="290" t="s">
        <v>94</v>
      </c>
      <c r="D40" s="290"/>
      <c r="E40" s="290"/>
      <c r="F40" s="290"/>
      <c r="G40" s="314">
        <v>10734.51</v>
      </c>
      <c r="H40" s="314"/>
    </row>
    <row r="41" spans="1:11" x14ac:dyDescent="0.2">
      <c r="A41" s="278"/>
      <c r="B41" s="279"/>
      <c r="C41" s="290" t="s">
        <v>95</v>
      </c>
      <c r="D41" s="290"/>
      <c r="E41" s="290"/>
      <c r="F41" s="290"/>
      <c r="G41" s="291">
        <v>1</v>
      </c>
      <c r="H41" s="291"/>
    </row>
    <row r="42" spans="1:11" x14ac:dyDescent="0.2">
      <c r="A42" s="278"/>
      <c r="B42" s="279"/>
      <c r="C42" s="290" t="s">
        <v>96</v>
      </c>
      <c r="D42" s="290"/>
      <c r="E42" s="290"/>
      <c r="F42" s="290"/>
      <c r="G42" s="291">
        <f>G45/G40-G41</f>
        <v>1.9699445992411393</v>
      </c>
      <c r="H42" s="291"/>
    </row>
    <row r="43" spans="1:11" x14ac:dyDescent="0.2">
      <c r="A43" s="278"/>
      <c r="B43" s="279"/>
      <c r="C43" s="290" t="s">
        <v>97</v>
      </c>
      <c r="D43" s="290"/>
      <c r="E43" s="290"/>
      <c r="F43" s="290"/>
      <c r="G43" s="291">
        <f>G41+G42</f>
        <v>2.9699445992411393</v>
      </c>
      <c r="H43" s="291"/>
    </row>
    <row r="44" spans="1:11" x14ac:dyDescent="0.2">
      <c r="A44" s="278"/>
      <c r="B44" s="279"/>
      <c r="C44" s="310" t="s">
        <v>127</v>
      </c>
      <c r="D44" s="310"/>
      <c r="E44" s="310"/>
      <c r="F44" s="310"/>
      <c r="G44" s="291">
        <f>G40*G43</f>
        <v>31880.9</v>
      </c>
      <c r="H44" s="291"/>
    </row>
    <row r="45" spans="1:11" x14ac:dyDescent="0.2">
      <c r="A45" s="280"/>
      <c r="B45" s="281"/>
      <c r="C45" s="290" t="s">
        <v>98</v>
      </c>
      <c r="D45" s="290"/>
      <c r="E45" s="290"/>
      <c r="F45" s="290"/>
      <c r="G45" s="291">
        <v>31880.9</v>
      </c>
      <c r="H45" s="291"/>
    </row>
    <row r="46" spans="1:11" ht="28.5" customHeight="1" x14ac:dyDescent="0.2">
      <c r="A46" s="257" t="s">
        <v>99</v>
      </c>
      <c r="B46" s="258"/>
      <c r="C46" s="211" t="s">
        <v>255</v>
      </c>
      <c r="D46" s="212"/>
      <c r="E46" s="212"/>
      <c r="F46" s="213"/>
      <c r="G46" s="58" t="s">
        <v>224</v>
      </c>
      <c r="H46" s="59">
        <v>45672</v>
      </c>
    </row>
    <row r="47" spans="1:11" ht="32.25" customHeight="1" x14ac:dyDescent="0.2">
      <c r="A47" s="257" t="s">
        <v>20</v>
      </c>
      <c r="B47" s="258"/>
      <c r="C47" s="308" t="s">
        <v>256</v>
      </c>
      <c r="D47" s="308"/>
      <c r="E47" s="290"/>
      <c r="F47" s="290"/>
      <c r="G47" s="290"/>
      <c r="H47" s="290"/>
      <c r="I47" s="42" t="s">
        <v>257</v>
      </c>
      <c r="J47" s="11"/>
      <c r="K47" s="11"/>
    </row>
    <row r="48" spans="1:11" ht="16.5" customHeight="1" x14ac:dyDescent="0.2">
      <c r="A48" s="242" t="s">
        <v>317</v>
      </c>
      <c r="B48" s="243"/>
      <c r="C48" s="228" t="s">
        <v>320</v>
      </c>
      <c r="D48" s="229"/>
      <c r="E48" s="229"/>
      <c r="F48" s="229"/>
      <c r="G48" s="54" t="s">
        <v>318</v>
      </c>
      <c r="H48" s="59">
        <v>45895</v>
      </c>
      <c r="I48" s="11"/>
      <c r="J48" s="11"/>
      <c r="K48" s="11"/>
    </row>
    <row r="49" spans="1:12" ht="25.5" x14ac:dyDescent="0.2">
      <c r="A49" s="244"/>
      <c r="B49" s="245"/>
      <c r="C49" s="231"/>
      <c r="D49" s="232"/>
      <c r="E49" s="232"/>
      <c r="F49" s="232"/>
      <c r="G49" s="54" t="s">
        <v>319</v>
      </c>
      <c r="H49" s="60">
        <v>46207</v>
      </c>
      <c r="I49" s="11"/>
      <c r="J49" s="11"/>
      <c r="K49" s="11"/>
    </row>
    <row r="50" spans="1:12" ht="82.5" customHeight="1" x14ac:dyDescent="0.2">
      <c r="A50" s="246"/>
      <c r="B50" s="247"/>
      <c r="C50" s="211" t="s">
        <v>321</v>
      </c>
      <c r="D50" s="212"/>
      <c r="E50" s="212"/>
      <c r="F50" s="212"/>
      <c r="G50" s="212"/>
      <c r="H50" s="213"/>
      <c r="I50" s="11"/>
      <c r="J50" s="11"/>
      <c r="K50" s="11"/>
    </row>
    <row r="51" spans="1:12" x14ac:dyDescent="0.2">
      <c r="A51" s="282" t="s">
        <v>21</v>
      </c>
      <c r="B51" s="283"/>
      <c r="C51" s="216" t="s">
        <v>109</v>
      </c>
      <c r="D51" s="218"/>
      <c r="E51" s="309" t="s">
        <v>258</v>
      </c>
      <c r="F51" s="309"/>
      <c r="G51" s="309"/>
      <c r="H51" s="309"/>
      <c r="I51" s="11"/>
      <c r="J51" s="11"/>
      <c r="K51" s="11"/>
    </row>
    <row r="52" spans="1:12" x14ac:dyDescent="0.2">
      <c r="A52" s="284"/>
      <c r="B52" s="285"/>
      <c r="C52" s="216" t="s">
        <v>110</v>
      </c>
      <c r="D52" s="218"/>
      <c r="E52" s="234" t="s">
        <v>258</v>
      </c>
      <c r="F52" s="235"/>
      <c r="G52" s="58" t="s">
        <v>224</v>
      </c>
      <c r="H52" s="61" t="s">
        <v>226</v>
      </c>
      <c r="J52" s="6" t="s">
        <v>231</v>
      </c>
    </row>
    <row r="53" spans="1:12" x14ac:dyDescent="0.2">
      <c r="A53" s="286"/>
      <c r="B53" s="287"/>
      <c r="C53" s="216" t="s">
        <v>232</v>
      </c>
      <c r="D53" s="108"/>
      <c r="E53" s="317" t="s">
        <v>258</v>
      </c>
      <c r="F53" s="309"/>
      <c r="G53" s="309"/>
      <c r="H53" s="309"/>
      <c r="I53" s="173" t="s">
        <v>230</v>
      </c>
      <c r="J53" s="174"/>
      <c r="K53" s="174"/>
      <c r="L53" s="174"/>
    </row>
    <row r="54" spans="1:12" x14ac:dyDescent="0.2">
      <c r="A54" s="214" t="s">
        <v>225</v>
      </c>
      <c r="B54" s="215"/>
      <c r="C54" s="216"/>
      <c r="D54" s="217"/>
      <c r="E54" s="217"/>
      <c r="F54" s="217"/>
      <c r="G54" s="217"/>
      <c r="H54" s="218"/>
    </row>
    <row r="55" spans="1:12" ht="51" customHeight="1" x14ac:dyDescent="0.2">
      <c r="A55" s="288" t="s">
        <v>342</v>
      </c>
      <c r="B55" s="289"/>
      <c r="C55" s="211" t="s">
        <v>343</v>
      </c>
      <c r="D55" s="212"/>
      <c r="E55" s="212"/>
      <c r="F55" s="213"/>
      <c r="G55" s="58" t="s">
        <v>224</v>
      </c>
      <c r="H55" s="59">
        <v>45237</v>
      </c>
    </row>
    <row r="56" spans="1:12" x14ac:dyDescent="0.2">
      <c r="A56" s="222" t="s">
        <v>227</v>
      </c>
      <c r="B56" s="223"/>
      <c r="C56" s="219" t="s">
        <v>261</v>
      </c>
      <c r="D56" s="220"/>
      <c r="E56" s="220"/>
      <c r="F56" s="221"/>
      <c r="G56" s="62" t="s">
        <v>224</v>
      </c>
      <c r="H56" s="63">
        <v>45491</v>
      </c>
    </row>
    <row r="57" spans="1:12" ht="29.25" customHeight="1" x14ac:dyDescent="0.2">
      <c r="A57" s="224"/>
      <c r="B57" s="225"/>
      <c r="C57" s="239" t="s">
        <v>262</v>
      </c>
      <c r="D57" s="240"/>
      <c r="E57" s="240"/>
      <c r="F57" s="240"/>
      <c r="G57" s="240"/>
      <c r="H57" s="241"/>
    </row>
    <row r="58" spans="1:12" x14ac:dyDescent="0.2">
      <c r="A58" s="222" t="s">
        <v>228</v>
      </c>
      <c r="B58" s="223"/>
      <c r="C58" s="228" t="s">
        <v>259</v>
      </c>
      <c r="D58" s="229"/>
      <c r="E58" s="229"/>
      <c r="F58" s="230"/>
      <c r="G58" s="58" t="s">
        <v>224</v>
      </c>
      <c r="H58" s="59">
        <v>45384</v>
      </c>
    </row>
    <row r="59" spans="1:12" ht="25.5" customHeight="1" x14ac:dyDescent="0.2">
      <c r="A59" s="226"/>
      <c r="B59" s="227"/>
      <c r="C59" s="231"/>
      <c r="D59" s="232"/>
      <c r="E59" s="232"/>
      <c r="F59" s="233"/>
      <c r="G59" s="58" t="s">
        <v>229</v>
      </c>
      <c r="H59" s="59">
        <v>48304</v>
      </c>
    </row>
    <row r="60" spans="1:12" ht="25.5" customHeight="1" x14ac:dyDescent="0.2">
      <c r="A60" s="224"/>
      <c r="B60" s="225"/>
      <c r="C60" s="236" t="s">
        <v>260</v>
      </c>
      <c r="D60" s="237"/>
      <c r="E60" s="237"/>
      <c r="F60" s="237"/>
      <c r="G60" s="237"/>
      <c r="H60" s="238"/>
      <c r="I60" s="6">
        <f>166.9-16.9</f>
        <v>150</v>
      </c>
    </row>
    <row r="61" spans="1:12" ht="13.5" thickBot="1" x14ac:dyDescent="0.25">
      <c r="A61" s="106" t="s">
        <v>22</v>
      </c>
      <c r="B61" s="106"/>
      <c r="C61" s="106"/>
      <c r="D61" s="106"/>
      <c r="E61" s="106"/>
      <c r="F61" s="106"/>
      <c r="G61" s="106"/>
      <c r="H61" s="106"/>
    </row>
    <row r="62" spans="1:12" ht="12.75" customHeight="1" x14ac:dyDescent="0.2">
      <c r="A62" s="175" t="s">
        <v>23</v>
      </c>
      <c r="B62" s="177"/>
      <c r="C62" s="204">
        <v>45510</v>
      </c>
      <c r="D62" s="206"/>
      <c r="E62" s="175" t="s">
        <v>24</v>
      </c>
      <c r="F62" s="177"/>
      <c r="G62" s="204">
        <v>47118</v>
      </c>
      <c r="H62" s="205"/>
      <c r="I62" s="30" t="str">
        <f ca="1">(IF(G68&gt;99%,"All work completed. Please provide OC.",IF(G68&gt;89.8%,"Plinth, RCC, Brick, Plaster, Flooring, Painting work Completed. Finishing work is in process.",IF(G68&lt;94%,(IF(E68=0,"Work not yet Started.",IF(F68=25%,"Piling work in process",IF(F68=50%,"Excavation work in process",IF(F68=100%,"Excavation work Completed. ","0")))&amp;(IF(E69=0%,"",IF(E69=J68,"Footing work is process",IF(E69=J69,"Footing work Completed",IF(E69=J70,"1st Basement Completed",IF(E69=J71,"1st &amp; 2nd Basement Completed",IF(E69=J72,"1st to 3rd Basement Completed",IF(E69=J73,"1st to 4th Basement Completed",IF(E69=J74,"Plinth work is process",IF(E69=J75,"Plinth work completed","0")))))))))))&amp;(IF(E70=(F65+G65+H65),", RCC Slab",IF(E70&gt;0,", RCC upto "&amp;E70&amp;" Slab",""))&amp;(IF(E71=H65,", Brickwork",IF(E71&gt;0,", Brickwork upto "&amp;E71&amp;" Floor",""))&amp;(IF(E72=H65,", Internal Plaster",IF(E72&gt;0,", Internal Plaster upto "&amp;E72&amp;" Floor",""))&amp;(IF(E73=H65,", External Plaster",IF(E73&gt;0,", External Plaster upto "&amp;E73&amp;" Floor",""))&amp;(IF(E74=H65,", Flooring",IF(E74&gt;0,", Flooring upto "&amp;E74&amp;" Floor",""))&amp;(IF(E75=H65,", Painting",IF(E75&gt;0,", Painting upto "&amp;E75&amp;" Floor",""))&amp;(IF(E76&gt;0,", Finishing upto "&amp;E76&amp;" Floor","")&amp;(IF(E70&gt;0.5," Completed",""))))))))))))))</f>
        <v>Excavation work Completed. Plinth work completed, RCC upto 3 Slab Completed</v>
      </c>
      <c r="J62" s="31"/>
    </row>
    <row r="63" spans="1:12" ht="13.5" thickBot="1" x14ac:dyDescent="0.25">
      <c r="A63" s="203" t="s">
        <v>335</v>
      </c>
      <c r="B63" s="203"/>
      <c r="C63" s="203"/>
      <c r="D63" s="203"/>
      <c r="E63" s="203"/>
      <c r="F63" s="203"/>
      <c r="G63" s="203"/>
      <c r="H63" s="203"/>
      <c r="I63" s="32"/>
      <c r="J63" s="33"/>
    </row>
    <row r="64" spans="1:12" x14ac:dyDescent="0.2">
      <c r="A64" s="134" t="s">
        <v>328</v>
      </c>
      <c r="B64" s="135"/>
      <c r="C64" s="135"/>
      <c r="D64" s="136"/>
      <c r="E64" s="64" t="s">
        <v>57</v>
      </c>
      <c r="F64" s="64" t="s">
        <v>58</v>
      </c>
      <c r="G64" s="64" t="s">
        <v>59</v>
      </c>
      <c r="H64" s="65" t="s">
        <v>46</v>
      </c>
      <c r="I64" s="32" t="s">
        <v>137</v>
      </c>
      <c r="J64" s="33"/>
    </row>
    <row r="65" spans="1:12" x14ac:dyDescent="0.2">
      <c r="A65" s="137"/>
      <c r="B65" s="138"/>
      <c r="C65" s="138"/>
      <c r="D65" s="139"/>
      <c r="E65" s="66">
        <v>0</v>
      </c>
      <c r="F65" s="66">
        <v>1</v>
      </c>
      <c r="G65" s="66">
        <v>0</v>
      </c>
      <c r="H65" s="67">
        <f ca="1">--TRIM(RIGHT(SUBSTITUTE(LEFT(A64,_xlfn.AGGREGATE(16,6,FIND({0,1,2,3,4,5,6,7,8,9},A64,ROW(INDIRECT("1:"&amp;LEN(A64)))),1))," ",REPT(" ",LEN(A64))),LEN(A64)))</f>
        <v>21</v>
      </c>
      <c r="I65" s="1" t="s">
        <v>63</v>
      </c>
      <c r="J65" s="34">
        <f ca="1">H65*25%</f>
        <v>5.25</v>
      </c>
    </row>
    <row r="66" spans="1:12" ht="15" customHeight="1" x14ac:dyDescent="0.2">
      <c r="A66" s="68" t="s">
        <v>136</v>
      </c>
      <c r="B66" s="69"/>
      <c r="C66" s="140" t="str">
        <f ca="1">I62</f>
        <v>Excavation work Completed. Plinth work completed, RCC upto 3 Slab Completed</v>
      </c>
      <c r="D66" s="140"/>
      <c r="E66" s="140"/>
      <c r="F66" s="140"/>
      <c r="G66" s="140"/>
      <c r="H66" s="141"/>
      <c r="I66" s="1" t="s">
        <v>65</v>
      </c>
      <c r="J66" s="35">
        <f ca="1">H65*50%</f>
        <v>10.5</v>
      </c>
    </row>
    <row r="67" spans="1:12" ht="15" customHeight="1" x14ac:dyDescent="0.2">
      <c r="A67" s="142" t="s">
        <v>60</v>
      </c>
      <c r="B67" s="143"/>
      <c r="C67" s="144" t="s">
        <v>138</v>
      </c>
      <c r="D67" s="144"/>
      <c r="E67" s="70" t="s">
        <v>61</v>
      </c>
      <c r="F67" s="70" t="s">
        <v>62</v>
      </c>
      <c r="G67" s="145" t="s">
        <v>56</v>
      </c>
      <c r="H67" s="146"/>
      <c r="I67" s="1" t="s">
        <v>67</v>
      </c>
      <c r="J67" s="35">
        <f ca="1">H65</f>
        <v>21</v>
      </c>
    </row>
    <row r="68" spans="1:12" ht="15" customHeight="1" x14ac:dyDescent="0.2">
      <c r="A68" s="142" t="s">
        <v>64</v>
      </c>
      <c r="B68" s="143"/>
      <c r="C68" s="147">
        <v>0</v>
      </c>
      <c r="D68" s="147"/>
      <c r="E68" s="71">
        <f ca="1">J67</f>
        <v>21</v>
      </c>
      <c r="F68" s="72">
        <f ca="1">((100/H65)*E68)/100</f>
        <v>1</v>
      </c>
      <c r="G68" s="148">
        <f ca="1">(((E69/H65*10)+(40/(F65+G65+H65)*E70)+(15/(H65)*E71)+(5/(H65)*E72)+(5/H65*E73)+(10/H65*E74)+(5/H65*E75)+(5/H65*E76)+(5/H65*E77))/100)</f>
        <v>0.15454545454545454</v>
      </c>
      <c r="H68" s="149"/>
      <c r="I68" s="1" t="s">
        <v>69</v>
      </c>
      <c r="J68" s="36">
        <f ca="1">(IF(E65&gt;1,(H65/(E65+2)),H65/4))</f>
        <v>5.25</v>
      </c>
    </row>
    <row r="69" spans="1:12" ht="15" customHeight="1" x14ac:dyDescent="0.2">
      <c r="A69" s="142" t="s">
        <v>66</v>
      </c>
      <c r="B69" s="143"/>
      <c r="C69" s="147">
        <v>0.1</v>
      </c>
      <c r="D69" s="147"/>
      <c r="E69" s="73">
        <f ca="1">J75</f>
        <v>21</v>
      </c>
      <c r="F69" s="72">
        <f ca="1">((100/H65)*E69)/100</f>
        <v>1</v>
      </c>
      <c r="G69" s="148"/>
      <c r="H69" s="149"/>
      <c r="I69" s="1" t="s">
        <v>71</v>
      </c>
      <c r="J69" s="36">
        <f ca="1">(IF(E65&gt;1,(H65/(E65+2)+J68),H65/4+J68))</f>
        <v>10.5</v>
      </c>
      <c r="L69" s="48" t="s">
        <v>338</v>
      </c>
    </row>
    <row r="70" spans="1:12" ht="15" customHeight="1" x14ac:dyDescent="0.2">
      <c r="A70" s="142" t="s">
        <v>68</v>
      </c>
      <c r="B70" s="143"/>
      <c r="C70" s="147">
        <v>0.4</v>
      </c>
      <c r="D70" s="147"/>
      <c r="E70" s="73">
        <v>3</v>
      </c>
      <c r="F70" s="72">
        <f ca="1">((100/(F65+G65+H65))*E70)/100</f>
        <v>0.13636363636363635</v>
      </c>
      <c r="G70" s="148"/>
      <c r="H70" s="149"/>
      <c r="I70" s="1" t="s">
        <v>73</v>
      </c>
      <c r="J70" s="36">
        <f>(IF(E65&gt;1,(H65/(E65+2)+J69),0))</f>
        <v>0</v>
      </c>
    </row>
    <row r="71" spans="1:12" ht="15" customHeight="1" x14ac:dyDescent="0.2">
      <c r="A71" s="142" t="s">
        <v>70</v>
      </c>
      <c r="B71" s="143"/>
      <c r="C71" s="147">
        <v>0.15</v>
      </c>
      <c r="D71" s="147"/>
      <c r="E71" s="71">
        <v>0</v>
      </c>
      <c r="F71" s="72">
        <f ca="1">((100/H65)*E71)/100</f>
        <v>0</v>
      </c>
      <c r="G71" s="148"/>
      <c r="H71" s="149"/>
      <c r="I71" s="1" t="s">
        <v>75</v>
      </c>
      <c r="J71" s="36">
        <f>(IF(E65&gt;2,(H65/(E65+2)+J70),0))</f>
        <v>0</v>
      </c>
    </row>
    <row r="72" spans="1:12" ht="15" customHeight="1" x14ac:dyDescent="0.2">
      <c r="A72" s="142" t="s">
        <v>72</v>
      </c>
      <c r="B72" s="143"/>
      <c r="C72" s="147">
        <v>0.05</v>
      </c>
      <c r="D72" s="147"/>
      <c r="E72" s="71">
        <v>0</v>
      </c>
      <c r="F72" s="72">
        <f ca="1">((100/H65)*E72)/100</f>
        <v>0</v>
      </c>
      <c r="G72" s="148"/>
      <c r="H72" s="149"/>
      <c r="I72" s="1" t="s">
        <v>77</v>
      </c>
      <c r="J72" s="37">
        <f>(IF(E65&gt;3,(H65/(E65+2)+J71),0))</f>
        <v>0</v>
      </c>
    </row>
    <row r="73" spans="1:12" ht="15" customHeight="1" x14ac:dyDescent="0.2">
      <c r="A73" s="142" t="s">
        <v>74</v>
      </c>
      <c r="B73" s="143"/>
      <c r="C73" s="147">
        <v>0.05</v>
      </c>
      <c r="D73" s="147"/>
      <c r="E73" s="71">
        <v>0</v>
      </c>
      <c r="F73" s="72">
        <f ca="1">((100/(H65))*E73)/100</f>
        <v>0</v>
      </c>
      <c r="G73" s="148"/>
      <c r="H73" s="149"/>
      <c r="I73" s="1" t="s">
        <v>79</v>
      </c>
      <c r="J73" s="36">
        <f>(IF(E65&gt;4,(H65/(E65+2)+J72),0))</f>
        <v>0</v>
      </c>
    </row>
    <row r="74" spans="1:12" ht="15" customHeight="1" x14ac:dyDescent="0.2">
      <c r="A74" s="142" t="s">
        <v>76</v>
      </c>
      <c r="B74" s="143"/>
      <c r="C74" s="147">
        <v>0.1</v>
      </c>
      <c r="D74" s="147"/>
      <c r="E74" s="71">
        <v>0</v>
      </c>
      <c r="F74" s="72">
        <f ca="1">((100/H65)*E74)/100</f>
        <v>0</v>
      </c>
      <c r="G74" s="148"/>
      <c r="H74" s="149"/>
      <c r="I74" s="1" t="s">
        <v>81</v>
      </c>
      <c r="J74" s="36">
        <f ca="1">(IF(E65=1,(H65/(E65+3)+J69),IF(E65=0,(H65/4+J69),IF(E65&gt;1,0))))</f>
        <v>15.75</v>
      </c>
    </row>
    <row r="75" spans="1:12" ht="15.75" customHeight="1" thickBot="1" x14ac:dyDescent="0.25">
      <c r="A75" s="142" t="s">
        <v>78</v>
      </c>
      <c r="B75" s="143"/>
      <c r="C75" s="147">
        <v>0.05</v>
      </c>
      <c r="D75" s="147"/>
      <c r="E75" s="71">
        <v>0</v>
      </c>
      <c r="F75" s="72">
        <f ca="1">((100/H65)*E75)/100</f>
        <v>0</v>
      </c>
      <c r="G75" s="148"/>
      <c r="H75" s="149"/>
      <c r="I75" s="38" t="s">
        <v>83</v>
      </c>
      <c r="J75" s="39">
        <f ca="1">(IF(E65&gt;1.5,(H65/(E65+2)+J69+MAX(0,J70-J69)+MAX(0,J71-J70)+MAX(0,J72-J71)+MAX(0,J73-J72)+MAX(0,J74-J73)),IF(E65=1,(H65/(E65+3)+J74),IF(E65=0,H65/4+J74))))</f>
        <v>21</v>
      </c>
    </row>
    <row r="76" spans="1:12" ht="13.5" thickBot="1" x14ac:dyDescent="0.25">
      <c r="A76" s="142" t="s">
        <v>80</v>
      </c>
      <c r="B76" s="143"/>
      <c r="C76" s="147">
        <v>0.05</v>
      </c>
      <c r="D76" s="147"/>
      <c r="E76" s="71">
        <v>0</v>
      </c>
      <c r="F76" s="72">
        <f ca="1">((100/(H65))*E76)/100</f>
        <v>0</v>
      </c>
      <c r="G76" s="148"/>
      <c r="H76" s="149"/>
      <c r="I76" s="6" t="str">
        <f ca="1">(IF(G82&gt;99%,"All work completed. Please provide OC.",IF(G82&gt;89.8%,"Plinth, RCC, Brick, Plaster, Flooring, Painting work Completed. Finishing work is in process.",IF(G82&lt;94%,(IF(E82=0,"Work not yet Started.",IF(F82=25%,"Piling work in process",IF(F82=50%,"Excavation work in process",IF(F82=100%,"Excavation work Completed. ","0")))&amp;(IF(E83=0%,"",IF(E83=J82,"Footing work is process",IF(E83=J83,"Footing work Completed",IF(E83=J84,"1st Basement Completed",IF(E83=J85,"1st &amp; 2nd Basement Completed",IF(E83=J86,"1st to 3rd Basement Completed",IF(E83=J87,"1st to 4th Basement Completed",IF(E83=J88,"Plinth work is process",IF(E83=J89,"Plinth work completed","0")))))))))))&amp;(IF(E84=(F79+G79+H79),", RCC Slab",IF(E84&gt;0,", RCC upto "&amp;E84&amp;" Slab",""))&amp;(IF(E85=H79,", Brickwork",IF(E85&gt;0,", Brickwork upto "&amp;E85&amp;" Floor",""))&amp;(IF(E86=H79,", Internal Plaster",IF(E86&gt;0,", Internal Plaster upto "&amp;E86&amp;" Floor",""))&amp;(IF(E87=H79,", External Plaster",IF(E87&gt;0,", External Plaster upto "&amp;E87&amp;" Floor",""))&amp;(IF(E88=H79,", Flooring",IF(E88&gt;0,", Flooring upto "&amp;E88&amp;" Floor",""))&amp;(IF(E89=H79,", Painting",IF(E89&gt;0,", Painting upto "&amp;E89&amp;" Floor",""))&amp;(IF(E90&gt;0,", Finishing upto "&amp;E90&amp;" Floor","")&amp;(IF(E84&gt;0.5," Completed",""))))))))))))))</f>
        <v>Excavation work Completed. Plinth work completed, RCC upto 3 Slab Completed</v>
      </c>
    </row>
    <row r="77" spans="1:12" ht="13.5" thickBot="1" x14ac:dyDescent="0.25">
      <c r="A77" s="126" t="s">
        <v>82</v>
      </c>
      <c r="B77" s="127"/>
      <c r="C77" s="128">
        <v>0.05</v>
      </c>
      <c r="D77" s="128"/>
      <c r="E77" s="74">
        <v>0</v>
      </c>
      <c r="F77" s="75">
        <f ca="1">((100/(H65))*E77)/100</f>
        <v>0</v>
      </c>
      <c r="G77" s="150"/>
      <c r="H77" s="151"/>
      <c r="I77" s="30"/>
    </row>
    <row r="78" spans="1:12" x14ac:dyDescent="0.2">
      <c r="A78" s="134" t="s">
        <v>329</v>
      </c>
      <c r="B78" s="135"/>
      <c r="C78" s="135"/>
      <c r="D78" s="136"/>
      <c r="E78" s="64" t="s">
        <v>57</v>
      </c>
      <c r="F78" s="64" t="s">
        <v>58</v>
      </c>
      <c r="G78" s="64" t="s">
        <v>59</v>
      </c>
      <c r="H78" s="65" t="s">
        <v>46</v>
      </c>
      <c r="I78" s="32" t="s">
        <v>137</v>
      </c>
      <c r="J78" s="33"/>
    </row>
    <row r="79" spans="1:12" x14ac:dyDescent="0.2">
      <c r="A79" s="137"/>
      <c r="B79" s="138"/>
      <c r="C79" s="138"/>
      <c r="D79" s="139"/>
      <c r="E79" s="66">
        <v>0</v>
      </c>
      <c r="F79" s="66">
        <v>1</v>
      </c>
      <c r="G79" s="66">
        <v>0</v>
      </c>
      <c r="H79" s="67">
        <f ca="1">--TRIM(RIGHT(SUBSTITUTE(LEFT(A78,_xlfn.AGGREGATE(16,6,FIND({0,1,2,3,4,5,6,7,8,9},A78,ROW(INDIRECT("1:"&amp;LEN(A78)))),1))," ",REPT(" ",LEN(A78))),LEN(A78)))</f>
        <v>21</v>
      </c>
      <c r="I79" s="1" t="s">
        <v>63</v>
      </c>
      <c r="J79" s="34">
        <f ca="1">H79*25%</f>
        <v>5.25</v>
      </c>
    </row>
    <row r="80" spans="1:12" ht="15" customHeight="1" x14ac:dyDescent="0.2">
      <c r="A80" s="68" t="s">
        <v>136</v>
      </c>
      <c r="B80" s="69"/>
      <c r="C80" s="140" t="str">
        <f ca="1">I76</f>
        <v>Excavation work Completed. Plinth work completed, RCC upto 3 Slab Completed</v>
      </c>
      <c r="D80" s="140"/>
      <c r="E80" s="140"/>
      <c r="F80" s="140"/>
      <c r="G80" s="140"/>
      <c r="H80" s="141"/>
      <c r="I80" s="1" t="s">
        <v>65</v>
      </c>
      <c r="J80" s="35">
        <f ca="1">H79*50%</f>
        <v>10.5</v>
      </c>
    </row>
    <row r="81" spans="1:10" ht="15" customHeight="1" x14ac:dyDescent="0.2">
      <c r="A81" s="142" t="s">
        <v>60</v>
      </c>
      <c r="B81" s="143"/>
      <c r="C81" s="144" t="s">
        <v>138</v>
      </c>
      <c r="D81" s="144"/>
      <c r="E81" s="70" t="s">
        <v>61</v>
      </c>
      <c r="F81" s="70" t="s">
        <v>62</v>
      </c>
      <c r="G81" s="145" t="s">
        <v>56</v>
      </c>
      <c r="H81" s="146"/>
      <c r="I81" s="1" t="s">
        <v>67</v>
      </c>
      <c r="J81" s="35">
        <f ca="1">H79</f>
        <v>21</v>
      </c>
    </row>
    <row r="82" spans="1:10" ht="15" customHeight="1" x14ac:dyDescent="0.2">
      <c r="A82" s="142" t="s">
        <v>64</v>
      </c>
      <c r="B82" s="143"/>
      <c r="C82" s="147">
        <v>0</v>
      </c>
      <c r="D82" s="147"/>
      <c r="E82" s="71">
        <f ca="1">J81</f>
        <v>21</v>
      </c>
      <c r="F82" s="72">
        <f ca="1">((100/H79)*E82)/100</f>
        <v>1</v>
      </c>
      <c r="G82" s="148">
        <f ca="1">(((E83/H79*10)+(40/(F79+G79+H79)*E84)+(15/(H79)*E85)+(5/(H79)*E86)+(5/H79*E87)+(10/H79*E88)+(5/H79*E89)+(5/H79*E90)+(5/H79*E91))/100)</f>
        <v>0.15454545454545454</v>
      </c>
      <c r="H82" s="149"/>
      <c r="I82" s="1" t="s">
        <v>69</v>
      </c>
      <c r="J82" s="36">
        <f ca="1">(IF(E79&gt;1,(H79/(E79+2)),H79/4))</f>
        <v>5.25</v>
      </c>
    </row>
    <row r="83" spans="1:10" ht="15" customHeight="1" x14ac:dyDescent="0.2">
      <c r="A83" s="142" t="s">
        <v>66</v>
      </c>
      <c r="B83" s="143"/>
      <c r="C83" s="147">
        <v>0.1</v>
      </c>
      <c r="D83" s="147"/>
      <c r="E83" s="73">
        <f ca="1">J89</f>
        <v>21</v>
      </c>
      <c r="F83" s="72">
        <f ca="1">((100/H79)*E83)/100</f>
        <v>1</v>
      </c>
      <c r="G83" s="148"/>
      <c r="H83" s="149"/>
      <c r="I83" s="1" t="s">
        <v>71</v>
      </c>
      <c r="J83" s="36">
        <f ca="1">(IF(E79&gt;1,(H79/(E79+2)+J82),H79/4+J82))</f>
        <v>10.5</v>
      </c>
    </row>
    <row r="84" spans="1:10" ht="15" customHeight="1" x14ac:dyDescent="0.2">
      <c r="A84" s="142" t="s">
        <v>68</v>
      </c>
      <c r="B84" s="143"/>
      <c r="C84" s="147">
        <v>0.4</v>
      </c>
      <c r="D84" s="147"/>
      <c r="E84" s="73">
        <v>3</v>
      </c>
      <c r="F84" s="72">
        <f ca="1">((100/(F79+G79+H79))*E84)/100</f>
        <v>0.13636363636363635</v>
      </c>
      <c r="G84" s="148"/>
      <c r="H84" s="149"/>
      <c r="I84" s="1" t="s">
        <v>73</v>
      </c>
      <c r="J84" s="36">
        <f>(IF(E79&gt;1,(H79/(E79+2)+J83),0))</f>
        <v>0</v>
      </c>
    </row>
    <row r="85" spans="1:10" ht="15" customHeight="1" x14ac:dyDescent="0.2">
      <c r="A85" s="142" t="s">
        <v>70</v>
      </c>
      <c r="B85" s="143"/>
      <c r="C85" s="147">
        <v>0.15</v>
      </c>
      <c r="D85" s="147"/>
      <c r="E85" s="71">
        <v>0</v>
      </c>
      <c r="F85" s="72">
        <f ca="1">((100/H79)*E85)/100</f>
        <v>0</v>
      </c>
      <c r="G85" s="148"/>
      <c r="H85" s="149"/>
      <c r="I85" s="1" t="s">
        <v>75</v>
      </c>
      <c r="J85" s="36">
        <f>(IF(E79&gt;2,(H79/(E79+2)+J84),0))</f>
        <v>0</v>
      </c>
    </row>
    <row r="86" spans="1:10" ht="15" customHeight="1" x14ac:dyDescent="0.2">
      <c r="A86" s="142" t="s">
        <v>72</v>
      </c>
      <c r="B86" s="143"/>
      <c r="C86" s="147">
        <v>0.05</v>
      </c>
      <c r="D86" s="147"/>
      <c r="E86" s="71">
        <v>0</v>
      </c>
      <c r="F86" s="72">
        <f ca="1">((100/H79)*E86)/100</f>
        <v>0</v>
      </c>
      <c r="G86" s="148"/>
      <c r="H86" s="149"/>
      <c r="I86" s="1" t="s">
        <v>77</v>
      </c>
      <c r="J86" s="37">
        <f>(IF(E79&gt;3,(H79/(E79+2)+J85),0))</f>
        <v>0</v>
      </c>
    </row>
    <row r="87" spans="1:10" ht="15" customHeight="1" x14ac:dyDescent="0.2">
      <c r="A87" s="142" t="s">
        <v>74</v>
      </c>
      <c r="B87" s="143"/>
      <c r="C87" s="147">
        <v>0.05</v>
      </c>
      <c r="D87" s="147"/>
      <c r="E87" s="71">
        <v>0</v>
      </c>
      <c r="F87" s="72">
        <f ca="1">((100/(H79))*E87)/100</f>
        <v>0</v>
      </c>
      <c r="G87" s="148"/>
      <c r="H87" s="149"/>
      <c r="I87" s="1" t="s">
        <v>79</v>
      </c>
      <c r="J87" s="36">
        <f>(IF(E79&gt;4,(H79/(E79+2)+J86),0))</f>
        <v>0</v>
      </c>
    </row>
    <row r="88" spans="1:10" ht="15" customHeight="1" x14ac:dyDescent="0.2">
      <c r="A88" s="142" t="s">
        <v>76</v>
      </c>
      <c r="B88" s="143"/>
      <c r="C88" s="147">
        <v>0.1</v>
      </c>
      <c r="D88" s="147"/>
      <c r="E88" s="71">
        <v>0</v>
      </c>
      <c r="F88" s="72">
        <f ca="1">((100/H79)*E88)/100</f>
        <v>0</v>
      </c>
      <c r="G88" s="148"/>
      <c r="H88" s="149"/>
      <c r="I88" s="1" t="s">
        <v>81</v>
      </c>
      <c r="J88" s="36">
        <f ca="1">(IF(E79=1,(H79/(E79+3)+J83),IF(E79=0,(H79/4+J83),IF(E79&gt;1,0))))</f>
        <v>15.75</v>
      </c>
    </row>
    <row r="89" spans="1:10" ht="15.75" customHeight="1" thickBot="1" x14ac:dyDescent="0.25">
      <c r="A89" s="142" t="s">
        <v>78</v>
      </c>
      <c r="B89" s="143"/>
      <c r="C89" s="147">
        <v>0.05</v>
      </c>
      <c r="D89" s="147"/>
      <c r="E89" s="71">
        <v>0</v>
      </c>
      <c r="F89" s="72">
        <f ca="1">((100/H79)*E89)/100</f>
        <v>0</v>
      </c>
      <c r="G89" s="148"/>
      <c r="H89" s="149"/>
      <c r="I89" s="38" t="s">
        <v>83</v>
      </c>
      <c r="J89" s="39">
        <f ca="1">(IF(E79&gt;1.5,(H79/(E79+2)+J83+MAX(0,J84-J83)+MAX(0,J85-J84)+MAX(0,J86-J85)+MAX(0,J87-J86)+MAX(0,J88-J87)),IF(E79=1,(H79/(E79+3)+J88),IF(E79=0,H79/4+J88))))</f>
        <v>21</v>
      </c>
    </row>
    <row r="90" spans="1:10" ht="13.5" thickBot="1" x14ac:dyDescent="0.25">
      <c r="A90" s="142" t="s">
        <v>80</v>
      </c>
      <c r="B90" s="143"/>
      <c r="C90" s="147">
        <v>0.05</v>
      </c>
      <c r="D90" s="147"/>
      <c r="E90" s="71">
        <v>0</v>
      </c>
      <c r="F90" s="72">
        <f ca="1">((100/(H79))*E90)/100</f>
        <v>0</v>
      </c>
      <c r="G90" s="148"/>
      <c r="H90" s="149"/>
      <c r="I90" s="6" t="str">
        <f ca="1">(IF(G96&gt;99%,"All work completed. Please provide OC.",IF(G96&gt;89.8%,"Plinth, RCC, Brick, Plaster, Flooring, Painting work Completed. Finishing work is in process.",IF(G96&lt;94%,(IF(E96=0,"Work not yet Started.",IF(F96=25%,"Piling work in process",IF(F96=50%,"Excavation work in process",IF(F96=100%,"Excavation work Completed. ","0")))&amp;(IF(E97=0%,"",IF(E97=J96,"Footing work is process",IF(E97=J97,"Footing work Completed",IF(E97=J98,"1st Basement Completed",IF(E97=J99,"1st &amp; 2nd Basement Completed",IF(E97=J100,"1st to 3rd Basement Completed",IF(E97=J101,"1st to 4th Basement Completed",IF(E97=J102,"Plinth work is process",IF(E97=J103,"Plinth work completed","0")))))))))))&amp;(IF(E98=(F93+G93+H93),", RCC Slab",IF(E98&gt;0,", RCC upto "&amp;E98&amp;" Slab",""))&amp;(IF(E99=H93,", Brickwork",IF(E99&gt;0,", Brickwork upto "&amp;E99&amp;" Floor",""))&amp;(IF(E100=H93,", Internal Plaster",IF(E100&gt;0,", Internal Plaster upto "&amp;E100&amp;" Floor",""))&amp;(IF(E101=H93,", External Plaster",IF(E101&gt;0,", External Plaster upto "&amp;E101&amp;" Floor",""))&amp;(IF(E102=H93,", Flooring",IF(E102&gt;0,", Flooring upto "&amp;E102&amp;" Floor",""))&amp;(IF(E103=H93,", Painting",IF(E103&gt;0,", Painting upto "&amp;E103&amp;" Floor",""))&amp;(IF(E104&gt;0,", Finishing upto "&amp;E104&amp;" Floor","")&amp;(IF(E98&gt;0.5," Completed",""))))))))))))))</f>
        <v>Excavation work Completed. Plinth work completed, RCC upto 1 Slab Completed</v>
      </c>
    </row>
    <row r="91" spans="1:10" ht="13.5" thickBot="1" x14ac:dyDescent="0.25">
      <c r="A91" s="126" t="s">
        <v>82</v>
      </c>
      <c r="B91" s="127"/>
      <c r="C91" s="128">
        <v>0.05</v>
      </c>
      <c r="D91" s="128"/>
      <c r="E91" s="74">
        <v>0</v>
      </c>
      <c r="F91" s="75">
        <f ca="1">((100/(H79))*E91)/100</f>
        <v>0</v>
      </c>
      <c r="G91" s="150"/>
      <c r="H91" s="151"/>
      <c r="I91" s="30"/>
    </row>
    <row r="92" spans="1:10" x14ac:dyDescent="0.2">
      <c r="A92" s="155" t="s">
        <v>330</v>
      </c>
      <c r="B92" s="156"/>
      <c r="C92" s="156"/>
      <c r="D92" s="157"/>
      <c r="E92" s="76" t="s">
        <v>57</v>
      </c>
      <c r="F92" s="76" t="s">
        <v>58</v>
      </c>
      <c r="G92" s="76" t="s">
        <v>59</v>
      </c>
      <c r="H92" s="77" t="s">
        <v>46</v>
      </c>
      <c r="I92" s="32" t="s">
        <v>137</v>
      </c>
      <c r="J92" s="33"/>
    </row>
    <row r="93" spans="1:10" x14ac:dyDescent="0.2">
      <c r="A93" s="158"/>
      <c r="B93" s="159"/>
      <c r="C93" s="159"/>
      <c r="D93" s="160"/>
      <c r="E93" s="78">
        <v>0</v>
      </c>
      <c r="F93" s="78">
        <v>1</v>
      </c>
      <c r="G93" s="78">
        <v>0</v>
      </c>
      <c r="H93" s="79">
        <f ca="1">--TRIM(RIGHT(SUBSTITUTE(LEFT(A92,_xlfn.AGGREGATE(16,6,FIND({0,1,2,3,4,5,6,7,8,9},A92,ROW(INDIRECT("1:"&amp;LEN(A92)))),1))," ",REPT(" ",LEN(A92))),LEN(A92)))</f>
        <v>21</v>
      </c>
      <c r="I93" s="1" t="s">
        <v>63</v>
      </c>
      <c r="J93" s="34">
        <f ca="1">H93*25%</f>
        <v>5.25</v>
      </c>
    </row>
    <row r="94" spans="1:10" x14ac:dyDescent="0.2">
      <c r="A94" s="80" t="s">
        <v>136</v>
      </c>
      <c r="B94" s="81"/>
      <c r="C94" s="161" t="str">
        <f ca="1">I90</f>
        <v>Excavation work Completed. Plinth work completed, RCC upto 1 Slab Completed</v>
      </c>
      <c r="D94" s="161"/>
      <c r="E94" s="161"/>
      <c r="F94" s="161"/>
      <c r="G94" s="161"/>
      <c r="H94" s="162"/>
      <c r="I94" s="1" t="s">
        <v>65</v>
      </c>
      <c r="J94" s="35">
        <f ca="1">H93*50%</f>
        <v>10.5</v>
      </c>
    </row>
    <row r="95" spans="1:10" ht="15" customHeight="1" x14ac:dyDescent="0.2">
      <c r="A95" s="142" t="s">
        <v>60</v>
      </c>
      <c r="B95" s="143"/>
      <c r="C95" s="144" t="s">
        <v>138</v>
      </c>
      <c r="D95" s="144"/>
      <c r="E95" s="70" t="s">
        <v>61</v>
      </c>
      <c r="F95" s="70" t="s">
        <v>62</v>
      </c>
      <c r="G95" s="145" t="s">
        <v>56</v>
      </c>
      <c r="H95" s="146"/>
      <c r="I95" s="1" t="s">
        <v>67</v>
      </c>
      <c r="J95" s="35">
        <f ca="1">H93</f>
        <v>21</v>
      </c>
    </row>
    <row r="96" spans="1:10" ht="15" customHeight="1" x14ac:dyDescent="0.2">
      <c r="A96" s="142" t="s">
        <v>64</v>
      </c>
      <c r="B96" s="143"/>
      <c r="C96" s="147">
        <v>0</v>
      </c>
      <c r="D96" s="147"/>
      <c r="E96" s="71">
        <f ca="1">J95</f>
        <v>21</v>
      </c>
      <c r="F96" s="72">
        <f ca="1">((100/H93)*E96)/100</f>
        <v>1</v>
      </c>
      <c r="G96" s="148">
        <f ca="1">(((E97/H93*10)+(40/(F93+G93+H93)*E98)+(15/(H93)*E99)+(5/(H93)*E100)+(5/H93*E101)+(10/H93*E102)+(5/H93*E103)+(5/H93*E104)+(5/H93*E105))/100)</f>
        <v>0.11818181818181818</v>
      </c>
      <c r="H96" s="149"/>
      <c r="I96" s="1" t="s">
        <v>69</v>
      </c>
      <c r="J96" s="36">
        <f ca="1">(IF(E93&gt;1,(H93/(E93+2)),H93/4))</f>
        <v>5.25</v>
      </c>
    </row>
    <row r="97" spans="1:12" ht="15" customHeight="1" x14ac:dyDescent="0.2">
      <c r="A97" s="142" t="s">
        <v>66</v>
      </c>
      <c r="B97" s="143"/>
      <c r="C97" s="147">
        <v>0.1</v>
      </c>
      <c r="D97" s="147"/>
      <c r="E97" s="73">
        <f ca="1">J103</f>
        <v>21</v>
      </c>
      <c r="F97" s="72">
        <f ca="1">((100/H93)*E97)/100</f>
        <v>1</v>
      </c>
      <c r="G97" s="148"/>
      <c r="H97" s="149"/>
      <c r="I97" s="1" t="s">
        <v>71</v>
      </c>
      <c r="J97" s="36">
        <f ca="1">(IF(E93&gt;1,(H93/(E93+2)+J96),H93/4+J96))</f>
        <v>10.5</v>
      </c>
    </row>
    <row r="98" spans="1:12" ht="15" customHeight="1" x14ac:dyDescent="0.2">
      <c r="A98" s="142" t="s">
        <v>68</v>
      </c>
      <c r="B98" s="143"/>
      <c r="C98" s="147">
        <v>0.4</v>
      </c>
      <c r="D98" s="147"/>
      <c r="E98" s="73">
        <v>1</v>
      </c>
      <c r="F98" s="72">
        <f ca="1">((100/(F93+G93+H93))*E98)/100</f>
        <v>4.5454545454545456E-2</v>
      </c>
      <c r="G98" s="148"/>
      <c r="H98" s="149"/>
      <c r="I98" s="1" t="s">
        <v>73</v>
      </c>
      <c r="J98" s="36">
        <f>(IF(E93&gt;1,(H93/(E93+2)+J97),0))</f>
        <v>0</v>
      </c>
    </row>
    <row r="99" spans="1:12" ht="15" customHeight="1" x14ac:dyDescent="0.2">
      <c r="A99" s="142" t="s">
        <v>70</v>
      </c>
      <c r="B99" s="143"/>
      <c r="C99" s="147">
        <v>0.15</v>
      </c>
      <c r="D99" s="147"/>
      <c r="E99" s="71">
        <v>0</v>
      </c>
      <c r="F99" s="72">
        <f ca="1">((100/H93)*E99)/100</f>
        <v>0</v>
      </c>
      <c r="G99" s="148"/>
      <c r="H99" s="149"/>
      <c r="I99" s="1" t="s">
        <v>75</v>
      </c>
      <c r="J99" s="36">
        <f>(IF(E93&gt;2,(H93/(E93+2)+J98),0))</f>
        <v>0</v>
      </c>
    </row>
    <row r="100" spans="1:12" ht="15" customHeight="1" x14ac:dyDescent="0.2">
      <c r="A100" s="142" t="s">
        <v>72</v>
      </c>
      <c r="B100" s="143"/>
      <c r="C100" s="147">
        <v>0.05</v>
      </c>
      <c r="D100" s="147"/>
      <c r="E100" s="71">
        <v>0</v>
      </c>
      <c r="F100" s="72">
        <f ca="1">((100/H93)*E100)/100</f>
        <v>0</v>
      </c>
      <c r="G100" s="148"/>
      <c r="H100" s="149"/>
      <c r="I100" s="1" t="s">
        <v>77</v>
      </c>
      <c r="J100" s="37">
        <f>(IF(E93&gt;3,(H93/(E93+2)+J99),0))</f>
        <v>0</v>
      </c>
    </row>
    <row r="101" spans="1:12" ht="15" customHeight="1" x14ac:dyDescent="0.2">
      <c r="A101" s="142" t="s">
        <v>74</v>
      </c>
      <c r="B101" s="143"/>
      <c r="C101" s="147">
        <v>0.05</v>
      </c>
      <c r="D101" s="147"/>
      <c r="E101" s="71">
        <v>0</v>
      </c>
      <c r="F101" s="72">
        <f ca="1">((100/(H93))*E101)/100</f>
        <v>0</v>
      </c>
      <c r="G101" s="148"/>
      <c r="H101" s="149"/>
      <c r="I101" s="1" t="s">
        <v>79</v>
      </c>
      <c r="J101" s="36">
        <f>(IF(E93&gt;4,(H93/(E93+2)+J100),0))</f>
        <v>0</v>
      </c>
    </row>
    <row r="102" spans="1:12" ht="15" customHeight="1" x14ac:dyDescent="0.2">
      <c r="A102" s="142" t="s">
        <v>76</v>
      </c>
      <c r="B102" s="143"/>
      <c r="C102" s="147">
        <v>0.1</v>
      </c>
      <c r="D102" s="147"/>
      <c r="E102" s="71">
        <v>0</v>
      </c>
      <c r="F102" s="72">
        <f ca="1">((100/H93)*E102)/100</f>
        <v>0</v>
      </c>
      <c r="G102" s="148"/>
      <c r="H102" s="149"/>
      <c r="I102" s="1" t="s">
        <v>81</v>
      </c>
      <c r="J102" s="36">
        <f ca="1">(IF(E93=1,(H93/(E93+3)+J97),IF(E93=0,(H93/4+J97),IF(E93&gt;1,0))))</f>
        <v>15.75</v>
      </c>
    </row>
    <row r="103" spans="1:12" ht="15.75" customHeight="1" thickBot="1" x14ac:dyDescent="0.25">
      <c r="A103" s="142" t="s">
        <v>78</v>
      </c>
      <c r="B103" s="143"/>
      <c r="C103" s="147">
        <v>0.05</v>
      </c>
      <c r="D103" s="147"/>
      <c r="E103" s="71">
        <v>0</v>
      </c>
      <c r="F103" s="72">
        <f ca="1">((100/H93)*E103)/100</f>
        <v>0</v>
      </c>
      <c r="G103" s="148"/>
      <c r="H103" s="149"/>
      <c r="I103" s="38" t="s">
        <v>83</v>
      </c>
      <c r="J103" s="39">
        <f ca="1">(IF(E93&gt;1.5,(H93/(E93+2)+J97+MAX(0,J98-J97)+MAX(0,J99-J98)+MAX(0,J100-J99)+MAX(0,J101-J100)+MAX(0,J102-J101)),IF(E93=1,(H93/(E93+3)+J102),IF(E93=0,H93/4+J102))))</f>
        <v>21</v>
      </c>
    </row>
    <row r="104" spans="1:12" ht="13.5" thickBot="1" x14ac:dyDescent="0.25">
      <c r="A104" s="142" t="s">
        <v>80</v>
      </c>
      <c r="B104" s="143"/>
      <c r="C104" s="147">
        <v>0.05</v>
      </c>
      <c r="D104" s="147"/>
      <c r="E104" s="71">
        <v>0</v>
      </c>
      <c r="F104" s="72">
        <f ca="1">((100/(H93))*E104)/100</f>
        <v>0</v>
      </c>
      <c r="G104" s="148"/>
      <c r="H104" s="149"/>
      <c r="I104" s="6" t="str">
        <f ca="1">(IF(G110&gt;99%,"All work completed. Please provide OC.",IF(G110&gt;89.8%,"Plinth, RCC, Brick, Plaster, Flooring, Painting work Completed. Finishing work is in process.",IF(G110&lt;94%,(IF(E110=0,"Work not yet Started.",IF(F110=25%,"Piling work in process",IF(F110=50%,"Excavation work in process",IF(F110=100%,"Excavation work Completed. ","0")))&amp;(IF(E111=0%,"",IF(E111=J110,"Footing work is process",IF(E111=J111,"Footing work Completed",IF(E111=J112,"1st Basement Completed",IF(E111=J113,"1st &amp; 2nd Basement Completed",IF(E111=J114,"1st to 3rd Basement Completed",IF(E111=J115,"1st to 4th Basement Completed",IF(E111=J116,"Plinth work is process",IF(E111=J117,"Plinth work completed","0")))))))))))&amp;(IF(E112=(F107+G107+H107),", RCC Slab",IF(E112&gt;0,", RCC upto "&amp;E112&amp;" Slab",""))&amp;(IF(E113=H107,", Brickwork",IF(E113&gt;0,", Brickwork upto "&amp;E113&amp;" Floor",""))&amp;(IF(E114=H107,", Internal Plaster",IF(E114&gt;0,", Internal Plaster upto "&amp;E114&amp;" Floor",""))&amp;(IF(E115=H107,", External Plaster",IF(E115&gt;0,", External Plaster upto "&amp;E115&amp;" Floor",""))&amp;(IF(E116=H107,", Flooring",IF(E116&gt;0,", Flooring upto "&amp;E116&amp;" Floor",""))&amp;(IF(E117=H107,", Painting",IF(E117&gt;0,", Painting upto "&amp;E117&amp;" Floor",""))&amp;(IF(E118&gt;0,", Finishing upto "&amp;E118&amp;" Floor","")&amp;(IF(E112&gt;0.5," Completed",""))))))))))))))</f>
        <v>Excavation work Completed. Plinth work completed, RCC upto 7 Slab Completed</v>
      </c>
    </row>
    <row r="105" spans="1:12" ht="13.5" thickBot="1" x14ac:dyDescent="0.25">
      <c r="A105" s="126" t="s">
        <v>82</v>
      </c>
      <c r="B105" s="127"/>
      <c r="C105" s="128">
        <v>0.05</v>
      </c>
      <c r="D105" s="128"/>
      <c r="E105" s="74">
        <v>0</v>
      </c>
      <c r="F105" s="75">
        <f ca="1">((100/(H93))*E105)/100</f>
        <v>0</v>
      </c>
      <c r="G105" s="150"/>
      <c r="H105" s="151"/>
      <c r="I105" s="30"/>
    </row>
    <row r="106" spans="1:12" x14ac:dyDescent="0.2">
      <c r="A106" s="155" t="s">
        <v>331</v>
      </c>
      <c r="B106" s="156"/>
      <c r="C106" s="156"/>
      <c r="D106" s="157"/>
      <c r="E106" s="76" t="s">
        <v>57</v>
      </c>
      <c r="F106" s="76" t="s">
        <v>58</v>
      </c>
      <c r="G106" s="76" t="s">
        <v>59</v>
      </c>
      <c r="H106" s="77" t="s">
        <v>46</v>
      </c>
      <c r="I106" s="32" t="s">
        <v>137</v>
      </c>
      <c r="J106" s="33"/>
    </row>
    <row r="107" spans="1:12" x14ac:dyDescent="0.2">
      <c r="A107" s="158"/>
      <c r="B107" s="159"/>
      <c r="C107" s="159"/>
      <c r="D107" s="160"/>
      <c r="E107" s="78">
        <v>0</v>
      </c>
      <c r="F107" s="78">
        <v>1</v>
      </c>
      <c r="G107" s="78">
        <v>0</v>
      </c>
      <c r="H107" s="79">
        <f ca="1">--TRIM(RIGHT(SUBSTITUTE(LEFT(A106,_xlfn.AGGREGATE(16,6,FIND({0,1,2,3,4,5,6,7,8,9},A106,ROW(INDIRECT("1:"&amp;LEN(A106)))),1))," ",REPT(" ",LEN(A106))),LEN(A106)))</f>
        <v>21</v>
      </c>
      <c r="I107" s="1" t="s">
        <v>63</v>
      </c>
      <c r="J107" s="34">
        <f ca="1">H107*25%</f>
        <v>5.25</v>
      </c>
      <c r="L107" s="48" t="s">
        <v>336</v>
      </c>
    </row>
    <row r="108" spans="1:12" ht="15" x14ac:dyDescent="0.25">
      <c r="A108" s="80" t="s">
        <v>136</v>
      </c>
      <c r="B108" s="81"/>
      <c r="C108" s="161" t="str">
        <f ca="1">I104</f>
        <v>Excavation work Completed. Plinth work completed, RCC upto 7 Slab Completed</v>
      </c>
      <c r="D108" s="161"/>
      <c r="E108" s="161"/>
      <c r="F108" s="161"/>
      <c r="G108" s="161"/>
      <c r="H108" s="162"/>
      <c r="I108" s="1" t="s">
        <v>65</v>
      </c>
      <c r="J108" s="35">
        <f ca="1">H107*50%</f>
        <v>10.5</v>
      </c>
      <c r="L108" s="51" t="s">
        <v>337</v>
      </c>
    </row>
    <row r="109" spans="1:12" ht="15" customHeight="1" x14ac:dyDescent="0.2">
      <c r="A109" s="163" t="s">
        <v>60</v>
      </c>
      <c r="B109" s="164"/>
      <c r="C109" s="165" t="s">
        <v>138</v>
      </c>
      <c r="D109" s="165"/>
      <c r="E109" s="82" t="s">
        <v>61</v>
      </c>
      <c r="F109" s="82" t="s">
        <v>62</v>
      </c>
      <c r="G109" s="166" t="s">
        <v>56</v>
      </c>
      <c r="H109" s="167"/>
      <c r="I109" s="1" t="s">
        <v>67</v>
      </c>
      <c r="J109" s="35">
        <f ca="1">H107</f>
        <v>21</v>
      </c>
    </row>
    <row r="110" spans="1:12" ht="15" customHeight="1" x14ac:dyDescent="0.2">
      <c r="A110" s="163" t="s">
        <v>64</v>
      </c>
      <c r="B110" s="164"/>
      <c r="C110" s="168">
        <v>0</v>
      </c>
      <c r="D110" s="168"/>
      <c r="E110" s="83">
        <f ca="1">J109</f>
        <v>21</v>
      </c>
      <c r="F110" s="84">
        <f ca="1">((100/H107)*E110)/100</f>
        <v>1</v>
      </c>
      <c r="G110" s="169">
        <f ca="1">(((E111/H107*10)+(40/(F107+G107+H107)*E112)+(15/(H107)*E113)+(5/(H107)*E114)+(5/H107*E115)+(10/H107*E116)+(5/H107*E117)+(5/H107*E118)+(5/H107*E119))/100)</f>
        <v>0.22727272727272727</v>
      </c>
      <c r="H110" s="170"/>
      <c r="I110" s="1" t="s">
        <v>69</v>
      </c>
      <c r="J110" s="36">
        <f ca="1">(IF(E107&gt;1,(H107/(E107+2)),H107/4))</f>
        <v>5.25</v>
      </c>
    </row>
    <row r="111" spans="1:12" ht="15" customHeight="1" x14ac:dyDescent="0.2">
      <c r="A111" s="163" t="s">
        <v>66</v>
      </c>
      <c r="B111" s="164"/>
      <c r="C111" s="168">
        <v>0.1</v>
      </c>
      <c r="D111" s="168"/>
      <c r="E111" s="85">
        <f ca="1">J117</f>
        <v>21</v>
      </c>
      <c r="F111" s="84">
        <f ca="1">((100/H107)*E111)/100</f>
        <v>1</v>
      </c>
      <c r="G111" s="169"/>
      <c r="H111" s="170"/>
      <c r="I111" s="1" t="s">
        <v>71</v>
      </c>
      <c r="J111" s="36">
        <f ca="1">(IF(E107&gt;1,(H107/(E107+2)+J110),H107/4+J110))</f>
        <v>10.5</v>
      </c>
    </row>
    <row r="112" spans="1:12" ht="15" customHeight="1" x14ac:dyDescent="0.2">
      <c r="A112" s="163" t="s">
        <v>68</v>
      </c>
      <c r="B112" s="164"/>
      <c r="C112" s="168">
        <v>0.4</v>
      </c>
      <c r="D112" s="168"/>
      <c r="E112" s="85">
        <v>7</v>
      </c>
      <c r="F112" s="84">
        <f ca="1">((100/(F107+G107+H107))*E112)/100</f>
        <v>0.31818181818181818</v>
      </c>
      <c r="G112" s="169"/>
      <c r="H112" s="170"/>
      <c r="I112" s="1" t="s">
        <v>73</v>
      </c>
      <c r="J112" s="36">
        <f>(IF(E107&gt;1,(H107/(E107+2)+J111),0))</f>
        <v>0</v>
      </c>
    </row>
    <row r="113" spans="1:12" ht="15" customHeight="1" x14ac:dyDescent="0.2">
      <c r="A113" s="163" t="s">
        <v>70</v>
      </c>
      <c r="B113" s="164"/>
      <c r="C113" s="168">
        <v>0.15</v>
      </c>
      <c r="D113" s="168"/>
      <c r="E113" s="85">
        <v>0</v>
      </c>
      <c r="F113" s="84">
        <f ca="1">((100/H107)*E113)/100</f>
        <v>0</v>
      </c>
      <c r="G113" s="169"/>
      <c r="H113" s="170"/>
      <c r="I113" s="1" t="s">
        <v>75</v>
      </c>
      <c r="J113" s="36">
        <f>(IF(E107&gt;2,(H107/(E107+2)+J112),0))</f>
        <v>0</v>
      </c>
    </row>
    <row r="114" spans="1:12" ht="15" customHeight="1" x14ac:dyDescent="0.2">
      <c r="A114" s="163" t="s">
        <v>72</v>
      </c>
      <c r="B114" s="164"/>
      <c r="C114" s="168">
        <v>0.05</v>
      </c>
      <c r="D114" s="168"/>
      <c r="E114" s="85">
        <v>0</v>
      </c>
      <c r="F114" s="84">
        <f ca="1">((100/H107)*E114)/100</f>
        <v>0</v>
      </c>
      <c r="G114" s="169"/>
      <c r="H114" s="170"/>
      <c r="I114" s="1" t="s">
        <v>77</v>
      </c>
      <c r="J114" s="37">
        <f>(IF(E107&gt;3,(H107/(E107+2)+J113),0))</f>
        <v>0</v>
      </c>
    </row>
    <row r="115" spans="1:12" ht="15" customHeight="1" x14ac:dyDescent="0.2">
      <c r="A115" s="163" t="s">
        <v>74</v>
      </c>
      <c r="B115" s="164"/>
      <c r="C115" s="168">
        <v>0.05</v>
      </c>
      <c r="D115" s="168"/>
      <c r="E115" s="83">
        <v>0</v>
      </c>
      <c r="F115" s="84">
        <f ca="1">((100/(H107))*E115)/100</f>
        <v>0</v>
      </c>
      <c r="G115" s="169"/>
      <c r="H115" s="170"/>
      <c r="I115" s="1" t="s">
        <v>79</v>
      </c>
      <c r="J115" s="36">
        <f>(IF(E107&gt;4,(H107/(E107+2)+J114),0))</f>
        <v>0</v>
      </c>
    </row>
    <row r="116" spans="1:12" ht="15" customHeight="1" x14ac:dyDescent="0.2">
      <c r="A116" s="163" t="s">
        <v>76</v>
      </c>
      <c r="B116" s="164"/>
      <c r="C116" s="168">
        <v>0.1</v>
      </c>
      <c r="D116" s="168"/>
      <c r="E116" s="83">
        <v>0</v>
      </c>
      <c r="F116" s="84">
        <f ca="1">((100/H107)*E116)/100</f>
        <v>0</v>
      </c>
      <c r="G116" s="169"/>
      <c r="H116" s="170"/>
      <c r="I116" s="1" t="s">
        <v>81</v>
      </c>
      <c r="J116" s="36">
        <f ca="1">(IF(E107=1,(H107/(E107+3)+J111),IF(E107=0,(H107/4+J111),IF(E107&gt;1,0))))</f>
        <v>15.75</v>
      </c>
    </row>
    <row r="117" spans="1:12" ht="15.75" customHeight="1" thickBot="1" x14ac:dyDescent="0.25">
      <c r="A117" s="163" t="s">
        <v>78</v>
      </c>
      <c r="B117" s="164"/>
      <c r="C117" s="168">
        <v>0.05</v>
      </c>
      <c r="D117" s="168"/>
      <c r="E117" s="83">
        <v>0</v>
      </c>
      <c r="F117" s="84">
        <f ca="1">((100/H107)*E117)/100</f>
        <v>0</v>
      </c>
      <c r="G117" s="169"/>
      <c r="H117" s="170"/>
      <c r="I117" s="38" t="s">
        <v>83</v>
      </c>
      <c r="J117" s="39">
        <f ca="1">(IF(E107&gt;1.5,(H107/(E107+2)+J111+MAX(0,J112-J111)+MAX(0,J113-J112)+MAX(0,J114-J113)+MAX(0,J115-J114)+MAX(0,J116-J115)),IF(E107=1,(H107/(E107+3)+J116),IF(E107=0,H107/4+J116))))</f>
        <v>21</v>
      </c>
    </row>
    <row r="118" spans="1:12" ht="13.5" thickBot="1" x14ac:dyDescent="0.25">
      <c r="A118" s="163" t="s">
        <v>80</v>
      </c>
      <c r="B118" s="164"/>
      <c r="C118" s="168">
        <v>0.05</v>
      </c>
      <c r="D118" s="168"/>
      <c r="E118" s="83">
        <v>0</v>
      </c>
      <c r="F118" s="84">
        <f ca="1">((100/(H107))*E118)/100</f>
        <v>0</v>
      </c>
      <c r="G118" s="169"/>
      <c r="H118" s="170"/>
      <c r="I118" s="6" t="str">
        <f ca="1">(IF(G124&gt;99%,"All work completed. Please provide OC.",IF(G124&gt;89.8%,"Plinth, RCC, Brick, Plaster, Flooring, Painting work Completed. Finishing work is in process.",IF(G124&lt;94%,(IF(E124=0,"Work not yet Started.",IF(F124=25%,"Piling work in process",IF(F124=50%,"Excavation work in process",IF(F124=100%,"Excavation work Completed. ","0")))&amp;(IF(E125=0%,"",IF(E125=J124,"Footing work is process",IF(E125=J125,"Footing work Completed",IF(E125=J126,"1st Basement Completed",IF(E125=J127,"1st &amp; 2nd Basement Completed",IF(E125=J128,"1st to 3rd Basement Completed",IF(E125=J129,"1st to 4th Basement Completed",IF(E125=J130,"Plinth work is process",IF(E125=J131,"Plinth work completed","0")))))))))))&amp;(IF(E126=(F121+G121+H121),", RCC Slab",IF(E126&gt;0,", RCC upto "&amp;E126&amp;" Slab",""))&amp;(IF(E127=H121,", Brickwork",IF(E127&gt;0,", Brickwork upto "&amp;E127&amp;" Floor",""))&amp;(IF(E128=H121,", Internal Plaster",IF(E128&gt;0,", Internal Plaster upto "&amp;E128&amp;" Floor",""))&amp;(IF(E129=H121,", External Plaster",IF(E129&gt;0,", External Plaster upto "&amp;E129&amp;" Floor",""))&amp;(IF(E130=H121,", Flooring",IF(E130&gt;0,", Flooring upto "&amp;E130&amp;" Floor",""))&amp;(IF(E131=H121,", Painting",IF(E131&gt;0,", Painting upto "&amp;E131&amp;" Floor",""))&amp;(IF(E132&gt;0,", Finishing upto "&amp;E132&amp;" Floor","")&amp;(IF(E126&gt;0.5," Completed",""))))))))))))))</f>
        <v>Excavation work Completed. Plinth work completed, RCC upto 6 Slab Completed</v>
      </c>
    </row>
    <row r="119" spans="1:12" ht="13.5" thickBot="1" x14ac:dyDescent="0.25">
      <c r="A119" s="152" t="s">
        <v>82</v>
      </c>
      <c r="B119" s="153"/>
      <c r="C119" s="154">
        <v>0.05</v>
      </c>
      <c r="D119" s="154"/>
      <c r="E119" s="86">
        <v>0</v>
      </c>
      <c r="F119" s="87">
        <f ca="1">((100/(H107))*E119)/100</f>
        <v>0</v>
      </c>
      <c r="G119" s="171"/>
      <c r="H119" s="172"/>
      <c r="I119" s="30"/>
    </row>
    <row r="120" spans="1:12" x14ac:dyDescent="0.2">
      <c r="A120" s="134" t="s">
        <v>332</v>
      </c>
      <c r="B120" s="135"/>
      <c r="C120" s="135"/>
      <c r="D120" s="136"/>
      <c r="E120" s="64" t="s">
        <v>57</v>
      </c>
      <c r="F120" s="64" t="s">
        <v>58</v>
      </c>
      <c r="G120" s="64" t="s">
        <v>59</v>
      </c>
      <c r="H120" s="65" t="s">
        <v>46</v>
      </c>
      <c r="I120" s="32" t="s">
        <v>137</v>
      </c>
      <c r="J120" s="33"/>
    </row>
    <row r="121" spans="1:12" x14ac:dyDescent="0.2">
      <c r="A121" s="137"/>
      <c r="B121" s="138"/>
      <c r="C121" s="138"/>
      <c r="D121" s="139"/>
      <c r="E121" s="66">
        <v>0</v>
      </c>
      <c r="F121" s="66">
        <v>1</v>
      </c>
      <c r="G121" s="66">
        <v>0</v>
      </c>
      <c r="H121" s="67">
        <f ca="1">--TRIM(RIGHT(SUBSTITUTE(LEFT(A120,_xlfn.AGGREGATE(16,6,FIND({0,1,2,3,4,5,6,7,8,9},A120,ROW(INDIRECT("1:"&amp;LEN(A120)))),1))," ",REPT(" ",LEN(A120))),LEN(A120)))</f>
        <v>21</v>
      </c>
      <c r="I121" s="1" t="s">
        <v>63</v>
      </c>
      <c r="J121" s="34">
        <f ca="1">H121*25%</f>
        <v>5.25</v>
      </c>
    </row>
    <row r="122" spans="1:12" x14ac:dyDescent="0.2">
      <c r="A122" s="68" t="s">
        <v>136</v>
      </c>
      <c r="B122" s="69"/>
      <c r="C122" s="140" t="str">
        <f ca="1">I118</f>
        <v>Excavation work Completed. Plinth work completed, RCC upto 6 Slab Completed</v>
      </c>
      <c r="D122" s="140"/>
      <c r="E122" s="140"/>
      <c r="F122" s="140"/>
      <c r="G122" s="140"/>
      <c r="H122" s="141"/>
      <c r="I122" s="1" t="s">
        <v>65</v>
      </c>
      <c r="J122" s="35">
        <f ca="1">H121*50%</f>
        <v>10.5</v>
      </c>
      <c r="L122" s="48" t="s">
        <v>336</v>
      </c>
    </row>
    <row r="123" spans="1:12" ht="15" customHeight="1" x14ac:dyDescent="0.25">
      <c r="A123" s="142" t="s">
        <v>60</v>
      </c>
      <c r="B123" s="143"/>
      <c r="C123" s="144" t="s">
        <v>138</v>
      </c>
      <c r="D123" s="144"/>
      <c r="E123" s="70" t="s">
        <v>61</v>
      </c>
      <c r="F123" s="70" t="s">
        <v>62</v>
      </c>
      <c r="G123" s="145" t="s">
        <v>56</v>
      </c>
      <c r="H123" s="146"/>
      <c r="I123" s="1" t="s">
        <v>67</v>
      </c>
      <c r="J123" s="35">
        <f ca="1">H121</f>
        <v>21</v>
      </c>
      <c r="L123" s="51" t="s">
        <v>337</v>
      </c>
    </row>
    <row r="124" spans="1:12" ht="15" customHeight="1" x14ac:dyDescent="0.2">
      <c r="A124" s="142" t="s">
        <v>64</v>
      </c>
      <c r="B124" s="143"/>
      <c r="C124" s="147">
        <v>0</v>
      </c>
      <c r="D124" s="147"/>
      <c r="E124" s="71">
        <f ca="1">J123</f>
        <v>21</v>
      </c>
      <c r="F124" s="72">
        <f ca="1">((100/H121)*E124)/100</f>
        <v>1</v>
      </c>
      <c r="G124" s="148">
        <f ca="1">(((E125/H121*10)+(40/(F121+G121+H121)*E126)+(15/(H121)*E127)+(5/(H121)*E128)+(5/H121*E129)+(10/H121*E130)+(5/H121*E131)+(5/H121*E132)+(5/H121*E133))/100)</f>
        <v>0.20909090909090908</v>
      </c>
      <c r="H124" s="149"/>
      <c r="I124" s="1" t="s">
        <v>69</v>
      </c>
      <c r="J124" s="36">
        <f ca="1">(IF(E121&gt;1,(H121/(E121+2)),H121/4))</f>
        <v>5.25</v>
      </c>
    </row>
    <row r="125" spans="1:12" ht="15" customHeight="1" x14ac:dyDescent="0.2">
      <c r="A125" s="142" t="s">
        <v>66</v>
      </c>
      <c r="B125" s="143"/>
      <c r="C125" s="147">
        <v>0.1</v>
      </c>
      <c r="D125" s="147"/>
      <c r="E125" s="73">
        <f ca="1">J131</f>
        <v>21</v>
      </c>
      <c r="F125" s="72">
        <f ca="1">((100/H121)*E125)/100</f>
        <v>1</v>
      </c>
      <c r="G125" s="148"/>
      <c r="H125" s="149"/>
      <c r="I125" s="1" t="s">
        <v>71</v>
      </c>
      <c r="J125" s="36">
        <f ca="1">(IF(E121&gt;1,(H121/(E121+2)+J124),H121/4+J124))</f>
        <v>10.5</v>
      </c>
    </row>
    <row r="126" spans="1:12" ht="15" customHeight="1" x14ac:dyDescent="0.2">
      <c r="A126" s="142" t="s">
        <v>68</v>
      </c>
      <c r="B126" s="143"/>
      <c r="C126" s="147">
        <v>0.4</v>
      </c>
      <c r="D126" s="147"/>
      <c r="E126" s="73">
        <v>6</v>
      </c>
      <c r="F126" s="72">
        <f ca="1">((100/(F121+G121+H121))*E126)/100</f>
        <v>0.27272727272727271</v>
      </c>
      <c r="G126" s="148"/>
      <c r="H126" s="149"/>
      <c r="I126" s="1" t="s">
        <v>73</v>
      </c>
      <c r="J126" s="36">
        <f>(IF(E121&gt;1,(H121/(E121+2)+J125),0))</f>
        <v>0</v>
      </c>
    </row>
    <row r="127" spans="1:12" ht="15" customHeight="1" x14ac:dyDescent="0.2">
      <c r="A127" s="142" t="s">
        <v>70</v>
      </c>
      <c r="B127" s="143"/>
      <c r="C127" s="147">
        <v>0.15</v>
      </c>
      <c r="D127" s="147"/>
      <c r="E127" s="73">
        <v>0</v>
      </c>
      <c r="F127" s="72">
        <f ca="1">((100/H121)*E127)/100</f>
        <v>0</v>
      </c>
      <c r="G127" s="148"/>
      <c r="H127" s="149"/>
      <c r="I127" s="1" t="s">
        <v>75</v>
      </c>
      <c r="J127" s="36">
        <f>(IF(E121&gt;2,(H121/(E121+2)+J126),0))</f>
        <v>0</v>
      </c>
    </row>
    <row r="128" spans="1:12" ht="15" customHeight="1" x14ac:dyDescent="0.2">
      <c r="A128" s="142" t="s">
        <v>72</v>
      </c>
      <c r="B128" s="143"/>
      <c r="C128" s="147">
        <v>0.05</v>
      </c>
      <c r="D128" s="147"/>
      <c r="E128" s="73">
        <v>0</v>
      </c>
      <c r="F128" s="72">
        <f ca="1">((100/H121)*E128)/100</f>
        <v>0</v>
      </c>
      <c r="G128" s="148"/>
      <c r="H128" s="149"/>
      <c r="I128" s="1" t="s">
        <v>77</v>
      </c>
      <c r="J128" s="37">
        <f>(IF(E121&gt;3,(H121/(E121+2)+J127),0))</f>
        <v>0</v>
      </c>
    </row>
    <row r="129" spans="1:12" ht="15" customHeight="1" x14ac:dyDescent="0.2">
      <c r="A129" s="142" t="s">
        <v>74</v>
      </c>
      <c r="B129" s="143"/>
      <c r="C129" s="147">
        <v>0.05</v>
      </c>
      <c r="D129" s="147"/>
      <c r="E129" s="71">
        <v>0</v>
      </c>
      <c r="F129" s="72">
        <f ca="1">((100/(H121))*E129)/100</f>
        <v>0</v>
      </c>
      <c r="G129" s="148"/>
      <c r="H129" s="149"/>
      <c r="I129" s="1" t="s">
        <v>79</v>
      </c>
      <c r="J129" s="36">
        <f>(IF(E121&gt;4,(H121/(E121+2)+J128),0))</f>
        <v>0</v>
      </c>
    </row>
    <row r="130" spans="1:12" ht="15" customHeight="1" x14ac:dyDescent="0.2">
      <c r="A130" s="142" t="s">
        <v>76</v>
      </c>
      <c r="B130" s="143"/>
      <c r="C130" s="147">
        <v>0.1</v>
      </c>
      <c r="D130" s="147"/>
      <c r="E130" s="71">
        <v>0</v>
      </c>
      <c r="F130" s="72">
        <f ca="1">((100/H121)*E130)/100</f>
        <v>0</v>
      </c>
      <c r="G130" s="148"/>
      <c r="H130" s="149"/>
      <c r="I130" s="1" t="s">
        <v>81</v>
      </c>
      <c r="J130" s="36">
        <f ca="1">(IF(E121=1,(H121/(E121+3)+J125),IF(E121=0,(H121/4+J125),IF(E121&gt;1,0))))</f>
        <v>15.75</v>
      </c>
    </row>
    <row r="131" spans="1:12" ht="15.75" customHeight="1" thickBot="1" x14ac:dyDescent="0.25">
      <c r="A131" s="142" t="s">
        <v>78</v>
      </c>
      <c r="B131" s="143"/>
      <c r="C131" s="147">
        <v>0.05</v>
      </c>
      <c r="D131" s="147"/>
      <c r="E131" s="71">
        <v>0</v>
      </c>
      <c r="F131" s="72">
        <f ca="1">((100/H121)*E131)/100</f>
        <v>0</v>
      </c>
      <c r="G131" s="148"/>
      <c r="H131" s="149"/>
      <c r="I131" s="38" t="s">
        <v>83</v>
      </c>
      <c r="J131" s="39">
        <f ca="1">(IF(E121&gt;1.5,(H121/(E121+2)+J125+MAX(0,J126-J125)+MAX(0,J127-J126)+MAX(0,J128-J127)+MAX(0,J129-J128)+MAX(0,J130-J129)),IF(E121=1,(H121/(E121+3)+J130),IF(E121=0,H121/4+J130))))</f>
        <v>21</v>
      </c>
    </row>
    <row r="132" spans="1:12" ht="13.5" thickBot="1" x14ac:dyDescent="0.25">
      <c r="A132" s="142" t="s">
        <v>80</v>
      </c>
      <c r="B132" s="143"/>
      <c r="C132" s="147">
        <v>0.05</v>
      </c>
      <c r="D132" s="147"/>
      <c r="E132" s="71">
        <v>0</v>
      </c>
      <c r="F132" s="72">
        <f ca="1">((100/(H121))*E132)/100</f>
        <v>0</v>
      </c>
      <c r="G132" s="148"/>
      <c r="H132" s="149"/>
      <c r="I132" s="6" t="str">
        <f ca="1">(IF(G138&gt;99%,"All work completed. Please provide OC.",IF(G138&gt;89.8%,"Plinth, RCC, Brick, Plaster, Flooring, Painting work Completed. Finishing work is in process.",IF(G138&lt;94%,(IF(E138=0,"Work not yet Started.",IF(F138=25%,"Piling work in process",IF(F138=50%,"Excavation work in process",IF(F138=100%,"Excavation work Completed. ","0")))&amp;(IF(E139=0%,"",IF(E139=J138,"Footing work is process",IF(E139=J139,"Footing work Completed",IF(E139=J140,"1st Basement Completed",IF(E139=J141,"1st &amp; 2nd Basement Completed",IF(E139=J142,"1st to 3rd Basement Completed",IF(E139=J143,"1st to 4th Basement Completed",IF(E139=J144,"Plinth work is process",IF(E139=J145,"Plinth work completed","0")))))))))))&amp;(IF(E140=(F135+G135+H135),", RCC Slab",IF(E140&gt;0,", RCC upto "&amp;E140&amp;" Slab",""))&amp;(IF(E141=H135,", Brickwork",IF(E141&gt;0,", Brickwork upto "&amp;E141&amp;" Floor",""))&amp;(IF(E142=H135,", Internal Plaster",IF(E142&gt;0,", Internal Plaster upto "&amp;E142&amp;" Floor",""))&amp;(IF(E143=H135,", External Plaster",IF(E143&gt;0,", External Plaster upto "&amp;E143&amp;" Floor",""))&amp;(IF(E144=H135,", Flooring",IF(E144&gt;0,", Flooring upto "&amp;E144&amp;" Floor",""))&amp;(IF(E145=H135,", Painting",IF(E145&gt;0,", Painting upto "&amp;E145&amp;" Floor",""))&amp;(IF(E146&gt;0,", Finishing upto "&amp;E146&amp;" Floor","")&amp;(IF(E140&gt;0.5," Completed",""))))))))))))))</f>
        <v>Excavation work Completed. Plinth work completed, RCC upto 7 Slab Completed</v>
      </c>
    </row>
    <row r="133" spans="1:12" ht="13.5" thickBot="1" x14ac:dyDescent="0.25">
      <c r="A133" s="126" t="s">
        <v>82</v>
      </c>
      <c r="B133" s="127"/>
      <c r="C133" s="128">
        <v>0.05</v>
      </c>
      <c r="D133" s="128"/>
      <c r="E133" s="74">
        <v>0</v>
      </c>
      <c r="F133" s="75">
        <f ca="1">((100/(H121))*E133)/100</f>
        <v>0</v>
      </c>
      <c r="G133" s="150"/>
      <c r="H133" s="151"/>
      <c r="I133" s="30"/>
    </row>
    <row r="134" spans="1:12" ht="12" customHeight="1" x14ac:dyDescent="0.2">
      <c r="A134" s="134" t="s">
        <v>333</v>
      </c>
      <c r="B134" s="135"/>
      <c r="C134" s="135"/>
      <c r="D134" s="136"/>
      <c r="E134" s="64" t="s">
        <v>57</v>
      </c>
      <c r="F134" s="64" t="s">
        <v>58</v>
      </c>
      <c r="G134" s="64" t="s">
        <v>59</v>
      </c>
      <c r="H134" s="65" t="s">
        <v>46</v>
      </c>
      <c r="I134" s="32" t="s">
        <v>137</v>
      </c>
      <c r="J134" s="33"/>
    </row>
    <row r="135" spans="1:12" x14ac:dyDescent="0.2">
      <c r="A135" s="137"/>
      <c r="B135" s="138"/>
      <c r="C135" s="138"/>
      <c r="D135" s="139"/>
      <c r="E135" s="66">
        <v>0</v>
      </c>
      <c r="F135" s="66">
        <v>1</v>
      </c>
      <c r="G135" s="66">
        <v>0</v>
      </c>
      <c r="H135" s="67">
        <f ca="1">--TRIM(RIGHT(SUBSTITUTE(LEFT(A134,_xlfn.AGGREGATE(16,6,FIND({0,1,2,3,4,5,6,7,8,9},A134,ROW(INDIRECT("1:"&amp;LEN(A134)))),1))," ",REPT(" ",LEN(A134))),LEN(A134)))</f>
        <v>21</v>
      </c>
      <c r="I135" s="1" t="s">
        <v>63</v>
      </c>
      <c r="J135" s="34">
        <f ca="1">H135*25%</f>
        <v>5.25</v>
      </c>
    </row>
    <row r="136" spans="1:12" x14ac:dyDescent="0.2">
      <c r="A136" s="68" t="s">
        <v>136</v>
      </c>
      <c r="B136" s="69"/>
      <c r="C136" s="140" t="str">
        <f ca="1">I132</f>
        <v>Excavation work Completed. Plinth work completed, RCC upto 7 Slab Completed</v>
      </c>
      <c r="D136" s="140"/>
      <c r="E136" s="140"/>
      <c r="F136" s="140"/>
      <c r="G136" s="140"/>
      <c r="H136" s="141"/>
      <c r="I136" s="1" t="s">
        <v>65</v>
      </c>
      <c r="J136" s="35">
        <f ca="1">H135*50%</f>
        <v>10.5</v>
      </c>
    </row>
    <row r="137" spans="1:12" ht="15" customHeight="1" x14ac:dyDescent="0.2">
      <c r="A137" s="142" t="s">
        <v>60</v>
      </c>
      <c r="B137" s="143"/>
      <c r="C137" s="144" t="s">
        <v>138</v>
      </c>
      <c r="D137" s="144"/>
      <c r="E137" s="70" t="s">
        <v>61</v>
      </c>
      <c r="F137" s="70" t="s">
        <v>62</v>
      </c>
      <c r="G137" s="145" t="s">
        <v>56</v>
      </c>
      <c r="H137" s="146"/>
      <c r="I137" s="1" t="s">
        <v>67</v>
      </c>
      <c r="J137" s="35">
        <f ca="1">H135</f>
        <v>21</v>
      </c>
      <c r="L137" s="48" t="s">
        <v>336</v>
      </c>
    </row>
    <row r="138" spans="1:12" ht="15" customHeight="1" x14ac:dyDescent="0.25">
      <c r="A138" s="142" t="s">
        <v>64</v>
      </c>
      <c r="B138" s="143"/>
      <c r="C138" s="147">
        <v>0</v>
      </c>
      <c r="D138" s="147"/>
      <c r="E138" s="71">
        <f ca="1">J137</f>
        <v>21</v>
      </c>
      <c r="F138" s="72">
        <f ca="1">((100/H135)*E138)/100</f>
        <v>1</v>
      </c>
      <c r="G138" s="148">
        <f ca="1">(((E139/H135*10)+(40/(F135+G135+H135)*E140)+(15/(H135)*E141)+(5/(H135)*E142)+(5/H135*E143)+(10/H135*E144)+(5/H135*E145)+(5/H135*E146)+(5/H135*E147))/100)</f>
        <v>0.22727272727272727</v>
      </c>
      <c r="H138" s="149"/>
      <c r="I138" s="1" t="s">
        <v>69</v>
      </c>
      <c r="J138" s="36">
        <f ca="1">(IF(E135&gt;1,(H135/(E135+2)),H135/4))</f>
        <v>5.25</v>
      </c>
      <c r="L138" s="51" t="s">
        <v>337</v>
      </c>
    </row>
    <row r="139" spans="1:12" ht="15" customHeight="1" x14ac:dyDescent="0.2">
      <c r="A139" s="142" t="s">
        <v>66</v>
      </c>
      <c r="B139" s="143"/>
      <c r="C139" s="147">
        <v>0.1</v>
      </c>
      <c r="D139" s="147"/>
      <c r="E139" s="73">
        <f ca="1">J145</f>
        <v>21</v>
      </c>
      <c r="F139" s="72">
        <f ca="1">((100/H135)*E139)/100</f>
        <v>1</v>
      </c>
      <c r="G139" s="148"/>
      <c r="H139" s="149"/>
      <c r="I139" s="1" t="s">
        <v>71</v>
      </c>
      <c r="J139" s="36">
        <f ca="1">(IF(E135&gt;1,(H135/(E135+2)+J138),H135/4+J138))</f>
        <v>10.5</v>
      </c>
    </row>
    <row r="140" spans="1:12" ht="15" customHeight="1" x14ac:dyDescent="0.2">
      <c r="A140" s="142" t="s">
        <v>68</v>
      </c>
      <c r="B140" s="143"/>
      <c r="C140" s="147">
        <v>0.4</v>
      </c>
      <c r="D140" s="147"/>
      <c r="E140" s="73">
        <v>7</v>
      </c>
      <c r="F140" s="72">
        <f ca="1">((100/(F135+G135+H135))*E140)/100</f>
        <v>0.31818181818181818</v>
      </c>
      <c r="G140" s="148"/>
      <c r="H140" s="149"/>
      <c r="I140" s="1" t="s">
        <v>73</v>
      </c>
      <c r="J140" s="36">
        <f>(IF(E135&gt;1,(H135/(E135+2)+J139),0))</f>
        <v>0</v>
      </c>
    </row>
    <row r="141" spans="1:12" ht="15" customHeight="1" x14ac:dyDescent="0.2">
      <c r="A141" s="142" t="s">
        <v>70</v>
      </c>
      <c r="B141" s="143"/>
      <c r="C141" s="147">
        <v>0.15</v>
      </c>
      <c r="D141" s="147"/>
      <c r="E141" s="73">
        <v>0</v>
      </c>
      <c r="F141" s="72">
        <f ca="1">((100/H135)*E141)/100</f>
        <v>0</v>
      </c>
      <c r="G141" s="148"/>
      <c r="H141" s="149"/>
      <c r="I141" s="1" t="s">
        <v>75</v>
      </c>
      <c r="J141" s="36">
        <f>(IF(E135&gt;2,(H135/(E135+2)+J140),0))</f>
        <v>0</v>
      </c>
    </row>
    <row r="142" spans="1:12" ht="15" customHeight="1" x14ac:dyDescent="0.2">
      <c r="A142" s="142" t="s">
        <v>72</v>
      </c>
      <c r="B142" s="143"/>
      <c r="C142" s="147">
        <v>0.05</v>
      </c>
      <c r="D142" s="147"/>
      <c r="E142" s="73">
        <v>0</v>
      </c>
      <c r="F142" s="72">
        <f ca="1">((100/H135)*E142)/100</f>
        <v>0</v>
      </c>
      <c r="G142" s="148"/>
      <c r="H142" s="149"/>
      <c r="I142" s="1" t="s">
        <v>77</v>
      </c>
      <c r="J142" s="37">
        <f>(IF(E135&gt;3,(H135/(E135+2)+J141),0))</f>
        <v>0</v>
      </c>
    </row>
    <row r="143" spans="1:12" ht="15" customHeight="1" x14ac:dyDescent="0.2">
      <c r="A143" s="142" t="s">
        <v>74</v>
      </c>
      <c r="B143" s="143"/>
      <c r="C143" s="147">
        <v>0.05</v>
      </c>
      <c r="D143" s="147"/>
      <c r="E143" s="71">
        <v>0</v>
      </c>
      <c r="F143" s="72">
        <f ca="1">((100/(H135))*E143)/100</f>
        <v>0</v>
      </c>
      <c r="G143" s="148"/>
      <c r="H143" s="149"/>
      <c r="I143" s="1" t="s">
        <v>79</v>
      </c>
      <c r="J143" s="36">
        <f>(IF(E135&gt;4,(H135/(E135+2)+J142),0))</f>
        <v>0</v>
      </c>
    </row>
    <row r="144" spans="1:12" ht="15" customHeight="1" x14ac:dyDescent="0.2">
      <c r="A144" s="142" t="s">
        <v>76</v>
      </c>
      <c r="B144" s="143"/>
      <c r="C144" s="147">
        <v>0.1</v>
      </c>
      <c r="D144" s="147"/>
      <c r="E144" s="71">
        <v>0</v>
      </c>
      <c r="F144" s="72">
        <f ca="1">((100/H135)*E144)/100</f>
        <v>0</v>
      </c>
      <c r="G144" s="148"/>
      <c r="H144" s="149"/>
      <c r="I144" s="1" t="s">
        <v>81</v>
      </c>
      <c r="J144" s="36">
        <f ca="1">(IF(E135=1,(H135/(E135+3)+J139),IF(E135=0,(H135/4+J139),IF(E135&gt;1,0))))</f>
        <v>15.75</v>
      </c>
    </row>
    <row r="145" spans="1:12" ht="15.75" customHeight="1" thickBot="1" x14ac:dyDescent="0.25">
      <c r="A145" s="142" t="s">
        <v>78</v>
      </c>
      <c r="B145" s="143"/>
      <c r="C145" s="147">
        <v>0.05</v>
      </c>
      <c r="D145" s="147"/>
      <c r="E145" s="71">
        <v>0</v>
      </c>
      <c r="F145" s="72">
        <f ca="1">((100/H135)*E145)/100</f>
        <v>0</v>
      </c>
      <c r="G145" s="148"/>
      <c r="H145" s="149"/>
      <c r="I145" s="38" t="s">
        <v>83</v>
      </c>
      <c r="J145" s="39">
        <f ca="1">(IF(E135&gt;1.5,(H135/(E135+2)+J139+MAX(0,J140-J139)+MAX(0,J141-J140)+MAX(0,J142-J141)+MAX(0,J143-J142)+MAX(0,J144-J143)),IF(E135=1,(H135/(E135+3)+J144),IF(E135=0,H135/4+J144))))</f>
        <v>21</v>
      </c>
    </row>
    <row r="146" spans="1:12" ht="13.5" thickBot="1" x14ac:dyDescent="0.25">
      <c r="A146" s="142" t="s">
        <v>80</v>
      </c>
      <c r="B146" s="143"/>
      <c r="C146" s="147">
        <v>0.05</v>
      </c>
      <c r="D146" s="147"/>
      <c r="E146" s="71">
        <v>0</v>
      </c>
      <c r="F146" s="72">
        <f ca="1">((100/(H135))*E146)/100</f>
        <v>0</v>
      </c>
      <c r="G146" s="148"/>
      <c r="H146" s="149"/>
      <c r="I146" s="6" t="str">
        <f ca="1">(IF(G152&gt;99%,"All work completed. Please provide OC.",IF(G152&gt;89.8%,"Plinth, RCC, Brick, Plaster, Flooring, Painting work Completed. Finishing work is in process.",IF(G152&lt;94%,(IF(E152=0,"Work not yet Started.",IF(F152=25%,"Piling work in process",IF(F152=50%,"Excavation work in process",IF(F152=100%,"Excavation work Completed. ","0")))&amp;(IF(E153=0%,"",IF(E153=J152,"Footing work is process",IF(E153=J153,"Footing work Completed",IF(E153=J154,"1st Basement Completed",IF(E153=J155,"1st &amp; 2nd Basement Completed",IF(E153=J156,"1st to 3rd Basement Completed",IF(E153=J157,"1st to 4th Basement Completed",IF(E153=J158,"Plinth work is process",IF(E153=J159,"Plinth work completed","0")))))))))))&amp;(IF(E154=(F149+G149+H149),", RCC Slab",IF(E154&gt;0,", RCC upto "&amp;E154&amp;" Slab",""))&amp;(IF(E155=H149,", Brickwork",IF(E155&gt;0,", Brickwork upto "&amp;E155&amp;" Floor",""))&amp;(IF(E156=H149,", Internal Plaster",IF(E156&gt;0,", Internal Plaster upto "&amp;E156&amp;" Floor",""))&amp;(IF(E157=H149,", External Plaster",IF(E157&gt;0,", External Plaster upto "&amp;E157&amp;" Floor",""))&amp;(IF(E158=H149,", Flooring",IF(E158&gt;0,", Flooring upto "&amp;E158&amp;" Floor",""))&amp;(IF(E159=H149,", Painting",IF(E159&gt;0,", Painting upto "&amp;E159&amp;" Floor",""))&amp;(IF(E160&gt;0,", Finishing upto "&amp;E160&amp;" Floor","")&amp;(IF(E154&gt;0.5," Completed",""))))))))))))))</f>
        <v>Excavation work Completed. Plinth work completed, RCC upto 8 Slab Completed</v>
      </c>
    </row>
    <row r="147" spans="1:12" ht="13.5" thickBot="1" x14ac:dyDescent="0.25">
      <c r="A147" s="126" t="s">
        <v>82</v>
      </c>
      <c r="B147" s="127"/>
      <c r="C147" s="128">
        <v>0.05</v>
      </c>
      <c r="D147" s="128"/>
      <c r="E147" s="74">
        <v>0</v>
      </c>
      <c r="F147" s="75">
        <f ca="1">((100/(H135))*E147)/100</f>
        <v>0</v>
      </c>
      <c r="G147" s="150"/>
      <c r="H147" s="151"/>
      <c r="I147" s="30"/>
    </row>
    <row r="148" spans="1:12" x14ac:dyDescent="0.2">
      <c r="A148" s="134" t="s">
        <v>334</v>
      </c>
      <c r="B148" s="135"/>
      <c r="C148" s="135"/>
      <c r="D148" s="136"/>
      <c r="E148" s="64" t="s">
        <v>57</v>
      </c>
      <c r="F148" s="64" t="s">
        <v>58</v>
      </c>
      <c r="G148" s="64" t="s">
        <v>59</v>
      </c>
      <c r="H148" s="65" t="s">
        <v>46</v>
      </c>
      <c r="I148" s="32" t="s">
        <v>137</v>
      </c>
      <c r="J148" s="33"/>
    </row>
    <row r="149" spans="1:12" x14ac:dyDescent="0.2">
      <c r="A149" s="137"/>
      <c r="B149" s="138"/>
      <c r="C149" s="138"/>
      <c r="D149" s="139"/>
      <c r="E149" s="66">
        <v>0</v>
      </c>
      <c r="F149" s="66">
        <v>1</v>
      </c>
      <c r="G149" s="66">
        <v>0</v>
      </c>
      <c r="H149" s="67">
        <f ca="1">--TRIM(RIGHT(SUBSTITUTE(LEFT(A148,_xlfn.AGGREGATE(16,6,FIND({0,1,2,3,4,5,6,7,8,9},A148,ROW(INDIRECT("1:"&amp;LEN(A148)))),1))," ",REPT(" ",LEN(A148))),LEN(A148)))</f>
        <v>21</v>
      </c>
      <c r="I149" s="1" t="s">
        <v>63</v>
      </c>
      <c r="J149" s="34">
        <f ca="1">H149*25%</f>
        <v>5.25</v>
      </c>
    </row>
    <row r="150" spans="1:12" x14ac:dyDescent="0.2">
      <c r="A150" s="68" t="s">
        <v>136</v>
      </c>
      <c r="B150" s="69"/>
      <c r="C150" s="140" t="str">
        <f ca="1">I146</f>
        <v>Excavation work Completed. Plinth work completed, RCC upto 8 Slab Completed</v>
      </c>
      <c r="D150" s="140"/>
      <c r="E150" s="140"/>
      <c r="F150" s="140"/>
      <c r="G150" s="140"/>
      <c r="H150" s="141"/>
      <c r="I150" s="1" t="s">
        <v>65</v>
      </c>
      <c r="J150" s="35">
        <f ca="1">H149*50%</f>
        <v>10.5</v>
      </c>
    </row>
    <row r="151" spans="1:12" ht="15" customHeight="1" x14ac:dyDescent="0.2">
      <c r="A151" s="142" t="s">
        <v>60</v>
      </c>
      <c r="B151" s="143"/>
      <c r="C151" s="144" t="s">
        <v>138</v>
      </c>
      <c r="D151" s="144"/>
      <c r="E151" s="70" t="s">
        <v>61</v>
      </c>
      <c r="F151" s="70" t="s">
        <v>62</v>
      </c>
      <c r="G151" s="145" t="s">
        <v>56</v>
      </c>
      <c r="H151" s="146"/>
      <c r="I151" s="1" t="s">
        <v>67</v>
      </c>
      <c r="J151" s="35">
        <f ca="1">H149</f>
        <v>21</v>
      </c>
      <c r="L151" s="48" t="s">
        <v>336</v>
      </c>
    </row>
    <row r="152" spans="1:12" ht="15" customHeight="1" x14ac:dyDescent="0.25">
      <c r="A152" s="142" t="s">
        <v>64</v>
      </c>
      <c r="B152" s="143"/>
      <c r="C152" s="147">
        <v>0</v>
      </c>
      <c r="D152" s="147"/>
      <c r="E152" s="71">
        <f ca="1">J151</f>
        <v>21</v>
      </c>
      <c r="F152" s="72">
        <f ca="1">((100/H149)*E152)/100</f>
        <v>1</v>
      </c>
      <c r="G152" s="148">
        <f ca="1">(((E153/H149*10)+(40/(F149+G149+H149)*E154)+(15/(H149)*E155)+(5/(H149)*E156)+(5/H149*E157)+(10/H149*E158)+(5/H149*E159)+(5/H149*E160)+(5/H149*E161))/100)</f>
        <v>0.24545454545454548</v>
      </c>
      <c r="H152" s="149"/>
      <c r="I152" s="1" t="s">
        <v>69</v>
      </c>
      <c r="J152" s="36">
        <f ca="1">(IF(E149&gt;1,(H149/(E149+2)),H149/4))</f>
        <v>5.25</v>
      </c>
      <c r="L152" s="51" t="s">
        <v>337</v>
      </c>
    </row>
    <row r="153" spans="1:12" ht="15" customHeight="1" x14ac:dyDescent="0.2">
      <c r="A153" s="142" t="s">
        <v>66</v>
      </c>
      <c r="B153" s="143"/>
      <c r="C153" s="147">
        <v>0.1</v>
      </c>
      <c r="D153" s="147"/>
      <c r="E153" s="73">
        <f ca="1">J159</f>
        <v>21</v>
      </c>
      <c r="F153" s="72">
        <f ca="1">((100/H149)*E153)/100</f>
        <v>1</v>
      </c>
      <c r="G153" s="148"/>
      <c r="H153" s="149"/>
      <c r="I153" s="1" t="s">
        <v>71</v>
      </c>
      <c r="J153" s="36">
        <f ca="1">(IF(E149&gt;1,(H149/(E149+2)+J152),H149/4+J152))</f>
        <v>10.5</v>
      </c>
    </row>
    <row r="154" spans="1:12" ht="15" customHeight="1" x14ac:dyDescent="0.2">
      <c r="A154" s="142" t="s">
        <v>68</v>
      </c>
      <c r="B154" s="143"/>
      <c r="C154" s="147">
        <v>0.4</v>
      </c>
      <c r="D154" s="147"/>
      <c r="E154" s="73">
        <v>8</v>
      </c>
      <c r="F154" s="72">
        <f ca="1">((100/(F149+G149+H149))*E154)/100</f>
        <v>0.36363636363636365</v>
      </c>
      <c r="G154" s="148"/>
      <c r="H154" s="149"/>
      <c r="I154" s="1" t="s">
        <v>73</v>
      </c>
      <c r="J154" s="36">
        <f>(IF(E149&gt;1,(H149/(E149+2)+J153),0))</f>
        <v>0</v>
      </c>
    </row>
    <row r="155" spans="1:12" ht="15" customHeight="1" x14ac:dyDescent="0.2">
      <c r="A155" s="142" t="s">
        <v>70</v>
      </c>
      <c r="B155" s="143"/>
      <c r="C155" s="147">
        <v>0.15</v>
      </c>
      <c r="D155" s="147"/>
      <c r="E155" s="73">
        <v>0</v>
      </c>
      <c r="F155" s="72">
        <f ca="1">((100/H149)*E155)/100</f>
        <v>0</v>
      </c>
      <c r="G155" s="148"/>
      <c r="H155" s="149"/>
      <c r="I155" s="1" t="s">
        <v>75</v>
      </c>
      <c r="J155" s="36">
        <f>(IF(E149&gt;2,(H149/(E149+2)+J154),0))</f>
        <v>0</v>
      </c>
    </row>
    <row r="156" spans="1:12" ht="15" customHeight="1" x14ac:dyDescent="0.2">
      <c r="A156" s="142" t="s">
        <v>72</v>
      </c>
      <c r="B156" s="143"/>
      <c r="C156" s="147">
        <v>0.05</v>
      </c>
      <c r="D156" s="147"/>
      <c r="E156" s="73">
        <v>0</v>
      </c>
      <c r="F156" s="72">
        <f ca="1">((100/H149)*E156)/100</f>
        <v>0</v>
      </c>
      <c r="G156" s="148"/>
      <c r="H156" s="149"/>
      <c r="I156" s="1" t="s">
        <v>77</v>
      </c>
      <c r="J156" s="37">
        <f>(IF(E149&gt;3,(H149/(E149+2)+J155),0))</f>
        <v>0</v>
      </c>
    </row>
    <row r="157" spans="1:12" ht="15" customHeight="1" x14ac:dyDescent="0.2">
      <c r="A157" s="142" t="s">
        <v>74</v>
      </c>
      <c r="B157" s="143"/>
      <c r="C157" s="147">
        <v>0.05</v>
      </c>
      <c r="D157" s="147"/>
      <c r="E157" s="71">
        <v>0</v>
      </c>
      <c r="F157" s="72">
        <f ca="1">((100/(H149))*E157)/100</f>
        <v>0</v>
      </c>
      <c r="G157" s="148"/>
      <c r="H157" s="149"/>
      <c r="I157" s="1" t="s">
        <v>79</v>
      </c>
      <c r="J157" s="36">
        <f>(IF(E149&gt;4,(H149/(E149+2)+J156),0))</f>
        <v>0</v>
      </c>
    </row>
    <row r="158" spans="1:12" ht="15" customHeight="1" x14ac:dyDescent="0.2">
      <c r="A158" s="142" t="s">
        <v>76</v>
      </c>
      <c r="B158" s="143"/>
      <c r="C158" s="147">
        <v>0.1</v>
      </c>
      <c r="D158" s="147"/>
      <c r="E158" s="71">
        <v>0</v>
      </c>
      <c r="F158" s="72">
        <f ca="1">((100/H149)*E158)/100</f>
        <v>0</v>
      </c>
      <c r="G158" s="148"/>
      <c r="H158" s="149"/>
      <c r="I158" s="1" t="s">
        <v>81</v>
      </c>
      <c r="J158" s="36">
        <f ca="1">(IF(E149=1,(H149/(E149+3)+J153),IF(E149=0,(H149/4+J153),IF(E149&gt;1,0))))</f>
        <v>15.75</v>
      </c>
    </row>
    <row r="159" spans="1:12" ht="15.75" customHeight="1" thickBot="1" x14ac:dyDescent="0.25">
      <c r="A159" s="142" t="s">
        <v>78</v>
      </c>
      <c r="B159" s="143"/>
      <c r="C159" s="147">
        <v>0.05</v>
      </c>
      <c r="D159" s="147"/>
      <c r="E159" s="71">
        <v>0</v>
      </c>
      <c r="F159" s="72">
        <f ca="1">((100/H149)*E159)/100</f>
        <v>0</v>
      </c>
      <c r="G159" s="148"/>
      <c r="H159" s="149"/>
      <c r="I159" s="38" t="s">
        <v>83</v>
      </c>
      <c r="J159" s="39">
        <f ca="1">(IF(E149&gt;1.5,(H149/(E149+2)+J153+MAX(0,J154-J153)+MAX(0,J155-J154)+MAX(0,J156-J155)+MAX(0,J157-J156)+MAX(0,J158-J157)),IF(E149=1,(H149/(E149+3)+J158),IF(E149=0,H149/4+J158))))</f>
        <v>21</v>
      </c>
    </row>
    <row r="160" spans="1:12" x14ac:dyDescent="0.2">
      <c r="A160" s="142" t="s">
        <v>80</v>
      </c>
      <c r="B160" s="143"/>
      <c r="C160" s="147">
        <v>0.05</v>
      </c>
      <c r="D160" s="147"/>
      <c r="E160" s="71">
        <v>0</v>
      </c>
      <c r="F160" s="72">
        <f ca="1">((100/(H149))*E160)/100</f>
        <v>0</v>
      </c>
      <c r="G160" s="148"/>
      <c r="H160" s="149"/>
    </row>
    <row r="161" spans="1:8" ht="13.5" thickBot="1" x14ac:dyDescent="0.25">
      <c r="A161" s="126" t="s">
        <v>82</v>
      </c>
      <c r="B161" s="127"/>
      <c r="C161" s="128">
        <v>0.05</v>
      </c>
      <c r="D161" s="128"/>
      <c r="E161" s="74">
        <v>0</v>
      </c>
      <c r="F161" s="75">
        <f ca="1">((100/(H149))*E161)/100</f>
        <v>0</v>
      </c>
      <c r="G161" s="150"/>
      <c r="H161" s="151"/>
    </row>
    <row r="162" spans="1:8" x14ac:dyDescent="0.2">
      <c r="A162" s="269" t="s">
        <v>25</v>
      </c>
      <c r="B162" s="270"/>
      <c r="C162" s="293" t="s">
        <v>112</v>
      </c>
      <c r="D162" s="293"/>
      <c r="E162" s="293"/>
      <c r="F162" s="293"/>
      <c r="G162" s="293"/>
      <c r="H162" s="293"/>
    </row>
    <row r="163" spans="1:8" x14ac:dyDescent="0.2">
      <c r="A163" s="129" t="s">
        <v>26</v>
      </c>
      <c r="B163" s="129"/>
      <c r="C163" s="129"/>
      <c r="D163" s="129"/>
      <c r="E163" s="129"/>
      <c r="F163" s="129"/>
      <c r="G163" s="129"/>
      <c r="H163" s="129"/>
    </row>
    <row r="164" spans="1:8" x14ac:dyDescent="0.2">
      <c r="A164" s="271" t="s">
        <v>27</v>
      </c>
      <c r="B164" s="272"/>
      <c r="C164" s="209" t="s">
        <v>50</v>
      </c>
      <c r="D164" s="210"/>
      <c r="E164" s="292" t="s">
        <v>28</v>
      </c>
      <c r="F164" s="292"/>
      <c r="G164" s="88" t="s">
        <v>18</v>
      </c>
      <c r="H164" s="88" t="s">
        <v>51</v>
      </c>
    </row>
    <row r="165" spans="1:8" x14ac:dyDescent="0.2">
      <c r="A165" s="271" t="s">
        <v>29</v>
      </c>
      <c r="B165" s="272"/>
      <c r="C165" s="209" t="s">
        <v>49</v>
      </c>
      <c r="D165" s="210"/>
      <c r="E165" s="292" t="s">
        <v>30</v>
      </c>
      <c r="F165" s="292"/>
      <c r="G165" s="88" t="s">
        <v>18</v>
      </c>
      <c r="H165" s="88" t="s">
        <v>52</v>
      </c>
    </row>
    <row r="166" spans="1:8" x14ac:dyDescent="0.2">
      <c r="A166" s="271" t="s">
        <v>31</v>
      </c>
      <c r="B166" s="272"/>
      <c r="C166" s="209" t="s">
        <v>139</v>
      </c>
      <c r="D166" s="210"/>
      <c r="E166" s="292" t="s">
        <v>32</v>
      </c>
      <c r="F166" s="292"/>
      <c r="G166" s="88" t="s">
        <v>18</v>
      </c>
      <c r="H166" s="88" t="s">
        <v>51</v>
      </c>
    </row>
    <row r="167" spans="1:8" x14ac:dyDescent="0.2">
      <c r="A167" s="271" t="s">
        <v>33</v>
      </c>
      <c r="B167" s="272"/>
      <c r="C167" s="209" t="s">
        <v>119</v>
      </c>
      <c r="D167" s="210"/>
      <c r="E167" s="292" t="s">
        <v>34</v>
      </c>
      <c r="F167" s="292"/>
      <c r="G167" s="88" t="s">
        <v>18</v>
      </c>
      <c r="H167" s="88" t="s">
        <v>51</v>
      </c>
    </row>
    <row r="168" spans="1:8" x14ac:dyDescent="0.2">
      <c r="A168" s="271" t="s">
        <v>35</v>
      </c>
      <c r="B168" s="272"/>
      <c r="C168" s="209" t="s">
        <v>126</v>
      </c>
      <c r="D168" s="210"/>
      <c r="E168" s="292" t="s">
        <v>36</v>
      </c>
      <c r="F168" s="292"/>
      <c r="G168" s="88" t="s">
        <v>18</v>
      </c>
      <c r="H168" s="88" t="s">
        <v>52</v>
      </c>
    </row>
    <row r="169" spans="1:8" ht="27.75" customHeight="1" x14ac:dyDescent="0.2">
      <c r="A169" s="207" t="s">
        <v>37</v>
      </c>
      <c r="B169" s="208"/>
      <c r="C169" s="209" t="s">
        <v>140</v>
      </c>
      <c r="D169" s="210"/>
      <c r="E169" s="118" t="s">
        <v>38</v>
      </c>
      <c r="F169" s="118"/>
      <c r="G169" s="56" t="s">
        <v>18</v>
      </c>
      <c r="H169" s="89" t="s">
        <v>52</v>
      </c>
    </row>
    <row r="170" spans="1:8" x14ac:dyDescent="0.2">
      <c r="A170" s="207" t="s">
        <v>39</v>
      </c>
      <c r="B170" s="208"/>
      <c r="C170" s="209" t="s">
        <v>120</v>
      </c>
      <c r="D170" s="210"/>
      <c r="E170" s="118" t="s">
        <v>40</v>
      </c>
      <c r="F170" s="118"/>
      <c r="G170" s="56" t="s">
        <v>18</v>
      </c>
      <c r="H170" s="89" t="s">
        <v>52</v>
      </c>
    </row>
    <row r="171" spans="1:8" x14ac:dyDescent="0.2">
      <c r="A171" s="132" t="s">
        <v>41</v>
      </c>
      <c r="B171" s="133"/>
      <c r="C171" s="209" t="s">
        <v>125</v>
      </c>
      <c r="D171" s="210"/>
      <c r="E171" s="106" t="s">
        <v>42</v>
      </c>
      <c r="F171" s="106"/>
      <c r="G171" s="320" t="s">
        <v>52</v>
      </c>
      <c r="H171" s="320"/>
    </row>
    <row r="172" spans="1:8" ht="25.5" customHeight="1" x14ac:dyDescent="0.2">
      <c r="A172" s="132" t="s">
        <v>43</v>
      </c>
      <c r="B172" s="133"/>
      <c r="C172" s="132" t="s">
        <v>54</v>
      </c>
      <c r="D172" s="133"/>
      <c r="E172" s="106" t="s">
        <v>44</v>
      </c>
      <c r="F172" s="106"/>
      <c r="G172" s="118" t="s">
        <v>53</v>
      </c>
      <c r="H172" s="118"/>
    </row>
    <row r="173" spans="1:8" x14ac:dyDescent="0.2">
      <c r="A173" s="209" t="s">
        <v>324</v>
      </c>
      <c r="B173" s="268"/>
      <c r="C173" s="268"/>
      <c r="D173" s="268"/>
      <c r="E173" s="268"/>
      <c r="F173" s="268"/>
      <c r="G173" s="268"/>
      <c r="H173" s="210"/>
    </row>
    <row r="174" spans="1:8" x14ac:dyDescent="0.2">
      <c r="A174" s="106" t="s">
        <v>197</v>
      </c>
      <c r="B174" s="106"/>
      <c r="C174" s="132" t="s">
        <v>198</v>
      </c>
      <c r="D174" s="133"/>
      <c r="E174" s="106" t="s">
        <v>199</v>
      </c>
      <c r="F174" s="106"/>
      <c r="G174" s="106" t="s">
        <v>200</v>
      </c>
      <c r="H174" s="106"/>
    </row>
    <row r="175" spans="1:8" x14ac:dyDescent="0.2">
      <c r="A175" s="118" t="s">
        <v>323</v>
      </c>
      <c r="B175" s="118"/>
      <c r="C175" s="119">
        <f>COUNT(D195:D200)+COUNT(D203:D210)+COUNT(D212:D222)+COUNT(D224:D234)*2</f>
        <v>47</v>
      </c>
      <c r="D175" s="120"/>
      <c r="E175" s="119">
        <f t="shared" ref="E175" si="0">SUM(F195:F200)+SUM(F203:F210)+SUM(F212:F222)+SUM(F224:F234)*2</f>
        <v>19623.417840000002</v>
      </c>
      <c r="F175" s="120"/>
      <c r="G175" s="119">
        <f t="shared" ref="G175" si="1">SUM(H195:H200)+SUM(H203:H210)+SUM(H212:H222)+SUM(H224:H234)*2</f>
        <v>30416.297652000001</v>
      </c>
      <c r="H175" s="120"/>
    </row>
    <row r="176" spans="1:8" x14ac:dyDescent="0.2">
      <c r="A176" s="106" t="s">
        <v>202</v>
      </c>
      <c r="B176" s="106"/>
      <c r="C176" s="132">
        <f>SUM(C175)</f>
        <v>47</v>
      </c>
      <c r="D176" s="133"/>
      <c r="E176" s="273">
        <f>SUM(E175)</f>
        <v>19623.417840000002</v>
      </c>
      <c r="F176" s="106"/>
      <c r="G176" s="273">
        <f>SUM(G175)</f>
        <v>30416.297652000001</v>
      </c>
      <c r="H176" s="106"/>
    </row>
    <row r="177" spans="1:8" x14ac:dyDescent="0.2">
      <c r="A177" s="106" t="s">
        <v>203</v>
      </c>
      <c r="B177" s="106"/>
      <c r="C177" s="106"/>
      <c r="D177" s="106"/>
      <c r="E177" s="106"/>
      <c r="F177" s="106"/>
      <c r="G177" s="106"/>
      <c r="H177" s="106"/>
    </row>
    <row r="178" spans="1:8" x14ac:dyDescent="0.2">
      <c r="A178" s="106" t="s">
        <v>197</v>
      </c>
      <c r="B178" s="106"/>
      <c r="C178" s="132" t="s">
        <v>198</v>
      </c>
      <c r="D178" s="133"/>
      <c r="E178" s="106" t="s">
        <v>199</v>
      </c>
      <c r="F178" s="106"/>
      <c r="G178" s="106" t="s">
        <v>200</v>
      </c>
      <c r="H178" s="106"/>
    </row>
    <row r="179" spans="1:8" x14ac:dyDescent="0.2">
      <c r="A179" s="118" t="s">
        <v>201</v>
      </c>
      <c r="B179" s="118"/>
      <c r="C179" s="119">
        <f>COUNT(D247:D250)*14+COUNT(D252:D253,D255)*2</f>
        <v>62</v>
      </c>
      <c r="D179" s="120"/>
      <c r="E179" s="119">
        <f t="shared" ref="E179" si="2">SUM(F247:F250)*14+SUM(F252:F253,F255)*2</f>
        <v>36567.676079999997</v>
      </c>
      <c r="F179" s="120"/>
      <c r="G179" s="119">
        <f t="shared" ref="G179" si="3">SUM(H247:H250)*14+SUM(H252:H253,H255)*2</f>
        <v>54851.51412</v>
      </c>
      <c r="H179" s="120"/>
    </row>
    <row r="180" spans="1:8" x14ac:dyDescent="0.2">
      <c r="A180" s="118" t="s">
        <v>204</v>
      </c>
      <c r="B180" s="118"/>
      <c r="C180" s="119">
        <f>COUNT(D263:D266)*14+COUNT(D268:D269,D271)*2</f>
        <v>62</v>
      </c>
      <c r="D180" s="120"/>
      <c r="E180" s="119">
        <f t="shared" ref="E180" si="4">SUM(F263:F266)*14+SUM(F268:F269,F271)*2</f>
        <v>34359.549119999996</v>
      </c>
      <c r="F180" s="120"/>
      <c r="G180" s="119">
        <f t="shared" ref="G180" si="5">SUM(H263:H266)*14+SUM(H268:H269,H271)*2</f>
        <v>51539.323680000001</v>
      </c>
      <c r="H180" s="120"/>
    </row>
    <row r="181" spans="1:8" x14ac:dyDescent="0.2">
      <c r="A181" s="118" t="s">
        <v>281</v>
      </c>
      <c r="B181" s="118"/>
      <c r="C181" s="119">
        <f>COUNT(D279:D283)*14+COUNT(D285:D288)+COUNT(D291:D292,D296)</f>
        <v>77</v>
      </c>
      <c r="D181" s="120"/>
      <c r="E181" s="119">
        <f t="shared" ref="E181" si="6">SUM(F279:F283)*14+SUM(F285:F288)+SUM(F291:F292,F296)</f>
        <v>59303.935079999996</v>
      </c>
      <c r="F181" s="120"/>
      <c r="G181" s="119">
        <f t="shared" ref="G181" si="7">SUM(H279:H283)*14+SUM(H285:H288)+SUM(H291:H292,H296)</f>
        <v>88955.902619999993</v>
      </c>
      <c r="H181" s="120"/>
    </row>
    <row r="182" spans="1:8" x14ac:dyDescent="0.2">
      <c r="A182" s="118" t="s">
        <v>287</v>
      </c>
      <c r="B182" s="118"/>
      <c r="C182" s="119">
        <f>COUNT(D305:D306)*8+COUNT(D308:D309)*7</f>
        <v>30</v>
      </c>
      <c r="D182" s="120"/>
      <c r="E182" s="119">
        <f t="shared" ref="E182" si="8">SUM(F305:F306)*8+SUM(F308:F309)*7</f>
        <v>31881.891599999995</v>
      </c>
      <c r="F182" s="120"/>
      <c r="G182" s="119">
        <f t="shared" ref="G182" si="9">SUM(H305:H306)*8+SUM(H308:H309)*7</f>
        <v>47822.837399999997</v>
      </c>
      <c r="H182" s="120"/>
    </row>
    <row r="183" spans="1:8" x14ac:dyDescent="0.2">
      <c r="A183" s="118" t="s">
        <v>291</v>
      </c>
      <c r="B183" s="118"/>
      <c r="C183" s="119">
        <f>COUNT(D317:D321)*14+COUNT(D324:D327)+COUNT(D329,D332:D333)</f>
        <v>77</v>
      </c>
      <c r="D183" s="120"/>
      <c r="E183" s="119">
        <f t="shared" ref="E183" si="10">SUM(F317:F321)*14+SUM(F324:F327)+SUM(F329,F332:F333)</f>
        <v>58612.886279999999</v>
      </c>
      <c r="F183" s="120"/>
      <c r="G183" s="119">
        <f t="shared" ref="G183" si="11">SUM(H317:H321)*14+SUM(H324:H327)+SUM(H329,H332:H333)</f>
        <v>87919.329419999995</v>
      </c>
      <c r="H183" s="120"/>
    </row>
    <row r="184" spans="1:8" x14ac:dyDescent="0.2">
      <c r="A184" s="118" t="s">
        <v>293</v>
      </c>
      <c r="B184" s="118"/>
      <c r="C184" s="119">
        <f>COUNT(D342:D345)*14+COUNT(D347,D349:D350)*2</f>
        <v>62</v>
      </c>
      <c r="D184" s="120"/>
      <c r="E184" s="119">
        <f t="shared" ref="E184" si="12">SUM(F342:F345)*14+SUM(F347,F349:F350)*2</f>
        <v>34759.754639999999</v>
      </c>
      <c r="F184" s="120"/>
      <c r="G184" s="119">
        <f t="shared" ref="G184" si="13">SUM(H342:H345)*14+SUM(H347,H349:H350)*2</f>
        <v>52139.631959999999</v>
      </c>
      <c r="H184" s="120"/>
    </row>
    <row r="185" spans="1:8" x14ac:dyDescent="0.2">
      <c r="A185" s="118" t="s">
        <v>295</v>
      </c>
      <c r="B185" s="118"/>
      <c r="C185" s="119">
        <f>COUNT(D358:D361)*14+COUNT(D363,D365:D366)*2</f>
        <v>62</v>
      </c>
      <c r="D185" s="120"/>
      <c r="E185" s="119">
        <f t="shared" ref="E185" si="14">SUM(F358:F361)*14+SUM(F363,F365:F366)*2</f>
        <v>36556.481519999994</v>
      </c>
      <c r="F185" s="120"/>
      <c r="G185" s="119">
        <f t="shared" ref="G185" si="15">SUM(H358:H361)*14+SUM(H363,H365:H366)*2</f>
        <v>54834.722279999987</v>
      </c>
      <c r="H185" s="120"/>
    </row>
    <row r="186" spans="1:8" x14ac:dyDescent="0.2">
      <c r="A186" s="106" t="s">
        <v>202</v>
      </c>
      <c r="B186" s="106"/>
      <c r="C186" s="202">
        <f>SUM(C179:D185)</f>
        <v>432</v>
      </c>
      <c r="D186" s="133"/>
      <c r="E186" s="202">
        <f t="shared" ref="E186" si="16">SUM(E179:F185)</f>
        <v>292042.17431999999</v>
      </c>
      <c r="F186" s="133"/>
      <c r="G186" s="202">
        <f t="shared" ref="G186" si="17">SUM(G179:H185)</f>
        <v>438063.26147999999</v>
      </c>
      <c r="H186" s="133"/>
    </row>
    <row r="187" spans="1:8" x14ac:dyDescent="0.2">
      <c r="A187" s="106" t="s">
        <v>205</v>
      </c>
      <c r="B187" s="106"/>
      <c r="C187" s="132">
        <f>C176+C186</f>
        <v>479</v>
      </c>
      <c r="D187" s="133"/>
      <c r="E187" s="273">
        <f>E176+E186</f>
        <v>311665.59216</v>
      </c>
      <c r="F187" s="273"/>
      <c r="G187" s="273">
        <f>G176+G186</f>
        <v>468479.55913199997</v>
      </c>
      <c r="H187" s="273"/>
    </row>
    <row r="188" spans="1:8" x14ac:dyDescent="0.2">
      <c r="A188" s="106" t="s">
        <v>45</v>
      </c>
      <c r="B188" s="106"/>
      <c r="C188" s="106"/>
      <c r="D188" s="106"/>
      <c r="E188" s="106"/>
      <c r="F188" s="106"/>
      <c r="G188" s="106"/>
      <c r="H188" s="106"/>
    </row>
    <row r="189" spans="1:8" x14ac:dyDescent="0.2">
      <c r="A189" s="106" t="s">
        <v>215</v>
      </c>
      <c r="B189" s="106"/>
      <c r="C189" s="106"/>
      <c r="D189" s="106"/>
      <c r="E189" s="106"/>
      <c r="F189" s="106"/>
      <c r="G189" s="106"/>
      <c r="H189" s="106"/>
    </row>
    <row r="190" spans="1:8" ht="38.25" x14ac:dyDescent="0.2">
      <c r="A190" s="104" t="s">
        <v>216</v>
      </c>
      <c r="B190" s="104" t="s">
        <v>217</v>
      </c>
      <c r="C190" s="104" t="s">
        <v>325</v>
      </c>
      <c r="D190" s="104" t="s">
        <v>300</v>
      </c>
      <c r="E190" s="104" t="s">
        <v>213</v>
      </c>
      <c r="F190" s="104" t="s">
        <v>211</v>
      </c>
      <c r="G190" s="104" t="s">
        <v>212</v>
      </c>
      <c r="H190" s="90" t="s">
        <v>141</v>
      </c>
    </row>
    <row r="191" spans="1:8" x14ac:dyDescent="0.2">
      <c r="A191" s="105"/>
      <c r="B191" s="105"/>
      <c r="C191" s="105"/>
      <c r="D191" s="105"/>
      <c r="E191" s="105"/>
      <c r="F191" s="105"/>
      <c r="G191" s="105"/>
      <c r="H191" s="91">
        <v>0.55000000000000004</v>
      </c>
    </row>
    <row r="192" spans="1:8" ht="12.75" customHeight="1" x14ac:dyDescent="0.2">
      <c r="A192" s="129" t="s">
        <v>263</v>
      </c>
      <c r="B192" s="129"/>
      <c r="C192" s="129"/>
      <c r="D192" s="129"/>
      <c r="E192" s="129"/>
      <c r="F192" s="129"/>
      <c r="G192" s="129"/>
      <c r="H192" s="129"/>
    </row>
    <row r="193" spans="1:8" x14ac:dyDescent="0.2">
      <c r="A193" s="129" t="s">
        <v>264</v>
      </c>
      <c r="B193" s="129"/>
      <c r="C193" s="129"/>
      <c r="D193" s="129"/>
      <c r="E193" s="129"/>
      <c r="F193" s="129"/>
      <c r="G193" s="129"/>
      <c r="H193" s="129"/>
    </row>
    <row r="194" spans="1:8" x14ac:dyDescent="0.2">
      <c r="A194" s="129" t="s">
        <v>265</v>
      </c>
      <c r="B194" s="129"/>
      <c r="C194" s="129"/>
      <c r="D194" s="129"/>
      <c r="E194" s="129"/>
      <c r="F194" s="129"/>
      <c r="G194" s="129"/>
      <c r="H194" s="129"/>
    </row>
    <row r="195" spans="1:8" x14ac:dyDescent="0.2">
      <c r="A195" s="130">
        <v>1</v>
      </c>
      <c r="B195" s="131"/>
      <c r="C195" s="92" t="s">
        <v>266</v>
      </c>
      <c r="D195" s="93">
        <f>(48.2)*10.764</f>
        <v>518.82479999999998</v>
      </c>
      <c r="E195" s="92">
        <v>0</v>
      </c>
      <c r="F195" s="93">
        <f>D195+(IF(E195&lt;201,E195,IF(E195&lt;301,E195/2,E195/3)))</f>
        <v>518.82479999999998</v>
      </c>
      <c r="G195" s="93">
        <v>0</v>
      </c>
      <c r="H195" s="93">
        <f t="shared" ref="H195:H200" si="18">F195*(($H$191)+1)+(IF(G195&lt;101,G195,IF(G195&lt;201,G195/2,IF(G195&lt;=301,G195/3,G195/4))))</f>
        <v>804.17844000000002</v>
      </c>
    </row>
    <row r="196" spans="1:8" x14ac:dyDescent="0.2">
      <c r="A196" s="130">
        <f>A195+1</f>
        <v>2</v>
      </c>
      <c r="B196" s="131"/>
      <c r="C196" s="92" t="s">
        <v>266</v>
      </c>
      <c r="D196" s="93">
        <f>(54.89)*10.764</f>
        <v>590.83596</v>
      </c>
      <c r="E196" s="92">
        <v>0</v>
      </c>
      <c r="F196" s="93">
        <f t="shared" ref="F196:F200" si="19">D196+(IF(E196&lt;201,E196,IF(E196&lt;301,E196/2,E196/3)))</f>
        <v>590.83596</v>
      </c>
      <c r="G196" s="93">
        <v>0</v>
      </c>
      <c r="H196" s="93">
        <f t="shared" si="18"/>
        <v>915.79573800000003</v>
      </c>
    </row>
    <row r="197" spans="1:8" x14ac:dyDescent="0.2">
      <c r="A197" s="130">
        <f t="shared" ref="A197:A200" si="20">A196+1</f>
        <v>3</v>
      </c>
      <c r="B197" s="131"/>
      <c r="C197" s="92" t="s">
        <v>266</v>
      </c>
      <c r="D197" s="93">
        <f>(39.76)*10.764</f>
        <v>427.97663999999997</v>
      </c>
      <c r="E197" s="92">
        <v>0</v>
      </c>
      <c r="F197" s="93">
        <f t="shared" si="19"/>
        <v>427.97663999999997</v>
      </c>
      <c r="G197" s="93">
        <v>0</v>
      </c>
      <c r="H197" s="93">
        <f t="shared" si="18"/>
        <v>663.36379199999999</v>
      </c>
    </row>
    <row r="198" spans="1:8" x14ac:dyDescent="0.2">
      <c r="A198" s="130">
        <f t="shared" si="20"/>
        <v>4</v>
      </c>
      <c r="B198" s="131"/>
      <c r="C198" s="92" t="s">
        <v>266</v>
      </c>
      <c r="D198" s="93">
        <f>(54.17)*10.764</f>
        <v>583.08587999999997</v>
      </c>
      <c r="E198" s="92">
        <v>0</v>
      </c>
      <c r="F198" s="93">
        <f t="shared" si="19"/>
        <v>583.08587999999997</v>
      </c>
      <c r="G198" s="93">
        <v>0</v>
      </c>
      <c r="H198" s="93">
        <f t="shared" si="18"/>
        <v>903.78311399999996</v>
      </c>
    </row>
    <row r="199" spans="1:8" x14ac:dyDescent="0.2">
      <c r="A199" s="130">
        <f t="shared" si="20"/>
        <v>5</v>
      </c>
      <c r="B199" s="131"/>
      <c r="C199" s="92" t="s">
        <v>266</v>
      </c>
      <c r="D199" s="93">
        <f>(62.7)*10.764</f>
        <v>674.90279999999996</v>
      </c>
      <c r="E199" s="92">
        <v>0</v>
      </c>
      <c r="F199" s="93">
        <f t="shared" si="19"/>
        <v>674.90279999999996</v>
      </c>
      <c r="G199" s="93">
        <v>0</v>
      </c>
      <c r="H199" s="93">
        <f t="shared" si="18"/>
        <v>1046.09934</v>
      </c>
    </row>
    <row r="200" spans="1:8" ht="28.5" customHeight="1" x14ac:dyDescent="0.2">
      <c r="A200" s="130">
        <f t="shared" si="20"/>
        <v>6</v>
      </c>
      <c r="B200" s="131"/>
      <c r="C200" s="88" t="s">
        <v>341</v>
      </c>
      <c r="D200" s="93">
        <f>(94.36)*10.764</f>
        <v>1015.6910399999999</v>
      </c>
      <c r="E200" s="92">
        <v>0</v>
      </c>
      <c r="F200" s="93">
        <f t="shared" si="19"/>
        <v>1015.6910399999999</v>
      </c>
      <c r="G200" s="93">
        <v>0</v>
      </c>
      <c r="H200" s="93">
        <f t="shared" si="18"/>
        <v>1574.3211119999999</v>
      </c>
    </row>
    <row r="201" spans="1:8" x14ac:dyDescent="0.2">
      <c r="A201" s="106" t="s">
        <v>267</v>
      </c>
      <c r="B201" s="106"/>
      <c r="C201" s="106"/>
      <c r="D201" s="106"/>
      <c r="E201" s="106"/>
      <c r="F201" s="106"/>
      <c r="G201" s="106"/>
      <c r="H201" s="106"/>
    </row>
    <row r="202" spans="1:8" x14ac:dyDescent="0.2">
      <c r="A202" s="107" t="s">
        <v>340</v>
      </c>
      <c r="B202" s="109"/>
      <c r="C202" s="109"/>
      <c r="D202" s="109"/>
      <c r="E202" s="109"/>
      <c r="F202" s="109"/>
      <c r="G202" s="109"/>
      <c r="H202" s="108"/>
    </row>
    <row r="203" spans="1:8" x14ac:dyDescent="0.2">
      <c r="A203" s="107">
        <v>1</v>
      </c>
      <c r="B203" s="108"/>
      <c r="C203" s="57" t="s">
        <v>266</v>
      </c>
      <c r="D203" s="94">
        <f>(19.85)*10.764</f>
        <v>213.66540000000001</v>
      </c>
      <c r="E203" s="57">
        <v>0</v>
      </c>
      <c r="F203" s="94">
        <f t="shared" ref="F203:F210" si="21">D203+(IF(E203&lt;201,E203,IF(E203&lt;301,E203/2,E203/3)))</f>
        <v>213.66540000000001</v>
      </c>
      <c r="G203" s="94">
        <v>0</v>
      </c>
      <c r="H203" s="94">
        <f t="shared" ref="H203:H210" si="22">F203*(($H$191)+1)+(IF(G203&lt;101,G203,IF(G203&lt;201,G203/2,IF(G203&lt;=301,G203/3,G203/4))))</f>
        <v>331.18137000000002</v>
      </c>
    </row>
    <row r="204" spans="1:8" x14ac:dyDescent="0.2">
      <c r="A204" s="107">
        <f t="shared" ref="A204:A210" si="23">A203+1</f>
        <v>2</v>
      </c>
      <c r="B204" s="108"/>
      <c r="C204" s="57" t="s">
        <v>266</v>
      </c>
      <c r="D204" s="94">
        <f>(24.39)*10.764</f>
        <v>262.53395999999998</v>
      </c>
      <c r="E204" s="57">
        <v>0</v>
      </c>
      <c r="F204" s="94">
        <f t="shared" si="21"/>
        <v>262.53395999999998</v>
      </c>
      <c r="G204" s="94">
        <v>0</v>
      </c>
      <c r="H204" s="94">
        <f t="shared" si="22"/>
        <v>406.927638</v>
      </c>
    </row>
    <row r="205" spans="1:8" x14ac:dyDescent="0.2">
      <c r="A205" s="107">
        <f t="shared" si="23"/>
        <v>3</v>
      </c>
      <c r="B205" s="108"/>
      <c r="C205" s="57" t="s">
        <v>266</v>
      </c>
      <c r="D205" s="94">
        <f>(19.57)*10.764</f>
        <v>210.65147999999999</v>
      </c>
      <c r="E205" s="57">
        <v>0</v>
      </c>
      <c r="F205" s="94">
        <f t="shared" si="21"/>
        <v>210.65147999999999</v>
      </c>
      <c r="G205" s="94">
        <v>0</v>
      </c>
      <c r="H205" s="94">
        <f t="shared" si="22"/>
        <v>326.509794</v>
      </c>
    </row>
    <row r="206" spans="1:8" x14ac:dyDescent="0.2">
      <c r="A206" s="107">
        <f t="shared" si="23"/>
        <v>4</v>
      </c>
      <c r="B206" s="108"/>
      <c r="C206" s="57" t="s">
        <v>266</v>
      </c>
      <c r="D206" s="94">
        <f>(43.76)*10.764</f>
        <v>471.03263999999996</v>
      </c>
      <c r="E206" s="57">
        <v>0</v>
      </c>
      <c r="F206" s="94">
        <f t="shared" si="21"/>
        <v>471.03263999999996</v>
      </c>
      <c r="G206" s="94">
        <v>0</v>
      </c>
      <c r="H206" s="94">
        <f t="shared" si="22"/>
        <v>730.10059200000001</v>
      </c>
    </row>
    <row r="207" spans="1:8" x14ac:dyDescent="0.2">
      <c r="A207" s="107">
        <f t="shared" si="23"/>
        <v>5</v>
      </c>
      <c r="B207" s="108"/>
      <c r="C207" s="57" t="s">
        <v>266</v>
      </c>
      <c r="D207" s="94">
        <f>(45.46)*10.764</f>
        <v>489.33143999999999</v>
      </c>
      <c r="E207" s="57">
        <v>0</v>
      </c>
      <c r="F207" s="94">
        <f t="shared" si="21"/>
        <v>489.33143999999999</v>
      </c>
      <c r="G207" s="94">
        <v>0</v>
      </c>
      <c r="H207" s="94">
        <f t="shared" si="22"/>
        <v>758.46373200000005</v>
      </c>
    </row>
    <row r="208" spans="1:8" x14ac:dyDescent="0.2">
      <c r="A208" s="107">
        <f t="shared" si="23"/>
        <v>6</v>
      </c>
      <c r="B208" s="108"/>
      <c r="C208" s="57" t="s">
        <v>266</v>
      </c>
      <c r="D208" s="94">
        <f>(38.27)*10.764</f>
        <v>411.93828000000002</v>
      </c>
      <c r="E208" s="57">
        <v>0</v>
      </c>
      <c r="F208" s="94">
        <f t="shared" si="21"/>
        <v>411.93828000000002</v>
      </c>
      <c r="G208" s="94">
        <v>0</v>
      </c>
      <c r="H208" s="94">
        <f t="shared" si="22"/>
        <v>638.50433400000009</v>
      </c>
    </row>
    <row r="209" spans="1:8" x14ac:dyDescent="0.2">
      <c r="A209" s="107">
        <f t="shared" si="23"/>
        <v>7</v>
      </c>
      <c r="B209" s="108"/>
      <c r="C209" s="57" t="s">
        <v>266</v>
      </c>
      <c r="D209" s="94">
        <f>(28.06)*10.764</f>
        <v>302.03783999999996</v>
      </c>
      <c r="E209" s="57">
        <v>0</v>
      </c>
      <c r="F209" s="94">
        <f t="shared" si="21"/>
        <v>302.03783999999996</v>
      </c>
      <c r="G209" s="94">
        <v>0</v>
      </c>
      <c r="H209" s="94">
        <f t="shared" si="22"/>
        <v>468.15865199999996</v>
      </c>
    </row>
    <row r="210" spans="1:8" x14ac:dyDescent="0.2">
      <c r="A210" s="107">
        <f t="shared" si="23"/>
        <v>8</v>
      </c>
      <c r="B210" s="108"/>
      <c r="C210" s="57" t="s">
        <v>266</v>
      </c>
      <c r="D210" s="94">
        <f>(43.29)*10.764</f>
        <v>465.97355999999996</v>
      </c>
      <c r="E210" s="57">
        <v>0</v>
      </c>
      <c r="F210" s="94">
        <f t="shared" si="21"/>
        <v>465.97355999999996</v>
      </c>
      <c r="G210" s="94">
        <v>0</v>
      </c>
      <c r="H210" s="94">
        <f t="shared" si="22"/>
        <v>722.25901799999997</v>
      </c>
    </row>
    <row r="211" spans="1:8" x14ac:dyDescent="0.2">
      <c r="A211" s="106" t="s">
        <v>268</v>
      </c>
      <c r="B211" s="106"/>
      <c r="C211" s="106"/>
      <c r="D211" s="106"/>
      <c r="E211" s="106"/>
      <c r="F211" s="106"/>
      <c r="G211" s="106"/>
      <c r="H211" s="106"/>
    </row>
    <row r="212" spans="1:8" x14ac:dyDescent="0.2">
      <c r="A212" s="107">
        <v>1</v>
      </c>
      <c r="B212" s="108"/>
      <c r="C212" s="57" t="s">
        <v>266</v>
      </c>
      <c r="D212" s="94">
        <f>(54.41)*10.764</f>
        <v>585.66923999999995</v>
      </c>
      <c r="E212" s="57">
        <v>0</v>
      </c>
      <c r="F212" s="94">
        <f>D212+(IF(E212&lt;201,E212,IF(E212&lt;301,E212/2,E212/3)))</f>
        <v>585.66923999999995</v>
      </c>
      <c r="G212" s="94">
        <v>0</v>
      </c>
      <c r="H212" s="94">
        <f t="shared" ref="H212:H222" si="24">F212*(($H$191)+1)+(IF(G212&lt;101,G212,IF(G212&lt;201,G212/2,IF(G212&lt;=301,G212/3,G212/4))))</f>
        <v>907.7873219999999</v>
      </c>
    </row>
    <row r="213" spans="1:8" x14ac:dyDescent="0.2">
      <c r="A213" s="107">
        <f>A212+1</f>
        <v>2</v>
      </c>
      <c r="B213" s="108"/>
      <c r="C213" s="57" t="s">
        <v>266</v>
      </c>
      <c r="D213" s="94">
        <f>(38.43)*10.764</f>
        <v>413.66051999999996</v>
      </c>
      <c r="E213" s="57">
        <v>0</v>
      </c>
      <c r="F213" s="94">
        <f t="shared" ref="F213:F222" si="25">D213+(IF(E213&lt;201,E213,IF(E213&lt;301,E213/2,E213/3)))</f>
        <v>413.66051999999996</v>
      </c>
      <c r="G213" s="94">
        <v>0</v>
      </c>
      <c r="H213" s="94">
        <f t="shared" si="24"/>
        <v>641.17380600000001</v>
      </c>
    </row>
    <row r="214" spans="1:8" x14ac:dyDescent="0.2">
      <c r="A214" s="107">
        <f t="shared" ref="A214:A222" si="26">A213+1</f>
        <v>3</v>
      </c>
      <c r="B214" s="108"/>
      <c r="C214" s="57" t="s">
        <v>266</v>
      </c>
      <c r="D214" s="94">
        <f>(19.85)*10.764</f>
        <v>213.66540000000001</v>
      </c>
      <c r="E214" s="57">
        <v>0</v>
      </c>
      <c r="F214" s="94">
        <f t="shared" si="25"/>
        <v>213.66540000000001</v>
      </c>
      <c r="G214" s="94">
        <v>0</v>
      </c>
      <c r="H214" s="94">
        <f t="shared" si="24"/>
        <v>331.18137000000002</v>
      </c>
    </row>
    <row r="215" spans="1:8" x14ac:dyDescent="0.2">
      <c r="A215" s="107">
        <f t="shared" si="26"/>
        <v>4</v>
      </c>
      <c r="B215" s="108"/>
      <c r="C215" s="57" t="s">
        <v>266</v>
      </c>
      <c r="D215" s="94">
        <f>(24.39)*10.764</f>
        <v>262.53395999999998</v>
      </c>
      <c r="E215" s="57">
        <v>0</v>
      </c>
      <c r="F215" s="94">
        <f t="shared" si="25"/>
        <v>262.53395999999998</v>
      </c>
      <c r="G215" s="94">
        <v>0</v>
      </c>
      <c r="H215" s="94">
        <f t="shared" si="24"/>
        <v>406.927638</v>
      </c>
    </row>
    <row r="216" spans="1:8" x14ac:dyDescent="0.2">
      <c r="A216" s="107">
        <f t="shared" si="26"/>
        <v>5</v>
      </c>
      <c r="B216" s="108"/>
      <c r="C216" s="57" t="s">
        <v>266</v>
      </c>
      <c r="D216" s="94">
        <f>(19.57)*10.764</f>
        <v>210.65147999999999</v>
      </c>
      <c r="E216" s="57">
        <v>0</v>
      </c>
      <c r="F216" s="94">
        <f t="shared" si="25"/>
        <v>210.65147999999999</v>
      </c>
      <c r="G216" s="94">
        <v>0</v>
      </c>
      <c r="H216" s="94">
        <f t="shared" si="24"/>
        <v>326.509794</v>
      </c>
    </row>
    <row r="217" spans="1:8" x14ac:dyDescent="0.2">
      <c r="A217" s="107">
        <f t="shared" si="26"/>
        <v>6</v>
      </c>
      <c r="B217" s="108"/>
      <c r="C217" s="57" t="s">
        <v>266</v>
      </c>
      <c r="D217" s="94">
        <f>(43.76)*10.764</f>
        <v>471.03263999999996</v>
      </c>
      <c r="E217" s="57">
        <v>0</v>
      </c>
      <c r="F217" s="94">
        <f t="shared" si="25"/>
        <v>471.03263999999996</v>
      </c>
      <c r="G217" s="94">
        <v>0</v>
      </c>
      <c r="H217" s="94">
        <f t="shared" si="24"/>
        <v>730.10059200000001</v>
      </c>
    </row>
    <row r="218" spans="1:8" x14ac:dyDescent="0.2">
      <c r="A218" s="107">
        <f t="shared" si="26"/>
        <v>7</v>
      </c>
      <c r="B218" s="108"/>
      <c r="C218" s="57" t="s">
        <v>266</v>
      </c>
      <c r="D218" s="94">
        <f>(45.46)*10.764</f>
        <v>489.33143999999999</v>
      </c>
      <c r="E218" s="57">
        <v>0</v>
      </c>
      <c r="F218" s="94">
        <f t="shared" si="25"/>
        <v>489.33143999999999</v>
      </c>
      <c r="G218" s="94">
        <v>0</v>
      </c>
      <c r="H218" s="94">
        <f t="shared" si="24"/>
        <v>758.46373200000005</v>
      </c>
    </row>
    <row r="219" spans="1:8" x14ac:dyDescent="0.2">
      <c r="A219" s="107">
        <f t="shared" si="26"/>
        <v>8</v>
      </c>
      <c r="B219" s="108"/>
      <c r="C219" s="57" t="s">
        <v>266</v>
      </c>
      <c r="D219" s="94">
        <f>(38.27)*10.764</f>
        <v>411.93828000000002</v>
      </c>
      <c r="E219" s="57">
        <v>0</v>
      </c>
      <c r="F219" s="94">
        <f t="shared" si="25"/>
        <v>411.93828000000002</v>
      </c>
      <c r="G219" s="94">
        <v>0</v>
      </c>
      <c r="H219" s="94">
        <f t="shared" si="24"/>
        <v>638.50433400000009</v>
      </c>
    </row>
    <row r="220" spans="1:8" x14ac:dyDescent="0.2">
      <c r="A220" s="107">
        <f t="shared" si="26"/>
        <v>9</v>
      </c>
      <c r="B220" s="108"/>
      <c r="C220" s="57" t="s">
        <v>266</v>
      </c>
      <c r="D220" s="94">
        <f>(28.06)*10.764</f>
        <v>302.03783999999996</v>
      </c>
      <c r="E220" s="57">
        <v>0</v>
      </c>
      <c r="F220" s="94">
        <f t="shared" si="25"/>
        <v>302.03783999999996</v>
      </c>
      <c r="G220" s="94">
        <v>0</v>
      </c>
      <c r="H220" s="94">
        <f t="shared" si="24"/>
        <v>468.15865199999996</v>
      </c>
    </row>
    <row r="221" spans="1:8" x14ac:dyDescent="0.2">
      <c r="A221" s="107">
        <f t="shared" si="26"/>
        <v>10</v>
      </c>
      <c r="B221" s="108"/>
      <c r="C221" s="57" t="s">
        <v>266</v>
      </c>
      <c r="D221" s="94">
        <f>(28.62)*10.764</f>
        <v>308.06567999999999</v>
      </c>
      <c r="E221" s="57">
        <v>0</v>
      </c>
      <c r="F221" s="94">
        <f t="shared" si="25"/>
        <v>308.06567999999999</v>
      </c>
      <c r="G221" s="94">
        <v>0</v>
      </c>
      <c r="H221" s="94">
        <f t="shared" si="24"/>
        <v>477.50180399999999</v>
      </c>
    </row>
    <row r="222" spans="1:8" x14ac:dyDescent="0.2">
      <c r="A222" s="107">
        <f t="shared" si="26"/>
        <v>11</v>
      </c>
      <c r="B222" s="108"/>
      <c r="C222" s="57" t="s">
        <v>266</v>
      </c>
      <c r="D222" s="94">
        <f>(61.29)*10.764</f>
        <v>659.72555999999997</v>
      </c>
      <c r="E222" s="57">
        <v>0</v>
      </c>
      <c r="F222" s="94">
        <f t="shared" si="25"/>
        <v>659.72555999999997</v>
      </c>
      <c r="G222" s="94">
        <v>0</v>
      </c>
      <c r="H222" s="94">
        <f t="shared" si="24"/>
        <v>1022.574618</v>
      </c>
    </row>
    <row r="223" spans="1:8" x14ac:dyDescent="0.2">
      <c r="A223" s="106" t="s">
        <v>269</v>
      </c>
      <c r="B223" s="106"/>
      <c r="C223" s="106"/>
      <c r="D223" s="106"/>
      <c r="E223" s="106"/>
      <c r="F223" s="106"/>
      <c r="G223" s="106"/>
      <c r="H223" s="106"/>
    </row>
    <row r="224" spans="1:8" x14ac:dyDescent="0.2">
      <c r="A224" s="107">
        <v>1</v>
      </c>
      <c r="B224" s="108"/>
      <c r="C224" s="57" t="s">
        <v>266</v>
      </c>
      <c r="D224" s="94">
        <f>(54.41)*10.764</f>
        <v>585.66923999999995</v>
      </c>
      <c r="E224" s="57">
        <v>0</v>
      </c>
      <c r="F224" s="94">
        <f>D224+(IF(E224&lt;201,E224,IF(E224&lt;301,E224/2,E224/3)))</f>
        <v>585.66923999999995</v>
      </c>
      <c r="G224" s="94">
        <v>0</v>
      </c>
      <c r="H224" s="94">
        <f t="shared" ref="H224:H235" si="27">F224*(($H$191)+1)+(IF(G224&lt;101,G224,IF(G224&lt;201,G224/2,IF(G224&lt;=301,G224/3,G224/4))))</f>
        <v>907.7873219999999</v>
      </c>
    </row>
    <row r="225" spans="1:8" x14ac:dyDescent="0.2">
      <c r="A225" s="107">
        <f>A224+1</f>
        <v>2</v>
      </c>
      <c r="B225" s="108"/>
      <c r="C225" s="57" t="s">
        <v>266</v>
      </c>
      <c r="D225" s="94">
        <f>(38.43)*10.764</f>
        <v>413.66051999999996</v>
      </c>
      <c r="E225" s="57">
        <v>0</v>
      </c>
      <c r="F225" s="94">
        <f t="shared" ref="F225:F235" si="28">D225+(IF(E225&lt;201,E225,IF(E225&lt;301,E225/2,E225/3)))</f>
        <v>413.66051999999996</v>
      </c>
      <c r="G225" s="94">
        <v>0</v>
      </c>
      <c r="H225" s="94">
        <f t="shared" si="27"/>
        <v>641.17380600000001</v>
      </c>
    </row>
    <row r="226" spans="1:8" x14ac:dyDescent="0.2">
      <c r="A226" s="107">
        <f t="shared" ref="A226:A235" si="29">A225+1</f>
        <v>3</v>
      </c>
      <c r="B226" s="108"/>
      <c r="C226" s="57" t="s">
        <v>266</v>
      </c>
      <c r="D226" s="94">
        <f>(19.85)*10.764</f>
        <v>213.66540000000001</v>
      </c>
      <c r="E226" s="57">
        <v>0</v>
      </c>
      <c r="F226" s="94">
        <f t="shared" si="28"/>
        <v>213.66540000000001</v>
      </c>
      <c r="G226" s="94">
        <v>0</v>
      </c>
      <c r="H226" s="94">
        <f t="shared" si="27"/>
        <v>331.18137000000002</v>
      </c>
    </row>
    <row r="227" spans="1:8" x14ac:dyDescent="0.2">
      <c r="A227" s="107">
        <f t="shared" si="29"/>
        <v>4</v>
      </c>
      <c r="B227" s="108"/>
      <c r="C227" s="57" t="s">
        <v>266</v>
      </c>
      <c r="D227" s="94">
        <f>(24.39)*10.764</f>
        <v>262.53395999999998</v>
      </c>
      <c r="E227" s="57">
        <v>0</v>
      </c>
      <c r="F227" s="94">
        <f t="shared" si="28"/>
        <v>262.53395999999998</v>
      </c>
      <c r="G227" s="94">
        <v>0</v>
      </c>
      <c r="H227" s="94">
        <f t="shared" si="27"/>
        <v>406.927638</v>
      </c>
    </row>
    <row r="228" spans="1:8" x14ac:dyDescent="0.2">
      <c r="A228" s="107">
        <f t="shared" si="29"/>
        <v>5</v>
      </c>
      <c r="B228" s="108"/>
      <c r="C228" s="57" t="s">
        <v>266</v>
      </c>
      <c r="D228" s="94">
        <f>(19.57)*10.764</f>
        <v>210.65147999999999</v>
      </c>
      <c r="E228" s="57">
        <v>0</v>
      </c>
      <c r="F228" s="94">
        <f t="shared" si="28"/>
        <v>210.65147999999999</v>
      </c>
      <c r="G228" s="94">
        <v>0</v>
      </c>
      <c r="H228" s="94">
        <f t="shared" si="27"/>
        <v>326.509794</v>
      </c>
    </row>
    <row r="229" spans="1:8" x14ac:dyDescent="0.2">
      <c r="A229" s="107">
        <f t="shared" si="29"/>
        <v>6</v>
      </c>
      <c r="B229" s="108"/>
      <c r="C229" s="57" t="s">
        <v>266</v>
      </c>
      <c r="D229" s="94">
        <f>(43.76)*10.764</f>
        <v>471.03263999999996</v>
      </c>
      <c r="E229" s="57">
        <v>0</v>
      </c>
      <c r="F229" s="94">
        <f t="shared" si="28"/>
        <v>471.03263999999996</v>
      </c>
      <c r="G229" s="94">
        <v>0</v>
      </c>
      <c r="H229" s="94">
        <f t="shared" si="27"/>
        <v>730.10059200000001</v>
      </c>
    </row>
    <row r="230" spans="1:8" x14ac:dyDescent="0.2">
      <c r="A230" s="107">
        <f t="shared" si="29"/>
        <v>7</v>
      </c>
      <c r="B230" s="108"/>
      <c r="C230" s="57" t="s">
        <v>266</v>
      </c>
      <c r="D230" s="94">
        <f>(45.46)*10.764</f>
        <v>489.33143999999999</v>
      </c>
      <c r="E230" s="57">
        <v>0</v>
      </c>
      <c r="F230" s="94">
        <f t="shared" si="28"/>
        <v>489.33143999999999</v>
      </c>
      <c r="G230" s="94">
        <v>0</v>
      </c>
      <c r="H230" s="94">
        <f t="shared" si="27"/>
        <v>758.46373200000005</v>
      </c>
    </row>
    <row r="231" spans="1:8" x14ac:dyDescent="0.2">
      <c r="A231" s="107">
        <f t="shared" si="29"/>
        <v>8</v>
      </c>
      <c r="B231" s="108"/>
      <c r="C231" s="57" t="s">
        <v>266</v>
      </c>
      <c r="D231" s="94">
        <f>(38.27)*10.764</f>
        <v>411.93828000000002</v>
      </c>
      <c r="E231" s="57">
        <v>0</v>
      </c>
      <c r="F231" s="94">
        <f t="shared" si="28"/>
        <v>411.93828000000002</v>
      </c>
      <c r="G231" s="94">
        <v>0</v>
      </c>
      <c r="H231" s="94">
        <f t="shared" si="27"/>
        <v>638.50433400000009</v>
      </c>
    </row>
    <row r="232" spans="1:8" x14ac:dyDescent="0.2">
      <c r="A232" s="107">
        <f t="shared" si="29"/>
        <v>9</v>
      </c>
      <c r="B232" s="108"/>
      <c r="C232" s="57" t="s">
        <v>266</v>
      </c>
      <c r="D232" s="94">
        <f>(28.06)*10.764</f>
        <v>302.03783999999996</v>
      </c>
      <c r="E232" s="57">
        <v>0</v>
      </c>
      <c r="F232" s="94">
        <f t="shared" si="28"/>
        <v>302.03783999999996</v>
      </c>
      <c r="G232" s="94">
        <v>0</v>
      </c>
      <c r="H232" s="94">
        <f t="shared" si="27"/>
        <v>468.15865199999996</v>
      </c>
    </row>
    <row r="233" spans="1:8" x14ac:dyDescent="0.2">
      <c r="A233" s="107">
        <f t="shared" si="29"/>
        <v>10</v>
      </c>
      <c r="B233" s="108"/>
      <c r="C233" s="57" t="s">
        <v>266</v>
      </c>
      <c r="D233" s="94">
        <f>(28.62)*10.764</f>
        <v>308.06567999999999</v>
      </c>
      <c r="E233" s="57">
        <v>0</v>
      </c>
      <c r="F233" s="94">
        <f t="shared" si="28"/>
        <v>308.06567999999999</v>
      </c>
      <c r="G233" s="94">
        <v>0</v>
      </c>
      <c r="H233" s="94">
        <f t="shared" si="27"/>
        <v>477.50180399999999</v>
      </c>
    </row>
    <row r="234" spans="1:8" x14ac:dyDescent="0.2">
      <c r="A234" s="107">
        <f t="shared" si="29"/>
        <v>11</v>
      </c>
      <c r="B234" s="108"/>
      <c r="C234" s="57" t="s">
        <v>266</v>
      </c>
      <c r="D234" s="94">
        <f>(61.29)*10.764</f>
        <v>659.72555999999997</v>
      </c>
      <c r="E234" s="57">
        <v>0</v>
      </c>
      <c r="F234" s="94">
        <f t="shared" si="28"/>
        <v>659.72555999999997</v>
      </c>
      <c r="G234" s="94">
        <v>0</v>
      </c>
      <c r="H234" s="94">
        <f t="shared" si="27"/>
        <v>1022.574618</v>
      </c>
    </row>
    <row r="235" spans="1:8" hidden="1" x14ac:dyDescent="0.2">
      <c r="A235" s="107">
        <f t="shared" si="29"/>
        <v>12</v>
      </c>
      <c r="B235" s="108"/>
      <c r="C235" s="57" t="s">
        <v>214</v>
      </c>
      <c r="D235" s="57"/>
      <c r="E235" s="57"/>
      <c r="F235" s="94">
        <f t="shared" si="28"/>
        <v>0</v>
      </c>
      <c r="G235" s="94">
        <v>0</v>
      </c>
      <c r="H235" s="57">
        <f t="shared" si="27"/>
        <v>0</v>
      </c>
    </row>
    <row r="236" spans="1:8" x14ac:dyDescent="0.2">
      <c r="A236" s="106" t="s">
        <v>270</v>
      </c>
      <c r="B236" s="106"/>
      <c r="C236" s="106"/>
      <c r="D236" s="106"/>
      <c r="E236" s="106"/>
      <c r="F236" s="106"/>
      <c r="G236" s="106"/>
      <c r="H236" s="106"/>
    </row>
    <row r="237" spans="1:8" x14ac:dyDescent="0.2">
      <c r="A237" s="107"/>
      <c r="B237" s="109"/>
      <c r="C237" s="109"/>
      <c r="D237" s="109"/>
      <c r="E237" s="109"/>
      <c r="F237" s="109"/>
      <c r="G237" s="109"/>
      <c r="H237" s="108"/>
    </row>
    <row r="238" spans="1:8" ht="38.25" x14ac:dyDescent="0.2">
      <c r="A238" s="200" t="s">
        <v>209</v>
      </c>
      <c r="B238" s="198" t="s">
        <v>210</v>
      </c>
      <c r="C238" s="200" t="s">
        <v>128</v>
      </c>
      <c r="D238" s="198" t="s">
        <v>300</v>
      </c>
      <c r="E238" s="198" t="s">
        <v>301</v>
      </c>
      <c r="F238" s="200" t="s">
        <v>211</v>
      </c>
      <c r="G238" s="95" t="s">
        <v>212</v>
      </c>
      <c r="H238" s="96" t="s">
        <v>141</v>
      </c>
    </row>
    <row r="239" spans="1:8" x14ac:dyDescent="0.2">
      <c r="A239" s="201"/>
      <c r="B239" s="199"/>
      <c r="C239" s="201"/>
      <c r="D239" s="199"/>
      <c r="E239" s="199"/>
      <c r="F239" s="201"/>
      <c r="G239" s="97"/>
      <c r="H239" s="98">
        <v>0.5</v>
      </c>
    </row>
    <row r="240" spans="1:8" x14ac:dyDescent="0.2">
      <c r="A240" s="124" t="s">
        <v>201</v>
      </c>
      <c r="B240" s="124"/>
      <c r="C240" s="124"/>
      <c r="D240" s="124"/>
      <c r="E240" s="124"/>
      <c r="F240" s="124"/>
      <c r="G240" s="124"/>
      <c r="H240" s="124"/>
    </row>
    <row r="241" spans="1:9" x14ac:dyDescent="0.2">
      <c r="A241" s="106" t="s">
        <v>271</v>
      </c>
      <c r="B241" s="106"/>
      <c r="C241" s="106"/>
      <c r="D241" s="106"/>
      <c r="E241" s="106"/>
      <c r="F241" s="106"/>
      <c r="G241" s="106"/>
      <c r="H241" s="125"/>
    </row>
    <row r="242" spans="1:9" x14ac:dyDescent="0.2">
      <c r="A242" s="106" t="s">
        <v>272</v>
      </c>
      <c r="B242" s="106"/>
      <c r="C242" s="106"/>
      <c r="D242" s="106"/>
      <c r="E242" s="106"/>
      <c r="F242" s="106"/>
      <c r="G242" s="106"/>
      <c r="H242" s="125"/>
      <c r="I242" s="6">
        <v>1</v>
      </c>
    </row>
    <row r="243" spans="1:9" x14ac:dyDescent="0.2">
      <c r="A243" s="106" t="s">
        <v>273</v>
      </c>
      <c r="B243" s="106"/>
      <c r="C243" s="106"/>
      <c r="D243" s="106"/>
      <c r="E243" s="106"/>
      <c r="F243" s="106"/>
      <c r="G243" s="106"/>
      <c r="H243" s="125"/>
      <c r="I243" s="6">
        <v>2</v>
      </c>
    </row>
    <row r="244" spans="1:9" x14ac:dyDescent="0.2">
      <c r="A244" s="106" t="s">
        <v>274</v>
      </c>
      <c r="B244" s="106"/>
      <c r="C244" s="106"/>
      <c r="D244" s="106"/>
      <c r="E244" s="106"/>
      <c r="F244" s="106"/>
      <c r="G244" s="106"/>
      <c r="H244" s="125"/>
      <c r="I244" s="6">
        <v>1</v>
      </c>
    </row>
    <row r="245" spans="1:9" x14ac:dyDescent="0.2">
      <c r="A245" s="106" t="s">
        <v>275</v>
      </c>
      <c r="B245" s="106"/>
      <c r="C245" s="106"/>
      <c r="D245" s="106"/>
      <c r="E245" s="106"/>
      <c r="F245" s="106"/>
      <c r="G245" s="106"/>
      <c r="H245" s="125"/>
      <c r="I245" s="6">
        <v>1</v>
      </c>
    </row>
    <row r="246" spans="1:9" x14ac:dyDescent="0.2">
      <c r="A246" s="106" t="s">
        <v>276</v>
      </c>
      <c r="B246" s="106"/>
      <c r="C246" s="106"/>
      <c r="D246" s="106"/>
      <c r="E246" s="106"/>
      <c r="F246" s="106"/>
      <c r="G246" s="106"/>
      <c r="H246" s="125"/>
      <c r="I246" s="6">
        <f>1+6+7</f>
        <v>14</v>
      </c>
    </row>
    <row r="247" spans="1:9" x14ac:dyDescent="0.2">
      <c r="A247" s="107">
        <v>1</v>
      </c>
      <c r="B247" s="108"/>
      <c r="C247" s="57" t="s">
        <v>279</v>
      </c>
      <c r="D247" s="94">
        <f>(48.63)*10.764</f>
        <v>523.45331999999996</v>
      </c>
      <c r="E247" s="57">
        <v>0</v>
      </c>
      <c r="F247" s="94">
        <f>D247+E247</f>
        <v>523.45331999999996</v>
      </c>
      <c r="G247" s="94">
        <v>0</v>
      </c>
      <c r="H247" s="94">
        <f>F247*(($H$239)+1)+(IF(G247&lt;101,G247,IF(G247&lt;201,G247/2,IF(G247&lt;=301,G247/3,G247/4))))</f>
        <v>785.17997999999989</v>
      </c>
    </row>
    <row r="248" spans="1:9" x14ac:dyDescent="0.2">
      <c r="A248" s="107">
        <f>A247+1</f>
        <v>2</v>
      </c>
      <c r="B248" s="108"/>
      <c r="C248" s="57" t="s">
        <v>279</v>
      </c>
      <c r="D248" s="94">
        <f>(58.15)*10.764</f>
        <v>625.92659999999989</v>
      </c>
      <c r="E248" s="57">
        <v>0</v>
      </c>
      <c r="F248" s="94">
        <f t="shared" ref="F248:F250" si="30">D248+E248</f>
        <v>625.92659999999989</v>
      </c>
      <c r="G248" s="94">
        <v>0</v>
      </c>
      <c r="H248" s="94">
        <f t="shared" ref="H248:H250" si="31">F248*(($H$239)+1)+(IF(G248&lt;101,G248,IF(G248&lt;201,G248/2,IF(G248&lt;=301,G248/3,G248/4))))</f>
        <v>938.8898999999999</v>
      </c>
    </row>
    <row r="249" spans="1:9" x14ac:dyDescent="0.2">
      <c r="A249" s="107">
        <f t="shared" ref="A249:A250" si="32">A248+1</f>
        <v>3</v>
      </c>
      <c r="B249" s="108"/>
      <c r="C249" s="57" t="s">
        <v>279</v>
      </c>
      <c r="D249" s="94">
        <f>(58.27)*10.764</f>
        <v>627.21828000000005</v>
      </c>
      <c r="E249" s="57">
        <v>0</v>
      </c>
      <c r="F249" s="94">
        <f>D249+E249</f>
        <v>627.21828000000005</v>
      </c>
      <c r="G249" s="94">
        <v>0</v>
      </c>
      <c r="H249" s="94">
        <f>F249*(($H$239)+1)+(IF(G249&lt;101,G249,IF(G249&lt;201,G249/2,IF(G249&lt;=301,G249/3,G249/4))))</f>
        <v>940.82742000000007</v>
      </c>
    </row>
    <row r="250" spans="1:9" x14ac:dyDescent="0.2">
      <c r="A250" s="107">
        <f t="shared" si="32"/>
        <v>4</v>
      </c>
      <c r="B250" s="108"/>
      <c r="C250" s="57" t="s">
        <v>279</v>
      </c>
      <c r="D250" s="94">
        <f>(54.56)*10.764</f>
        <v>587.28383999999994</v>
      </c>
      <c r="E250" s="57">
        <v>0</v>
      </c>
      <c r="F250" s="94">
        <f t="shared" si="30"/>
        <v>587.28383999999994</v>
      </c>
      <c r="G250" s="94">
        <v>0</v>
      </c>
      <c r="H250" s="94">
        <f t="shared" si="31"/>
        <v>880.92575999999985</v>
      </c>
    </row>
    <row r="251" spans="1:9" x14ac:dyDescent="0.2">
      <c r="A251" s="106" t="s">
        <v>280</v>
      </c>
      <c r="B251" s="106"/>
      <c r="C251" s="106"/>
      <c r="D251" s="106"/>
      <c r="E251" s="106"/>
      <c r="F251" s="106"/>
      <c r="G251" s="106"/>
      <c r="H251" s="106"/>
      <c r="I251" s="6">
        <v>2</v>
      </c>
    </row>
    <row r="252" spans="1:9" x14ac:dyDescent="0.2">
      <c r="A252" s="107">
        <v>1</v>
      </c>
      <c r="B252" s="108"/>
      <c r="C252" s="57" t="s">
        <v>279</v>
      </c>
      <c r="D252" s="94">
        <f>(48.63)*10.764</f>
        <v>523.45331999999996</v>
      </c>
      <c r="E252" s="57">
        <v>0</v>
      </c>
      <c r="F252" s="94">
        <f>D252+E252</f>
        <v>523.45331999999996</v>
      </c>
      <c r="G252" s="94">
        <v>0</v>
      </c>
      <c r="H252" s="94">
        <f>F252*(($H$239)+1)+(IF(G252&lt;101,G252,IF(G252&lt;201,G252/2,IF(G252&lt;=301,G252/3,G252/4))))</f>
        <v>785.17997999999989</v>
      </c>
    </row>
    <row r="253" spans="1:9" x14ac:dyDescent="0.2">
      <c r="A253" s="107">
        <f>A252+1</f>
        <v>2</v>
      </c>
      <c r="B253" s="108"/>
      <c r="C253" s="57" t="s">
        <v>279</v>
      </c>
      <c r="D253" s="94">
        <f>(58.15)*10.764</f>
        <v>625.92659999999989</v>
      </c>
      <c r="E253" s="57">
        <v>0</v>
      </c>
      <c r="F253" s="94">
        <f t="shared" ref="F253:F255" si="33">D253+E253</f>
        <v>625.92659999999989</v>
      </c>
      <c r="G253" s="94">
        <v>0</v>
      </c>
      <c r="H253" s="94">
        <f t="shared" ref="H253:H255" si="34">F253*(($H$239)+1)+(IF(G253&lt;101,G253,IF(G253&lt;201,G253/2,IF(G253&lt;=301,G253/3,G253/4))))</f>
        <v>938.8898999999999</v>
      </c>
    </row>
    <row r="254" spans="1:9" x14ac:dyDescent="0.2">
      <c r="A254" s="107">
        <f t="shared" ref="A254:A255" si="35">A253+1</f>
        <v>3</v>
      </c>
      <c r="B254" s="108"/>
      <c r="C254" s="107" t="s">
        <v>278</v>
      </c>
      <c r="D254" s="109"/>
      <c r="E254" s="109"/>
      <c r="F254" s="109"/>
      <c r="G254" s="109"/>
      <c r="H254" s="108"/>
    </row>
    <row r="255" spans="1:9" x14ac:dyDescent="0.2">
      <c r="A255" s="107">
        <f t="shared" si="35"/>
        <v>4</v>
      </c>
      <c r="B255" s="108"/>
      <c r="C255" s="57" t="s">
        <v>279</v>
      </c>
      <c r="D255" s="94">
        <f>(54.56)*10.764</f>
        <v>587.28383999999994</v>
      </c>
      <c r="E255" s="57">
        <v>0</v>
      </c>
      <c r="F255" s="94">
        <f t="shared" si="33"/>
        <v>587.28383999999994</v>
      </c>
      <c r="G255" s="94">
        <v>0</v>
      </c>
      <c r="H255" s="94">
        <f t="shared" si="34"/>
        <v>880.92575999999985</v>
      </c>
    </row>
    <row r="256" spans="1:9" x14ac:dyDescent="0.2">
      <c r="A256" s="106" t="s">
        <v>204</v>
      </c>
      <c r="B256" s="106"/>
      <c r="C256" s="106"/>
      <c r="D256" s="106"/>
      <c r="E256" s="106"/>
      <c r="F256" s="106"/>
      <c r="G256" s="106"/>
      <c r="H256" s="106"/>
    </row>
    <row r="257" spans="1:9" x14ac:dyDescent="0.2">
      <c r="A257" s="106" t="s">
        <v>271</v>
      </c>
      <c r="B257" s="106"/>
      <c r="C257" s="106"/>
      <c r="D257" s="106"/>
      <c r="E257" s="106"/>
      <c r="F257" s="106"/>
      <c r="G257" s="106"/>
      <c r="H257" s="106"/>
    </row>
    <row r="258" spans="1:9" x14ac:dyDescent="0.2">
      <c r="A258" s="106" t="s">
        <v>272</v>
      </c>
      <c r="B258" s="106"/>
      <c r="C258" s="106"/>
      <c r="D258" s="106"/>
      <c r="E258" s="106"/>
      <c r="F258" s="106"/>
      <c r="G258" s="106"/>
      <c r="H258" s="106"/>
      <c r="I258" s="6">
        <v>1</v>
      </c>
    </row>
    <row r="259" spans="1:9" x14ac:dyDescent="0.2">
      <c r="A259" s="106" t="s">
        <v>273</v>
      </c>
      <c r="B259" s="106"/>
      <c r="C259" s="106"/>
      <c r="D259" s="106"/>
      <c r="E259" s="106"/>
      <c r="F259" s="106"/>
      <c r="G259" s="106"/>
      <c r="H259" s="106"/>
      <c r="I259" s="6">
        <v>2</v>
      </c>
    </row>
    <row r="260" spans="1:9" x14ac:dyDescent="0.2">
      <c r="A260" s="106" t="s">
        <v>274</v>
      </c>
      <c r="B260" s="106"/>
      <c r="C260" s="106"/>
      <c r="D260" s="106"/>
      <c r="E260" s="106"/>
      <c r="F260" s="106"/>
      <c r="G260" s="106"/>
      <c r="H260" s="106"/>
      <c r="I260" s="6">
        <v>1</v>
      </c>
    </row>
    <row r="261" spans="1:9" x14ac:dyDescent="0.2">
      <c r="A261" s="106" t="s">
        <v>275</v>
      </c>
      <c r="B261" s="106"/>
      <c r="C261" s="106"/>
      <c r="D261" s="106"/>
      <c r="E261" s="106"/>
      <c r="F261" s="106"/>
      <c r="G261" s="106"/>
      <c r="H261" s="106"/>
      <c r="I261" s="6">
        <v>1</v>
      </c>
    </row>
    <row r="262" spans="1:9" x14ac:dyDescent="0.2">
      <c r="A262" s="106" t="s">
        <v>276</v>
      </c>
      <c r="B262" s="106"/>
      <c r="C262" s="106"/>
      <c r="D262" s="106"/>
      <c r="E262" s="106"/>
      <c r="F262" s="106"/>
      <c r="G262" s="106"/>
      <c r="H262" s="106"/>
      <c r="I262" s="6">
        <f>1+6+7</f>
        <v>14</v>
      </c>
    </row>
    <row r="263" spans="1:9" x14ac:dyDescent="0.2">
      <c r="A263" s="107">
        <v>1</v>
      </c>
      <c r="B263" s="108"/>
      <c r="C263" s="57" t="s">
        <v>279</v>
      </c>
      <c r="D263" s="94">
        <f>(48.7)*10.764</f>
        <v>524.20680000000004</v>
      </c>
      <c r="E263" s="57">
        <v>0</v>
      </c>
      <c r="F263" s="94">
        <f>D263+E263</f>
        <v>524.20680000000004</v>
      </c>
      <c r="G263" s="94">
        <v>0</v>
      </c>
      <c r="H263" s="94">
        <f>F263*(($H$239)+1)+(IF(G263&lt;101,G263,IF(G263&lt;201,G263/2,IF(G263&lt;=301,G263/3,G263/4))))</f>
        <v>786.31020000000012</v>
      </c>
    </row>
    <row r="264" spans="1:9" x14ac:dyDescent="0.2">
      <c r="A264" s="107">
        <f>A263+1</f>
        <v>2</v>
      </c>
      <c r="B264" s="108"/>
      <c r="C264" s="57" t="s">
        <v>279</v>
      </c>
      <c r="D264" s="94">
        <f>(48.81)*10.764</f>
        <v>525.39084000000003</v>
      </c>
      <c r="E264" s="57">
        <v>0</v>
      </c>
      <c r="F264" s="94">
        <f t="shared" ref="F264:F266" si="36">D264+E264</f>
        <v>525.39084000000003</v>
      </c>
      <c r="G264" s="94">
        <v>0</v>
      </c>
      <c r="H264" s="94">
        <f t="shared" ref="H264:H266" si="37">F264*(($H$239)+1)+(IF(G264&lt;101,G264,IF(G264&lt;201,G264/2,IF(G264&lt;=301,G264/3,G264/4))))</f>
        <v>788.08626000000004</v>
      </c>
    </row>
    <row r="265" spans="1:9" x14ac:dyDescent="0.2">
      <c r="A265" s="107">
        <f t="shared" ref="A265:A266" si="38">A264+1</f>
        <v>3</v>
      </c>
      <c r="B265" s="108"/>
      <c r="C265" s="57" t="s">
        <v>279</v>
      </c>
      <c r="D265" s="94">
        <f>(54.36)*10.764</f>
        <v>585.13103999999998</v>
      </c>
      <c r="E265" s="57">
        <v>0</v>
      </c>
      <c r="F265" s="94">
        <f t="shared" si="36"/>
        <v>585.13103999999998</v>
      </c>
      <c r="G265" s="94">
        <v>0</v>
      </c>
      <c r="H265" s="94">
        <f t="shared" si="37"/>
        <v>877.69655999999998</v>
      </c>
    </row>
    <row r="266" spans="1:9" x14ac:dyDescent="0.2">
      <c r="A266" s="107">
        <f t="shared" si="38"/>
        <v>4</v>
      </c>
      <c r="B266" s="108"/>
      <c r="C266" s="57" t="s">
        <v>279</v>
      </c>
      <c r="D266" s="94">
        <f>(54.43)*10.764</f>
        <v>585.88451999999995</v>
      </c>
      <c r="E266" s="57">
        <v>0</v>
      </c>
      <c r="F266" s="94">
        <f t="shared" si="36"/>
        <v>585.88451999999995</v>
      </c>
      <c r="G266" s="94">
        <v>0</v>
      </c>
      <c r="H266" s="94">
        <f t="shared" si="37"/>
        <v>878.82677999999987</v>
      </c>
    </row>
    <row r="267" spans="1:9" x14ac:dyDescent="0.2">
      <c r="A267" s="106" t="s">
        <v>280</v>
      </c>
      <c r="B267" s="106"/>
      <c r="C267" s="106"/>
      <c r="D267" s="106"/>
      <c r="E267" s="106"/>
      <c r="F267" s="106"/>
      <c r="G267" s="106"/>
      <c r="H267" s="106"/>
      <c r="I267" s="6">
        <v>2</v>
      </c>
    </row>
    <row r="268" spans="1:9" x14ac:dyDescent="0.2">
      <c r="A268" s="107">
        <v>1</v>
      </c>
      <c r="B268" s="108"/>
      <c r="C268" s="57" t="s">
        <v>279</v>
      </c>
      <c r="D268" s="94">
        <f>(48.7)*10.764</f>
        <v>524.20680000000004</v>
      </c>
      <c r="E268" s="57">
        <v>0</v>
      </c>
      <c r="F268" s="94">
        <f>D268+E268</f>
        <v>524.20680000000004</v>
      </c>
      <c r="G268" s="94">
        <v>0</v>
      </c>
      <c r="H268" s="94">
        <f>F268*(($H$239)+1)+(IF(G268&lt;101,G268,IF(G268&lt;201,G268/2,IF(G268&lt;=301,G268/3,G268/4))))</f>
        <v>786.31020000000012</v>
      </c>
    </row>
    <row r="269" spans="1:9" x14ac:dyDescent="0.2">
      <c r="A269" s="107">
        <f>A268+1</f>
        <v>2</v>
      </c>
      <c r="B269" s="108"/>
      <c r="C269" s="57" t="s">
        <v>279</v>
      </c>
      <c r="D269" s="94">
        <f>(48.81)*10.764</f>
        <v>525.39084000000003</v>
      </c>
      <c r="E269" s="57">
        <v>0</v>
      </c>
      <c r="F269" s="94">
        <f t="shared" ref="F269:F271" si="39">D269+E269</f>
        <v>525.39084000000003</v>
      </c>
      <c r="G269" s="94">
        <v>0</v>
      </c>
      <c r="H269" s="94">
        <f t="shared" ref="H269:H271" si="40">F269*(($H$239)+1)+(IF(G269&lt;101,G269,IF(G269&lt;201,G269/2,IF(G269&lt;=301,G269/3,G269/4))))</f>
        <v>788.08626000000004</v>
      </c>
    </row>
    <row r="270" spans="1:9" ht="15" customHeight="1" x14ac:dyDescent="0.2">
      <c r="A270" s="107">
        <f t="shared" ref="A270:A271" si="41">A269+1</f>
        <v>3</v>
      </c>
      <c r="B270" s="108"/>
      <c r="C270" s="121" t="s">
        <v>278</v>
      </c>
      <c r="D270" s="122"/>
      <c r="E270" s="122"/>
      <c r="F270" s="122"/>
      <c r="G270" s="122"/>
      <c r="H270" s="123"/>
    </row>
    <row r="271" spans="1:9" x14ac:dyDescent="0.2">
      <c r="A271" s="107">
        <f t="shared" si="41"/>
        <v>4</v>
      </c>
      <c r="B271" s="108"/>
      <c r="C271" s="57" t="s">
        <v>279</v>
      </c>
      <c r="D271" s="94">
        <f>(54.43)*10.764</f>
        <v>585.88451999999995</v>
      </c>
      <c r="E271" s="57">
        <v>0</v>
      </c>
      <c r="F271" s="94">
        <f t="shared" si="39"/>
        <v>585.88451999999995</v>
      </c>
      <c r="G271" s="94">
        <v>0</v>
      </c>
      <c r="H271" s="94">
        <f t="shared" si="40"/>
        <v>878.82677999999987</v>
      </c>
    </row>
    <row r="272" spans="1:9" x14ac:dyDescent="0.2">
      <c r="A272" s="106" t="s">
        <v>281</v>
      </c>
      <c r="B272" s="106"/>
      <c r="C272" s="106"/>
      <c r="D272" s="106"/>
      <c r="E272" s="106"/>
      <c r="F272" s="106"/>
      <c r="G272" s="106"/>
      <c r="H272" s="106"/>
    </row>
    <row r="273" spans="1:9" x14ac:dyDescent="0.2">
      <c r="A273" s="106" t="s">
        <v>271</v>
      </c>
      <c r="B273" s="106"/>
      <c r="C273" s="106"/>
      <c r="D273" s="106"/>
      <c r="E273" s="106"/>
      <c r="F273" s="106"/>
      <c r="G273" s="106"/>
      <c r="H273" s="106"/>
    </row>
    <row r="274" spans="1:9" x14ac:dyDescent="0.2">
      <c r="A274" s="106" t="s">
        <v>272</v>
      </c>
      <c r="B274" s="106"/>
      <c r="C274" s="106"/>
      <c r="D274" s="106"/>
      <c r="E274" s="106"/>
      <c r="F274" s="106"/>
      <c r="G274" s="106"/>
      <c r="H274" s="106"/>
      <c r="I274" s="6">
        <v>1</v>
      </c>
    </row>
    <row r="275" spans="1:9" x14ac:dyDescent="0.2">
      <c r="A275" s="106" t="s">
        <v>273</v>
      </c>
      <c r="B275" s="106"/>
      <c r="C275" s="106"/>
      <c r="D275" s="106"/>
      <c r="E275" s="106"/>
      <c r="F275" s="106"/>
      <c r="G275" s="106"/>
      <c r="H275" s="106"/>
      <c r="I275" s="6">
        <v>2</v>
      </c>
    </row>
    <row r="276" spans="1:9" x14ac:dyDescent="0.2">
      <c r="A276" s="106" t="s">
        <v>274</v>
      </c>
      <c r="B276" s="106"/>
      <c r="C276" s="106"/>
      <c r="D276" s="106"/>
      <c r="E276" s="106"/>
      <c r="F276" s="106"/>
      <c r="G276" s="106"/>
      <c r="H276" s="106"/>
      <c r="I276" s="6">
        <v>1</v>
      </c>
    </row>
    <row r="277" spans="1:9" x14ac:dyDescent="0.2">
      <c r="A277" s="106" t="s">
        <v>326</v>
      </c>
      <c r="B277" s="106"/>
      <c r="C277" s="106"/>
      <c r="D277" s="106"/>
      <c r="E277" s="106"/>
      <c r="F277" s="106"/>
      <c r="G277" s="106"/>
      <c r="H277" s="106"/>
      <c r="I277" s="6">
        <v>1</v>
      </c>
    </row>
    <row r="278" spans="1:9" x14ac:dyDescent="0.2">
      <c r="A278" s="106" t="s">
        <v>276</v>
      </c>
      <c r="B278" s="106"/>
      <c r="C278" s="106"/>
      <c r="D278" s="106"/>
      <c r="E278" s="106"/>
      <c r="F278" s="106"/>
      <c r="G278" s="106"/>
      <c r="H278" s="106"/>
      <c r="I278" s="6">
        <f>1+6+7</f>
        <v>14</v>
      </c>
    </row>
    <row r="279" spans="1:9" x14ac:dyDescent="0.2">
      <c r="A279" s="107">
        <v>1</v>
      </c>
      <c r="B279" s="108"/>
      <c r="C279" s="57" t="s">
        <v>283</v>
      </c>
      <c r="D279" s="94">
        <f>(74.57)*10.764</f>
        <v>802.67147999999986</v>
      </c>
      <c r="E279" s="94">
        <v>0</v>
      </c>
      <c r="F279" s="94">
        <f>D279+E279</f>
        <v>802.67147999999986</v>
      </c>
      <c r="G279" s="94">
        <v>0</v>
      </c>
      <c r="H279" s="94">
        <f>F279*(($H$239)+1)+(IF(G279&lt;101,G279,IF(G279&lt;201,G279/2,IF(G279&lt;=301,G279/3,G279/4))))</f>
        <v>1204.0072199999997</v>
      </c>
    </row>
    <row r="280" spans="1:9" x14ac:dyDescent="0.2">
      <c r="A280" s="107">
        <f>A279+1</f>
        <v>2</v>
      </c>
      <c r="B280" s="108"/>
      <c r="C280" s="57" t="s">
        <v>279</v>
      </c>
      <c r="D280" s="94">
        <f>(63.1)*10.764</f>
        <v>679.20839999999998</v>
      </c>
      <c r="E280" s="94">
        <v>0</v>
      </c>
      <c r="F280" s="94">
        <f t="shared" ref="F280:F282" si="42">D280+E280</f>
        <v>679.20839999999998</v>
      </c>
      <c r="G280" s="94">
        <v>0</v>
      </c>
      <c r="H280" s="94">
        <f t="shared" ref="H280:H282" si="43">F280*(($H$239)+1)+(IF(G280&lt;101,G280,IF(G280&lt;201,G280/2,IF(G280&lt;=301,G280/3,G280/4))))</f>
        <v>1018.8126</v>
      </c>
    </row>
    <row r="281" spans="1:9" x14ac:dyDescent="0.2">
      <c r="A281" s="107">
        <f t="shared" ref="A281:A283" si="44">A280+1</f>
        <v>3</v>
      </c>
      <c r="B281" s="108"/>
      <c r="C281" s="57" t="s">
        <v>279</v>
      </c>
      <c r="D281" s="94">
        <f>(63.34)*10.764</f>
        <v>681.79175999999995</v>
      </c>
      <c r="E281" s="94">
        <f>(4.75)*10.764</f>
        <v>51.128999999999998</v>
      </c>
      <c r="F281" s="94">
        <f t="shared" si="42"/>
        <v>732.92075999999997</v>
      </c>
      <c r="G281" s="94">
        <v>0</v>
      </c>
      <c r="H281" s="94">
        <f t="shared" si="43"/>
        <v>1099.38114</v>
      </c>
    </row>
    <row r="282" spans="1:9" x14ac:dyDescent="0.2">
      <c r="A282" s="107">
        <f t="shared" si="44"/>
        <v>4</v>
      </c>
      <c r="B282" s="108"/>
      <c r="C282" s="57" t="s">
        <v>279</v>
      </c>
      <c r="D282" s="94">
        <f>(67.53)*10.764</f>
        <v>726.89292</v>
      </c>
      <c r="E282" s="94">
        <v>0</v>
      </c>
      <c r="F282" s="94">
        <f t="shared" si="42"/>
        <v>726.89292</v>
      </c>
      <c r="G282" s="94">
        <v>0</v>
      </c>
      <c r="H282" s="94">
        <f t="shared" si="43"/>
        <v>1090.3393799999999</v>
      </c>
    </row>
    <row r="283" spans="1:9" x14ac:dyDescent="0.2">
      <c r="A283" s="107">
        <f t="shared" si="44"/>
        <v>5</v>
      </c>
      <c r="B283" s="108"/>
      <c r="C283" s="57" t="s">
        <v>283</v>
      </c>
      <c r="D283" s="94">
        <f>(80.34)*10.764</f>
        <v>864.77976000000001</v>
      </c>
      <c r="E283" s="94">
        <f>(4.49)*10.764</f>
        <v>48.330359999999999</v>
      </c>
      <c r="F283" s="94">
        <f t="shared" ref="F283" si="45">D283+E283</f>
        <v>913.11012000000005</v>
      </c>
      <c r="G283" s="94">
        <v>0</v>
      </c>
      <c r="H283" s="94">
        <f t="shared" ref="H283" si="46">F283*(($H$239)+1)+(IF(G283&lt;101,G283,IF(G283&lt;201,G283/2,IF(G283&lt;=301,G283/3,G283/4))))</f>
        <v>1369.66518</v>
      </c>
    </row>
    <row r="284" spans="1:9" x14ac:dyDescent="0.2">
      <c r="A284" s="106" t="s">
        <v>284</v>
      </c>
      <c r="B284" s="106"/>
      <c r="C284" s="106"/>
      <c r="D284" s="106"/>
      <c r="E284" s="106"/>
      <c r="F284" s="106"/>
      <c r="G284" s="106"/>
      <c r="H284" s="106"/>
      <c r="I284" s="6">
        <v>1</v>
      </c>
    </row>
    <row r="285" spans="1:9" x14ac:dyDescent="0.2">
      <c r="A285" s="107">
        <v>1</v>
      </c>
      <c r="B285" s="108"/>
      <c r="C285" s="57" t="s">
        <v>283</v>
      </c>
      <c r="D285" s="94">
        <f>(74.57)*10.764</f>
        <v>802.67147999999986</v>
      </c>
      <c r="E285" s="94">
        <v>0</v>
      </c>
      <c r="F285" s="94">
        <f>D285+E285</f>
        <v>802.67147999999986</v>
      </c>
      <c r="G285" s="94">
        <v>0</v>
      </c>
      <c r="H285" s="94">
        <f>F285*(($H$239)+1)+(IF(G285&lt;101,G285,IF(G285&lt;201,G285/2,IF(G285&lt;=301,G285/3,G285/4))))</f>
        <v>1204.0072199999997</v>
      </c>
    </row>
    <row r="286" spans="1:9" x14ac:dyDescent="0.2">
      <c r="A286" s="107">
        <f>A285+1</f>
        <v>2</v>
      </c>
      <c r="B286" s="108"/>
      <c r="C286" s="57" t="s">
        <v>279</v>
      </c>
      <c r="D286" s="94">
        <f>(63.1)*10.764</f>
        <v>679.20839999999998</v>
      </c>
      <c r="E286" s="94">
        <v>0</v>
      </c>
      <c r="F286" s="94">
        <f t="shared" ref="F286:F288" si="47">D286+E286</f>
        <v>679.20839999999998</v>
      </c>
      <c r="G286" s="94">
        <v>0</v>
      </c>
      <c r="H286" s="94">
        <f t="shared" ref="H286:H288" si="48">F286*(($H$239)+1)+(IF(G286&lt;101,G286,IF(G286&lt;201,G286/2,IF(G286&lt;=301,G286/3,G286/4))))</f>
        <v>1018.8126</v>
      </c>
    </row>
    <row r="287" spans="1:9" x14ac:dyDescent="0.2">
      <c r="A287" s="107">
        <f t="shared" ref="A287:A289" si="49">A286+1</f>
        <v>3</v>
      </c>
      <c r="B287" s="108"/>
      <c r="C287" s="57" t="s">
        <v>279</v>
      </c>
      <c r="D287" s="94">
        <f>(63.34)*10.764</f>
        <v>681.79175999999995</v>
      </c>
      <c r="E287" s="94">
        <f>(4.75)*10.764</f>
        <v>51.128999999999998</v>
      </c>
      <c r="F287" s="94">
        <f t="shared" si="47"/>
        <v>732.92075999999997</v>
      </c>
      <c r="G287" s="94">
        <v>0</v>
      </c>
      <c r="H287" s="94">
        <f t="shared" si="48"/>
        <v>1099.38114</v>
      </c>
    </row>
    <row r="288" spans="1:9" x14ac:dyDescent="0.2">
      <c r="A288" s="107">
        <f t="shared" si="49"/>
        <v>4</v>
      </c>
      <c r="B288" s="108"/>
      <c r="C288" s="57" t="s">
        <v>279</v>
      </c>
      <c r="D288" s="94">
        <f>(67.53)*10.764</f>
        <v>726.89292</v>
      </c>
      <c r="E288" s="94">
        <v>0</v>
      </c>
      <c r="F288" s="94">
        <f t="shared" si="47"/>
        <v>726.89292</v>
      </c>
      <c r="G288" s="94">
        <v>0</v>
      </c>
      <c r="H288" s="94">
        <f t="shared" si="48"/>
        <v>1090.3393799999999</v>
      </c>
    </row>
    <row r="289" spans="1:9" ht="15" customHeight="1" x14ac:dyDescent="0.2">
      <c r="A289" s="107">
        <f t="shared" si="49"/>
        <v>5</v>
      </c>
      <c r="B289" s="108"/>
      <c r="C289" s="121" t="s">
        <v>278</v>
      </c>
      <c r="D289" s="122"/>
      <c r="E289" s="122"/>
      <c r="F289" s="122"/>
      <c r="G289" s="122"/>
      <c r="H289" s="123"/>
    </row>
    <row r="290" spans="1:9" x14ac:dyDescent="0.2">
      <c r="A290" s="106" t="s">
        <v>285</v>
      </c>
      <c r="B290" s="106"/>
      <c r="C290" s="106"/>
      <c r="D290" s="106"/>
      <c r="E290" s="106"/>
      <c r="F290" s="106"/>
      <c r="G290" s="106"/>
      <c r="H290" s="106"/>
      <c r="I290" s="6">
        <v>1</v>
      </c>
    </row>
    <row r="291" spans="1:9" x14ac:dyDescent="0.2">
      <c r="A291" s="107">
        <v>1</v>
      </c>
      <c r="B291" s="108"/>
      <c r="C291" s="57" t="s">
        <v>283</v>
      </c>
      <c r="D291" s="94">
        <f>(74.57)*10.764</f>
        <v>802.67147999999986</v>
      </c>
      <c r="E291" s="57">
        <v>0</v>
      </c>
      <c r="F291" s="94">
        <f>D291+E291</f>
        <v>802.67147999999986</v>
      </c>
      <c r="G291" s="94">
        <v>0</v>
      </c>
      <c r="H291" s="94">
        <f>F291*(($H$239)+1)+(IF(G291&lt;101,G291,IF(G291&lt;201,G291/2,IF(G291&lt;=301,G291/3,G291/4))))</f>
        <v>1204.0072199999997</v>
      </c>
    </row>
    <row r="292" spans="1:9" x14ac:dyDescent="0.2">
      <c r="A292" s="107">
        <f>A291+1</f>
        <v>2</v>
      </c>
      <c r="B292" s="108"/>
      <c r="C292" s="57" t="s">
        <v>279</v>
      </c>
      <c r="D292" s="94">
        <f>(63.1)*10.764</f>
        <v>679.20839999999998</v>
      </c>
      <c r="E292" s="57">
        <v>0</v>
      </c>
      <c r="F292" s="94">
        <f t="shared" ref="F292:F296" si="50">D292+E292</f>
        <v>679.20839999999998</v>
      </c>
      <c r="G292" s="94">
        <v>0</v>
      </c>
      <c r="H292" s="94">
        <f t="shared" ref="H292:H296" si="51">F292*(($H$239)+1)+(IF(G292&lt;101,G292,IF(G292&lt;201,G292/2,IF(G292&lt;=301,G292/3,G292/4))))</f>
        <v>1018.8126</v>
      </c>
    </row>
    <row r="293" spans="1:9" x14ac:dyDescent="0.2">
      <c r="A293" s="107">
        <f t="shared" ref="A293:A294" si="52">A292+1</f>
        <v>3</v>
      </c>
      <c r="B293" s="108"/>
      <c r="C293" s="110" t="s">
        <v>278</v>
      </c>
      <c r="D293" s="111"/>
      <c r="E293" s="111"/>
      <c r="F293" s="111"/>
      <c r="G293" s="111"/>
      <c r="H293" s="112"/>
    </row>
    <row r="294" spans="1:9" x14ac:dyDescent="0.2">
      <c r="A294" s="107">
        <f t="shared" si="52"/>
        <v>4</v>
      </c>
      <c r="B294" s="108"/>
      <c r="C294" s="113"/>
      <c r="D294" s="114"/>
      <c r="E294" s="114"/>
      <c r="F294" s="114"/>
      <c r="G294" s="114"/>
      <c r="H294" s="115"/>
    </row>
    <row r="295" spans="1:9" x14ac:dyDescent="0.2">
      <c r="A295" s="107" t="s">
        <v>258</v>
      </c>
      <c r="B295" s="108"/>
      <c r="C295" s="107" t="s">
        <v>286</v>
      </c>
      <c r="D295" s="109"/>
      <c r="E295" s="109"/>
      <c r="F295" s="109"/>
      <c r="G295" s="109"/>
      <c r="H295" s="108"/>
    </row>
    <row r="296" spans="1:9" x14ac:dyDescent="0.2">
      <c r="A296" s="107">
        <f>A294+1</f>
        <v>5</v>
      </c>
      <c r="B296" s="108"/>
      <c r="C296" s="57" t="s">
        <v>283</v>
      </c>
      <c r="D296" s="94">
        <f>(80.34)*10.764</f>
        <v>864.77976000000001</v>
      </c>
      <c r="E296" s="94">
        <f>(4.49)*10.764</f>
        <v>48.330359999999999</v>
      </c>
      <c r="F296" s="94">
        <f t="shared" si="50"/>
        <v>913.11012000000005</v>
      </c>
      <c r="G296" s="94">
        <v>0</v>
      </c>
      <c r="H296" s="94">
        <f t="shared" si="51"/>
        <v>1369.66518</v>
      </c>
    </row>
    <row r="297" spans="1:9" x14ac:dyDescent="0.2">
      <c r="A297" s="106" t="s">
        <v>287</v>
      </c>
      <c r="B297" s="106"/>
      <c r="C297" s="106"/>
      <c r="D297" s="106"/>
      <c r="E297" s="106"/>
      <c r="F297" s="106"/>
      <c r="G297" s="106"/>
      <c r="H297" s="106"/>
    </row>
    <row r="298" spans="1:9" x14ac:dyDescent="0.2">
      <c r="A298" s="106" t="s">
        <v>271</v>
      </c>
      <c r="B298" s="106"/>
      <c r="C298" s="106"/>
      <c r="D298" s="106"/>
      <c r="E298" s="106"/>
      <c r="F298" s="106"/>
      <c r="G298" s="106"/>
      <c r="H298" s="106"/>
    </row>
    <row r="299" spans="1:9" x14ac:dyDescent="0.2">
      <c r="A299" s="106" t="s">
        <v>272</v>
      </c>
      <c r="B299" s="106"/>
      <c r="C299" s="106"/>
      <c r="D299" s="106"/>
      <c r="E299" s="106"/>
      <c r="F299" s="106"/>
      <c r="G299" s="106"/>
      <c r="H299" s="106"/>
      <c r="I299" s="6">
        <v>1</v>
      </c>
    </row>
    <row r="300" spans="1:9" x14ac:dyDescent="0.2">
      <c r="A300" s="106" t="s">
        <v>273</v>
      </c>
      <c r="B300" s="106"/>
      <c r="C300" s="106"/>
      <c r="D300" s="106"/>
      <c r="E300" s="106"/>
      <c r="F300" s="106"/>
      <c r="G300" s="106"/>
      <c r="H300" s="106"/>
      <c r="I300" s="6">
        <v>2</v>
      </c>
    </row>
    <row r="301" spans="1:9" x14ac:dyDescent="0.2">
      <c r="A301" s="106" t="s">
        <v>274</v>
      </c>
      <c r="B301" s="106"/>
      <c r="C301" s="106"/>
      <c r="D301" s="106"/>
      <c r="E301" s="106"/>
      <c r="F301" s="106"/>
      <c r="G301" s="106"/>
      <c r="H301" s="106"/>
      <c r="I301" s="6">
        <v>1</v>
      </c>
    </row>
    <row r="302" spans="1:9" x14ac:dyDescent="0.2">
      <c r="A302" s="106" t="s">
        <v>282</v>
      </c>
      <c r="B302" s="106"/>
      <c r="C302" s="106"/>
      <c r="D302" s="106"/>
      <c r="E302" s="106"/>
      <c r="F302" s="106"/>
      <c r="G302" s="106"/>
      <c r="H302" s="106"/>
      <c r="I302" s="6">
        <v>1</v>
      </c>
    </row>
    <row r="303" spans="1:9" x14ac:dyDescent="0.2">
      <c r="A303" s="106" t="s">
        <v>288</v>
      </c>
      <c r="B303" s="106"/>
      <c r="C303" s="106"/>
      <c r="D303" s="106"/>
      <c r="E303" s="106"/>
      <c r="F303" s="106"/>
      <c r="G303" s="106"/>
      <c r="H303" s="106"/>
      <c r="I303" s="6">
        <v>1</v>
      </c>
    </row>
    <row r="304" spans="1:9" x14ac:dyDescent="0.2">
      <c r="A304" s="106" t="s">
        <v>289</v>
      </c>
      <c r="B304" s="106"/>
      <c r="C304" s="106"/>
      <c r="D304" s="106"/>
      <c r="E304" s="106"/>
      <c r="F304" s="106"/>
      <c r="G304" s="106"/>
      <c r="H304" s="106"/>
      <c r="I304" s="6">
        <v>8</v>
      </c>
    </row>
    <row r="305" spans="1:9" x14ac:dyDescent="0.2">
      <c r="A305" s="107">
        <v>1</v>
      </c>
      <c r="B305" s="108"/>
      <c r="C305" s="57" t="s">
        <v>283</v>
      </c>
      <c r="D305" s="94">
        <f>(94.22)*10.764</f>
        <v>1014.1840799999999</v>
      </c>
      <c r="E305" s="94">
        <f>(4.44)*10.764</f>
        <v>47.792160000000003</v>
      </c>
      <c r="F305" s="94">
        <f>D305+E305</f>
        <v>1061.97624</v>
      </c>
      <c r="G305" s="94">
        <v>0</v>
      </c>
      <c r="H305" s="94">
        <f>F305*(($H$239)+1)+(IF(G305&lt;101,G305,IF(G305&lt;201,G305/2,IF(G305&lt;=301,G305/3,G305/4))))</f>
        <v>1592.9643599999999</v>
      </c>
    </row>
    <row r="306" spans="1:9" x14ac:dyDescent="0.2">
      <c r="A306" s="107">
        <f>A305+1</f>
        <v>2</v>
      </c>
      <c r="B306" s="108"/>
      <c r="C306" s="57" t="s">
        <v>283</v>
      </c>
      <c r="D306" s="94">
        <f>(94.36)*10.764</f>
        <v>1015.6910399999999</v>
      </c>
      <c r="E306" s="94">
        <f>(4.44)*10.764</f>
        <v>47.792160000000003</v>
      </c>
      <c r="F306" s="94">
        <f t="shared" ref="F306" si="53">D306+E306</f>
        <v>1063.4831999999999</v>
      </c>
      <c r="G306" s="94">
        <v>0</v>
      </c>
      <c r="H306" s="94">
        <f t="shared" ref="H306" si="54">F306*(($H$239)+1)+(IF(G306&lt;101,G306,IF(G306&lt;201,G306/2,IF(G306&lt;=301,G306/3,G306/4))))</f>
        <v>1595.2248</v>
      </c>
    </row>
    <row r="307" spans="1:9" x14ac:dyDescent="0.2">
      <c r="A307" s="106" t="s">
        <v>290</v>
      </c>
      <c r="B307" s="106"/>
      <c r="C307" s="106"/>
      <c r="D307" s="106"/>
      <c r="E307" s="106"/>
      <c r="F307" s="106"/>
      <c r="G307" s="106"/>
      <c r="H307" s="106"/>
      <c r="I307" s="6">
        <v>7</v>
      </c>
    </row>
    <row r="308" spans="1:9" x14ac:dyDescent="0.2">
      <c r="A308" s="107">
        <v>1</v>
      </c>
      <c r="B308" s="108"/>
      <c r="C308" s="57" t="s">
        <v>283</v>
      </c>
      <c r="D308" s="94">
        <f>(94.22)*10.764</f>
        <v>1014.1840799999999</v>
      </c>
      <c r="E308" s="94">
        <f>(4.44)*10.764</f>
        <v>47.792160000000003</v>
      </c>
      <c r="F308" s="94">
        <f>D308+E308</f>
        <v>1061.97624</v>
      </c>
      <c r="G308" s="94">
        <v>0</v>
      </c>
      <c r="H308" s="94">
        <f>F308*(($H$239)+1)+(IF(G308&lt;101,G308,IF(G308&lt;201,G308/2,IF(G308&lt;=301,G308/3,G308/4))))</f>
        <v>1592.9643599999999</v>
      </c>
    </row>
    <row r="309" spans="1:9" x14ac:dyDescent="0.2">
      <c r="A309" s="107">
        <f>A308+1</f>
        <v>2</v>
      </c>
      <c r="B309" s="108"/>
      <c r="C309" s="57" t="s">
        <v>283</v>
      </c>
      <c r="D309" s="94">
        <f>(94.36)*10.764</f>
        <v>1015.6910399999999</v>
      </c>
      <c r="E309" s="94">
        <f>(4.44)*10.764</f>
        <v>47.792160000000003</v>
      </c>
      <c r="F309" s="94">
        <f t="shared" ref="F309" si="55">D309+E309</f>
        <v>1063.4831999999999</v>
      </c>
      <c r="G309" s="94">
        <v>0</v>
      </c>
      <c r="H309" s="94">
        <f t="shared" ref="H309" si="56">F309*(($H$239)+1)+(IF(G309&lt;101,G309,IF(G309&lt;201,G309/2,IF(G309&lt;=301,G309/3,G309/4))))</f>
        <v>1595.2248</v>
      </c>
    </row>
    <row r="310" spans="1:9" x14ac:dyDescent="0.2">
      <c r="A310" s="106" t="s">
        <v>291</v>
      </c>
      <c r="B310" s="106"/>
      <c r="C310" s="106"/>
      <c r="D310" s="106"/>
      <c r="E310" s="106"/>
      <c r="F310" s="106"/>
      <c r="G310" s="106"/>
      <c r="H310" s="106"/>
    </row>
    <row r="311" spans="1:9" x14ac:dyDescent="0.2">
      <c r="A311" s="106" t="s">
        <v>271</v>
      </c>
      <c r="B311" s="106"/>
      <c r="C311" s="106"/>
      <c r="D311" s="106"/>
      <c r="E311" s="106"/>
      <c r="F311" s="106"/>
      <c r="G311" s="106"/>
      <c r="H311" s="106"/>
    </row>
    <row r="312" spans="1:9" x14ac:dyDescent="0.2">
      <c r="A312" s="106" t="s">
        <v>272</v>
      </c>
      <c r="B312" s="106"/>
      <c r="C312" s="106"/>
      <c r="D312" s="106"/>
      <c r="E312" s="106"/>
      <c r="F312" s="106"/>
      <c r="G312" s="106"/>
      <c r="H312" s="106"/>
      <c r="I312" s="6">
        <v>1</v>
      </c>
    </row>
    <row r="313" spans="1:9" x14ac:dyDescent="0.2">
      <c r="A313" s="106" t="s">
        <v>273</v>
      </c>
      <c r="B313" s="106"/>
      <c r="C313" s="106"/>
      <c r="D313" s="106"/>
      <c r="E313" s="106"/>
      <c r="F313" s="106"/>
      <c r="G313" s="106"/>
      <c r="H313" s="106"/>
      <c r="I313" s="6">
        <v>2</v>
      </c>
    </row>
    <row r="314" spans="1:9" x14ac:dyDescent="0.2">
      <c r="A314" s="106" t="s">
        <v>274</v>
      </c>
      <c r="B314" s="106"/>
      <c r="C314" s="106"/>
      <c r="D314" s="106"/>
      <c r="E314" s="106"/>
      <c r="F314" s="106"/>
      <c r="G314" s="106"/>
      <c r="H314" s="106"/>
      <c r="I314" s="6">
        <v>1</v>
      </c>
    </row>
    <row r="315" spans="1:9" x14ac:dyDescent="0.2">
      <c r="A315" s="106" t="s">
        <v>292</v>
      </c>
      <c r="B315" s="106"/>
      <c r="C315" s="106"/>
      <c r="D315" s="106"/>
      <c r="E315" s="106"/>
      <c r="F315" s="106"/>
      <c r="G315" s="106"/>
      <c r="H315" s="106"/>
      <c r="I315" s="6">
        <v>1</v>
      </c>
    </row>
    <row r="316" spans="1:9" x14ac:dyDescent="0.2">
      <c r="A316" s="106" t="s">
        <v>276</v>
      </c>
      <c r="B316" s="106"/>
      <c r="C316" s="106"/>
      <c r="D316" s="106"/>
      <c r="E316" s="106"/>
      <c r="F316" s="106"/>
      <c r="G316" s="106"/>
      <c r="H316" s="106"/>
      <c r="I316" s="6">
        <v>14</v>
      </c>
    </row>
    <row r="317" spans="1:9" x14ac:dyDescent="0.2">
      <c r="A317" s="107">
        <v>1</v>
      </c>
      <c r="B317" s="108"/>
      <c r="C317" s="57" t="s">
        <v>283</v>
      </c>
      <c r="D317" s="94">
        <f>(80.22)*10.764</f>
        <v>863.48807999999997</v>
      </c>
      <c r="E317" s="94">
        <f>(4.49)*10.764</f>
        <v>48.330359999999999</v>
      </c>
      <c r="F317" s="94">
        <f>D317+E317</f>
        <v>911.81844000000001</v>
      </c>
      <c r="G317" s="94">
        <v>0</v>
      </c>
      <c r="H317" s="94">
        <f>F317*(($H$239)+1)+(IF(G317&lt;101,G317,IF(G317&lt;201,G317/2,IF(G317&lt;=301,G317/3,G317/4))))</f>
        <v>1367.72766</v>
      </c>
    </row>
    <row r="318" spans="1:9" x14ac:dyDescent="0.2">
      <c r="A318" s="107">
        <f>A317+1</f>
        <v>2</v>
      </c>
      <c r="B318" s="108"/>
      <c r="C318" s="57" t="s">
        <v>279</v>
      </c>
      <c r="D318" s="94">
        <f>(62.88)*10.764</f>
        <v>676.84032000000002</v>
      </c>
      <c r="E318" s="94">
        <v>0</v>
      </c>
      <c r="F318" s="94">
        <f t="shared" ref="F318:F321" si="57">D318+E318</f>
        <v>676.84032000000002</v>
      </c>
      <c r="G318" s="94">
        <v>0</v>
      </c>
      <c r="H318" s="94">
        <f t="shared" ref="H318:H321" si="58">F318*(($H$239)+1)+(IF(G318&lt;101,G318,IF(G318&lt;201,G318/2,IF(G318&lt;=301,G318/3,G318/4))))</f>
        <v>1015.26048</v>
      </c>
    </row>
    <row r="319" spans="1:9" x14ac:dyDescent="0.2">
      <c r="A319" s="107">
        <f t="shared" ref="A319:A321" si="59">A318+1</f>
        <v>3</v>
      </c>
      <c r="B319" s="108"/>
      <c r="C319" s="57" t="s">
        <v>279</v>
      </c>
      <c r="D319" s="94">
        <f>(63.14)*10.764</f>
        <v>679.63896</v>
      </c>
      <c r="E319" s="94">
        <v>0</v>
      </c>
      <c r="F319" s="94">
        <f t="shared" si="57"/>
        <v>679.63896</v>
      </c>
      <c r="G319" s="94">
        <v>0</v>
      </c>
      <c r="H319" s="94">
        <f t="shared" si="58"/>
        <v>1019.45844</v>
      </c>
    </row>
    <row r="320" spans="1:9" x14ac:dyDescent="0.2">
      <c r="A320" s="107">
        <f t="shared" si="59"/>
        <v>4</v>
      </c>
      <c r="B320" s="108"/>
      <c r="C320" s="57" t="s">
        <v>279</v>
      </c>
      <c r="D320" s="94">
        <f>(63.44)*10.764</f>
        <v>682.86815999999999</v>
      </c>
      <c r="E320" s="94">
        <f>(4.76)*10.764</f>
        <v>51.236639999999994</v>
      </c>
      <c r="F320" s="94">
        <f t="shared" si="57"/>
        <v>734.10479999999995</v>
      </c>
      <c r="G320" s="94">
        <v>0</v>
      </c>
      <c r="H320" s="94">
        <f t="shared" si="58"/>
        <v>1101.1571999999999</v>
      </c>
    </row>
    <row r="321" spans="1:9" x14ac:dyDescent="0.2">
      <c r="A321" s="107">
        <f t="shared" si="59"/>
        <v>5</v>
      </c>
      <c r="B321" s="108"/>
      <c r="C321" s="57" t="s">
        <v>283</v>
      </c>
      <c r="D321" s="94">
        <f>(74.57)*10.764</f>
        <v>802.67147999999986</v>
      </c>
      <c r="E321" s="94">
        <v>0</v>
      </c>
      <c r="F321" s="94">
        <f t="shared" si="57"/>
        <v>802.67147999999986</v>
      </c>
      <c r="G321" s="94">
        <v>0</v>
      </c>
      <c r="H321" s="94">
        <f t="shared" si="58"/>
        <v>1204.0072199999997</v>
      </c>
    </row>
    <row r="322" spans="1:9" x14ac:dyDescent="0.2">
      <c r="A322" s="106" t="s">
        <v>284</v>
      </c>
      <c r="B322" s="106"/>
      <c r="C322" s="106"/>
      <c r="D322" s="106"/>
      <c r="E322" s="106"/>
      <c r="F322" s="106"/>
      <c r="G322" s="106"/>
      <c r="H322" s="106"/>
      <c r="I322" s="6">
        <v>1</v>
      </c>
    </row>
    <row r="323" spans="1:9" x14ac:dyDescent="0.2">
      <c r="A323" s="107">
        <v>1</v>
      </c>
      <c r="B323" s="108"/>
      <c r="C323" s="107" t="s">
        <v>278</v>
      </c>
      <c r="D323" s="109"/>
      <c r="E323" s="109"/>
      <c r="F323" s="109"/>
      <c r="G323" s="109"/>
      <c r="H323" s="108"/>
    </row>
    <row r="324" spans="1:9" x14ac:dyDescent="0.2">
      <c r="A324" s="107">
        <f>A323+1</f>
        <v>2</v>
      </c>
      <c r="B324" s="108"/>
      <c r="C324" s="57" t="s">
        <v>279</v>
      </c>
      <c r="D324" s="94">
        <f>(62.88)*10.764</f>
        <v>676.84032000000002</v>
      </c>
      <c r="E324" s="94">
        <v>0</v>
      </c>
      <c r="F324" s="94">
        <f t="shared" ref="F324:F327" si="60">D324+E324</f>
        <v>676.84032000000002</v>
      </c>
      <c r="G324" s="94">
        <v>0</v>
      </c>
      <c r="H324" s="94">
        <f t="shared" ref="H324:H327" si="61">F324*(($H$239)+1)+(IF(G324&lt;101,G324,IF(G324&lt;201,G324/2,IF(G324&lt;=301,G324/3,G324/4))))</f>
        <v>1015.26048</v>
      </c>
    </row>
    <row r="325" spans="1:9" x14ac:dyDescent="0.2">
      <c r="A325" s="107">
        <f t="shared" ref="A325:A327" si="62">A324+1</f>
        <v>3</v>
      </c>
      <c r="B325" s="108"/>
      <c r="C325" s="57" t="s">
        <v>279</v>
      </c>
      <c r="D325" s="94">
        <f>(63.14)*10.764</f>
        <v>679.63896</v>
      </c>
      <c r="E325" s="94">
        <v>0</v>
      </c>
      <c r="F325" s="94">
        <f t="shared" si="60"/>
        <v>679.63896</v>
      </c>
      <c r="G325" s="94">
        <v>0</v>
      </c>
      <c r="H325" s="94">
        <f t="shared" si="61"/>
        <v>1019.45844</v>
      </c>
    </row>
    <row r="326" spans="1:9" x14ac:dyDescent="0.2">
      <c r="A326" s="107">
        <f t="shared" si="62"/>
        <v>4</v>
      </c>
      <c r="B326" s="108"/>
      <c r="C326" s="57" t="s">
        <v>279</v>
      </c>
      <c r="D326" s="94">
        <f>(63.44)*10.764</f>
        <v>682.86815999999999</v>
      </c>
      <c r="E326" s="94">
        <f>(4.76)*10.764</f>
        <v>51.236639999999994</v>
      </c>
      <c r="F326" s="94">
        <f t="shared" si="60"/>
        <v>734.10479999999995</v>
      </c>
      <c r="G326" s="94">
        <v>0</v>
      </c>
      <c r="H326" s="94">
        <f t="shared" si="61"/>
        <v>1101.1571999999999</v>
      </c>
    </row>
    <row r="327" spans="1:9" x14ac:dyDescent="0.2">
      <c r="A327" s="107">
        <f t="shared" si="62"/>
        <v>5</v>
      </c>
      <c r="B327" s="108"/>
      <c r="C327" s="57" t="s">
        <v>283</v>
      </c>
      <c r="D327" s="94">
        <f>(74.57)*10.764</f>
        <v>802.67147999999986</v>
      </c>
      <c r="E327" s="94">
        <v>0</v>
      </c>
      <c r="F327" s="94">
        <f t="shared" si="60"/>
        <v>802.67147999999986</v>
      </c>
      <c r="G327" s="94">
        <v>0</v>
      </c>
      <c r="H327" s="94">
        <f t="shared" si="61"/>
        <v>1204.0072199999997</v>
      </c>
    </row>
    <row r="328" spans="1:9" x14ac:dyDescent="0.2">
      <c r="A328" s="106" t="s">
        <v>277</v>
      </c>
      <c r="B328" s="106"/>
      <c r="C328" s="106"/>
      <c r="D328" s="106"/>
      <c r="E328" s="106"/>
      <c r="F328" s="106"/>
      <c r="G328" s="106"/>
      <c r="H328" s="106"/>
      <c r="I328" s="6">
        <v>1</v>
      </c>
    </row>
    <row r="329" spans="1:9" x14ac:dyDescent="0.2">
      <c r="A329" s="107">
        <v>1</v>
      </c>
      <c r="B329" s="108"/>
      <c r="C329" s="57" t="s">
        <v>283</v>
      </c>
      <c r="D329" s="94">
        <f>(80.22)*10.764</f>
        <v>863.48807999999997</v>
      </c>
      <c r="E329" s="94">
        <f>(4.49)*10.764</f>
        <v>48.330359999999999</v>
      </c>
      <c r="F329" s="94">
        <f>D329+E329</f>
        <v>911.81844000000001</v>
      </c>
      <c r="G329" s="94">
        <v>0</v>
      </c>
      <c r="H329" s="94">
        <f>F329*(($H$239)+1)+(IF(G329&lt;101,G329,IF(G329&lt;201,G329/2,IF(G329&lt;=301,G329/3,G329/4))))</f>
        <v>1367.72766</v>
      </c>
    </row>
    <row r="330" spans="1:9" x14ac:dyDescent="0.2">
      <c r="A330" s="107">
        <f>A329+1</f>
        <v>2</v>
      </c>
      <c r="B330" s="108"/>
      <c r="C330" s="110" t="s">
        <v>278</v>
      </c>
      <c r="D330" s="111"/>
      <c r="E330" s="111"/>
      <c r="F330" s="111"/>
      <c r="G330" s="111"/>
      <c r="H330" s="112"/>
    </row>
    <row r="331" spans="1:9" x14ac:dyDescent="0.2">
      <c r="A331" s="107">
        <f t="shared" ref="A331:A333" si="63">A330+1</f>
        <v>3</v>
      </c>
      <c r="B331" s="108"/>
      <c r="C331" s="113"/>
      <c r="D331" s="114"/>
      <c r="E331" s="114"/>
      <c r="F331" s="114"/>
      <c r="G331" s="114"/>
      <c r="H331" s="115"/>
    </row>
    <row r="332" spans="1:9" x14ac:dyDescent="0.2">
      <c r="A332" s="107">
        <f t="shared" si="63"/>
        <v>4</v>
      </c>
      <c r="B332" s="108"/>
      <c r="C332" s="57" t="s">
        <v>279</v>
      </c>
      <c r="D332" s="94">
        <f>(63.44)*10.764</f>
        <v>682.86815999999999</v>
      </c>
      <c r="E332" s="94">
        <f>(4.76)*10.764</f>
        <v>51.236639999999994</v>
      </c>
      <c r="F332" s="94">
        <f t="shared" ref="F332:F333" si="64">D332+E332</f>
        <v>734.10479999999995</v>
      </c>
      <c r="G332" s="94">
        <v>0</v>
      </c>
      <c r="H332" s="94">
        <f t="shared" ref="H332:H333" si="65">F332*(($H$239)+1)+(IF(G332&lt;101,G332,IF(G332&lt;201,G332/2,IF(G332&lt;=301,G332/3,G332/4))))</f>
        <v>1101.1571999999999</v>
      </c>
    </row>
    <row r="333" spans="1:9" x14ac:dyDescent="0.2">
      <c r="A333" s="107">
        <f t="shared" si="63"/>
        <v>5</v>
      </c>
      <c r="B333" s="108"/>
      <c r="C333" s="57" t="s">
        <v>283</v>
      </c>
      <c r="D333" s="94">
        <f>(74.57)*10.764</f>
        <v>802.67147999999986</v>
      </c>
      <c r="E333" s="94">
        <v>0</v>
      </c>
      <c r="F333" s="94">
        <f t="shared" si="64"/>
        <v>802.67147999999986</v>
      </c>
      <c r="G333" s="94">
        <v>0</v>
      </c>
      <c r="H333" s="94">
        <f t="shared" si="65"/>
        <v>1204.0072199999997</v>
      </c>
    </row>
    <row r="334" spans="1:9" x14ac:dyDescent="0.2">
      <c r="A334" s="106" t="s">
        <v>293</v>
      </c>
      <c r="B334" s="106"/>
      <c r="C334" s="106"/>
      <c r="D334" s="106"/>
      <c r="E334" s="106"/>
      <c r="F334" s="106"/>
      <c r="G334" s="106"/>
      <c r="H334" s="106"/>
    </row>
    <row r="335" spans="1:9" x14ac:dyDescent="0.2">
      <c r="A335" s="106" t="s">
        <v>294</v>
      </c>
      <c r="B335" s="106"/>
      <c r="C335" s="106"/>
      <c r="D335" s="106"/>
      <c r="E335" s="106"/>
      <c r="F335" s="106"/>
      <c r="G335" s="106"/>
      <c r="H335" s="106"/>
    </row>
    <row r="336" spans="1:9" x14ac:dyDescent="0.2">
      <c r="A336" s="106" t="s">
        <v>271</v>
      </c>
      <c r="B336" s="106"/>
      <c r="C336" s="106"/>
      <c r="D336" s="106"/>
      <c r="E336" s="106"/>
      <c r="F336" s="106"/>
      <c r="G336" s="106"/>
      <c r="H336" s="106"/>
    </row>
    <row r="337" spans="1:9" x14ac:dyDescent="0.2">
      <c r="A337" s="106" t="s">
        <v>272</v>
      </c>
      <c r="B337" s="106"/>
      <c r="C337" s="106"/>
      <c r="D337" s="106"/>
      <c r="E337" s="106"/>
      <c r="F337" s="106"/>
      <c r="G337" s="106"/>
      <c r="H337" s="106"/>
      <c r="I337" s="6">
        <v>1</v>
      </c>
    </row>
    <row r="338" spans="1:9" x14ac:dyDescent="0.2">
      <c r="A338" s="106" t="s">
        <v>273</v>
      </c>
      <c r="B338" s="106"/>
      <c r="C338" s="106"/>
      <c r="D338" s="106"/>
      <c r="E338" s="106"/>
      <c r="F338" s="106"/>
      <c r="G338" s="106"/>
      <c r="H338" s="106"/>
      <c r="I338" s="6">
        <v>2</v>
      </c>
    </row>
    <row r="339" spans="1:9" x14ac:dyDescent="0.2">
      <c r="A339" s="106" t="s">
        <v>274</v>
      </c>
      <c r="B339" s="106"/>
      <c r="C339" s="106"/>
      <c r="D339" s="106"/>
      <c r="E339" s="106"/>
      <c r="F339" s="106"/>
      <c r="G339" s="106"/>
      <c r="H339" s="106"/>
      <c r="I339" s="6">
        <v>1</v>
      </c>
    </row>
    <row r="340" spans="1:9" x14ac:dyDescent="0.2">
      <c r="A340" s="106" t="s">
        <v>275</v>
      </c>
      <c r="B340" s="106"/>
      <c r="C340" s="106"/>
      <c r="D340" s="106"/>
      <c r="E340" s="106"/>
      <c r="F340" s="106"/>
      <c r="G340" s="106"/>
      <c r="H340" s="106"/>
      <c r="I340" s="6">
        <v>1</v>
      </c>
    </row>
    <row r="341" spans="1:9" x14ac:dyDescent="0.2">
      <c r="A341" s="106" t="s">
        <v>276</v>
      </c>
      <c r="B341" s="106"/>
      <c r="C341" s="106"/>
      <c r="D341" s="106"/>
      <c r="E341" s="106"/>
      <c r="F341" s="106"/>
      <c r="G341" s="106"/>
      <c r="H341" s="106"/>
      <c r="I341" s="6">
        <v>14</v>
      </c>
    </row>
    <row r="342" spans="1:9" x14ac:dyDescent="0.2">
      <c r="A342" s="107">
        <v>1</v>
      </c>
      <c r="B342" s="108"/>
      <c r="C342" s="57" t="s">
        <v>279</v>
      </c>
      <c r="D342" s="94">
        <f>(56.64)*10.764</f>
        <v>609.67295999999999</v>
      </c>
      <c r="E342" s="57">
        <v>0</v>
      </c>
      <c r="F342" s="94">
        <f>D342+E342</f>
        <v>609.67295999999999</v>
      </c>
      <c r="G342" s="94">
        <v>0</v>
      </c>
      <c r="H342" s="94">
        <f>F342*(($H$239)+1)+(IF(G342&lt;101,G342,IF(G342&lt;201,G342/2,IF(G342&lt;=301,G342/3,G342/4))))</f>
        <v>914.50944000000004</v>
      </c>
    </row>
    <row r="343" spans="1:9" x14ac:dyDescent="0.2">
      <c r="A343" s="107">
        <f>A342+1</f>
        <v>2</v>
      </c>
      <c r="B343" s="108"/>
      <c r="C343" s="57" t="s">
        <v>279</v>
      </c>
      <c r="D343" s="94">
        <f>(54.49)*10.764</f>
        <v>586.53035999999997</v>
      </c>
      <c r="E343" s="57">
        <v>0</v>
      </c>
      <c r="F343" s="94">
        <f t="shared" ref="F343:F345" si="66">D343+E343</f>
        <v>586.53035999999997</v>
      </c>
      <c r="G343" s="94">
        <v>0</v>
      </c>
      <c r="H343" s="94">
        <f t="shared" ref="H343:H345" si="67">F343*(($H$239)+1)+(IF(G343&lt;101,G343,IF(G343&lt;201,G343/2,IF(G343&lt;=301,G343/3,G343/4))))</f>
        <v>879.79553999999996</v>
      </c>
    </row>
    <row r="344" spans="1:9" x14ac:dyDescent="0.2">
      <c r="A344" s="107">
        <f t="shared" ref="A344:A345" si="68">A343+1</f>
        <v>3</v>
      </c>
      <c r="B344" s="108"/>
      <c r="C344" s="57" t="s">
        <v>279</v>
      </c>
      <c r="D344" s="94">
        <f>(48.81)*10.764</f>
        <v>525.39084000000003</v>
      </c>
      <c r="E344" s="57">
        <v>0</v>
      </c>
      <c r="F344" s="94">
        <f t="shared" si="66"/>
        <v>525.39084000000003</v>
      </c>
      <c r="G344" s="94">
        <v>0</v>
      </c>
      <c r="H344" s="94">
        <f t="shared" si="67"/>
        <v>788.08626000000004</v>
      </c>
    </row>
    <row r="345" spans="1:9" x14ac:dyDescent="0.2">
      <c r="A345" s="107">
        <f t="shared" si="68"/>
        <v>4</v>
      </c>
      <c r="B345" s="108"/>
      <c r="C345" s="57" t="s">
        <v>279</v>
      </c>
      <c r="D345" s="94">
        <f>(48.7)*10.764</f>
        <v>524.20680000000004</v>
      </c>
      <c r="E345" s="57">
        <v>0</v>
      </c>
      <c r="F345" s="94">
        <f t="shared" si="66"/>
        <v>524.20680000000004</v>
      </c>
      <c r="G345" s="94">
        <v>0</v>
      </c>
      <c r="H345" s="94">
        <f t="shared" si="67"/>
        <v>786.31020000000012</v>
      </c>
      <c r="I345" s="6">
        <f>13400000/H345</f>
        <v>17041.620469885802</v>
      </c>
    </row>
    <row r="346" spans="1:9" x14ac:dyDescent="0.2">
      <c r="A346" s="106" t="s">
        <v>280</v>
      </c>
      <c r="B346" s="106"/>
      <c r="C346" s="106"/>
      <c r="D346" s="106"/>
      <c r="E346" s="106"/>
      <c r="F346" s="106"/>
      <c r="G346" s="106"/>
      <c r="H346" s="106"/>
      <c r="I346" s="6">
        <v>2</v>
      </c>
    </row>
    <row r="347" spans="1:9" x14ac:dyDescent="0.2">
      <c r="A347" s="107">
        <v>1</v>
      </c>
      <c r="B347" s="108"/>
      <c r="C347" s="57" t="s">
        <v>279</v>
      </c>
      <c r="D347" s="94">
        <f>(56.64)*10.764</f>
        <v>609.67295999999999</v>
      </c>
      <c r="E347" s="57">
        <v>0</v>
      </c>
      <c r="F347" s="94">
        <f>D347+E347</f>
        <v>609.67295999999999</v>
      </c>
      <c r="G347" s="94">
        <v>0</v>
      </c>
      <c r="H347" s="94">
        <f>F347*(($H$239)+1)+(IF(G347&lt;101,G347,IF(G347&lt;201,G347/2,IF(G347&lt;=301,G347/3,G347/4))))</f>
        <v>914.50944000000004</v>
      </c>
    </row>
    <row r="348" spans="1:9" x14ac:dyDescent="0.2">
      <c r="A348" s="107">
        <f>A347+1</f>
        <v>2</v>
      </c>
      <c r="B348" s="108"/>
      <c r="C348" s="107" t="s">
        <v>278</v>
      </c>
      <c r="D348" s="109"/>
      <c r="E348" s="109"/>
      <c r="F348" s="109"/>
      <c r="G348" s="109"/>
      <c r="H348" s="108"/>
    </row>
    <row r="349" spans="1:9" x14ac:dyDescent="0.2">
      <c r="A349" s="107">
        <f t="shared" ref="A349:A350" si="69">A348+1</f>
        <v>3</v>
      </c>
      <c r="B349" s="108"/>
      <c r="C349" s="57" t="s">
        <v>279</v>
      </c>
      <c r="D349" s="94">
        <f>(48.81)*10.764</f>
        <v>525.39084000000003</v>
      </c>
      <c r="E349" s="57">
        <v>0</v>
      </c>
      <c r="F349" s="94">
        <f t="shared" ref="F349:F350" si="70">D349+E349</f>
        <v>525.39084000000003</v>
      </c>
      <c r="G349" s="94">
        <v>0</v>
      </c>
      <c r="H349" s="94">
        <f>F349*(($H$239)+1)+(IF(G349&lt;101,G349,IF(G349&lt;201,G349/2,IF(G349&lt;=301,G349/3,G349/4))))</f>
        <v>788.08626000000004</v>
      </c>
    </row>
    <row r="350" spans="1:9" x14ac:dyDescent="0.2">
      <c r="A350" s="107">
        <f t="shared" si="69"/>
        <v>4</v>
      </c>
      <c r="B350" s="108"/>
      <c r="C350" s="57" t="s">
        <v>279</v>
      </c>
      <c r="D350" s="94">
        <f>(48.7)*10.764</f>
        <v>524.20680000000004</v>
      </c>
      <c r="E350" s="57">
        <v>0</v>
      </c>
      <c r="F350" s="94">
        <f t="shared" si="70"/>
        <v>524.20680000000004</v>
      </c>
      <c r="G350" s="94">
        <v>0</v>
      </c>
      <c r="H350" s="94">
        <f>F350*(($H$239)+1)+(IF(G350&lt;101,G350,IF(G350&lt;201,G350/2,IF(G350&lt;=301,G350/3,G350/4))))</f>
        <v>786.31020000000012</v>
      </c>
    </row>
    <row r="351" spans="1:9" x14ac:dyDescent="0.2">
      <c r="A351" s="106" t="s">
        <v>295</v>
      </c>
      <c r="B351" s="106"/>
      <c r="C351" s="106"/>
      <c r="D351" s="106"/>
      <c r="E351" s="106"/>
      <c r="F351" s="106"/>
      <c r="G351" s="106"/>
      <c r="H351" s="106"/>
    </row>
    <row r="352" spans="1:9" x14ac:dyDescent="0.2">
      <c r="A352" s="106" t="s">
        <v>296</v>
      </c>
      <c r="B352" s="106"/>
      <c r="C352" s="106"/>
      <c r="D352" s="106"/>
      <c r="E352" s="106"/>
      <c r="F352" s="106"/>
      <c r="G352" s="106"/>
      <c r="H352" s="106"/>
    </row>
    <row r="353" spans="1:9" x14ac:dyDescent="0.2">
      <c r="A353" s="106" t="s">
        <v>297</v>
      </c>
      <c r="B353" s="106"/>
      <c r="C353" s="106"/>
      <c r="D353" s="106"/>
      <c r="E353" s="106"/>
      <c r="F353" s="106"/>
      <c r="G353" s="106"/>
      <c r="H353" s="106"/>
      <c r="I353" s="6">
        <v>1</v>
      </c>
    </row>
    <row r="354" spans="1:9" x14ac:dyDescent="0.2">
      <c r="A354" s="106" t="s">
        <v>298</v>
      </c>
      <c r="B354" s="106"/>
      <c r="C354" s="106"/>
      <c r="D354" s="106"/>
      <c r="E354" s="106"/>
      <c r="F354" s="106"/>
      <c r="G354" s="106"/>
      <c r="H354" s="106"/>
      <c r="I354" s="6">
        <v>1</v>
      </c>
    </row>
    <row r="355" spans="1:9" x14ac:dyDescent="0.2">
      <c r="A355" s="106" t="s">
        <v>299</v>
      </c>
      <c r="B355" s="106"/>
      <c r="C355" s="106"/>
      <c r="D355" s="106"/>
      <c r="E355" s="106"/>
      <c r="F355" s="106"/>
      <c r="G355" s="106"/>
      <c r="H355" s="106"/>
      <c r="I355" s="6">
        <v>2</v>
      </c>
    </row>
    <row r="356" spans="1:9" x14ac:dyDescent="0.2">
      <c r="A356" s="106" t="s">
        <v>275</v>
      </c>
      <c r="B356" s="106"/>
      <c r="C356" s="106"/>
      <c r="D356" s="106"/>
      <c r="E356" s="106"/>
      <c r="F356" s="106"/>
      <c r="G356" s="106"/>
      <c r="H356" s="106"/>
      <c r="I356" s="6">
        <v>1</v>
      </c>
    </row>
    <row r="357" spans="1:9" x14ac:dyDescent="0.2">
      <c r="A357" s="106" t="s">
        <v>276</v>
      </c>
      <c r="B357" s="106"/>
      <c r="C357" s="106"/>
      <c r="D357" s="106"/>
      <c r="E357" s="106"/>
      <c r="F357" s="106"/>
      <c r="G357" s="106"/>
      <c r="H357" s="106"/>
      <c r="I357" s="6">
        <v>14</v>
      </c>
    </row>
    <row r="358" spans="1:9" x14ac:dyDescent="0.2">
      <c r="A358" s="107">
        <v>1</v>
      </c>
      <c r="B358" s="108"/>
      <c r="C358" s="57" t="s">
        <v>279</v>
      </c>
      <c r="D358" s="94">
        <f>(54.56)*10.764</f>
        <v>587.28383999999994</v>
      </c>
      <c r="E358" s="57">
        <v>0</v>
      </c>
      <c r="F358" s="94">
        <f>D358+E358</f>
        <v>587.28383999999994</v>
      </c>
      <c r="G358" s="94">
        <v>0</v>
      </c>
      <c r="H358" s="94">
        <f>F358*(($H$239)+1)+(IF(G358&lt;101,G358,IF(G358&lt;201,G358/2,IF(G358&lt;=301,G358/3,G358/4))))</f>
        <v>880.92575999999985</v>
      </c>
    </row>
    <row r="359" spans="1:9" x14ac:dyDescent="0.2">
      <c r="A359" s="107">
        <f>A358+1</f>
        <v>2</v>
      </c>
      <c r="B359" s="108"/>
      <c r="C359" s="57" t="s">
        <v>279</v>
      </c>
      <c r="D359" s="94">
        <f>(58.15)*10.764</f>
        <v>625.92659999999989</v>
      </c>
      <c r="E359" s="57">
        <v>0</v>
      </c>
      <c r="F359" s="94">
        <f t="shared" ref="F359:F361" si="71">D359+E359</f>
        <v>625.92659999999989</v>
      </c>
      <c r="G359" s="94">
        <v>0</v>
      </c>
      <c r="H359" s="94">
        <f t="shared" ref="H359:H361" si="72">F359*(($H$239)+1)+(IF(G359&lt;101,G359,IF(G359&lt;201,G359/2,IF(G359&lt;=301,G359/3,G359/4))))</f>
        <v>938.8898999999999</v>
      </c>
    </row>
    <row r="360" spans="1:9" x14ac:dyDescent="0.2">
      <c r="A360" s="107">
        <f t="shared" ref="A360:A361" si="73">A359+1</f>
        <v>3</v>
      </c>
      <c r="B360" s="108"/>
      <c r="C360" s="57" t="s">
        <v>279</v>
      </c>
      <c r="D360" s="94">
        <f>(58.15)*10.764</f>
        <v>625.92659999999989</v>
      </c>
      <c r="E360" s="57">
        <v>0</v>
      </c>
      <c r="F360" s="94">
        <f t="shared" si="71"/>
        <v>625.92659999999989</v>
      </c>
      <c r="G360" s="94">
        <v>0</v>
      </c>
      <c r="H360" s="94">
        <f t="shared" si="72"/>
        <v>938.8898999999999</v>
      </c>
    </row>
    <row r="361" spans="1:9" x14ac:dyDescent="0.2">
      <c r="A361" s="107">
        <f t="shared" si="73"/>
        <v>4</v>
      </c>
      <c r="B361" s="108"/>
      <c r="C361" s="57" t="s">
        <v>279</v>
      </c>
      <c r="D361" s="94">
        <f>(48.67)*10.764</f>
        <v>523.88387999999998</v>
      </c>
      <c r="E361" s="57">
        <v>0</v>
      </c>
      <c r="F361" s="94">
        <f t="shared" si="71"/>
        <v>523.88387999999998</v>
      </c>
      <c r="G361" s="94">
        <v>0</v>
      </c>
      <c r="H361" s="94">
        <f t="shared" si="72"/>
        <v>785.82582000000002</v>
      </c>
    </row>
    <row r="362" spans="1:9" x14ac:dyDescent="0.2">
      <c r="A362" s="106" t="s">
        <v>280</v>
      </c>
      <c r="B362" s="106"/>
      <c r="C362" s="106"/>
      <c r="D362" s="106"/>
      <c r="E362" s="106"/>
      <c r="F362" s="106"/>
      <c r="G362" s="106"/>
      <c r="H362" s="106"/>
      <c r="I362" s="6">
        <v>2</v>
      </c>
    </row>
    <row r="363" spans="1:9" x14ac:dyDescent="0.2">
      <c r="A363" s="107">
        <v>1</v>
      </c>
      <c r="B363" s="108"/>
      <c r="C363" s="57" t="s">
        <v>279</v>
      </c>
      <c r="D363" s="94">
        <f>(54.56)*10.764</f>
        <v>587.28383999999994</v>
      </c>
      <c r="E363" s="57">
        <v>0</v>
      </c>
      <c r="F363" s="94">
        <f>D363+E363</f>
        <v>587.28383999999994</v>
      </c>
      <c r="G363" s="94">
        <v>0</v>
      </c>
      <c r="H363" s="94">
        <f>F363*(($H$239)+1)+(IF(G363&lt;101,G363,IF(G363&lt;201,G363/2,IF(G363&lt;=301,G363/3,G363/4))))</f>
        <v>880.92575999999985</v>
      </c>
    </row>
    <row r="364" spans="1:9" x14ac:dyDescent="0.2">
      <c r="A364" s="107">
        <f>A363+1</f>
        <v>2</v>
      </c>
      <c r="B364" s="108"/>
      <c r="C364" s="107" t="s">
        <v>278</v>
      </c>
      <c r="D364" s="109"/>
      <c r="E364" s="109"/>
      <c r="F364" s="109"/>
      <c r="G364" s="109"/>
      <c r="H364" s="108"/>
    </row>
    <row r="365" spans="1:9" x14ac:dyDescent="0.2">
      <c r="A365" s="107">
        <f t="shared" ref="A365:A366" si="74">A364+1</f>
        <v>3</v>
      </c>
      <c r="B365" s="108"/>
      <c r="C365" s="94" t="s">
        <v>279</v>
      </c>
      <c r="D365" s="94">
        <f>(58.15)*10.764</f>
        <v>625.92659999999989</v>
      </c>
      <c r="E365" s="94">
        <v>0</v>
      </c>
      <c r="F365" s="94">
        <f t="shared" ref="F365:F366" si="75">D365+E365</f>
        <v>625.92659999999989</v>
      </c>
      <c r="G365" s="94">
        <v>0</v>
      </c>
      <c r="H365" s="94">
        <f>F365*(($H$239)+1)+(IF(G365&lt;101,G365,IF(G365&lt;201,G365/2,IF(G365&lt;=301,G365/3,G365/4))))</f>
        <v>938.8898999999999</v>
      </c>
    </row>
    <row r="366" spans="1:9" x14ac:dyDescent="0.2">
      <c r="A366" s="107">
        <f t="shared" si="74"/>
        <v>4</v>
      </c>
      <c r="B366" s="108"/>
      <c r="C366" s="94" t="s">
        <v>279</v>
      </c>
      <c r="D366" s="94">
        <f>(48.67)*10.764</f>
        <v>523.88387999999998</v>
      </c>
      <c r="E366" s="94">
        <v>0</v>
      </c>
      <c r="F366" s="94">
        <f t="shared" si="75"/>
        <v>523.88387999999998</v>
      </c>
      <c r="G366" s="94">
        <v>0</v>
      </c>
      <c r="H366" s="94">
        <f>F366*(($H$239)+1)+(IF(G366&lt;101,G366,IF(G366&lt;201,G366/2,IF(G366&lt;=301,G366/3,G366/4))))</f>
        <v>785.82582000000002</v>
      </c>
    </row>
    <row r="367" spans="1:9" hidden="1" x14ac:dyDescent="0.2">
      <c r="A367" s="106" t="s">
        <v>208</v>
      </c>
      <c r="B367" s="106"/>
      <c r="C367" s="106"/>
      <c r="D367" s="106"/>
      <c r="E367" s="106"/>
      <c r="F367" s="106"/>
      <c r="G367" s="106"/>
      <c r="H367" s="106"/>
    </row>
    <row r="368" spans="1:9" hidden="1" x14ac:dyDescent="0.2">
      <c r="A368" s="107">
        <v>1</v>
      </c>
      <c r="B368" s="108"/>
      <c r="C368" s="57" t="s">
        <v>55</v>
      </c>
      <c r="D368" s="57"/>
      <c r="E368" s="57"/>
      <c r="F368" s="94">
        <f>D368+E368</f>
        <v>0</v>
      </c>
      <c r="G368" s="94">
        <v>0</v>
      </c>
      <c r="H368" s="57">
        <f>F368*(($H$239)+1)+(IF(G368&lt;101,G368,IF(G368&lt;201,G368/2,IF(G368&lt;=301,G368/3,G368/4))))</f>
        <v>0</v>
      </c>
    </row>
    <row r="369" spans="1:8" hidden="1" x14ac:dyDescent="0.2">
      <c r="A369" s="107">
        <f>A368+1</f>
        <v>2</v>
      </c>
      <c r="B369" s="108"/>
      <c r="C369" s="57" t="s">
        <v>55</v>
      </c>
      <c r="D369" s="57"/>
      <c r="E369" s="57"/>
      <c r="F369" s="94">
        <f t="shared" ref="F369:F379" si="76">D369+E369</f>
        <v>0</v>
      </c>
      <c r="G369" s="94">
        <v>0</v>
      </c>
      <c r="H369" s="57">
        <f t="shared" ref="H369:H379" si="77">F369*(($H$239)+1)+(IF(G369&lt;101,G369,IF(G369&lt;201,G369/2,IF(G369&lt;=301,G369/3,G369/4))))</f>
        <v>0</v>
      </c>
    </row>
    <row r="370" spans="1:8" hidden="1" x14ac:dyDescent="0.2">
      <c r="A370" s="107">
        <f t="shared" ref="A370:A379" si="78">A369+1</f>
        <v>3</v>
      </c>
      <c r="B370" s="108"/>
      <c r="C370" s="57" t="s">
        <v>55</v>
      </c>
      <c r="D370" s="57"/>
      <c r="E370" s="57"/>
      <c r="F370" s="94">
        <f t="shared" si="76"/>
        <v>0</v>
      </c>
      <c r="G370" s="94">
        <v>0</v>
      </c>
      <c r="H370" s="57">
        <f t="shared" si="77"/>
        <v>0</v>
      </c>
    </row>
    <row r="371" spans="1:8" hidden="1" x14ac:dyDescent="0.2">
      <c r="A371" s="107">
        <f t="shared" si="78"/>
        <v>4</v>
      </c>
      <c r="B371" s="108"/>
      <c r="C371" s="57" t="s">
        <v>55</v>
      </c>
      <c r="D371" s="57"/>
      <c r="E371" s="57"/>
      <c r="F371" s="94">
        <f t="shared" si="76"/>
        <v>0</v>
      </c>
      <c r="G371" s="94">
        <v>0</v>
      </c>
      <c r="H371" s="57">
        <f t="shared" si="77"/>
        <v>0</v>
      </c>
    </row>
    <row r="372" spans="1:8" hidden="1" x14ac:dyDescent="0.2">
      <c r="A372" s="107">
        <f t="shared" si="78"/>
        <v>5</v>
      </c>
      <c r="B372" s="108"/>
      <c r="C372" s="57" t="s">
        <v>55</v>
      </c>
      <c r="D372" s="57"/>
      <c r="E372" s="57"/>
      <c r="F372" s="94">
        <f t="shared" si="76"/>
        <v>0</v>
      </c>
      <c r="G372" s="94">
        <v>0</v>
      </c>
      <c r="H372" s="57">
        <f t="shared" si="77"/>
        <v>0</v>
      </c>
    </row>
    <row r="373" spans="1:8" hidden="1" x14ac:dyDescent="0.2">
      <c r="A373" s="107">
        <f t="shared" si="78"/>
        <v>6</v>
      </c>
      <c r="B373" s="108"/>
      <c r="C373" s="57" t="s">
        <v>55</v>
      </c>
      <c r="D373" s="57"/>
      <c r="E373" s="57"/>
      <c r="F373" s="94">
        <f t="shared" si="76"/>
        <v>0</v>
      </c>
      <c r="G373" s="94">
        <v>0</v>
      </c>
      <c r="H373" s="57">
        <f t="shared" si="77"/>
        <v>0</v>
      </c>
    </row>
    <row r="374" spans="1:8" hidden="1" x14ac:dyDescent="0.2">
      <c r="A374" s="107">
        <f t="shared" si="78"/>
        <v>7</v>
      </c>
      <c r="B374" s="108"/>
      <c r="C374" s="57" t="s">
        <v>55</v>
      </c>
      <c r="D374" s="57"/>
      <c r="E374" s="57"/>
      <c r="F374" s="94">
        <f t="shared" si="76"/>
        <v>0</v>
      </c>
      <c r="G374" s="94">
        <v>0</v>
      </c>
      <c r="H374" s="57">
        <f t="shared" si="77"/>
        <v>0</v>
      </c>
    </row>
    <row r="375" spans="1:8" hidden="1" x14ac:dyDescent="0.2">
      <c r="A375" s="107">
        <f t="shared" si="78"/>
        <v>8</v>
      </c>
      <c r="B375" s="108"/>
      <c r="C375" s="57" t="s">
        <v>55</v>
      </c>
      <c r="D375" s="57"/>
      <c r="E375" s="57"/>
      <c r="F375" s="94">
        <f t="shared" si="76"/>
        <v>0</v>
      </c>
      <c r="G375" s="94">
        <v>0</v>
      </c>
      <c r="H375" s="57">
        <f t="shared" si="77"/>
        <v>0</v>
      </c>
    </row>
    <row r="376" spans="1:8" hidden="1" x14ac:dyDescent="0.2">
      <c r="A376" s="107">
        <f t="shared" si="78"/>
        <v>9</v>
      </c>
      <c r="B376" s="108"/>
      <c r="C376" s="57" t="s">
        <v>55</v>
      </c>
      <c r="D376" s="57"/>
      <c r="E376" s="57"/>
      <c r="F376" s="94">
        <f t="shared" si="76"/>
        <v>0</v>
      </c>
      <c r="G376" s="94">
        <v>0</v>
      </c>
      <c r="H376" s="57">
        <f t="shared" si="77"/>
        <v>0</v>
      </c>
    </row>
    <row r="377" spans="1:8" hidden="1" x14ac:dyDescent="0.2">
      <c r="A377" s="107">
        <f t="shared" si="78"/>
        <v>10</v>
      </c>
      <c r="B377" s="108"/>
      <c r="C377" s="57" t="s">
        <v>55</v>
      </c>
      <c r="D377" s="57"/>
      <c r="E377" s="57"/>
      <c r="F377" s="94">
        <f t="shared" si="76"/>
        <v>0</v>
      </c>
      <c r="G377" s="94">
        <v>0</v>
      </c>
      <c r="H377" s="57">
        <f t="shared" si="77"/>
        <v>0</v>
      </c>
    </row>
    <row r="378" spans="1:8" hidden="1" x14ac:dyDescent="0.2">
      <c r="A378" s="107">
        <f t="shared" si="78"/>
        <v>11</v>
      </c>
      <c r="B378" s="108"/>
      <c r="C378" s="57" t="s">
        <v>55</v>
      </c>
      <c r="D378" s="57"/>
      <c r="E378" s="57"/>
      <c r="F378" s="94">
        <f t="shared" si="76"/>
        <v>0</v>
      </c>
      <c r="G378" s="94">
        <v>0</v>
      </c>
      <c r="H378" s="57">
        <f t="shared" si="77"/>
        <v>0</v>
      </c>
    </row>
    <row r="379" spans="1:8" hidden="1" x14ac:dyDescent="0.2">
      <c r="A379" s="107">
        <f t="shared" si="78"/>
        <v>12</v>
      </c>
      <c r="B379" s="108"/>
      <c r="C379" s="57" t="s">
        <v>55</v>
      </c>
      <c r="D379" s="57"/>
      <c r="E379" s="57"/>
      <c r="F379" s="94">
        <f t="shared" si="76"/>
        <v>0</v>
      </c>
      <c r="G379" s="94">
        <v>0</v>
      </c>
      <c r="H379" s="57">
        <f t="shared" si="77"/>
        <v>0</v>
      </c>
    </row>
    <row r="380" spans="1:8" hidden="1" x14ac:dyDescent="0.2">
      <c r="A380" s="106" t="s">
        <v>123</v>
      </c>
      <c r="B380" s="106"/>
      <c r="C380" s="106"/>
      <c r="D380" s="106"/>
      <c r="E380" s="106"/>
      <c r="F380" s="106"/>
      <c r="G380" s="106"/>
      <c r="H380" s="106"/>
    </row>
    <row r="381" spans="1:8" hidden="1" x14ac:dyDescent="0.2">
      <c r="A381" s="107">
        <v>1</v>
      </c>
      <c r="B381" s="108"/>
      <c r="C381" s="57" t="s">
        <v>55</v>
      </c>
      <c r="D381" s="57"/>
      <c r="E381" s="57"/>
      <c r="F381" s="94">
        <f>D381+E381</f>
        <v>0</v>
      </c>
      <c r="G381" s="94">
        <v>0</v>
      </c>
      <c r="H381" s="57">
        <f>F381*(($H$239)+1)+(IF(G381&lt;101,G381,IF(G381&lt;201,G381/2,IF(G381&lt;=301,G381/3,G381/4))))</f>
        <v>0</v>
      </c>
    </row>
    <row r="382" spans="1:8" hidden="1" x14ac:dyDescent="0.2">
      <c r="A382" s="107">
        <f>A381+1</f>
        <v>2</v>
      </c>
      <c r="B382" s="108"/>
      <c r="C382" s="57" t="s">
        <v>55</v>
      </c>
      <c r="D382" s="57"/>
      <c r="E382" s="57"/>
      <c r="F382" s="94">
        <f t="shared" ref="F382:F392" si="79">D382+E382</f>
        <v>0</v>
      </c>
      <c r="G382" s="94">
        <v>0</v>
      </c>
      <c r="H382" s="57">
        <f t="shared" ref="H382:H392" si="80">F382*(($H$239)+1)+(IF(G382&lt;101,G382,IF(G382&lt;201,G382/2,IF(G382&lt;=301,G382/3,G382/4))))</f>
        <v>0</v>
      </c>
    </row>
    <row r="383" spans="1:8" hidden="1" x14ac:dyDescent="0.2">
      <c r="A383" s="107">
        <f t="shared" ref="A383:A392" si="81">A382+1</f>
        <v>3</v>
      </c>
      <c r="B383" s="108"/>
      <c r="C383" s="57" t="s">
        <v>55</v>
      </c>
      <c r="D383" s="57"/>
      <c r="E383" s="57"/>
      <c r="F383" s="94">
        <f t="shared" si="79"/>
        <v>0</v>
      </c>
      <c r="G383" s="94">
        <v>0</v>
      </c>
      <c r="H383" s="57">
        <f t="shared" si="80"/>
        <v>0</v>
      </c>
    </row>
    <row r="384" spans="1:8" hidden="1" x14ac:dyDescent="0.2">
      <c r="A384" s="107">
        <f t="shared" si="81"/>
        <v>4</v>
      </c>
      <c r="B384" s="108"/>
      <c r="C384" s="57" t="s">
        <v>55</v>
      </c>
      <c r="D384" s="57"/>
      <c r="E384" s="57"/>
      <c r="F384" s="94">
        <f t="shared" si="79"/>
        <v>0</v>
      </c>
      <c r="G384" s="94">
        <v>0</v>
      </c>
      <c r="H384" s="57">
        <f t="shared" si="80"/>
        <v>0</v>
      </c>
    </row>
    <row r="385" spans="1:8" hidden="1" x14ac:dyDescent="0.2">
      <c r="A385" s="107">
        <f t="shared" si="81"/>
        <v>5</v>
      </c>
      <c r="B385" s="108"/>
      <c r="C385" s="57" t="s">
        <v>55</v>
      </c>
      <c r="D385" s="57"/>
      <c r="E385" s="57"/>
      <c r="F385" s="94">
        <f t="shared" si="79"/>
        <v>0</v>
      </c>
      <c r="G385" s="94">
        <v>0</v>
      </c>
      <c r="H385" s="57">
        <f t="shared" si="80"/>
        <v>0</v>
      </c>
    </row>
    <row r="386" spans="1:8" hidden="1" x14ac:dyDescent="0.2">
      <c r="A386" s="107">
        <f t="shared" si="81"/>
        <v>6</v>
      </c>
      <c r="B386" s="108"/>
      <c r="C386" s="57" t="s">
        <v>55</v>
      </c>
      <c r="D386" s="57"/>
      <c r="E386" s="57"/>
      <c r="F386" s="94">
        <f t="shared" si="79"/>
        <v>0</v>
      </c>
      <c r="G386" s="94">
        <v>0</v>
      </c>
      <c r="H386" s="57">
        <f t="shared" si="80"/>
        <v>0</v>
      </c>
    </row>
    <row r="387" spans="1:8" hidden="1" x14ac:dyDescent="0.2">
      <c r="A387" s="107">
        <f t="shared" si="81"/>
        <v>7</v>
      </c>
      <c r="B387" s="108"/>
      <c r="C387" s="57" t="s">
        <v>55</v>
      </c>
      <c r="D387" s="57"/>
      <c r="E387" s="57"/>
      <c r="F387" s="94">
        <f t="shared" si="79"/>
        <v>0</v>
      </c>
      <c r="G387" s="94">
        <v>0</v>
      </c>
      <c r="H387" s="57">
        <f t="shared" si="80"/>
        <v>0</v>
      </c>
    </row>
    <row r="388" spans="1:8" hidden="1" x14ac:dyDescent="0.2">
      <c r="A388" s="107">
        <f t="shared" si="81"/>
        <v>8</v>
      </c>
      <c r="B388" s="108"/>
      <c r="C388" s="57" t="s">
        <v>55</v>
      </c>
      <c r="D388" s="57"/>
      <c r="E388" s="57"/>
      <c r="F388" s="94">
        <f t="shared" si="79"/>
        <v>0</v>
      </c>
      <c r="G388" s="94">
        <v>0</v>
      </c>
      <c r="H388" s="57">
        <f t="shared" si="80"/>
        <v>0</v>
      </c>
    </row>
    <row r="389" spans="1:8" hidden="1" x14ac:dyDescent="0.2">
      <c r="A389" s="107">
        <f t="shared" si="81"/>
        <v>9</v>
      </c>
      <c r="B389" s="108"/>
      <c r="C389" s="57" t="s">
        <v>55</v>
      </c>
      <c r="D389" s="57"/>
      <c r="E389" s="57"/>
      <c r="F389" s="94">
        <f t="shared" si="79"/>
        <v>0</v>
      </c>
      <c r="G389" s="94">
        <v>0</v>
      </c>
      <c r="H389" s="57">
        <f t="shared" si="80"/>
        <v>0</v>
      </c>
    </row>
    <row r="390" spans="1:8" hidden="1" x14ac:dyDescent="0.2">
      <c r="A390" s="107">
        <f t="shared" si="81"/>
        <v>10</v>
      </c>
      <c r="B390" s="108"/>
      <c r="C390" s="57" t="s">
        <v>55</v>
      </c>
      <c r="D390" s="57"/>
      <c r="E390" s="57"/>
      <c r="F390" s="94">
        <f t="shared" si="79"/>
        <v>0</v>
      </c>
      <c r="G390" s="94">
        <v>0</v>
      </c>
      <c r="H390" s="57">
        <f t="shared" si="80"/>
        <v>0</v>
      </c>
    </row>
    <row r="391" spans="1:8" hidden="1" x14ac:dyDescent="0.2">
      <c r="A391" s="107">
        <f t="shared" si="81"/>
        <v>11</v>
      </c>
      <c r="B391" s="108"/>
      <c r="C391" s="57" t="s">
        <v>55</v>
      </c>
      <c r="D391" s="57"/>
      <c r="E391" s="57"/>
      <c r="F391" s="94">
        <f t="shared" si="79"/>
        <v>0</v>
      </c>
      <c r="G391" s="94">
        <v>0</v>
      </c>
      <c r="H391" s="57">
        <f t="shared" si="80"/>
        <v>0</v>
      </c>
    </row>
    <row r="392" spans="1:8" hidden="1" x14ac:dyDescent="0.2">
      <c r="A392" s="107">
        <f t="shared" si="81"/>
        <v>12</v>
      </c>
      <c r="B392" s="108"/>
      <c r="C392" s="57" t="s">
        <v>55</v>
      </c>
      <c r="D392" s="57"/>
      <c r="E392" s="57"/>
      <c r="F392" s="94">
        <f t="shared" si="79"/>
        <v>0</v>
      </c>
      <c r="G392" s="94">
        <v>0</v>
      </c>
      <c r="H392" s="57">
        <f t="shared" si="80"/>
        <v>0</v>
      </c>
    </row>
    <row r="393" spans="1:8" hidden="1" x14ac:dyDescent="0.2">
      <c r="A393" s="106" t="s">
        <v>124</v>
      </c>
      <c r="B393" s="106"/>
      <c r="C393" s="106"/>
      <c r="D393" s="106"/>
      <c r="E393" s="106"/>
      <c r="F393" s="106"/>
      <c r="G393" s="106"/>
      <c r="H393" s="106"/>
    </row>
    <row r="394" spans="1:8" hidden="1" x14ac:dyDescent="0.2">
      <c r="A394" s="107">
        <v>1</v>
      </c>
      <c r="B394" s="108"/>
      <c r="C394" s="57" t="s">
        <v>55</v>
      </c>
      <c r="D394" s="57"/>
      <c r="E394" s="57"/>
      <c r="F394" s="94">
        <f>D394+E394</f>
        <v>0</v>
      </c>
      <c r="G394" s="94">
        <v>0</v>
      </c>
      <c r="H394" s="57">
        <f>F394*(($H$239)+1)+(IF(G394&lt;101,G394,IF(G394&lt;201,G394/2,IF(G394&lt;=301,G394/3,G394/4))))</f>
        <v>0</v>
      </c>
    </row>
    <row r="395" spans="1:8" hidden="1" x14ac:dyDescent="0.2">
      <c r="A395" s="107">
        <f>A394+1</f>
        <v>2</v>
      </c>
      <c r="B395" s="108"/>
      <c r="C395" s="57" t="s">
        <v>55</v>
      </c>
      <c r="D395" s="57"/>
      <c r="E395" s="57"/>
      <c r="F395" s="94">
        <f t="shared" ref="F395:F405" si="82">D395+E395</f>
        <v>0</v>
      </c>
      <c r="G395" s="94">
        <v>0</v>
      </c>
      <c r="H395" s="57">
        <f t="shared" ref="H395:H405" si="83">F395*(($H$239)+1)+(IF(G395&lt;101,G395,IF(G395&lt;201,G395/2,IF(G395&lt;=301,G395/3,G395/4))))</f>
        <v>0</v>
      </c>
    </row>
    <row r="396" spans="1:8" hidden="1" x14ac:dyDescent="0.2">
      <c r="A396" s="107">
        <f t="shared" ref="A396:A405" si="84">A395+1</f>
        <v>3</v>
      </c>
      <c r="B396" s="108"/>
      <c r="C396" s="57" t="s">
        <v>55</v>
      </c>
      <c r="D396" s="57"/>
      <c r="E396" s="57"/>
      <c r="F396" s="94">
        <f t="shared" si="82"/>
        <v>0</v>
      </c>
      <c r="G396" s="94">
        <v>0</v>
      </c>
      <c r="H396" s="57">
        <f t="shared" si="83"/>
        <v>0</v>
      </c>
    </row>
    <row r="397" spans="1:8" hidden="1" x14ac:dyDescent="0.2">
      <c r="A397" s="107">
        <f t="shared" si="84"/>
        <v>4</v>
      </c>
      <c r="B397" s="108"/>
      <c r="C397" s="57" t="s">
        <v>55</v>
      </c>
      <c r="D397" s="57"/>
      <c r="E397" s="57"/>
      <c r="F397" s="94">
        <f t="shared" si="82"/>
        <v>0</v>
      </c>
      <c r="G397" s="94">
        <v>0</v>
      </c>
      <c r="H397" s="57">
        <f t="shared" si="83"/>
        <v>0</v>
      </c>
    </row>
    <row r="398" spans="1:8" hidden="1" x14ac:dyDescent="0.2">
      <c r="A398" s="107">
        <f t="shared" si="84"/>
        <v>5</v>
      </c>
      <c r="B398" s="108"/>
      <c r="C398" s="57" t="s">
        <v>55</v>
      </c>
      <c r="D398" s="57"/>
      <c r="E398" s="57"/>
      <c r="F398" s="94">
        <f t="shared" si="82"/>
        <v>0</v>
      </c>
      <c r="G398" s="94">
        <v>0</v>
      </c>
      <c r="H398" s="57">
        <f t="shared" si="83"/>
        <v>0</v>
      </c>
    </row>
    <row r="399" spans="1:8" hidden="1" x14ac:dyDescent="0.2">
      <c r="A399" s="107">
        <f t="shared" si="84"/>
        <v>6</v>
      </c>
      <c r="B399" s="108"/>
      <c r="C399" s="57" t="s">
        <v>55</v>
      </c>
      <c r="D399" s="57"/>
      <c r="E399" s="57"/>
      <c r="F399" s="94">
        <f t="shared" si="82"/>
        <v>0</v>
      </c>
      <c r="G399" s="94">
        <v>0</v>
      </c>
      <c r="H399" s="57">
        <f t="shared" si="83"/>
        <v>0</v>
      </c>
    </row>
    <row r="400" spans="1:8" hidden="1" x14ac:dyDescent="0.2">
      <c r="A400" s="107">
        <f t="shared" si="84"/>
        <v>7</v>
      </c>
      <c r="B400" s="108"/>
      <c r="C400" s="57" t="s">
        <v>55</v>
      </c>
      <c r="D400" s="57"/>
      <c r="E400" s="57"/>
      <c r="F400" s="94">
        <f t="shared" si="82"/>
        <v>0</v>
      </c>
      <c r="G400" s="94">
        <v>0</v>
      </c>
      <c r="H400" s="57">
        <f t="shared" si="83"/>
        <v>0</v>
      </c>
    </row>
    <row r="401" spans="1:8" hidden="1" x14ac:dyDescent="0.2">
      <c r="A401" s="107">
        <f t="shared" si="84"/>
        <v>8</v>
      </c>
      <c r="B401" s="108"/>
      <c r="C401" s="57" t="s">
        <v>55</v>
      </c>
      <c r="D401" s="57"/>
      <c r="E401" s="57"/>
      <c r="F401" s="94">
        <f t="shared" si="82"/>
        <v>0</v>
      </c>
      <c r="G401" s="94">
        <v>0</v>
      </c>
      <c r="H401" s="57">
        <f t="shared" si="83"/>
        <v>0</v>
      </c>
    </row>
    <row r="402" spans="1:8" hidden="1" x14ac:dyDescent="0.2">
      <c r="A402" s="107">
        <f t="shared" si="84"/>
        <v>9</v>
      </c>
      <c r="B402" s="108"/>
      <c r="C402" s="57" t="s">
        <v>55</v>
      </c>
      <c r="D402" s="57"/>
      <c r="E402" s="57"/>
      <c r="F402" s="94">
        <f t="shared" si="82"/>
        <v>0</v>
      </c>
      <c r="G402" s="94">
        <v>0</v>
      </c>
      <c r="H402" s="57">
        <f t="shared" si="83"/>
        <v>0</v>
      </c>
    </row>
    <row r="403" spans="1:8" hidden="1" x14ac:dyDescent="0.2">
      <c r="A403" s="107">
        <f t="shared" si="84"/>
        <v>10</v>
      </c>
      <c r="B403" s="108"/>
      <c r="C403" s="57" t="s">
        <v>55</v>
      </c>
      <c r="D403" s="57"/>
      <c r="E403" s="57"/>
      <c r="F403" s="94">
        <f t="shared" si="82"/>
        <v>0</v>
      </c>
      <c r="G403" s="94">
        <v>0</v>
      </c>
      <c r="H403" s="57">
        <f t="shared" si="83"/>
        <v>0</v>
      </c>
    </row>
    <row r="404" spans="1:8" hidden="1" x14ac:dyDescent="0.2">
      <c r="A404" s="107">
        <f t="shared" si="84"/>
        <v>11</v>
      </c>
      <c r="B404" s="108"/>
      <c r="C404" s="57" t="s">
        <v>55</v>
      </c>
      <c r="D404" s="57"/>
      <c r="E404" s="57"/>
      <c r="F404" s="94">
        <f t="shared" si="82"/>
        <v>0</v>
      </c>
      <c r="G404" s="94">
        <v>0</v>
      </c>
      <c r="H404" s="57">
        <f t="shared" si="83"/>
        <v>0</v>
      </c>
    </row>
    <row r="405" spans="1:8" hidden="1" x14ac:dyDescent="0.2">
      <c r="A405" s="107">
        <f t="shared" si="84"/>
        <v>12</v>
      </c>
      <c r="B405" s="108"/>
      <c r="C405" s="57" t="s">
        <v>55</v>
      </c>
      <c r="D405" s="57"/>
      <c r="E405" s="57"/>
      <c r="F405" s="94">
        <f t="shared" si="82"/>
        <v>0</v>
      </c>
      <c r="G405" s="94">
        <v>0</v>
      </c>
      <c r="H405" s="57">
        <f t="shared" si="83"/>
        <v>0</v>
      </c>
    </row>
    <row r="406" spans="1:8" hidden="1" x14ac:dyDescent="0.2">
      <c r="A406" s="106" t="s">
        <v>124</v>
      </c>
      <c r="B406" s="106"/>
      <c r="C406" s="106"/>
      <c r="D406" s="106"/>
      <c r="E406" s="106"/>
      <c r="F406" s="106"/>
      <c r="G406" s="106"/>
      <c r="H406" s="106"/>
    </row>
    <row r="407" spans="1:8" hidden="1" x14ac:dyDescent="0.2">
      <c r="A407" s="107">
        <v>1</v>
      </c>
      <c r="B407" s="108"/>
      <c r="C407" s="57" t="s">
        <v>55</v>
      </c>
      <c r="D407" s="57"/>
      <c r="E407" s="57"/>
      <c r="F407" s="94">
        <f>D407+E407</f>
        <v>0</v>
      </c>
      <c r="G407" s="94">
        <v>0</v>
      </c>
      <c r="H407" s="57">
        <f>F407*(($H$239)+1)+(IF(G407&lt;101,G407,IF(G407&lt;201,G407/2,IF(G407&lt;=301,G407/3,G407/4))))</f>
        <v>0</v>
      </c>
    </row>
    <row r="408" spans="1:8" hidden="1" x14ac:dyDescent="0.2">
      <c r="A408" s="107">
        <f>A407+1</f>
        <v>2</v>
      </c>
      <c r="B408" s="108"/>
      <c r="C408" s="57" t="s">
        <v>55</v>
      </c>
      <c r="D408" s="57"/>
      <c r="E408" s="57"/>
      <c r="F408" s="94">
        <f t="shared" ref="F408:F418" si="85">D408+E408</f>
        <v>0</v>
      </c>
      <c r="G408" s="94">
        <v>0</v>
      </c>
      <c r="H408" s="57">
        <f t="shared" ref="H408:H418" si="86">F408*(($H$239)+1)+(IF(G408&lt;101,G408,IF(G408&lt;201,G408/2,IF(G408&lt;=301,G408/3,G408/4))))</f>
        <v>0</v>
      </c>
    </row>
    <row r="409" spans="1:8" hidden="1" x14ac:dyDescent="0.2">
      <c r="A409" s="107">
        <f t="shared" ref="A409:A418" si="87">A408+1</f>
        <v>3</v>
      </c>
      <c r="B409" s="108"/>
      <c r="C409" s="57" t="s">
        <v>55</v>
      </c>
      <c r="D409" s="57"/>
      <c r="E409" s="57"/>
      <c r="F409" s="94">
        <f t="shared" si="85"/>
        <v>0</v>
      </c>
      <c r="G409" s="94">
        <v>0</v>
      </c>
      <c r="H409" s="57">
        <f t="shared" si="86"/>
        <v>0</v>
      </c>
    </row>
    <row r="410" spans="1:8" hidden="1" x14ac:dyDescent="0.2">
      <c r="A410" s="107">
        <f t="shared" si="87"/>
        <v>4</v>
      </c>
      <c r="B410" s="108"/>
      <c r="C410" s="57" t="s">
        <v>55</v>
      </c>
      <c r="D410" s="57"/>
      <c r="E410" s="57"/>
      <c r="F410" s="94">
        <f t="shared" si="85"/>
        <v>0</v>
      </c>
      <c r="G410" s="94">
        <v>0</v>
      </c>
      <c r="H410" s="57">
        <f t="shared" si="86"/>
        <v>0</v>
      </c>
    </row>
    <row r="411" spans="1:8" hidden="1" x14ac:dyDescent="0.2">
      <c r="A411" s="107">
        <f t="shared" si="87"/>
        <v>5</v>
      </c>
      <c r="B411" s="108"/>
      <c r="C411" s="57" t="s">
        <v>55</v>
      </c>
      <c r="D411" s="57"/>
      <c r="E411" s="57"/>
      <c r="F411" s="94">
        <f t="shared" si="85"/>
        <v>0</v>
      </c>
      <c r="G411" s="94">
        <v>0</v>
      </c>
      <c r="H411" s="57">
        <f t="shared" si="86"/>
        <v>0</v>
      </c>
    </row>
    <row r="412" spans="1:8" hidden="1" x14ac:dyDescent="0.2">
      <c r="A412" s="107">
        <f t="shared" si="87"/>
        <v>6</v>
      </c>
      <c r="B412" s="108"/>
      <c r="C412" s="57" t="s">
        <v>55</v>
      </c>
      <c r="D412" s="57"/>
      <c r="E412" s="57"/>
      <c r="F412" s="94">
        <f t="shared" si="85"/>
        <v>0</v>
      </c>
      <c r="G412" s="94">
        <v>0</v>
      </c>
      <c r="H412" s="57">
        <f t="shared" si="86"/>
        <v>0</v>
      </c>
    </row>
    <row r="413" spans="1:8" hidden="1" x14ac:dyDescent="0.2">
      <c r="A413" s="107">
        <f t="shared" si="87"/>
        <v>7</v>
      </c>
      <c r="B413" s="108"/>
      <c r="C413" s="57" t="s">
        <v>55</v>
      </c>
      <c r="D413" s="57"/>
      <c r="E413" s="57"/>
      <c r="F413" s="94">
        <f t="shared" si="85"/>
        <v>0</v>
      </c>
      <c r="G413" s="94">
        <v>0</v>
      </c>
      <c r="H413" s="57">
        <f t="shared" si="86"/>
        <v>0</v>
      </c>
    </row>
    <row r="414" spans="1:8" hidden="1" x14ac:dyDescent="0.2">
      <c r="A414" s="107">
        <f t="shared" si="87"/>
        <v>8</v>
      </c>
      <c r="B414" s="108"/>
      <c r="C414" s="57" t="s">
        <v>55</v>
      </c>
      <c r="D414" s="57"/>
      <c r="E414" s="57"/>
      <c r="F414" s="94">
        <f t="shared" si="85"/>
        <v>0</v>
      </c>
      <c r="G414" s="94">
        <v>0</v>
      </c>
      <c r="H414" s="57">
        <f t="shared" si="86"/>
        <v>0</v>
      </c>
    </row>
    <row r="415" spans="1:8" hidden="1" x14ac:dyDescent="0.2">
      <c r="A415" s="107">
        <f t="shared" si="87"/>
        <v>9</v>
      </c>
      <c r="B415" s="108"/>
      <c r="C415" s="57" t="s">
        <v>55</v>
      </c>
      <c r="D415" s="57"/>
      <c r="E415" s="57"/>
      <c r="F415" s="94">
        <f t="shared" si="85"/>
        <v>0</v>
      </c>
      <c r="G415" s="94">
        <v>0</v>
      </c>
      <c r="H415" s="57">
        <f t="shared" si="86"/>
        <v>0</v>
      </c>
    </row>
    <row r="416" spans="1:8" hidden="1" x14ac:dyDescent="0.2">
      <c r="A416" s="107">
        <f t="shared" si="87"/>
        <v>10</v>
      </c>
      <c r="B416" s="108"/>
      <c r="C416" s="57" t="s">
        <v>55</v>
      </c>
      <c r="D416" s="57"/>
      <c r="E416" s="57"/>
      <c r="F416" s="94">
        <f t="shared" si="85"/>
        <v>0</v>
      </c>
      <c r="G416" s="94">
        <v>0</v>
      </c>
      <c r="H416" s="57">
        <f t="shared" si="86"/>
        <v>0</v>
      </c>
    </row>
    <row r="417" spans="1:10" ht="12.75" hidden="1" customHeight="1" x14ac:dyDescent="0.2">
      <c r="A417" s="107">
        <f t="shared" si="87"/>
        <v>11</v>
      </c>
      <c r="B417" s="108"/>
      <c r="C417" s="57" t="s">
        <v>55</v>
      </c>
      <c r="D417" s="57"/>
      <c r="E417" s="57"/>
      <c r="F417" s="94">
        <f t="shared" si="85"/>
        <v>0</v>
      </c>
      <c r="G417" s="94">
        <v>0</v>
      </c>
      <c r="H417" s="57">
        <f t="shared" si="86"/>
        <v>0</v>
      </c>
    </row>
    <row r="418" spans="1:10" ht="14.25" hidden="1" customHeight="1" x14ac:dyDescent="0.2">
      <c r="A418" s="107">
        <f t="shared" si="87"/>
        <v>12</v>
      </c>
      <c r="B418" s="108"/>
      <c r="C418" s="57" t="s">
        <v>55</v>
      </c>
      <c r="D418" s="57"/>
      <c r="E418" s="57"/>
      <c r="F418" s="94">
        <f t="shared" si="85"/>
        <v>0</v>
      </c>
      <c r="G418" s="94">
        <v>0</v>
      </c>
      <c r="H418" s="57">
        <f t="shared" si="86"/>
        <v>0</v>
      </c>
    </row>
    <row r="419" spans="1:10" ht="14.25" customHeight="1" x14ac:dyDescent="0.2">
      <c r="A419" s="129" t="s">
        <v>113</v>
      </c>
      <c r="B419" s="129"/>
      <c r="C419" s="129"/>
      <c r="D419" s="129"/>
      <c r="E419" s="129"/>
      <c r="F419" s="129"/>
      <c r="G419" s="129"/>
      <c r="H419" s="129"/>
      <c r="I419" s="43"/>
      <c r="J419" s="43"/>
    </row>
    <row r="420" spans="1:10" x14ac:dyDescent="0.2">
      <c r="A420" s="192" t="s">
        <v>306</v>
      </c>
      <c r="B420" s="193"/>
      <c r="C420" s="193"/>
      <c r="D420" s="193"/>
      <c r="E420" s="194"/>
      <c r="F420" s="192">
        <v>18000</v>
      </c>
      <c r="G420" s="193"/>
      <c r="H420" s="194"/>
      <c r="I420" s="44" t="s">
        <v>348</v>
      </c>
      <c r="J420" s="43"/>
    </row>
    <row r="421" spans="1:10" x14ac:dyDescent="0.2">
      <c r="A421" s="192" t="s">
        <v>114</v>
      </c>
      <c r="B421" s="193"/>
      <c r="C421" s="193"/>
      <c r="D421" s="193"/>
      <c r="E421" s="194"/>
      <c r="F421" s="192" t="s">
        <v>346</v>
      </c>
      <c r="G421" s="193"/>
      <c r="H421" s="194"/>
    </row>
    <row r="422" spans="1:10" x14ac:dyDescent="0.2">
      <c r="A422" s="129" t="s">
        <v>47</v>
      </c>
      <c r="B422" s="129"/>
      <c r="C422" s="129"/>
      <c r="D422" s="129"/>
      <c r="E422" s="129"/>
      <c r="F422" s="129"/>
      <c r="G422" s="129"/>
      <c r="H422" s="129"/>
    </row>
    <row r="423" spans="1:10" x14ac:dyDescent="0.2">
      <c r="A423" s="99">
        <v>1</v>
      </c>
      <c r="B423" s="180" t="s">
        <v>339</v>
      </c>
      <c r="C423" s="181"/>
      <c r="D423" s="181"/>
      <c r="E423" s="181"/>
      <c r="F423" s="181"/>
      <c r="G423" s="181"/>
      <c r="H423" s="182"/>
    </row>
    <row r="424" spans="1:10" x14ac:dyDescent="0.2">
      <c r="A424" s="99">
        <f t="shared" ref="A424:A435" si="88">A423+1</f>
        <v>2</v>
      </c>
      <c r="B424" s="180" t="s">
        <v>218</v>
      </c>
      <c r="C424" s="181"/>
      <c r="D424" s="181"/>
      <c r="E424" s="181"/>
      <c r="F424" s="181"/>
      <c r="G424" s="181"/>
      <c r="H424" s="182"/>
    </row>
    <row r="425" spans="1:10" x14ac:dyDescent="0.2">
      <c r="A425" s="99">
        <f t="shared" si="88"/>
        <v>3</v>
      </c>
      <c r="B425" s="180" t="s">
        <v>219</v>
      </c>
      <c r="C425" s="181"/>
      <c r="D425" s="181"/>
      <c r="E425" s="181"/>
      <c r="F425" s="181"/>
      <c r="G425" s="181"/>
      <c r="H425" s="182"/>
      <c r="I425" s="116" t="s">
        <v>307</v>
      </c>
      <c r="J425" s="117"/>
    </row>
    <row r="426" spans="1:10" ht="12.75" customHeight="1" x14ac:dyDescent="0.2">
      <c r="A426" s="99">
        <f t="shared" si="88"/>
        <v>4</v>
      </c>
      <c r="B426" s="180" t="s">
        <v>220</v>
      </c>
      <c r="C426" s="181"/>
      <c r="D426" s="181"/>
      <c r="E426" s="181"/>
      <c r="F426" s="181"/>
      <c r="G426" s="181"/>
      <c r="H426" s="182"/>
      <c r="I426" s="46">
        <f>13400000/524</f>
        <v>25572.519083969466</v>
      </c>
      <c r="J426" s="6" t="s">
        <v>279</v>
      </c>
    </row>
    <row r="427" spans="1:10" x14ac:dyDescent="0.2">
      <c r="A427" s="99">
        <f t="shared" si="88"/>
        <v>5</v>
      </c>
      <c r="B427" s="180" t="s">
        <v>302</v>
      </c>
      <c r="C427" s="181"/>
      <c r="D427" s="181"/>
      <c r="E427" s="181"/>
      <c r="F427" s="181"/>
      <c r="G427" s="181"/>
      <c r="H427" s="182"/>
      <c r="I427" s="45"/>
    </row>
    <row r="428" spans="1:10" x14ac:dyDescent="0.2">
      <c r="A428" s="99">
        <f t="shared" si="88"/>
        <v>6</v>
      </c>
      <c r="B428" s="189" t="s">
        <v>223</v>
      </c>
      <c r="C428" s="190"/>
      <c r="D428" s="190"/>
      <c r="E428" s="190"/>
      <c r="F428" s="100">
        <f>H239</f>
        <v>0.5</v>
      </c>
      <c r="G428" s="101"/>
      <c r="H428" s="102"/>
      <c r="I428" s="45">
        <f>20500000/800</f>
        <v>25625</v>
      </c>
      <c r="J428" s="6" t="s">
        <v>283</v>
      </c>
    </row>
    <row r="429" spans="1:10" x14ac:dyDescent="0.2">
      <c r="A429" s="99">
        <f t="shared" si="88"/>
        <v>7</v>
      </c>
      <c r="B429" s="189" t="s">
        <v>221</v>
      </c>
      <c r="C429" s="190"/>
      <c r="D429" s="190"/>
      <c r="E429" s="190"/>
      <c r="F429" s="190"/>
      <c r="G429" s="190"/>
      <c r="H429" s="191"/>
      <c r="I429" s="45"/>
    </row>
    <row r="430" spans="1:10" ht="29.25" customHeight="1" x14ac:dyDescent="0.2">
      <c r="A430" s="99">
        <f t="shared" si="88"/>
        <v>8</v>
      </c>
      <c r="B430" s="189" t="s">
        <v>345</v>
      </c>
      <c r="C430" s="190"/>
      <c r="D430" s="190"/>
      <c r="E430" s="190"/>
      <c r="F430" s="190"/>
      <c r="G430" s="190"/>
      <c r="H430" s="191"/>
    </row>
    <row r="431" spans="1:10" x14ac:dyDescent="0.2">
      <c r="A431" s="99">
        <f t="shared" si="88"/>
        <v>9</v>
      </c>
      <c r="B431" s="189" t="s">
        <v>222</v>
      </c>
      <c r="C431" s="190"/>
      <c r="D431" s="190"/>
      <c r="E431" s="190"/>
      <c r="F431" s="190"/>
      <c r="G431" s="190"/>
      <c r="H431" s="191"/>
    </row>
    <row r="432" spans="1:10" x14ac:dyDescent="0.2">
      <c r="A432" s="99">
        <f t="shared" si="88"/>
        <v>10</v>
      </c>
      <c r="B432" s="180" t="s">
        <v>322</v>
      </c>
      <c r="C432" s="181"/>
      <c r="D432" s="181"/>
      <c r="E432" s="181"/>
      <c r="F432" s="181"/>
      <c r="G432" s="181"/>
      <c r="H432" s="182"/>
    </row>
    <row r="433" spans="1:13" x14ac:dyDescent="0.2">
      <c r="A433" s="99">
        <f t="shared" si="88"/>
        <v>11</v>
      </c>
      <c r="B433" s="180" t="s">
        <v>347</v>
      </c>
      <c r="C433" s="181"/>
      <c r="D433" s="181"/>
      <c r="E433" s="181"/>
      <c r="F433" s="181"/>
      <c r="G433" s="181"/>
      <c r="H433" s="182"/>
      <c r="I433" s="44">
        <f xml:space="preserve"> 142230/10.764</f>
        <v>13213.489409141584</v>
      </c>
    </row>
    <row r="434" spans="1:13" ht="27.75" customHeight="1" x14ac:dyDescent="0.25">
      <c r="A434" s="99">
        <f t="shared" si="88"/>
        <v>12</v>
      </c>
      <c r="B434" s="180" t="s">
        <v>344</v>
      </c>
      <c r="C434" s="181"/>
      <c r="D434" s="181"/>
      <c r="E434" s="181"/>
      <c r="F434" s="181"/>
      <c r="G434" s="181"/>
      <c r="H434" s="182"/>
      <c r="M434" s="47" t="s">
        <v>308</v>
      </c>
    </row>
    <row r="435" spans="1:13" ht="15" x14ac:dyDescent="0.25">
      <c r="A435" s="103">
        <f t="shared" si="88"/>
        <v>13</v>
      </c>
      <c r="B435" s="180" t="s">
        <v>315</v>
      </c>
      <c r="C435" s="181"/>
      <c r="D435" s="181"/>
      <c r="E435" s="181"/>
      <c r="F435" s="181"/>
      <c r="G435" s="181"/>
      <c r="H435" s="182"/>
      <c r="M435" s="47"/>
    </row>
    <row r="436" spans="1:13" x14ac:dyDescent="0.2">
      <c r="A436" s="175" t="s">
        <v>117</v>
      </c>
      <c r="B436" s="177"/>
      <c r="C436" s="175" t="str">
        <f>C7</f>
        <v>Arkade Rare</v>
      </c>
      <c r="D436" s="176"/>
      <c r="E436" s="176"/>
      <c r="F436" s="176"/>
      <c r="G436" s="176"/>
      <c r="H436" s="177"/>
    </row>
    <row r="437" spans="1:13" x14ac:dyDescent="0.2">
      <c r="A437" s="195"/>
      <c r="B437" s="196"/>
      <c r="C437" s="196"/>
      <c r="D437" s="196"/>
      <c r="E437" s="196"/>
      <c r="F437" s="196"/>
      <c r="G437" s="196"/>
      <c r="H437" s="197"/>
    </row>
    <row r="438" spans="1:13" x14ac:dyDescent="0.2">
      <c r="A438" s="183"/>
      <c r="B438" s="184"/>
      <c r="C438" s="184"/>
      <c r="D438" s="184"/>
      <c r="E438" s="184"/>
      <c r="F438" s="184"/>
      <c r="G438" s="184"/>
      <c r="H438" s="185"/>
    </row>
    <row r="439" spans="1:13" x14ac:dyDescent="0.2">
      <c r="A439" s="183"/>
      <c r="B439" s="184"/>
      <c r="C439" s="184"/>
      <c r="D439" s="184"/>
      <c r="E439" s="184"/>
      <c r="F439" s="184"/>
      <c r="G439" s="184"/>
      <c r="H439" s="185"/>
    </row>
    <row r="440" spans="1:13" x14ac:dyDescent="0.2">
      <c r="A440" s="183"/>
      <c r="B440" s="184"/>
      <c r="C440" s="184"/>
      <c r="D440" s="184"/>
      <c r="E440" s="184"/>
      <c r="F440" s="184"/>
      <c r="G440" s="184"/>
      <c r="H440" s="185"/>
    </row>
    <row r="441" spans="1:13" x14ac:dyDescent="0.2">
      <c r="A441" s="183"/>
      <c r="B441" s="184"/>
      <c r="C441" s="184"/>
      <c r="D441" s="184"/>
      <c r="E441" s="184"/>
      <c r="F441" s="184"/>
      <c r="G441" s="184"/>
      <c r="H441" s="185"/>
    </row>
    <row r="442" spans="1:13" x14ac:dyDescent="0.2">
      <c r="A442" s="183"/>
      <c r="B442" s="184"/>
      <c r="C442" s="184"/>
      <c r="D442" s="184"/>
      <c r="E442" s="184"/>
      <c r="F442" s="184"/>
      <c r="G442" s="184"/>
      <c r="H442" s="185"/>
    </row>
    <row r="443" spans="1:13" x14ac:dyDescent="0.2">
      <c r="A443" s="183"/>
      <c r="B443" s="184"/>
      <c r="C443" s="184"/>
      <c r="D443" s="184"/>
      <c r="E443" s="184"/>
      <c r="F443" s="184"/>
      <c r="G443" s="184"/>
      <c r="H443" s="185"/>
    </row>
    <row r="444" spans="1:13" x14ac:dyDescent="0.2">
      <c r="A444" s="183"/>
      <c r="B444" s="184"/>
      <c r="C444" s="184"/>
      <c r="D444" s="184"/>
      <c r="E444" s="184"/>
      <c r="F444" s="184"/>
      <c r="G444" s="184"/>
      <c r="H444" s="185"/>
    </row>
    <row r="445" spans="1:13" x14ac:dyDescent="0.2">
      <c r="A445" s="183"/>
      <c r="B445" s="184"/>
      <c r="C445" s="184"/>
      <c r="D445" s="184"/>
      <c r="E445" s="184"/>
      <c r="F445" s="184"/>
      <c r="G445" s="184"/>
      <c r="H445" s="185"/>
    </row>
    <row r="446" spans="1:13" x14ac:dyDescent="0.2">
      <c r="A446" s="183"/>
      <c r="B446" s="184"/>
      <c r="C446" s="184"/>
      <c r="D446" s="184"/>
      <c r="E446" s="184"/>
      <c r="F446" s="184"/>
      <c r="G446" s="184"/>
      <c r="H446" s="185"/>
    </row>
    <row r="447" spans="1:13" x14ac:dyDescent="0.2">
      <c r="A447" s="183"/>
      <c r="B447" s="184"/>
      <c r="C447" s="184"/>
      <c r="D447" s="184"/>
      <c r="E447" s="184"/>
      <c r="F447" s="184"/>
      <c r="G447" s="184"/>
      <c r="H447" s="185"/>
    </row>
    <row r="448" spans="1:13" x14ac:dyDescent="0.2">
      <c r="A448" s="183"/>
      <c r="B448" s="184"/>
      <c r="C448" s="184"/>
      <c r="D448" s="184"/>
      <c r="E448" s="184"/>
      <c r="F448" s="184"/>
      <c r="G448" s="184"/>
      <c r="H448" s="185"/>
    </row>
    <row r="449" spans="1:8" x14ac:dyDescent="0.2">
      <c r="A449" s="183"/>
      <c r="B449" s="184"/>
      <c r="C449" s="184"/>
      <c r="D449" s="184"/>
      <c r="E449" s="184"/>
      <c r="F449" s="184"/>
      <c r="G449" s="184"/>
      <c r="H449" s="185"/>
    </row>
    <row r="450" spans="1:8" x14ac:dyDescent="0.2">
      <c r="A450" s="183"/>
      <c r="B450" s="184"/>
      <c r="C450" s="184"/>
      <c r="D450" s="184"/>
      <c r="E450" s="184"/>
      <c r="F450" s="184"/>
      <c r="G450" s="184"/>
      <c r="H450" s="185"/>
    </row>
    <row r="451" spans="1:8" x14ac:dyDescent="0.2">
      <c r="A451" s="183"/>
      <c r="B451" s="184"/>
      <c r="C451" s="184"/>
      <c r="D451" s="184"/>
      <c r="E451" s="184"/>
      <c r="F451" s="184"/>
      <c r="G451" s="184"/>
      <c r="H451" s="185"/>
    </row>
    <row r="452" spans="1:8" x14ac:dyDescent="0.2">
      <c r="A452" s="183"/>
      <c r="B452" s="184"/>
      <c r="C452" s="184"/>
      <c r="D452" s="184"/>
      <c r="E452" s="184"/>
      <c r="F452" s="184"/>
      <c r="G452" s="184"/>
      <c r="H452" s="185"/>
    </row>
    <row r="453" spans="1:8" x14ac:dyDescent="0.2">
      <c r="A453" s="183"/>
      <c r="B453" s="184"/>
      <c r="C453" s="184"/>
      <c r="D453" s="184"/>
      <c r="E453" s="184"/>
      <c r="F453" s="184"/>
      <c r="G453" s="184"/>
      <c r="H453" s="185"/>
    </row>
    <row r="454" spans="1:8" x14ac:dyDescent="0.2">
      <c r="A454" s="183"/>
      <c r="B454" s="184"/>
      <c r="C454" s="184"/>
      <c r="D454" s="184"/>
      <c r="E454" s="184"/>
      <c r="F454" s="184"/>
      <c r="G454" s="184"/>
      <c r="H454" s="185"/>
    </row>
    <row r="455" spans="1:8" x14ac:dyDescent="0.2">
      <c r="A455" s="183"/>
      <c r="B455" s="184"/>
      <c r="C455" s="184"/>
      <c r="D455" s="184"/>
      <c r="E455" s="184"/>
      <c r="F455" s="184"/>
      <c r="G455" s="184"/>
      <c r="H455" s="185"/>
    </row>
    <row r="456" spans="1:8" x14ac:dyDescent="0.2">
      <c r="A456" s="183"/>
      <c r="B456" s="184"/>
      <c r="C456" s="184"/>
      <c r="D456" s="184"/>
      <c r="E456" s="184"/>
      <c r="F456" s="184"/>
      <c r="G456" s="184"/>
      <c r="H456" s="185"/>
    </row>
    <row r="457" spans="1:8" x14ac:dyDescent="0.2">
      <c r="A457" s="183"/>
      <c r="B457" s="184"/>
      <c r="C457" s="184"/>
      <c r="D457" s="184"/>
      <c r="E457" s="184"/>
      <c r="F457" s="184"/>
      <c r="G457" s="184"/>
      <c r="H457" s="185"/>
    </row>
    <row r="458" spans="1:8" x14ac:dyDescent="0.2">
      <c r="A458" s="183"/>
      <c r="B458" s="184"/>
      <c r="C458" s="184"/>
      <c r="D458" s="184"/>
      <c r="E458" s="184"/>
      <c r="F458" s="184"/>
      <c r="G458" s="184"/>
      <c r="H458" s="185"/>
    </row>
    <row r="459" spans="1:8" x14ac:dyDescent="0.2">
      <c r="A459" s="183"/>
      <c r="B459" s="184"/>
      <c r="C459" s="184"/>
      <c r="D459" s="184"/>
      <c r="E459" s="184"/>
      <c r="F459" s="184"/>
      <c r="G459" s="184"/>
      <c r="H459" s="185"/>
    </row>
    <row r="460" spans="1:8" x14ac:dyDescent="0.2">
      <c r="A460" s="183"/>
      <c r="B460" s="184"/>
      <c r="C460" s="184"/>
      <c r="D460" s="184"/>
      <c r="E460" s="184"/>
      <c r="F460" s="184"/>
      <c r="G460" s="184"/>
      <c r="H460" s="185"/>
    </row>
    <row r="461" spans="1:8" x14ac:dyDescent="0.2">
      <c r="A461" s="183"/>
      <c r="B461" s="184"/>
      <c r="C461" s="184"/>
      <c r="D461" s="184"/>
      <c r="E461" s="184"/>
      <c r="F461" s="184"/>
      <c r="G461" s="184"/>
      <c r="H461" s="185"/>
    </row>
    <row r="462" spans="1:8" x14ac:dyDescent="0.2">
      <c r="A462" s="183"/>
      <c r="B462" s="184"/>
      <c r="C462" s="184"/>
      <c r="D462" s="184"/>
      <c r="E462" s="184"/>
      <c r="F462" s="184"/>
      <c r="G462" s="184"/>
      <c r="H462" s="185"/>
    </row>
    <row r="463" spans="1:8" x14ac:dyDescent="0.2">
      <c r="A463" s="183"/>
      <c r="B463" s="184"/>
      <c r="C463" s="184"/>
      <c r="D463" s="184"/>
      <c r="E463" s="184"/>
      <c r="F463" s="184"/>
      <c r="G463" s="184"/>
      <c r="H463" s="185"/>
    </row>
    <row r="464" spans="1:8" x14ac:dyDescent="0.2">
      <c r="A464" s="183"/>
      <c r="B464" s="184"/>
      <c r="C464" s="184"/>
      <c r="D464" s="184"/>
      <c r="E464" s="184"/>
      <c r="F464" s="184"/>
      <c r="G464" s="184"/>
      <c r="H464" s="185"/>
    </row>
    <row r="465" spans="1:8" x14ac:dyDescent="0.2">
      <c r="A465" s="183"/>
      <c r="B465" s="184"/>
      <c r="C465" s="184"/>
      <c r="D465" s="184"/>
      <c r="E465" s="184"/>
      <c r="F465" s="184"/>
      <c r="G465" s="184"/>
      <c r="H465" s="185"/>
    </row>
    <row r="466" spans="1:8" x14ac:dyDescent="0.2">
      <c r="A466" s="183"/>
      <c r="B466" s="184"/>
      <c r="C466" s="184"/>
      <c r="D466" s="184"/>
      <c r="E466" s="184"/>
      <c r="F466" s="184"/>
      <c r="G466" s="184"/>
      <c r="H466" s="185"/>
    </row>
    <row r="467" spans="1:8" x14ac:dyDescent="0.2">
      <c r="A467" s="183"/>
      <c r="B467" s="184"/>
      <c r="C467" s="184"/>
      <c r="D467" s="184"/>
      <c r="E467" s="184"/>
      <c r="F467" s="184"/>
      <c r="G467" s="184"/>
      <c r="H467" s="185"/>
    </row>
    <row r="468" spans="1:8" x14ac:dyDescent="0.2">
      <c r="A468" s="183"/>
      <c r="B468" s="184"/>
      <c r="C468" s="184"/>
      <c r="D468" s="184"/>
      <c r="E468" s="184"/>
      <c r="F468" s="184"/>
      <c r="G468" s="184"/>
      <c r="H468" s="185"/>
    </row>
    <row r="469" spans="1:8" x14ac:dyDescent="0.2">
      <c r="A469" s="183"/>
      <c r="B469" s="184"/>
      <c r="C469" s="184"/>
      <c r="D469" s="184"/>
      <c r="E469" s="184"/>
      <c r="F469" s="184"/>
      <c r="G469" s="184"/>
      <c r="H469" s="185"/>
    </row>
    <row r="470" spans="1:8" x14ac:dyDescent="0.2">
      <c r="A470" s="183"/>
      <c r="B470" s="184"/>
      <c r="C470" s="184"/>
      <c r="D470" s="184"/>
      <c r="E470" s="184"/>
      <c r="F470" s="184"/>
      <c r="G470" s="184"/>
      <c r="H470" s="185"/>
    </row>
    <row r="471" spans="1:8" x14ac:dyDescent="0.2">
      <c r="A471" s="183"/>
      <c r="B471" s="184"/>
      <c r="C471" s="184"/>
      <c r="D471" s="184"/>
      <c r="E471" s="184"/>
      <c r="F471" s="184"/>
      <c r="G471" s="184"/>
      <c r="H471" s="185"/>
    </row>
    <row r="472" spans="1:8" x14ac:dyDescent="0.2">
      <c r="A472" s="183"/>
      <c r="B472" s="184"/>
      <c r="C472" s="184"/>
      <c r="D472" s="184"/>
      <c r="E472" s="184"/>
      <c r="F472" s="184"/>
      <c r="G472" s="184"/>
      <c r="H472" s="185"/>
    </row>
    <row r="473" spans="1:8" x14ac:dyDescent="0.2">
      <c r="A473" s="183"/>
      <c r="B473" s="184"/>
      <c r="C473" s="184"/>
      <c r="D473" s="184"/>
      <c r="E473" s="184"/>
      <c r="F473" s="184"/>
      <c r="G473" s="184"/>
      <c r="H473" s="185"/>
    </row>
    <row r="474" spans="1:8" x14ac:dyDescent="0.2">
      <c r="A474" s="183"/>
      <c r="B474" s="184"/>
      <c r="C474" s="184"/>
      <c r="D474" s="184"/>
      <c r="E474" s="184"/>
      <c r="F474" s="184"/>
      <c r="G474" s="184"/>
      <c r="H474" s="185"/>
    </row>
    <row r="475" spans="1:8" x14ac:dyDescent="0.2">
      <c r="A475" s="183"/>
      <c r="B475" s="184"/>
      <c r="C475" s="184"/>
      <c r="D475" s="184"/>
      <c r="E475" s="184"/>
      <c r="F475" s="184"/>
      <c r="G475" s="184"/>
      <c r="H475" s="185"/>
    </row>
    <row r="476" spans="1:8" x14ac:dyDescent="0.2">
      <c r="A476" s="183"/>
      <c r="B476" s="184"/>
      <c r="C476" s="184"/>
      <c r="D476" s="184"/>
      <c r="E476" s="184"/>
      <c r="F476" s="184"/>
      <c r="G476" s="184"/>
      <c r="H476" s="185"/>
    </row>
    <row r="477" spans="1:8" x14ac:dyDescent="0.2">
      <c r="A477" s="183"/>
      <c r="B477" s="184"/>
      <c r="C477" s="184"/>
      <c r="D477" s="184"/>
      <c r="E477" s="184"/>
      <c r="F477" s="184"/>
      <c r="G477" s="184"/>
      <c r="H477" s="185"/>
    </row>
    <row r="478" spans="1:8" x14ac:dyDescent="0.2">
      <c r="A478" s="183"/>
      <c r="B478" s="184"/>
      <c r="C478" s="184"/>
      <c r="D478" s="184"/>
      <c r="E478" s="184"/>
      <c r="F478" s="184"/>
      <c r="G478" s="184"/>
      <c r="H478" s="185"/>
    </row>
    <row r="479" spans="1:8" x14ac:dyDescent="0.2">
      <c r="A479" s="183"/>
      <c r="B479" s="184"/>
      <c r="C479" s="184"/>
      <c r="D479" s="184"/>
      <c r="E479" s="184"/>
      <c r="F479" s="184"/>
      <c r="G479" s="184"/>
      <c r="H479" s="185"/>
    </row>
    <row r="480" spans="1:8" x14ac:dyDescent="0.2">
      <c r="A480" s="183"/>
      <c r="B480" s="184"/>
      <c r="C480" s="184"/>
      <c r="D480" s="184"/>
      <c r="E480" s="184"/>
      <c r="F480" s="184"/>
      <c r="G480" s="184"/>
      <c r="H480" s="185"/>
    </row>
    <row r="481" spans="1:8" x14ac:dyDescent="0.2">
      <c r="A481" s="183"/>
      <c r="B481" s="184"/>
      <c r="C481" s="184"/>
      <c r="D481" s="184"/>
      <c r="E481" s="184"/>
      <c r="F481" s="184"/>
      <c r="G481" s="184"/>
      <c r="H481" s="185"/>
    </row>
    <row r="482" spans="1:8" x14ac:dyDescent="0.2">
      <c r="A482" s="183"/>
      <c r="B482" s="184"/>
      <c r="C482" s="184"/>
      <c r="D482" s="184"/>
      <c r="E482" s="184"/>
      <c r="F482" s="184"/>
      <c r="G482" s="184"/>
      <c r="H482" s="185"/>
    </row>
    <row r="483" spans="1:8" x14ac:dyDescent="0.2">
      <c r="A483" s="183"/>
      <c r="B483" s="184"/>
      <c r="C483" s="184"/>
      <c r="D483" s="184"/>
      <c r="E483" s="184"/>
      <c r="F483" s="184"/>
      <c r="G483" s="184"/>
      <c r="H483" s="185"/>
    </row>
    <row r="484" spans="1:8" x14ac:dyDescent="0.2">
      <c r="A484" s="183"/>
      <c r="B484" s="184"/>
      <c r="C484" s="184"/>
      <c r="D484" s="184"/>
      <c r="E484" s="184"/>
      <c r="F484" s="184"/>
      <c r="G484" s="184"/>
      <c r="H484" s="185"/>
    </row>
    <row r="485" spans="1:8" x14ac:dyDescent="0.2">
      <c r="A485" s="183"/>
      <c r="B485" s="184"/>
      <c r="C485" s="184"/>
      <c r="D485" s="184"/>
      <c r="E485" s="184"/>
      <c r="F485" s="184"/>
      <c r="G485" s="184"/>
      <c r="H485" s="185"/>
    </row>
    <row r="486" spans="1:8" x14ac:dyDescent="0.2">
      <c r="A486" s="183"/>
      <c r="B486" s="184"/>
      <c r="C486" s="184"/>
      <c r="D486" s="184"/>
      <c r="E486" s="184"/>
      <c r="F486" s="184"/>
      <c r="G486" s="184"/>
      <c r="H486" s="185"/>
    </row>
    <row r="487" spans="1:8" x14ac:dyDescent="0.2">
      <c r="A487" s="183"/>
      <c r="B487" s="184"/>
      <c r="C487" s="184"/>
      <c r="D487" s="184"/>
      <c r="E487" s="184"/>
      <c r="F487" s="184"/>
      <c r="G487" s="184"/>
      <c r="H487" s="185"/>
    </row>
    <row r="488" spans="1:8" x14ac:dyDescent="0.2">
      <c r="A488" s="183"/>
      <c r="B488" s="184"/>
      <c r="C488" s="184"/>
      <c r="D488" s="184"/>
      <c r="E488" s="184"/>
      <c r="F488" s="184"/>
      <c r="G488" s="184"/>
      <c r="H488" s="185"/>
    </row>
    <row r="489" spans="1:8" ht="12.75" customHeight="1" x14ac:dyDescent="0.2">
      <c r="A489" s="175" t="s">
        <v>142</v>
      </c>
      <c r="B489" s="177"/>
      <c r="C489" s="175"/>
      <c r="D489" s="176"/>
      <c r="E489" s="176"/>
      <c r="F489" s="176"/>
      <c r="G489" s="176"/>
      <c r="H489" s="177"/>
    </row>
    <row r="490" spans="1:8" x14ac:dyDescent="0.2">
      <c r="A490" s="183"/>
      <c r="B490" s="184"/>
      <c r="C490" s="184"/>
      <c r="D490" s="184"/>
      <c r="E490" s="184"/>
      <c r="F490" s="184"/>
      <c r="G490" s="184"/>
      <c r="H490" s="185"/>
    </row>
    <row r="491" spans="1:8" x14ac:dyDescent="0.2">
      <c r="A491" s="183"/>
      <c r="B491" s="184"/>
      <c r="C491" s="184"/>
      <c r="D491" s="184"/>
      <c r="E491" s="184"/>
      <c r="F491" s="184"/>
      <c r="G491" s="184"/>
      <c r="H491" s="185"/>
    </row>
    <row r="492" spans="1:8" x14ac:dyDescent="0.2">
      <c r="A492" s="183"/>
      <c r="B492" s="184"/>
      <c r="C492" s="184"/>
      <c r="D492" s="184"/>
      <c r="E492" s="184"/>
      <c r="F492" s="184"/>
      <c r="G492" s="184"/>
      <c r="H492" s="185"/>
    </row>
    <row r="493" spans="1:8" x14ac:dyDescent="0.2">
      <c r="A493" s="183"/>
      <c r="B493" s="184"/>
      <c r="C493" s="184"/>
      <c r="D493" s="184"/>
      <c r="E493" s="184"/>
      <c r="F493" s="184"/>
      <c r="G493" s="184"/>
      <c r="H493" s="185"/>
    </row>
    <row r="494" spans="1:8" x14ac:dyDescent="0.2">
      <c r="A494" s="183"/>
      <c r="B494" s="184"/>
      <c r="C494" s="184"/>
      <c r="D494" s="184"/>
      <c r="E494" s="184"/>
      <c r="F494" s="184"/>
      <c r="G494" s="184"/>
      <c r="H494" s="185"/>
    </row>
    <row r="495" spans="1:8" x14ac:dyDescent="0.2">
      <c r="A495" s="183"/>
      <c r="B495" s="184"/>
      <c r="C495" s="184"/>
      <c r="D495" s="184"/>
      <c r="E495" s="184"/>
      <c r="F495" s="184"/>
      <c r="G495" s="184"/>
      <c r="H495" s="185"/>
    </row>
    <row r="496" spans="1:8" x14ac:dyDescent="0.2">
      <c r="A496" s="183"/>
      <c r="B496" s="184"/>
      <c r="C496" s="184"/>
      <c r="D496" s="184"/>
      <c r="E496" s="184"/>
      <c r="F496" s="184"/>
      <c r="G496" s="184"/>
      <c r="H496" s="185"/>
    </row>
    <row r="497" spans="1:8" x14ac:dyDescent="0.2">
      <c r="A497" s="183"/>
      <c r="B497" s="184"/>
      <c r="C497" s="184"/>
      <c r="D497" s="184"/>
      <c r="E497" s="184"/>
      <c r="F497" s="184"/>
      <c r="G497" s="184"/>
      <c r="H497" s="185"/>
    </row>
    <row r="498" spans="1:8" x14ac:dyDescent="0.2">
      <c r="A498" s="183"/>
      <c r="B498" s="184"/>
      <c r="C498" s="184"/>
      <c r="D498" s="184"/>
      <c r="E498" s="184"/>
      <c r="F498" s="184"/>
      <c r="G498" s="184"/>
      <c r="H498" s="185"/>
    </row>
    <row r="499" spans="1:8" x14ac:dyDescent="0.2">
      <c r="A499" s="183"/>
      <c r="B499" s="184"/>
      <c r="C499" s="184"/>
      <c r="D499" s="184"/>
      <c r="E499" s="184"/>
      <c r="F499" s="184"/>
      <c r="G499" s="184"/>
      <c r="H499" s="185"/>
    </row>
    <row r="500" spans="1:8" x14ac:dyDescent="0.2">
      <c r="A500" s="183"/>
      <c r="B500" s="184"/>
      <c r="C500" s="184"/>
      <c r="D500" s="184"/>
      <c r="E500" s="184"/>
      <c r="F500" s="184"/>
      <c r="G500" s="184"/>
      <c r="H500" s="185"/>
    </row>
    <row r="501" spans="1:8" x14ac:dyDescent="0.2">
      <c r="A501" s="183"/>
      <c r="B501" s="184"/>
      <c r="C501" s="184"/>
      <c r="D501" s="184"/>
      <c r="E501" s="184"/>
      <c r="F501" s="184"/>
      <c r="G501" s="184"/>
      <c r="H501" s="185"/>
    </row>
    <row r="502" spans="1:8" x14ac:dyDescent="0.2">
      <c r="A502" s="183"/>
      <c r="B502" s="184"/>
      <c r="C502" s="184"/>
      <c r="D502" s="184"/>
      <c r="E502" s="184"/>
      <c r="F502" s="184"/>
      <c r="G502" s="184"/>
      <c r="H502" s="185"/>
    </row>
    <row r="503" spans="1:8" x14ac:dyDescent="0.2">
      <c r="A503" s="183"/>
      <c r="B503" s="184"/>
      <c r="C503" s="184"/>
      <c r="D503" s="184"/>
      <c r="E503" s="184"/>
      <c r="F503" s="184"/>
      <c r="G503" s="184"/>
      <c r="H503" s="185"/>
    </row>
    <row r="504" spans="1:8" x14ac:dyDescent="0.2">
      <c r="A504" s="183"/>
      <c r="B504" s="184"/>
      <c r="C504" s="184"/>
      <c r="D504" s="184"/>
      <c r="E504" s="184"/>
      <c r="F504" s="184"/>
      <c r="G504" s="184"/>
      <c r="H504" s="185"/>
    </row>
    <row r="505" spans="1:8" x14ac:dyDescent="0.2">
      <c r="A505" s="183"/>
      <c r="B505" s="184"/>
      <c r="C505" s="184"/>
      <c r="D505" s="184"/>
      <c r="E505" s="184"/>
      <c r="F505" s="184"/>
      <c r="G505" s="184"/>
      <c r="H505" s="185"/>
    </row>
    <row r="506" spans="1:8" x14ac:dyDescent="0.2">
      <c r="A506" s="183"/>
      <c r="B506" s="184"/>
      <c r="C506" s="184"/>
      <c r="D506" s="184"/>
      <c r="E506" s="184"/>
      <c r="F506" s="184"/>
      <c r="G506" s="184"/>
      <c r="H506" s="185"/>
    </row>
    <row r="507" spans="1:8" x14ac:dyDescent="0.2">
      <c r="A507" s="183"/>
      <c r="B507" s="184"/>
      <c r="C507" s="184"/>
      <c r="D507" s="184"/>
      <c r="E507" s="184"/>
      <c r="F507" s="184"/>
      <c r="G507" s="184"/>
      <c r="H507" s="185"/>
    </row>
    <row r="508" spans="1:8" x14ac:dyDescent="0.2">
      <c r="A508" s="183"/>
      <c r="B508" s="184"/>
      <c r="C508" s="184"/>
      <c r="D508" s="184"/>
      <c r="E508" s="184"/>
      <c r="F508" s="184"/>
      <c r="G508" s="184"/>
      <c r="H508" s="185"/>
    </row>
    <row r="509" spans="1:8" x14ac:dyDescent="0.2">
      <c r="A509" s="183"/>
      <c r="B509" s="184"/>
      <c r="C509" s="184"/>
      <c r="D509" s="184"/>
      <c r="E509" s="184"/>
      <c r="F509" s="184"/>
      <c r="G509" s="184"/>
      <c r="H509" s="185"/>
    </row>
    <row r="510" spans="1:8" x14ac:dyDescent="0.2">
      <c r="A510" s="183"/>
      <c r="B510" s="184"/>
      <c r="C510" s="184"/>
      <c r="D510" s="184"/>
      <c r="E510" s="184"/>
      <c r="F510" s="184"/>
      <c r="G510" s="184"/>
      <c r="H510" s="185"/>
    </row>
    <row r="511" spans="1:8" x14ac:dyDescent="0.2">
      <c r="A511" s="183"/>
      <c r="B511" s="184"/>
      <c r="C511" s="184"/>
      <c r="D511" s="184"/>
      <c r="E511" s="184"/>
      <c r="F511" s="184"/>
      <c r="G511" s="184"/>
      <c r="H511" s="185"/>
    </row>
    <row r="512" spans="1:8" x14ac:dyDescent="0.2">
      <c r="A512" s="183"/>
      <c r="B512" s="184"/>
      <c r="C512" s="184"/>
      <c r="D512" s="184"/>
      <c r="E512" s="184"/>
      <c r="F512" s="184"/>
      <c r="G512" s="184"/>
      <c r="H512" s="185"/>
    </row>
    <row r="513" spans="1:8" x14ac:dyDescent="0.2">
      <c r="A513" s="183"/>
      <c r="B513" s="184"/>
      <c r="C513" s="184"/>
      <c r="D513" s="184"/>
      <c r="E513" s="184"/>
      <c r="F513" s="184"/>
      <c r="G513" s="184"/>
      <c r="H513" s="185"/>
    </row>
    <row r="514" spans="1:8" x14ac:dyDescent="0.2">
      <c r="A514" s="183"/>
      <c r="B514" s="184"/>
      <c r="C514" s="184"/>
      <c r="D514" s="184"/>
      <c r="E514" s="184"/>
      <c r="F514" s="184"/>
      <c r="G514" s="184"/>
      <c r="H514" s="185"/>
    </row>
    <row r="515" spans="1:8" x14ac:dyDescent="0.2">
      <c r="A515" s="183"/>
      <c r="B515" s="184"/>
      <c r="C515" s="184"/>
      <c r="D515" s="184"/>
      <c r="E515" s="184"/>
      <c r="F515" s="184"/>
      <c r="G515" s="184"/>
      <c r="H515" s="185"/>
    </row>
    <row r="516" spans="1:8" x14ac:dyDescent="0.2">
      <c r="A516" s="183"/>
      <c r="B516" s="184"/>
      <c r="C516" s="184"/>
      <c r="D516" s="184"/>
      <c r="E516" s="184"/>
      <c r="F516" s="184"/>
      <c r="G516" s="184"/>
      <c r="H516" s="185"/>
    </row>
    <row r="517" spans="1:8" x14ac:dyDescent="0.2">
      <c r="A517" s="183"/>
      <c r="B517" s="184"/>
      <c r="C517" s="184"/>
      <c r="D517" s="184"/>
      <c r="E517" s="184"/>
      <c r="F517" s="184"/>
      <c r="G517" s="184"/>
      <c r="H517" s="185"/>
    </row>
    <row r="518" spans="1:8" x14ac:dyDescent="0.2">
      <c r="A518" s="183"/>
      <c r="B518" s="184"/>
      <c r="C518" s="184"/>
      <c r="D518" s="184"/>
      <c r="E518" s="184"/>
      <c r="F518" s="184"/>
      <c r="G518" s="184"/>
      <c r="H518" s="185"/>
    </row>
    <row r="519" spans="1:8" x14ac:dyDescent="0.2">
      <c r="A519" s="183"/>
      <c r="B519" s="184"/>
      <c r="C519" s="184"/>
      <c r="D519" s="184"/>
      <c r="E519" s="184"/>
      <c r="F519" s="184"/>
      <c r="G519" s="184"/>
      <c r="H519" s="185"/>
    </row>
    <row r="520" spans="1:8" x14ac:dyDescent="0.2">
      <c r="A520" s="183"/>
      <c r="B520" s="184"/>
      <c r="C520" s="184"/>
      <c r="D520" s="184"/>
      <c r="E520" s="184"/>
      <c r="F520" s="184"/>
      <c r="G520" s="184"/>
      <c r="H520" s="185"/>
    </row>
    <row r="521" spans="1:8" x14ac:dyDescent="0.2">
      <c r="A521" s="183"/>
      <c r="B521" s="184"/>
      <c r="C521" s="184"/>
      <c r="D521" s="184"/>
      <c r="E521" s="184"/>
      <c r="F521" s="184"/>
      <c r="G521" s="184"/>
      <c r="H521" s="185"/>
    </row>
    <row r="522" spans="1:8" x14ac:dyDescent="0.2">
      <c r="A522" s="183"/>
      <c r="B522" s="184"/>
      <c r="C522" s="184"/>
      <c r="D522" s="184"/>
      <c r="E522" s="184"/>
      <c r="F522" s="184"/>
      <c r="G522" s="184"/>
      <c r="H522" s="185"/>
    </row>
    <row r="523" spans="1:8" x14ac:dyDescent="0.2">
      <c r="A523" s="183"/>
      <c r="B523" s="184"/>
      <c r="C523" s="184"/>
      <c r="D523" s="184"/>
      <c r="E523" s="184"/>
      <c r="F523" s="184"/>
      <c r="G523" s="184"/>
      <c r="H523" s="185"/>
    </row>
    <row r="524" spans="1:8" x14ac:dyDescent="0.2">
      <c r="A524" s="183"/>
      <c r="B524" s="184"/>
      <c r="C524" s="184"/>
      <c r="D524" s="184"/>
      <c r="E524" s="184"/>
      <c r="F524" s="184"/>
      <c r="G524" s="184"/>
      <c r="H524" s="185"/>
    </row>
    <row r="525" spans="1:8" x14ac:dyDescent="0.2">
      <c r="A525" s="183"/>
      <c r="B525" s="184"/>
      <c r="C525" s="184"/>
      <c r="D525" s="184"/>
      <c r="E525" s="184"/>
      <c r="F525" s="184"/>
      <c r="G525" s="184"/>
      <c r="H525" s="185"/>
    </row>
    <row r="526" spans="1:8" x14ac:dyDescent="0.2">
      <c r="A526" s="183"/>
      <c r="B526" s="184"/>
      <c r="C526" s="184"/>
      <c r="D526" s="184"/>
      <c r="E526" s="184"/>
      <c r="F526" s="184"/>
      <c r="G526" s="184"/>
      <c r="H526" s="185"/>
    </row>
    <row r="527" spans="1:8" x14ac:dyDescent="0.2">
      <c r="A527" s="183"/>
      <c r="B527" s="184"/>
      <c r="C527" s="184"/>
      <c r="D527" s="184"/>
      <c r="E527" s="184"/>
      <c r="F527" s="184"/>
      <c r="G527" s="184"/>
      <c r="H527" s="185"/>
    </row>
    <row r="528" spans="1:8" x14ac:dyDescent="0.2">
      <c r="A528" s="183"/>
      <c r="B528" s="184"/>
      <c r="C528" s="184"/>
      <c r="D528" s="184"/>
      <c r="E528" s="184"/>
      <c r="F528" s="184"/>
      <c r="G528" s="184"/>
      <c r="H528" s="185"/>
    </row>
    <row r="529" spans="1:8" x14ac:dyDescent="0.2">
      <c r="A529" s="183"/>
      <c r="B529" s="184"/>
      <c r="C529" s="184"/>
      <c r="D529" s="184"/>
      <c r="E529" s="184"/>
      <c r="F529" s="184"/>
      <c r="G529" s="184"/>
      <c r="H529" s="185"/>
    </row>
    <row r="530" spans="1:8" x14ac:dyDescent="0.2">
      <c r="A530" s="183"/>
      <c r="B530" s="184"/>
      <c r="C530" s="184"/>
      <c r="D530" s="184"/>
      <c r="E530" s="184"/>
      <c r="F530" s="184"/>
      <c r="G530" s="184"/>
      <c r="H530" s="185"/>
    </row>
    <row r="531" spans="1:8" x14ac:dyDescent="0.2">
      <c r="A531" s="183"/>
      <c r="B531" s="184"/>
      <c r="C531" s="184"/>
      <c r="D531" s="184"/>
      <c r="E531" s="184"/>
      <c r="F531" s="184"/>
      <c r="G531" s="184"/>
      <c r="H531" s="185"/>
    </row>
    <row r="532" spans="1:8" x14ac:dyDescent="0.2">
      <c r="A532" s="183"/>
      <c r="B532" s="184"/>
      <c r="C532" s="184"/>
      <c r="D532" s="184"/>
      <c r="E532" s="184"/>
      <c r="F532" s="184"/>
      <c r="G532" s="184"/>
      <c r="H532" s="185"/>
    </row>
    <row r="533" spans="1:8" x14ac:dyDescent="0.2">
      <c r="A533" s="183"/>
      <c r="B533" s="184"/>
      <c r="C533" s="184"/>
      <c r="D533" s="184"/>
      <c r="E533" s="184"/>
      <c r="F533" s="184"/>
      <c r="G533" s="184"/>
      <c r="H533" s="185"/>
    </row>
    <row r="534" spans="1:8" x14ac:dyDescent="0.2">
      <c r="A534" s="183"/>
      <c r="B534" s="184"/>
      <c r="C534" s="184"/>
      <c r="D534" s="184"/>
      <c r="E534" s="184"/>
      <c r="F534" s="184"/>
      <c r="G534" s="184"/>
      <c r="H534" s="185"/>
    </row>
    <row r="535" spans="1:8" x14ac:dyDescent="0.2">
      <c r="A535" s="183"/>
      <c r="B535" s="184"/>
      <c r="C535" s="184"/>
      <c r="D535" s="184"/>
      <c r="E535" s="184"/>
      <c r="F535" s="184"/>
      <c r="G535" s="184"/>
      <c r="H535" s="185"/>
    </row>
    <row r="536" spans="1:8" x14ac:dyDescent="0.2">
      <c r="A536" s="183"/>
      <c r="B536" s="184"/>
      <c r="C536" s="184"/>
      <c r="D536" s="184"/>
      <c r="E536" s="184"/>
      <c r="F536" s="184"/>
      <c r="G536" s="184"/>
      <c r="H536" s="185"/>
    </row>
    <row r="537" spans="1:8" x14ac:dyDescent="0.2">
      <c r="A537" s="183"/>
      <c r="B537" s="184"/>
      <c r="C537" s="184"/>
      <c r="D537" s="184"/>
      <c r="E537" s="184"/>
      <c r="F537" s="184"/>
      <c r="G537" s="184"/>
      <c r="H537" s="185"/>
    </row>
    <row r="538" spans="1:8" x14ac:dyDescent="0.2">
      <c r="A538" s="183"/>
      <c r="B538" s="184"/>
      <c r="C538" s="184"/>
      <c r="D538" s="184"/>
      <c r="E538" s="184"/>
      <c r="F538" s="184"/>
      <c r="G538" s="184"/>
      <c r="H538" s="185"/>
    </row>
    <row r="539" spans="1:8" x14ac:dyDescent="0.2">
      <c r="A539" s="183"/>
      <c r="B539" s="184"/>
      <c r="C539" s="184"/>
      <c r="D539" s="184"/>
      <c r="E539" s="184"/>
      <c r="F539" s="184"/>
      <c r="G539" s="184"/>
      <c r="H539" s="185"/>
    </row>
    <row r="540" spans="1:8" x14ac:dyDescent="0.2">
      <c r="A540" s="183"/>
      <c r="B540" s="184"/>
      <c r="C540" s="184"/>
      <c r="D540" s="184"/>
      <c r="E540" s="184"/>
      <c r="F540" s="184"/>
      <c r="G540" s="184"/>
      <c r="H540" s="185"/>
    </row>
    <row r="541" spans="1:8" x14ac:dyDescent="0.2">
      <c r="A541" s="183"/>
      <c r="B541" s="184"/>
      <c r="C541" s="184"/>
      <c r="D541" s="184"/>
      <c r="E541" s="184"/>
      <c r="F541" s="184"/>
      <c r="G541" s="184"/>
      <c r="H541" s="185"/>
    </row>
    <row r="542" spans="1:8" x14ac:dyDescent="0.2">
      <c r="A542" s="186"/>
      <c r="B542" s="187"/>
      <c r="C542" s="187"/>
      <c r="D542" s="187"/>
      <c r="E542" s="187"/>
      <c r="F542" s="187"/>
      <c r="G542" s="187"/>
      <c r="H542" s="188"/>
    </row>
    <row r="543" spans="1:8" x14ac:dyDescent="0.2">
      <c r="A543" s="175" t="s">
        <v>118</v>
      </c>
      <c r="B543" s="177"/>
      <c r="C543" s="132"/>
      <c r="D543" s="321"/>
      <c r="E543" s="321"/>
      <c r="F543" s="321"/>
      <c r="G543" s="321"/>
      <c r="H543" s="133"/>
    </row>
    <row r="544" spans="1:8" x14ac:dyDescent="0.2">
      <c r="A544" s="183"/>
      <c r="B544" s="184"/>
      <c r="C544" s="184"/>
      <c r="D544" s="184"/>
      <c r="E544" s="184"/>
      <c r="F544" s="184"/>
      <c r="G544" s="184"/>
      <c r="H544" s="185"/>
    </row>
    <row r="545" spans="1:8" x14ac:dyDescent="0.2">
      <c r="A545" s="183"/>
      <c r="B545" s="184"/>
      <c r="C545" s="184"/>
      <c r="D545" s="184"/>
      <c r="E545" s="184"/>
      <c r="F545" s="184"/>
      <c r="G545" s="184"/>
      <c r="H545" s="185"/>
    </row>
    <row r="546" spans="1:8" x14ac:dyDescent="0.2">
      <c r="A546" s="183"/>
      <c r="B546" s="184"/>
      <c r="C546" s="184"/>
      <c r="D546" s="184"/>
      <c r="E546" s="184"/>
      <c r="F546" s="184"/>
      <c r="G546" s="184"/>
      <c r="H546" s="185"/>
    </row>
    <row r="547" spans="1:8" x14ac:dyDescent="0.2">
      <c r="A547" s="183"/>
      <c r="B547" s="184"/>
      <c r="C547" s="184"/>
      <c r="D547" s="184"/>
      <c r="E547" s="184"/>
      <c r="F547" s="184"/>
      <c r="G547" s="184"/>
      <c r="H547" s="185"/>
    </row>
    <row r="548" spans="1:8" x14ac:dyDescent="0.2">
      <c r="A548" s="183"/>
      <c r="B548" s="184"/>
      <c r="C548" s="184"/>
      <c r="D548" s="184"/>
      <c r="E548" s="184"/>
      <c r="F548" s="184"/>
      <c r="G548" s="184"/>
      <c r="H548" s="185"/>
    </row>
    <row r="549" spans="1:8" x14ac:dyDescent="0.2">
      <c r="A549" s="183"/>
      <c r="B549" s="184"/>
      <c r="C549" s="184"/>
      <c r="D549" s="184"/>
      <c r="E549" s="184"/>
      <c r="F549" s="184"/>
      <c r="G549" s="184"/>
      <c r="H549" s="185"/>
    </row>
    <row r="550" spans="1:8" x14ac:dyDescent="0.2">
      <c r="A550" s="183"/>
      <c r="B550" s="184"/>
      <c r="C550" s="184"/>
      <c r="D550" s="184"/>
      <c r="E550" s="184"/>
      <c r="F550" s="184"/>
      <c r="G550" s="184"/>
      <c r="H550" s="185"/>
    </row>
    <row r="551" spans="1:8" x14ac:dyDescent="0.2">
      <c r="A551" s="183"/>
      <c r="B551" s="184"/>
      <c r="C551" s="184"/>
      <c r="D551" s="184"/>
      <c r="E551" s="184"/>
      <c r="F551" s="184"/>
      <c r="G551" s="184"/>
      <c r="H551" s="185"/>
    </row>
    <row r="552" spans="1:8" x14ac:dyDescent="0.2">
      <c r="A552" s="183"/>
      <c r="B552" s="184"/>
      <c r="C552" s="184"/>
      <c r="D552" s="184"/>
      <c r="E552" s="184"/>
      <c r="F552" s="184"/>
      <c r="G552" s="184"/>
      <c r="H552" s="185"/>
    </row>
    <row r="553" spans="1:8" x14ac:dyDescent="0.2">
      <c r="A553" s="183"/>
      <c r="B553" s="184"/>
      <c r="C553" s="184"/>
      <c r="D553" s="184"/>
      <c r="E553" s="184"/>
      <c r="F553" s="184"/>
      <c r="G553" s="184"/>
      <c r="H553" s="185"/>
    </row>
    <row r="554" spans="1:8" x14ac:dyDescent="0.2">
      <c r="A554" s="183"/>
      <c r="B554" s="184"/>
      <c r="C554" s="184"/>
      <c r="D554" s="184"/>
      <c r="E554" s="184"/>
      <c r="F554" s="184"/>
      <c r="G554" s="184"/>
      <c r="H554" s="185"/>
    </row>
    <row r="555" spans="1:8" x14ac:dyDescent="0.2">
      <c r="A555" s="183"/>
      <c r="B555" s="184"/>
      <c r="C555" s="184"/>
      <c r="D555" s="184"/>
      <c r="E555" s="184"/>
      <c r="F555" s="184"/>
      <c r="G555" s="184"/>
      <c r="H555" s="185"/>
    </row>
    <row r="556" spans="1:8" x14ac:dyDescent="0.2">
      <c r="A556" s="183"/>
      <c r="B556" s="184"/>
      <c r="C556" s="184"/>
      <c r="D556" s="184"/>
      <c r="E556" s="184"/>
      <c r="F556" s="184"/>
      <c r="G556" s="184"/>
      <c r="H556" s="185"/>
    </row>
    <row r="557" spans="1:8" x14ac:dyDescent="0.2">
      <c r="A557" s="183"/>
      <c r="B557" s="184"/>
      <c r="C557" s="184"/>
      <c r="D557" s="184"/>
      <c r="E557" s="184"/>
      <c r="F557" s="184"/>
      <c r="G557" s="184"/>
      <c r="H557" s="185"/>
    </row>
    <row r="558" spans="1:8" x14ac:dyDescent="0.2">
      <c r="A558" s="183"/>
      <c r="B558" s="184"/>
      <c r="C558" s="184"/>
      <c r="D558" s="184"/>
      <c r="E558" s="184"/>
      <c r="F558" s="184"/>
      <c r="G558" s="184"/>
      <c r="H558" s="185"/>
    </row>
    <row r="559" spans="1:8" x14ac:dyDescent="0.2">
      <c r="A559" s="183"/>
      <c r="B559" s="184"/>
      <c r="C559" s="184"/>
      <c r="D559" s="184"/>
      <c r="E559" s="184"/>
      <c r="F559" s="184"/>
      <c r="G559" s="184"/>
      <c r="H559" s="185"/>
    </row>
    <row r="560" spans="1:8" x14ac:dyDescent="0.2">
      <c r="A560" s="183"/>
      <c r="B560" s="184"/>
      <c r="C560" s="184"/>
      <c r="D560" s="184"/>
      <c r="E560" s="184"/>
      <c r="F560" s="184"/>
      <c r="G560" s="184"/>
      <c r="H560" s="185"/>
    </row>
    <row r="561" spans="1:8" x14ac:dyDescent="0.2">
      <c r="A561" s="183"/>
      <c r="B561" s="184"/>
      <c r="C561" s="184"/>
      <c r="D561" s="184"/>
      <c r="E561" s="184"/>
      <c r="F561" s="184"/>
      <c r="G561" s="184"/>
      <c r="H561" s="185"/>
    </row>
    <row r="562" spans="1:8" x14ac:dyDescent="0.2">
      <c r="A562" s="183"/>
      <c r="B562" s="184"/>
      <c r="C562" s="184"/>
      <c r="D562" s="184"/>
      <c r="E562" s="184"/>
      <c r="F562" s="184"/>
      <c r="G562" s="184"/>
      <c r="H562" s="185"/>
    </row>
    <row r="563" spans="1:8" x14ac:dyDescent="0.2">
      <c r="A563" s="183"/>
      <c r="B563" s="184"/>
      <c r="C563" s="184"/>
      <c r="D563" s="184"/>
      <c r="E563" s="184"/>
      <c r="F563" s="184"/>
      <c r="G563" s="184"/>
      <c r="H563" s="185"/>
    </row>
    <row r="564" spans="1:8" x14ac:dyDescent="0.2">
      <c r="A564" s="183"/>
      <c r="B564" s="184"/>
      <c r="C564" s="184"/>
      <c r="D564" s="184"/>
      <c r="E564" s="184"/>
      <c r="F564" s="184"/>
      <c r="G564" s="184"/>
      <c r="H564" s="185"/>
    </row>
    <row r="565" spans="1:8" x14ac:dyDescent="0.2">
      <c r="A565" s="183"/>
      <c r="B565" s="184"/>
      <c r="C565" s="184"/>
      <c r="D565" s="184"/>
      <c r="E565" s="184"/>
      <c r="F565" s="184"/>
      <c r="G565" s="184"/>
      <c r="H565" s="185"/>
    </row>
    <row r="566" spans="1:8" x14ac:dyDescent="0.2">
      <c r="A566" s="183"/>
      <c r="B566" s="184"/>
      <c r="C566" s="184"/>
      <c r="D566" s="184"/>
      <c r="E566" s="184"/>
      <c r="F566" s="184"/>
      <c r="G566" s="184"/>
      <c r="H566" s="185"/>
    </row>
    <row r="567" spans="1:8" x14ac:dyDescent="0.2">
      <c r="A567" s="183"/>
      <c r="B567" s="184"/>
      <c r="C567" s="184"/>
      <c r="D567" s="184"/>
      <c r="E567" s="184"/>
      <c r="F567" s="184"/>
      <c r="G567" s="184"/>
      <c r="H567" s="185"/>
    </row>
    <row r="568" spans="1:8" x14ac:dyDescent="0.2">
      <c r="A568" s="183"/>
      <c r="B568" s="184"/>
      <c r="C568" s="184"/>
      <c r="D568" s="184"/>
      <c r="E568" s="184"/>
      <c r="F568" s="184"/>
      <c r="G568" s="184"/>
      <c r="H568" s="185"/>
    </row>
    <row r="569" spans="1:8" x14ac:dyDescent="0.2">
      <c r="A569" s="183"/>
      <c r="B569" s="184"/>
      <c r="C569" s="184"/>
      <c r="D569" s="184"/>
      <c r="E569" s="184"/>
      <c r="F569" s="184"/>
      <c r="G569" s="184"/>
      <c r="H569" s="185"/>
    </row>
    <row r="570" spans="1:8" x14ac:dyDescent="0.2">
      <c r="A570" s="183"/>
      <c r="B570" s="184"/>
      <c r="C570" s="184"/>
      <c r="D570" s="184"/>
      <c r="E570" s="184"/>
      <c r="F570" s="184"/>
      <c r="G570" s="184"/>
      <c r="H570" s="185"/>
    </row>
    <row r="571" spans="1:8" x14ac:dyDescent="0.2">
      <c r="A571" s="183"/>
      <c r="B571" s="184"/>
      <c r="C571" s="184"/>
      <c r="D571" s="184"/>
      <c r="E571" s="184"/>
      <c r="F571" s="184"/>
      <c r="G571" s="184"/>
      <c r="H571" s="185"/>
    </row>
    <row r="572" spans="1:8" x14ac:dyDescent="0.2">
      <c r="A572" s="183"/>
      <c r="B572" s="184"/>
      <c r="C572" s="184"/>
      <c r="D572" s="184"/>
      <c r="E572" s="184"/>
      <c r="F572" s="184"/>
      <c r="G572" s="184"/>
      <c r="H572" s="185"/>
    </row>
    <row r="573" spans="1:8" x14ac:dyDescent="0.2">
      <c r="A573" s="183"/>
      <c r="B573" s="184"/>
      <c r="C573" s="184"/>
      <c r="D573" s="184"/>
      <c r="E573" s="184"/>
      <c r="F573" s="184"/>
      <c r="G573" s="184"/>
      <c r="H573" s="185"/>
    </row>
    <row r="574" spans="1:8" x14ac:dyDescent="0.2">
      <c r="A574" s="183"/>
      <c r="B574" s="184"/>
      <c r="C574" s="184"/>
      <c r="D574" s="184"/>
      <c r="E574" s="184"/>
      <c r="F574" s="184"/>
      <c r="G574" s="184"/>
      <c r="H574" s="185"/>
    </row>
    <row r="575" spans="1:8" x14ac:dyDescent="0.2">
      <c r="A575" s="183"/>
      <c r="B575" s="184"/>
      <c r="C575" s="184"/>
      <c r="D575" s="184"/>
      <c r="E575" s="184"/>
      <c r="F575" s="184"/>
      <c r="G575" s="184"/>
      <c r="H575" s="185"/>
    </row>
    <row r="576" spans="1:8" x14ac:dyDescent="0.2">
      <c r="A576" s="183"/>
      <c r="B576" s="184"/>
      <c r="C576" s="184"/>
      <c r="D576" s="184"/>
      <c r="E576" s="184"/>
      <c r="F576" s="184"/>
      <c r="G576" s="184"/>
      <c r="H576" s="185"/>
    </row>
    <row r="577" spans="1:8" x14ac:dyDescent="0.2">
      <c r="A577" s="183"/>
      <c r="B577" s="184"/>
      <c r="C577" s="184"/>
      <c r="D577" s="184"/>
      <c r="E577" s="184"/>
      <c r="F577" s="184"/>
      <c r="G577" s="184"/>
      <c r="H577" s="185"/>
    </row>
    <row r="578" spans="1:8" x14ac:dyDescent="0.2">
      <c r="A578" s="183"/>
      <c r="B578" s="184"/>
      <c r="C578" s="184"/>
      <c r="D578" s="184"/>
      <c r="E578" s="184"/>
      <c r="F578" s="184"/>
      <c r="G578" s="184"/>
      <c r="H578" s="185"/>
    </row>
    <row r="579" spans="1:8" x14ac:dyDescent="0.2">
      <c r="A579" s="183"/>
      <c r="B579" s="184"/>
      <c r="C579" s="184"/>
      <c r="D579" s="184"/>
      <c r="E579" s="184"/>
      <c r="F579" s="184"/>
      <c r="G579" s="184"/>
      <c r="H579" s="185"/>
    </row>
    <row r="580" spans="1:8" x14ac:dyDescent="0.2">
      <c r="A580" s="183"/>
      <c r="B580" s="184"/>
      <c r="C580" s="184"/>
      <c r="D580" s="184"/>
      <c r="E580" s="184"/>
      <c r="F580" s="184"/>
      <c r="G580" s="184"/>
      <c r="H580" s="185"/>
    </row>
    <row r="581" spans="1:8" x14ac:dyDescent="0.2">
      <c r="A581" s="183"/>
      <c r="B581" s="184"/>
      <c r="C581" s="184"/>
      <c r="D581" s="184"/>
      <c r="E581" s="184"/>
      <c r="F581" s="184"/>
      <c r="G581" s="184"/>
      <c r="H581" s="185"/>
    </row>
    <row r="582" spans="1:8" x14ac:dyDescent="0.2">
      <c r="A582" s="183"/>
      <c r="B582" s="184"/>
      <c r="C582" s="184"/>
      <c r="D582" s="184"/>
      <c r="E582" s="184"/>
      <c r="F582" s="184"/>
      <c r="G582" s="184"/>
      <c r="H582" s="185"/>
    </row>
    <row r="583" spans="1:8" x14ac:dyDescent="0.2">
      <c r="A583" s="183"/>
      <c r="B583" s="184"/>
      <c r="C583" s="184"/>
      <c r="D583" s="184"/>
      <c r="E583" s="184"/>
      <c r="F583" s="184"/>
      <c r="G583" s="184"/>
      <c r="H583" s="185"/>
    </row>
    <row r="584" spans="1:8" x14ac:dyDescent="0.2">
      <c r="A584" s="183"/>
      <c r="B584" s="184"/>
      <c r="C584" s="184"/>
      <c r="D584" s="184"/>
      <c r="E584" s="184"/>
      <c r="F584" s="184"/>
      <c r="G584" s="184"/>
      <c r="H584" s="185"/>
    </row>
    <row r="585" spans="1:8" x14ac:dyDescent="0.2">
      <c r="A585" s="183"/>
      <c r="B585" s="184"/>
      <c r="C585" s="184"/>
      <c r="D585" s="184"/>
      <c r="E585" s="184"/>
      <c r="F585" s="184"/>
      <c r="G585" s="184"/>
      <c r="H585" s="185"/>
    </row>
    <row r="586" spans="1:8" x14ac:dyDescent="0.2">
      <c r="A586" s="183"/>
      <c r="B586" s="184"/>
      <c r="C586" s="184"/>
      <c r="D586" s="184"/>
      <c r="E586" s="184"/>
      <c r="F586" s="184"/>
      <c r="G586" s="184"/>
      <c r="H586" s="185"/>
    </row>
    <row r="587" spans="1:8" x14ac:dyDescent="0.2">
      <c r="A587" s="183"/>
      <c r="B587" s="184"/>
      <c r="C587" s="184"/>
      <c r="D587" s="184"/>
      <c r="E587" s="184"/>
      <c r="F587" s="184"/>
      <c r="G587" s="184"/>
      <c r="H587" s="185"/>
    </row>
    <row r="588" spans="1:8" x14ac:dyDescent="0.2">
      <c r="A588" s="183"/>
      <c r="B588" s="184"/>
      <c r="C588" s="184"/>
      <c r="D588" s="184"/>
      <c r="E588" s="184"/>
      <c r="F588" s="184"/>
      <c r="G588" s="184"/>
      <c r="H588" s="185"/>
    </row>
    <row r="589" spans="1:8" x14ac:dyDescent="0.2">
      <c r="A589" s="183"/>
      <c r="B589" s="184"/>
      <c r="C589" s="184"/>
      <c r="D589" s="184"/>
      <c r="E589" s="184"/>
      <c r="F589" s="184"/>
      <c r="G589" s="184"/>
      <c r="H589" s="185"/>
    </row>
    <row r="590" spans="1:8" x14ac:dyDescent="0.2">
      <c r="A590" s="183"/>
      <c r="B590" s="184"/>
      <c r="C590" s="184"/>
      <c r="D590" s="184"/>
      <c r="E590" s="184"/>
      <c r="F590" s="184"/>
      <c r="G590" s="184"/>
      <c r="H590" s="185"/>
    </row>
    <row r="591" spans="1:8" x14ac:dyDescent="0.2">
      <c r="A591" s="183"/>
      <c r="B591" s="184"/>
      <c r="C591" s="184"/>
      <c r="D591" s="184"/>
      <c r="E591" s="184"/>
      <c r="F591" s="184"/>
      <c r="G591" s="184"/>
      <c r="H591" s="185"/>
    </row>
    <row r="592" spans="1:8" x14ac:dyDescent="0.2">
      <c r="A592" s="183"/>
      <c r="B592" s="184"/>
      <c r="C592" s="184"/>
      <c r="D592" s="184"/>
      <c r="E592" s="184"/>
      <c r="F592" s="184"/>
      <c r="G592" s="184"/>
      <c r="H592" s="185"/>
    </row>
    <row r="593" spans="1:8" ht="69.75" customHeight="1" x14ac:dyDescent="0.2">
      <c r="A593" s="132" t="s">
        <v>115</v>
      </c>
      <c r="B593" s="133"/>
      <c r="C593" s="178" t="s">
        <v>303</v>
      </c>
      <c r="D593" s="179"/>
      <c r="E593" s="106" t="s">
        <v>116</v>
      </c>
      <c r="F593" s="106"/>
      <c r="G593" s="118"/>
      <c r="H593" s="118"/>
    </row>
  </sheetData>
  <mergeCells count="822">
    <mergeCell ref="A574:H574"/>
    <mergeCell ref="A575:H575"/>
    <mergeCell ref="A576:H576"/>
    <mergeCell ref="A577:H577"/>
    <mergeCell ref="A578:H578"/>
    <mergeCell ref="A579:H579"/>
    <mergeCell ref="A580:H580"/>
    <mergeCell ref="A567:H567"/>
    <mergeCell ref="A568:H568"/>
    <mergeCell ref="A569:H569"/>
    <mergeCell ref="A570:H570"/>
    <mergeCell ref="A571:H571"/>
    <mergeCell ref="A572:H572"/>
    <mergeCell ref="A573:H573"/>
    <mergeCell ref="A581:H581"/>
    <mergeCell ref="A582:H582"/>
    <mergeCell ref="A592:H592"/>
    <mergeCell ref="A583:H583"/>
    <mergeCell ref="A584:H584"/>
    <mergeCell ref="A585:H585"/>
    <mergeCell ref="A586:H586"/>
    <mergeCell ref="A587:H587"/>
    <mergeCell ref="A588:H588"/>
    <mergeCell ref="A589:H589"/>
    <mergeCell ref="A590:H590"/>
    <mergeCell ref="A591:H591"/>
    <mergeCell ref="A543:B543"/>
    <mergeCell ref="A565:H565"/>
    <mergeCell ref="A566:H566"/>
    <mergeCell ref="A547:H547"/>
    <mergeCell ref="A548:H548"/>
    <mergeCell ref="A549:H549"/>
    <mergeCell ref="A550:H550"/>
    <mergeCell ref="A551:H551"/>
    <mergeCell ref="A552:H552"/>
    <mergeCell ref="A553:H553"/>
    <mergeCell ref="A554:H554"/>
    <mergeCell ref="A555:H555"/>
    <mergeCell ref="C543:H543"/>
    <mergeCell ref="A556:H556"/>
    <mergeCell ref="A557:H557"/>
    <mergeCell ref="A558:H558"/>
    <mergeCell ref="A559:H559"/>
    <mergeCell ref="A560:H560"/>
    <mergeCell ref="A561:H561"/>
    <mergeCell ref="A562:H562"/>
    <mergeCell ref="A563:H563"/>
    <mergeCell ref="A564:H564"/>
    <mergeCell ref="A476:H476"/>
    <mergeCell ref="A477:H477"/>
    <mergeCell ref="A478:H478"/>
    <mergeCell ref="A544:H544"/>
    <mergeCell ref="A545:H545"/>
    <mergeCell ref="A546:H546"/>
    <mergeCell ref="A488:H488"/>
    <mergeCell ref="A479:H479"/>
    <mergeCell ref="A480:H480"/>
    <mergeCell ref="A481:H481"/>
    <mergeCell ref="A482:H482"/>
    <mergeCell ref="A483:H483"/>
    <mergeCell ref="A484:H484"/>
    <mergeCell ref="A485:H485"/>
    <mergeCell ref="A486:H486"/>
    <mergeCell ref="A487:H487"/>
    <mergeCell ref="A501:H501"/>
    <mergeCell ref="A502:H502"/>
    <mergeCell ref="A503:H503"/>
    <mergeCell ref="A504:H504"/>
    <mergeCell ref="A505:H505"/>
    <mergeCell ref="A506:H506"/>
    <mergeCell ref="A507:H507"/>
    <mergeCell ref="A508:H508"/>
    <mergeCell ref="A467:H467"/>
    <mergeCell ref="A468:H468"/>
    <mergeCell ref="A469:H469"/>
    <mergeCell ref="A470:H470"/>
    <mergeCell ref="A471:H471"/>
    <mergeCell ref="A472:H472"/>
    <mergeCell ref="A473:H473"/>
    <mergeCell ref="A474:H474"/>
    <mergeCell ref="A475:H475"/>
    <mergeCell ref="A458:H458"/>
    <mergeCell ref="A459:H459"/>
    <mergeCell ref="A460:H460"/>
    <mergeCell ref="A461:H461"/>
    <mergeCell ref="A462:H462"/>
    <mergeCell ref="A463:H463"/>
    <mergeCell ref="A464:H464"/>
    <mergeCell ref="A465:H465"/>
    <mergeCell ref="A466:H466"/>
    <mergeCell ref="A449:H449"/>
    <mergeCell ref="A450:H450"/>
    <mergeCell ref="A451:H451"/>
    <mergeCell ref="A452:H452"/>
    <mergeCell ref="A453:H453"/>
    <mergeCell ref="A454:H454"/>
    <mergeCell ref="A455:H455"/>
    <mergeCell ref="A456:H456"/>
    <mergeCell ref="A457:H457"/>
    <mergeCell ref="B432:H432"/>
    <mergeCell ref="B433:H433"/>
    <mergeCell ref="B434:H434"/>
    <mergeCell ref="A443:H443"/>
    <mergeCell ref="A444:H444"/>
    <mergeCell ref="A445:H445"/>
    <mergeCell ref="A446:H446"/>
    <mergeCell ref="A447:H447"/>
    <mergeCell ref="A448:H448"/>
    <mergeCell ref="B435:H435"/>
    <mergeCell ref="C71:D71"/>
    <mergeCell ref="C72:D72"/>
    <mergeCell ref="C73:D73"/>
    <mergeCell ref="C74:D74"/>
    <mergeCell ref="C75:D75"/>
    <mergeCell ref="E166:F166"/>
    <mergeCell ref="E174:F174"/>
    <mergeCell ref="A438:H438"/>
    <mergeCell ref="A439:H439"/>
    <mergeCell ref="C436:H436"/>
    <mergeCell ref="E168:F168"/>
    <mergeCell ref="E169:F169"/>
    <mergeCell ref="E170:F170"/>
    <mergeCell ref="G171:H171"/>
    <mergeCell ref="G172:H172"/>
    <mergeCell ref="E171:F171"/>
    <mergeCell ref="A174:B174"/>
    <mergeCell ref="A175:B175"/>
    <mergeCell ref="A176:B176"/>
    <mergeCell ref="E175:F175"/>
    <mergeCell ref="G175:H175"/>
    <mergeCell ref="E176:F176"/>
    <mergeCell ref="G176:H176"/>
    <mergeCell ref="A177:H177"/>
    <mergeCell ref="C27:E27"/>
    <mergeCell ref="A61:H61"/>
    <mergeCell ref="C47:H47"/>
    <mergeCell ref="E51:H51"/>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3:H53"/>
    <mergeCell ref="C34:D34"/>
    <mergeCell ref="C36:D36"/>
    <mergeCell ref="C42:F42"/>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E593:F593"/>
    <mergeCell ref="G593:H593"/>
    <mergeCell ref="C162:H162"/>
    <mergeCell ref="A163:H163"/>
    <mergeCell ref="E164:F164"/>
    <mergeCell ref="E165:F165"/>
    <mergeCell ref="E172:F172"/>
    <mergeCell ref="A188:H188"/>
    <mergeCell ref="A492:H492"/>
    <mergeCell ref="A493:H493"/>
    <mergeCell ref="A494:H494"/>
    <mergeCell ref="A495:H495"/>
    <mergeCell ref="A496:H496"/>
    <mergeCell ref="A497:H497"/>
    <mergeCell ref="A498:H498"/>
    <mergeCell ref="A499:H499"/>
    <mergeCell ref="A500:H500"/>
    <mergeCell ref="A419:H419"/>
    <mergeCell ref="A515:H515"/>
    <mergeCell ref="A516:H516"/>
    <mergeCell ref="A420:E420"/>
    <mergeCell ref="A193:H193"/>
    <mergeCell ref="A380:H380"/>
    <mergeCell ref="E179:F179"/>
    <mergeCell ref="A529:H529"/>
    <mergeCell ref="A530:H530"/>
    <mergeCell ref="A531:H531"/>
    <mergeCell ref="A532:H532"/>
    <mergeCell ref="A533:H533"/>
    <mergeCell ref="A534:H534"/>
    <mergeCell ref="A535:H535"/>
    <mergeCell ref="A523:H523"/>
    <mergeCell ref="A524:H524"/>
    <mergeCell ref="A525:H525"/>
    <mergeCell ref="A526:H526"/>
    <mergeCell ref="A527:H527"/>
    <mergeCell ref="A528:H528"/>
    <mergeCell ref="A15:B15"/>
    <mergeCell ref="E186:F186"/>
    <mergeCell ref="G186:H186"/>
    <mergeCell ref="E187:F187"/>
    <mergeCell ref="G187:H187"/>
    <mergeCell ref="C29:H29"/>
    <mergeCell ref="C30:H30"/>
    <mergeCell ref="A37:B37"/>
    <mergeCell ref="A38:B38"/>
    <mergeCell ref="A40:B45"/>
    <mergeCell ref="A46:B46"/>
    <mergeCell ref="A47:B47"/>
    <mergeCell ref="A51:B53"/>
    <mergeCell ref="A55:B55"/>
    <mergeCell ref="A62:B62"/>
    <mergeCell ref="A67:B67"/>
    <mergeCell ref="C43:F43"/>
    <mergeCell ref="G43:H43"/>
    <mergeCell ref="C45:F45"/>
    <mergeCell ref="G45:H45"/>
    <mergeCell ref="G67:H67"/>
    <mergeCell ref="G68:H77"/>
    <mergeCell ref="E167:F167"/>
    <mergeCell ref="A169:B169"/>
    <mergeCell ref="F18:H18"/>
    <mergeCell ref="A173:H173"/>
    <mergeCell ref="A35:B35"/>
    <mergeCell ref="A36:B36"/>
    <mergeCell ref="A16:B16"/>
    <mergeCell ref="A17:B17"/>
    <mergeCell ref="A18:B18"/>
    <mergeCell ref="A19:B19"/>
    <mergeCell ref="A20:B20"/>
    <mergeCell ref="A21:B21"/>
    <mergeCell ref="A22:B22"/>
    <mergeCell ref="A23:B23"/>
    <mergeCell ref="A24:B24"/>
    <mergeCell ref="A73:B73"/>
    <mergeCell ref="A74:B74"/>
    <mergeCell ref="A75:B75"/>
    <mergeCell ref="A76:B76"/>
    <mergeCell ref="A77:B77"/>
    <mergeCell ref="A162:B162"/>
    <mergeCell ref="A164:B164"/>
    <mergeCell ref="A165:B165"/>
    <mergeCell ref="A166:B166"/>
    <mergeCell ref="A167:B167"/>
    <mergeCell ref="A168:B168"/>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C46:F46"/>
    <mergeCell ref="C55:F55"/>
    <mergeCell ref="A64:D65"/>
    <mergeCell ref="A54:B54"/>
    <mergeCell ref="C54:H54"/>
    <mergeCell ref="C56:F56"/>
    <mergeCell ref="A56:B57"/>
    <mergeCell ref="A58:B60"/>
    <mergeCell ref="C58:F59"/>
    <mergeCell ref="E52:F52"/>
    <mergeCell ref="C60:H60"/>
    <mergeCell ref="C57:H57"/>
    <mergeCell ref="A48:B50"/>
    <mergeCell ref="C50:H50"/>
    <mergeCell ref="C48:F49"/>
    <mergeCell ref="C51:D51"/>
    <mergeCell ref="C52:D52"/>
    <mergeCell ref="C53:D53"/>
    <mergeCell ref="A71:B71"/>
    <mergeCell ref="A72:B72"/>
    <mergeCell ref="E62:F62"/>
    <mergeCell ref="A63:H63"/>
    <mergeCell ref="G62:H62"/>
    <mergeCell ref="C62:D62"/>
    <mergeCell ref="A170:B170"/>
    <mergeCell ref="A171:B171"/>
    <mergeCell ref="A172:B172"/>
    <mergeCell ref="C76:D76"/>
    <mergeCell ref="C77:D77"/>
    <mergeCell ref="C164:D164"/>
    <mergeCell ref="C165:D165"/>
    <mergeCell ref="C166:D166"/>
    <mergeCell ref="C167:D167"/>
    <mergeCell ref="C168:D168"/>
    <mergeCell ref="C169:D169"/>
    <mergeCell ref="C170:D170"/>
    <mergeCell ref="C171:D171"/>
    <mergeCell ref="C67:D67"/>
    <mergeCell ref="C68:D68"/>
    <mergeCell ref="C69:D69"/>
    <mergeCell ref="C66:H66"/>
    <mergeCell ref="A68:B68"/>
    <mergeCell ref="G174:H174"/>
    <mergeCell ref="C172:D172"/>
    <mergeCell ref="A78:D79"/>
    <mergeCell ref="C80:H80"/>
    <mergeCell ref="A81:B81"/>
    <mergeCell ref="C81:D81"/>
    <mergeCell ref="G81:H81"/>
    <mergeCell ref="A82:B82"/>
    <mergeCell ref="C82:D82"/>
    <mergeCell ref="G82:H91"/>
    <mergeCell ref="A83:B83"/>
    <mergeCell ref="C83:D83"/>
    <mergeCell ref="C174:D174"/>
    <mergeCell ref="A84:B84"/>
    <mergeCell ref="C84:D84"/>
    <mergeCell ref="A85:B85"/>
    <mergeCell ref="C85:D85"/>
    <mergeCell ref="A86:B86"/>
    <mergeCell ref="C86:D86"/>
    <mergeCell ref="A87:B87"/>
    <mergeCell ref="C87:D87"/>
    <mergeCell ref="A88:B88"/>
    <mergeCell ref="C88:D88"/>
    <mergeCell ref="A89:B89"/>
    <mergeCell ref="A69:B69"/>
    <mergeCell ref="A70:B70"/>
    <mergeCell ref="C70:D70"/>
    <mergeCell ref="C180:D180"/>
    <mergeCell ref="C186:D186"/>
    <mergeCell ref="C187:D187"/>
    <mergeCell ref="D190:D191"/>
    <mergeCell ref="A238:A239"/>
    <mergeCell ref="C238:C239"/>
    <mergeCell ref="D238:D239"/>
    <mergeCell ref="A178:B178"/>
    <mergeCell ref="A179:B179"/>
    <mergeCell ref="A180:B180"/>
    <mergeCell ref="A186:B186"/>
    <mergeCell ref="A187:B187"/>
    <mergeCell ref="A223:H223"/>
    <mergeCell ref="A224:B224"/>
    <mergeCell ref="A225:B225"/>
    <mergeCell ref="A226:B226"/>
    <mergeCell ref="A229:B229"/>
    <mergeCell ref="A230:B230"/>
    <mergeCell ref="A231:B231"/>
    <mergeCell ref="A232:B232"/>
    <mergeCell ref="G179:H179"/>
    <mergeCell ref="E180:F180"/>
    <mergeCell ref="G180:H180"/>
    <mergeCell ref="A237:H237"/>
    <mergeCell ref="A189:H189"/>
    <mergeCell ref="B190:B191"/>
    <mergeCell ref="B238:B239"/>
    <mergeCell ref="A381:B381"/>
    <mergeCell ref="A367:H367"/>
    <mergeCell ref="A368:B368"/>
    <mergeCell ref="A369:B369"/>
    <mergeCell ref="A370:B370"/>
    <mergeCell ref="A371:B371"/>
    <mergeCell ref="A372:B372"/>
    <mergeCell ref="A373:B373"/>
    <mergeCell ref="A374:B374"/>
    <mergeCell ref="A375:B375"/>
    <mergeCell ref="A233:B233"/>
    <mergeCell ref="A234:B234"/>
    <mergeCell ref="A235:B235"/>
    <mergeCell ref="E238:E239"/>
    <mergeCell ref="F238:F239"/>
    <mergeCell ref="A246:H246"/>
    <mergeCell ref="A227:B227"/>
    <mergeCell ref="A228:B228"/>
    <mergeCell ref="A190:A191"/>
    <mergeCell ref="C190:C191"/>
    <mergeCell ref="A490:H490"/>
    <mergeCell ref="A491:H491"/>
    <mergeCell ref="A421:E421"/>
    <mergeCell ref="F421:H421"/>
    <mergeCell ref="A437:H437"/>
    <mergeCell ref="A391:B391"/>
    <mergeCell ref="A392:B392"/>
    <mergeCell ref="A394:B394"/>
    <mergeCell ref="A395:B395"/>
    <mergeCell ref="A396:B396"/>
    <mergeCell ref="A397:B397"/>
    <mergeCell ref="A398:B398"/>
    <mergeCell ref="A399:B399"/>
    <mergeCell ref="A400:B400"/>
    <mergeCell ref="F420:H420"/>
    <mergeCell ref="A406:H406"/>
    <mergeCell ref="A401:B401"/>
    <mergeCell ref="A402:B402"/>
    <mergeCell ref="A403:B403"/>
    <mergeCell ref="A404:B404"/>
    <mergeCell ref="A405:B405"/>
    <mergeCell ref="A407:B407"/>
    <mergeCell ref="A408:B408"/>
    <mergeCell ref="A409:B409"/>
    <mergeCell ref="A521:H521"/>
    <mergeCell ref="A522:H522"/>
    <mergeCell ref="A509:H509"/>
    <mergeCell ref="A510:H510"/>
    <mergeCell ref="A511:H511"/>
    <mergeCell ref="A512:H512"/>
    <mergeCell ref="A513:H513"/>
    <mergeCell ref="A514:H514"/>
    <mergeCell ref="A517:H517"/>
    <mergeCell ref="A440:H440"/>
    <mergeCell ref="A441:H441"/>
    <mergeCell ref="A442:H442"/>
    <mergeCell ref="A422:H422"/>
    <mergeCell ref="B424:H424"/>
    <mergeCell ref="B425:H425"/>
    <mergeCell ref="B426:H426"/>
    <mergeCell ref="B427:H427"/>
    <mergeCell ref="B429:H429"/>
    <mergeCell ref="B430:H430"/>
    <mergeCell ref="B431:H431"/>
    <mergeCell ref="A436:B436"/>
    <mergeCell ref="B428:E428"/>
    <mergeCell ref="I53:L53"/>
    <mergeCell ref="C489:H489"/>
    <mergeCell ref="A593:B593"/>
    <mergeCell ref="C593:D593"/>
    <mergeCell ref="A489:B489"/>
    <mergeCell ref="A411:B411"/>
    <mergeCell ref="A412:B412"/>
    <mergeCell ref="A413:B413"/>
    <mergeCell ref="A414:B414"/>
    <mergeCell ref="A415:B415"/>
    <mergeCell ref="A416:B416"/>
    <mergeCell ref="A417:B417"/>
    <mergeCell ref="A418:B418"/>
    <mergeCell ref="B423:H423"/>
    <mergeCell ref="A536:H536"/>
    <mergeCell ref="A537:H537"/>
    <mergeCell ref="A538:H538"/>
    <mergeCell ref="A539:H539"/>
    <mergeCell ref="A540:H540"/>
    <mergeCell ref="A541:H541"/>
    <mergeCell ref="A542:H542"/>
    <mergeCell ref="A518:H518"/>
    <mergeCell ref="A519:H519"/>
    <mergeCell ref="A520:H520"/>
    <mergeCell ref="C89:D89"/>
    <mergeCell ref="A90:B90"/>
    <mergeCell ref="C90:D90"/>
    <mergeCell ref="A91:B91"/>
    <mergeCell ref="C91:D91"/>
    <mergeCell ref="A92:D93"/>
    <mergeCell ref="C94:H94"/>
    <mergeCell ref="A95:B95"/>
    <mergeCell ref="C95:D95"/>
    <mergeCell ref="G95:H95"/>
    <mergeCell ref="A96:B96"/>
    <mergeCell ref="C96:D96"/>
    <mergeCell ref="G96:H105"/>
    <mergeCell ref="A97:B97"/>
    <mergeCell ref="C97:D97"/>
    <mergeCell ref="A98:B98"/>
    <mergeCell ref="C98:D98"/>
    <mergeCell ref="A99:B99"/>
    <mergeCell ref="C99:D99"/>
    <mergeCell ref="A100:B100"/>
    <mergeCell ref="C100:D100"/>
    <mergeCell ref="A101:B101"/>
    <mergeCell ref="C101:D101"/>
    <mergeCell ref="A102:B102"/>
    <mergeCell ref="C102:D102"/>
    <mergeCell ref="A103:B103"/>
    <mergeCell ref="C103:D103"/>
    <mergeCell ref="A104:B104"/>
    <mergeCell ref="C104:D104"/>
    <mergeCell ref="A105:B105"/>
    <mergeCell ref="C105:D105"/>
    <mergeCell ref="A106:D107"/>
    <mergeCell ref="C108:H108"/>
    <mergeCell ref="A109:B109"/>
    <mergeCell ref="C109:D109"/>
    <mergeCell ref="G109:H109"/>
    <mergeCell ref="A110:B110"/>
    <mergeCell ref="C110:D110"/>
    <mergeCell ref="G110:H119"/>
    <mergeCell ref="A111:B111"/>
    <mergeCell ref="C111:D111"/>
    <mergeCell ref="A112:B112"/>
    <mergeCell ref="C112:D112"/>
    <mergeCell ref="A113:B113"/>
    <mergeCell ref="C113:D113"/>
    <mergeCell ref="A114:B114"/>
    <mergeCell ref="C114:D114"/>
    <mergeCell ref="A115:B115"/>
    <mergeCell ref="C115:D115"/>
    <mergeCell ref="A116:B116"/>
    <mergeCell ref="C116:D116"/>
    <mergeCell ref="A117:B117"/>
    <mergeCell ref="C117:D117"/>
    <mergeCell ref="A118:B118"/>
    <mergeCell ref="C118:D118"/>
    <mergeCell ref="A119:B119"/>
    <mergeCell ref="C119:D119"/>
    <mergeCell ref="A120:D121"/>
    <mergeCell ref="C122:H122"/>
    <mergeCell ref="A123:B123"/>
    <mergeCell ref="C123:D123"/>
    <mergeCell ref="G123:H123"/>
    <mergeCell ref="A124:B124"/>
    <mergeCell ref="C124:D124"/>
    <mergeCell ref="G124:H133"/>
    <mergeCell ref="A125:B125"/>
    <mergeCell ref="C125:D125"/>
    <mergeCell ref="A126:B126"/>
    <mergeCell ref="C126:D126"/>
    <mergeCell ref="A127:B127"/>
    <mergeCell ref="C127:D127"/>
    <mergeCell ref="A128:B128"/>
    <mergeCell ref="C128:D128"/>
    <mergeCell ref="A129:B129"/>
    <mergeCell ref="C129:D129"/>
    <mergeCell ref="A130:B130"/>
    <mergeCell ref="C130:D130"/>
    <mergeCell ref="A131:B131"/>
    <mergeCell ref="C131:D131"/>
    <mergeCell ref="A132:B132"/>
    <mergeCell ref="C132:D132"/>
    <mergeCell ref="A133:B133"/>
    <mergeCell ref="C133:D133"/>
    <mergeCell ref="A134:D135"/>
    <mergeCell ref="C136:H136"/>
    <mergeCell ref="A137:B137"/>
    <mergeCell ref="C137:D137"/>
    <mergeCell ref="G137:H137"/>
    <mergeCell ref="A138:B138"/>
    <mergeCell ref="C138:D138"/>
    <mergeCell ref="G138:H147"/>
    <mergeCell ref="A139:B139"/>
    <mergeCell ref="C139:D139"/>
    <mergeCell ref="A140:B140"/>
    <mergeCell ref="C140:D140"/>
    <mergeCell ref="A141:B141"/>
    <mergeCell ref="C141:D141"/>
    <mergeCell ref="A142:B142"/>
    <mergeCell ref="C142:D142"/>
    <mergeCell ref="A143:B143"/>
    <mergeCell ref="C143:D143"/>
    <mergeCell ref="A144:B144"/>
    <mergeCell ref="C144:D144"/>
    <mergeCell ref="A145:B145"/>
    <mergeCell ref="C145:D145"/>
    <mergeCell ref="A146:B146"/>
    <mergeCell ref="C146:D146"/>
    <mergeCell ref="A147:B147"/>
    <mergeCell ref="C147:D147"/>
    <mergeCell ref="A148:D149"/>
    <mergeCell ref="C150:H150"/>
    <mergeCell ref="A151:B151"/>
    <mergeCell ref="C151:D151"/>
    <mergeCell ref="G151:H151"/>
    <mergeCell ref="A152:B152"/>
    <mergeCell ref="C152:D152"/>
    <mergeCell ref="G152:H161"/>
    <mergeCell ref="A153:B153"/>
    <mergeCell ref="C153:D153"/>
    <mergeCell ref="A154:B154"/>
    <mergeCell ref="C154:D154"/>
    <mergeCell ref="A155:B155"/>
    <mergeCell ref="C155:D155"/>
    <mergeCell ref="A156:B156"/>
    <mergeCell ref="C156:D156"/>
    <mergeCell ref="A157:B157"/>
    <mergeCell ref="C157:D157"/>
    <mergeCell ref="A158:B158"/>
    <mergeCell ref="C158:D158"/>
    <mergeCell ref="A159:B159"/>
    <mergeCell ref="C159:D159"/>
    <mergeCell ref="A160:B160"/>
    <mergeCell ref="C160:D160"/>
    <mergeCell ref="A161:B161"/>
    <mergeCell ref="C161:D161"/>
    <mergeCell ref="A210:B210"/>
    <mergeCell ref="A192:H192"/>
    <mergeCell ref="A194:H194"/>
    <mergeCell ref="A195:B195"/>
    <mergeCell ref="A196:B196"/>
    <mergeCell ref="A197:B197"/>
    <mergeCell ref="A198:B198"/>
    <mergeCell ref="A199:B199"/>
    <mergeCell ref="A200:B200"/>
    <mergeCell ref="A201:H201"/>
    <mergeCell ref="A184:B184"/>
    <mergeCell ref="C184:D184"/>
    <mergeCell ref="E184:F184"/>
    <mergeCell ref="G184:H184"/>
    <mergeCell ref="E190:E191"/>
    <mergeCell ref="F190:F191"/>
    <mergeCell ref="E178:F178"/>
    <mergeCell ref="G178:H178"/>
    <mergeCell ref="C175:D175"/>
    <mergeCell ref="C176:D176"/>
    <mergeCell ref="C178:D178"/>
    <mergeCell ref="C179:D179"/>
    <mergeCell ref="A220:B220"/>
    <mergeCell ref="A221:B221"/>
    <mergeCell ref="A222:B222"/>
    <mergeCell ref="A202:H202"/>
    <mergeCell ref="A236:H236"/>
    <mergeCell ref="A241:H241"/>
    <mergeCell ref="A242:H242"/>
    <mergeCell ref="A243:H243"/>
    <mergeCell ref="A211:H211"/>
    <mergeCell ref="A212:B212"/>
    <mergeCell ref="A213:B213"/>
    <mergeCell ref="A214:B214"/>
    <mergeCell ref="A215:B215"/>
    <mergeCell ref="A216:B216"/>
    <mergeCell ref="A217:B217"/>
    <mergeCell ref="A218:B218"/>
    <mergeCell ref="A219:B219"/>
    <mergeCell ref="A203:B203"/>
    <mergeCell ref="A204:B204"/>
    <mergeCell ref="A205:B205"/>
    <mergeCell ref="A206:B206"/>
    <mergeCell ref="A207:B207"/>
    <mergeCell ref="A208:B208"/>
    <mergeCell ref="A209:B209"/>
    <mergeCell ref="A254:B254"/>
    <mergeCell ref="A255:B255"/>
    <mergeCell ref="C254:H254"/>
    <mergeCell ref="A240:H240"/>
    <mergeCell ref="A256:H256"/>
    <mergeCell ref="A262:H262"/>
    <mergeCell ref="A263:B263"/>
    <mergeCell ref="A264:B264"/>
    <mergeCell ref="A244:H244"/>
    <mergeCell ref="A245:H245"/>
    <mergeCell ref="A247:B247"/>
    <mergeCell ref="A248:B248"/>
    <mergeCell ref="A249:B249"/>
    <mergeCell ref="A250:B250"/>
    <mergeCell ref="A251:H251"/>
    <mergeCell ref="A252:B252"/>
    <mergeCell ref="A253:B253"/>
    <mergeCell ref="A265:B265"/>
    <mergeCell ref="A266:B266"/>
    <mergeCell ref="A258:H258"/>
    <mergeCell ref="A259:H259"/>
    <mergeCell ref="A260:H260"/>
    <mergeCell ref="A261:H261"/>
    <mergeCell ref="A257:H257"/>
    <mergeCell ref="A267:H267"/>
    <mergeCell ref="A268:B268"/>
    <mergeCell ref="A269:B269"/>
    <mergeCell ref="A270:B270"/>
    <mergeCell ref="A271:B271"/>
    <mergeCell ref="C270:H270"/>
    <mergeCell ref="A272:H272"/>
    <mergeCell ref="A273:H273"/>
    <mergeCell ref="A274:H274"/>
    <mergeCell ref="A275:H275"/>
    <mergeCell ref="A276:H276"/>
    <mergeCell ref="A277:H277"/>
    <mergeCell ref="A278:H278"/>
    <mergeCell ref="A279:B279"/>
    <mergeCell ref="A280:B280"/>
    <mergeCell ref="A281:B281"/>
    <mergeCell ref="A282:B282"/>
    <mergeCell ref="A284:H284"/>
    <mergeCell ref="A285:B285"/>
    <mergeCell ref="A286:B286"/>
    <mergeCell ref="A287:B287"/>
    <mergeCell ref="A288:B288"/>
    <mergeCell ref="A283:B283"/>
    <mergeCell ref="A289:B289"/>
    <mergeCell ref="C289:H289"/>
    <mergeCell ref="A290:H290"/>
    <mergeCell ref="A291:B291"/>
    <mergeCell ref="A292:B292"/>
    <mergeCell ref="A293:B293"/>
    <mergeCell ref="A294:B294"/>
    <mergeCell ref="A296:B296"/>
    <mergeCell ref="C293:H294"/>
    <mergeCell ref="A295:B295"/>
    <mergeCell ref="C295:H295"/>
    <mergeCell ref="A297:H297"/>
    <mergeCell ref="A298:H298"/>
    <mergeCell ref="A299:H299"/>
    <mergeCell ref="A300:H300"/>
    <mergeCell ref="A301:H301"/>
    <mergeCell ref="A302:H302"/>
    <mergeCell ref="A303:H303"/>
    <mergeCell ref="A304:H304"/>
    <mergeCell ref="A305:B305"/>
    <mergeCell ref="A306:B306"/>
    <mergeCell ref="A307:H307"/>
    <mergeCell ref="A308:B308"/>
    <mergeCell ref="A309:B309"/>
    <mergeCell ref="A310:H310"/>
    <mergeCell ref="A311:H311"/>
    <mergeCell ref="A312:H312"/>
    <mergeCell ref="A313:H313"/>
    <mergeCell ref="A314:H314"/>
    <mergeCell ref="A315:H315"/>
    <mergeCell ref="A316:H316"/>
    <mergeCell ref="A317:B317"/>
    <mergeCell ref="A318:B318"/>
    <mergeCell ref="A345:B345"/>
    <mergeCell ref="A346:H346"/>
    <mergeCell ref="A347:B347"/>
    <mergeCell ref="A348:B348"/>
    <mergeCell ref="A349:B349"/>
    <mergeCell ref="A350:B350"/>
    <mergeCell ref="C348:H348"/>
    <mergeCell ref="A328:H328"/>
    <mergeCell ref="A329:B329"/>
    <mergeCell ref="A330:B330"/>
    <mergeCell ref="A331:B331"/>
    <mergeCell ref="A332:B332"/>
    <mergeCell ref="A333:B333"/>
    <mergeCell ref="A376:B376"/>
    <mergeCell ref="A181:B181"/>
    <mergeCell ref="C181:D181"/>
    <mergeCell ref="E181:F181"/>
    <mergeCell ref="G181:H181"/>
    <mergeCell ref="A182:B182"/>
    <mergeCell ref="C182:D182"/>
    <mergeCell ref="E182:F182"/>
    <mergeCell ref="G182:H182"/>
    <mergeCell ref="A183:B183"/>
    <mergeCell ref="C183:D183"/>
    <mergeCell ref="E183:F183"/>
    <mergeCell ref="G183:H183"/>
    <mergeCell ref="A185:B185"/>
    <mergeCell ref="C185:D185"/>
    <mergeCell ref="E185:F185"/>
    <mergeCell ref="G185:H185"/>
    <mergeCell ref="A351:H351"/>
    <mergeCell ref="A352:H352"/>
    <mergeCell ref="A353:H353"/>
    <mergeCell ref="A354:H354"/>
    <mergeCell ref="A355:H355"/>
    <mergeCell ref="A343:B343"/>
    <mergeCell ref="A344:B344"/>
    <mergeCell ref="C330:H331"/>
    <mergeCell ref="I425:J425"/>
    <mergeCell ref="A360:B360"/>
    <mergeCell ref="A361:B361"/>
    <mergeCell ref="A362:H362"/>
    <mergeCell ref="A363:B363"/>
    <mergeCell ref="A364:B364"/>
    <mergeCell ref="A365:B365"/>
    <mergeCell ref="A366:B366"/>
    <mergeCell ref="C364:H364"/>
    <mergeCell ref="A410:B410"/>
    <mergeCell ref="A393:H393"/>
    <mergeCell ref="A382:B382"/>
    <mergeCell ref="A383:B383"/>
    <mergeCell ref="A384:B384"/>
    <mergeCell ref="A385:B385"/>
    <mergeCell ref="A386:B386"/>
    <mergeCell ref="A387:B387"/>
    <mergeCell ref="A388:B388"/>
    <mergeCell ref="A389:B389"/>
    <mergeCell ref="A390:B390"/>
    <mergeCell ref="A377:B377"/>
    <mergeCell ref="A378:B378"/>
    <mergeCell ref="A379:B379"/>
    <mergeCell ref="G190:G191"/>
    <mergeCell ref="A356:H356"/>
    <mergeCell ref="A357:H357"/>
    <mergeCell ref="A358:B358"/>
    <mergeCell ref="A359:B359"/>
    <mergeCell ref="A340:H340"/>
    <mergeCell ref="A341:H341"/>
    <mergeCell ref="A342:B342"/>
    <mergeCell ref="A319:B319"/>
    <mergeCell ref="A320:B320"/>
    <mergeCell ref="A321:B321"/>
    <mergeCell ref="A334:H334"/>
    <mergeCell ref="A335:H335"/>
    <mergeCell ref="A336:H336"/>
    <mergeCell ref="A337:H337"/>
    <mergeCell ref="A338:H338"/>
    <mergeCell ref="A339:H339"/>
    <mergeCell ref="A322:H322"/>
    <mergeCell ref="A323:B323"/>
    <mergeCell ref="A324:B324"/>
    <mergeCell ref="A325:B325"/>
    <mergeCell ref="A326:B326"/>
    <mergeCell ref="A327:B327"/>
    <mergeCell ref="C323:H323"/>
  </mergeCells>
  <dataValidations count="7">
    <dataValidation type="list" allowBlank="1" showInputMessage="1" showErrorMessage="1" sqref="A9:B9">
      <formula1>"CTS No,Survey No,Plot No,Gut No,FP No,"</formula1>
    </dataValidation>
    <dataValidation type="list" allowBlank="1" showInputMessage="1" showErrorMessage="1" sqref="B238">
      <formula1>"Flat No. (Sale Plan),Sale / Rehab,Sale / Mhada"</formula1>
    </dataValidation>
    <dataValidation type="list" allowBlank="1" showInputMessage="1" showErrorMessage="1" sqref="D190 D238">
      <formula1>"Carpet area,RERA Carpet area"</formula1>
    </dataValidation>
    <dataValidation type="list" allowBlank="1" showInputMessage="1" showErrorMessage="1" sqref="E238:E239">
      <formula1>"Fungible area,Balcony Area,Chajja Area,Cornice Area,AP Area,WS Area"</formula1>
    </dataValidation>
    <dataValidation type="list" allowBlank="1" showInputMessage="1" showErrorMessage="1" sqref="E190:E191">
      <formula1>"Attached Loft area,Attached Otla area,Attached Mezzanine area"</formula1>
    </dataValidation>
    <dataValidation type="list" allowBlank="1" showInputMessage="1" showErrorMessage="1" sqref="B190">
      <formula1>"Shop No. (Sale Plan),Sale / Rehab,Sale / Mhada"</formula1>
    </dataValidation>
    <dataValidation type="list" allowBlank="1" showInputMessage="1" showErrorMessage="1" sqref="H191 H239">
      <formula1>".45,.50,.55,.60"</formula1>
    </dataValidation>
  </dataValidations>
  <hyperlinks>
    <hyperlink ref="C19" r:id="rId1"/>
    <hyperlink ref="M434" r:id="rId2"/>
    <hyperlink ref="I27" r:id="rId3" display="https://www.arkaderarebhandupwest.com/?utm_source=google&amp;utm_medium=cpc&amp;utm_campaign=Arkade+Rare+Central&amp;utm_term=arkade%20rare&amp;utm_Physical_Location=9062223&amp;utm_Targetid=kwd-2321075479859&amp;utm_Target=&amp;utm_Placement=&amp;utm_Adposition=&amp;gad_source=1&amp;gad_campaignid=21616592589&amp;gbraid=0AAAAA9iUuL4ddRxdBNH9G9dpK8gf7qML2&amp;gclid=CjwKCAjwv5zEBhBwEiwAOg2YKHwft_d7XSWvehr_4DS5HwhpdO0ZiDi51NnaGwuXr6Mu0mS_moXnEhoCZekQAvD_BwE"/>
    <hyperlink ref="L108" r:id="rId4"/>
    <hyperlink ref="L123" r:id="rId5"/>
    <hyperlink ref="L138" r:id="rId6"/>
    <hyperlink ref="L152" r:id="rId7"/>
  </hyperlinks>
  <printOptions horizontalCentered="1"/>
  <pageMargins left="0.23622047244094491" right="0.23622047244094491" top="0.78740157480314965" bottom="0.70866141732283472" header="0.19685039370078741" footer="0.19685039370078741"/>
  <pageSetup paperSize="2" fitToHeight="0" orientation="portrait" r:id="rId8"/>
  <headerFooter>
    <oddHeader>&amp;C&amp;G</oddHeader>
    <oddFooter>&amp;L&amp;"Times New Roman,Bold"&amp;F&amp;R&amp;"Times New Roman,Bold"&amp;P</oddFooter>
  </headerFooter>
  <rowBreaks count="11" manualBreakCount="11">
    <brk id="30" max="7" man="1"/>
    <brk id="53" max="7" man="1"/>
    <brk id="91" max="16383" man="1"/>
    <brk id="133" max="16383" man="1"/>
    <brk id="172" max="7" man="1"/>
    <brk id="222" max="7" man="1"/>
    <brk id="271" max="7" man="1"/>
    <brk id="366" max="7" man="1"/>
    <brk id="435" max="7" man="1"/>
    <brk id="488" max="7" man="1"/>
    <brk id="542" max="7" man="1"/>
  </rowBreaks>
  <drawing r:id="rId9"/>
  <legacyDrawing r:id="rId10"/>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322" t="s">
        <v>111</v>
      </c>
      <c r="B1" s="323"/>
      <c r="C1" s="9" t="s">
        <v>57</v>
      </c>
      <c r="D1" s="9" t="s">
        <v>58</v>
      </c>
      <c r="E1" s="9" t="s">
        <v>59</v>
      </c>
      <c r="F1" s="10" t="s">
        <v>46</v>
      </c>
    </row>
    <row r="2" spans="1:8" x14ac:dyDescent="0.25">
      <c r="A2" s="324"/>
      <c r="B2" s="325"/>
      <c r="C2" s="7">
        <v>0</v>
      </c>
      <c r="D2" s="14">
        <v>1</v>
      </c>
      <c r="E2" s="7">
        <v>0</v>
      </c>
      <c r="F2" s="8">
        <f ca="1">--TRIM(RIGHT(SUBSTITUTE(LEFT(A1,_xlfn.AGGREGATE(16,6,FIND({0,1,2,3,4,5,6,7,8,9},A1,ROW(INDIRECT("1:"&amp;LEN(A1)))),1))," ",REPT(" ",LEN(A1))),LEN(A1)))</f>
        <v>3</v>
      </c>
    </row>
    <row r="3" spans="1:8" x14ac:dyDescent="0.25">
      <c r="A3" s="2" t="s">
        <v>60</v>
      </c>
      <c r="B3" s="3" t="s">
        <v>61</v>
      </c>
      <c r="C3" s="12" t="s">
        <v>62</v>
      </c>
      <c r="D3" s="15" t="s">
        <v>56</v>
      </c>
      <c r="E3" s="326" t="s">
        <v>131</v>
      </c>
      <c r="F3" s="327"/>
      <c r="G3" s="24" t="s">
        <v>63</v>
      </c>
      <c r="H3" s="19">
        <f ca="1">F2*25%</f>
        <v>0.75</v>
      </c>
    </row>
    <row r="4" spans="1:8" x14ac:dyDescent="0.25">
      <c r="A4" s="2" t="s">
        <v>64</v>
      </c>
      <c r="B4" s="4">
        <f ca="1">H5</f>
        <v>3</v>
      </c>
      <c r="C4" s="13">
        <f ca="1">((100/F2)*B4)/100</f>
        <v>1</v>
      </c>
      <c r="D4" s="17" t="str">
        <f ca="1">IF(C13=100%,"All work Completed. Possession granted to the Building.",IF(C12=100%,"All work Completed, Waiting for OC",D10&amp;""&amp;D11&amp;""&amp;D9&amp;""&amp;D12&amp;" "&amp;D13))</f>
        <v xml:space="preserve">Excavation, Plinth, RCC Slab, Brickwork Completed </v>
      </c>
      <c r="E4" s="328" t="str">
        <f ca="1">D4</f>
        <v xml:space="preserve">Excavation, Plinth, RCC Slab, Brickwork Completed </v>
      </c>
      <c r="F4" s="329"/>
      <c r="G4" s="1" t="s">
        <v>65</v>
      </c>
      <c r="H4" s="20">
        <f ca="1">F2*50%</f>
        <v>1.5</v>
      </c>
    </row>
    <row r="5" spans="1:8" x14ac:dyDescent="0.25">
      <c r="A5" s="2" t="s">
        <v>66</v>
      </c>
      <c r="B5" s="5">
        <f ca="1">H13</f>
        <v>3</v>
      </c>
      <c r="C5" s="13">
        <f ca="1">((100/F2)*B5)/100</f>
        <v>1</v>
      </c>
      <c r="D5" s="18"/>
      <c r="E5" s="330"/>
      <c r="F5" s="331"/>
      <c r="G5" s="1" t="s">
        <v>67</v>
      </c>
      <c r="H5" s="20">
        <f ca="1">F2</f>
        <v>3</v>
      </c>
    </row>
    <row r="6" spans="1:8" x14ac:dyDescent="0.25">
      <c r="A6" s="2" t="s">
        <v>68</v>
      </c>
      <c r="B6" s="5">
        <v>4</v>
      </c>
      <c r="C6" s="13">
        <f ca="1">((100/(D2+E2+F2))*B6)/100</f>
        <v>1</v>
      </c>
      <c r="D6" s="18"/>
      <c r="E6" s="330"/>
      <c r="F6" s="331"/>
      <c r="G6" s="1" t="s">
        <v>69</v>
      </c>
      <c r="H6" s="21">
        <f ca="1">(IF(C2&gt;1,(F2/(C2+2)),F2/4))</f>
        <v>0.75</v>
      </c>
    </row>
    <row r="7" spans="1:8" x14ac:dyDescent="0.25">
      <c r="A7" s="2" t="s">
        <v>70</v>
      </c>
      <c r="B7" s="4">
        <v>3</v>
      </c>
      <c r="C7" s="13">
        <f ca="1">((100/F2)*B7)/100</f>
        <v>1</v>
      </c>
      <c r="D7" s="18"/>
      <c r="E7" s="330"/>
      <c r="F7" s="331"/>
      <c r="G7" s="1" t="s">
        <v>71</v>
      </c>
      <c r="H7" s="21">
        <f ca="1">(IF(C2&gt;1,(F2/(C2+2)+H6),F2/4+H6))</f>
        <v>1.5</v>
      </c>
    </row>
    <row r="8" spans="1:8" x14ac:dyDescent="0.25">
      <c r="A8" s="2" t="s">
        <v>72</v>
      </c>
      <c r="B8" s="4">
        <v>0</v>
      </c>
      <c r="C8" s="13">
        <f ca="1">((100/F2)*B8)/100</f>
        <v>0</v>
      </c>
      <c r="D8" s="16">
        <f ca="1">(((B5/F2*10)+(40/(D2+E2+F2)*B6)+(15/(F2)*B7)+(5/(F2)*B8)+(5/F2*B9)+(10/F2*B10)+(5/F2*B11)+(5/F2*B12)+(5/F2*B13))/100)</f>
        <v>0.65</v>
      </c>
      <c r="E8" s="330"/>
      <c r="F8" s="331"/>
      <c r="G8" s="1" t="s">
        <v>73</v>
      </c>
      <c r="H8" s="21">
        <f>(IF(C2&gt;1,(F2/(C2+2)+H7),0))</f>
        <v>0</v>
      </c>
    </row>
    <row r="9" spans="1:8" x14ac:dyDescent="0.25">
      <c r="A9" s="2" t="s">
        <v>74</v>
      </c>
      <c r="B9" s="4">
        <v>0</v>
      </c>
      <c r="C9" s="13">
        <f ca="1">((100/(F2))*B9)/100</f>
        <v>0</v>
      </c>
      <c r="D9" s="1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330"/>
      <c r="F9" s="331"/>
      <c r="G9" s="1" t="s">
        <v>75</v>
      </c>
      <c r="H9" s="21">
        <f>(IF(C2&gt;2,(F2/(C2+2)+H8),0))</f>
        <v>0</v>
      </c>
    </row>
    <row r="10" spans="1:8" x14ac:dyDescent="0.25">
      <c r="A10" s="2" t="s">
        <v>76</v>
      </c>
      <c r="B10" s="4">
        <v>0</v>
      </c>
      <c r="C10" s="13">
        <f ca="1">((100/F2)*B10)/100</f>
        <v>0</v>
      </c>
      <c r="D10" s="18" t="str">
        <f ca="1">IF(C4=100%,"Excavation","")&amp;IF(C5=100%,", Plinth","")&amp;IF(C6=100%,", RCC Slab","")&amp;IF(C7=100%,", Brickwork","")&amp;IF(C8=100%,", Internal Plaster","")&amp;IF(C9=100%,", External Plaster","")&amp;IF(C10=100%,", Flooring","")&amp;IF(C11=100%,", Painting","")&amp;IF(C12=100%,", Building common Amenities","")</f>
        <v>Excavation, Plinth, RCC Slab, Brickwork</v>
      </c>
      <c r="E10" s="330"/>
      <c r="F10" s="331"/>
      <c r="G10" s="1" t="s">
        <v>77</v>
      </c>
      <c r="H10" s="22">
        <f>(IF(C2&gt;3,(F2/(C2+2)+H9),0))</f>
        <v>0</v>
      </c>
    </row>
    <row r="11" spans="1:8" x14ac:dyDescent="0.25">
      <c r="A11" s="2" t="s">
        <v>78</v>
      </c>
      <c r="B11" s="4">
        <v>0</v>
      </c>
      <c r="C11" s="13">
        <f ca="1">((100/F2)*B11)/100</f>
        <v>0</v>
      </c>
      <c r="D11" s="18" t="str">
        <f ca="1">IF(D10&lt;&gt;""," Completed","")</f>
        <v xml:space="preserve"> Completed</v>
      </c>
      <c r="E11" s="330"/>
      <c r="F11" s="331"/>
      <c r="G11" s="1" t="s">
        <v>79</v>
      </c>
      <c r="H11" s="21">
        <f>(IF(C2&gt;4,(F2/(C2+2)+H10),0))</f>
        <v>0</v>
      </c>
    </row>
    <row r="12" spans="1:8" x14ac:dyDescent="0.25">
      <c r="A12" s="2" t="s">
        <v>80</v>
      </c>
      <c r="B12" s="4">
        <v>0</v>
      </c>
      <c r="C12" s="13">
        <f ca="1">((100/(F2))*B12)/100</f>
        <v>0</v>
      </c>
      <c r="D12" s="1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330"/>
      <c r="F12" s="331"/>
      <c r="G12" s="1" t="s">
        <v>81</v>
      </c>
      <c r="H12" s="21">
        <f ca="1">(IF(C2=1,(F2/(C2+3)+H7),IF(C2=0,(F2/4+H7),IF(C2&gt;1,0))))</f>
        <v>2.25</v>
      </c>
    </row>
    <row r="13" spans="1:8" ht="15.75" thickBot="1" x14ac:dyDescent="0.3">
      <c r="A13" s="26" t="s">
        <v>82</v>
      </c>
      <c r="B13" s="27">
        <v>0</v>
      </c>
      <c r="C13" s="28">
        <f ca="1">((100/(F2))*B13)/100</f>
        <v>0</v>
      </c>
      <c r="D13" s="29" t="str">
        <f ca="1">IF(D12&lt;&gt;"","Completed","")</f>
        <v/>
      </c>
      <c r="E13" s="332"/>
      <c r="F13" s="333"/>
      <c r="G13" s="25" t="s">
        <v>83</v>
      </c>
      <c r="H13" s="23">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VSJC-06</cp:lastModifiedBy>
  <cp:lastPrinted>2025-09-26T09:12:16Z</cp:lastPrinted>
  <dcterms:created xsi:type="dcterms:W3CDTF">2019-01-21T04:29:02Z</dcterms:created>
  <dcterms:modified xsi:type="dcterms:W3CDTF">2025-09-26T09:21:33Z</dcterms:modified>
</cp:coreProperties>
</file>