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4" i="1" l="1"/>
  <c r="D164" i="1"/>
  <c r="E163" i="1"/>
  <c r="D163" i="1"/>
  <c r="E162" i="1"/>
  <c r="D162" i="1"/>
  <c r="F162" i="1" s="1"/>
  <c r="H162" i="1" s="1"/>
  <c r="F163" i="1" l="1"/>
  <c r="H163" i="1" s="1"/>
  <c r="F164" i="1"/>
  <c r="H164" i="1" s="1"/>
  <c r="D154" i="1"/>
  <c r="D149" i="1"/>
  <c r="D133" i="1"/>
  <c r="E133" i="1"/>
  <c r="D132" i="1"/>
  <c r="D131" i="1"/>
  <c r="I107" i="1" l="1"/>
  <c r="E185" i="1"/>
  <c r="D185" i="1"/>
  <c r="E184" i="1"/>
  <c r="D184" i="1"/>
  <c r="E183" i="1"/>
  <c r="D183" i="1"/>
  <c r="E182" i="1"/>
  <c r="D182" i="1"/>
  <c r="E179" i="1"/>
  <c r="D179" i="1"/>
  <c r="E178" i="1"/>
  <c r="D178" i="1"/>
  <c r="D176" i="1"/>
  <c r="D175" i="1"/>
  <c r="D174" i="1"/>
  <c r="D173" i="1"/>
  <c r="D172" i="1"/>
  <c r="D171" i="1"/>
  <c r="D170" i="1"/>
  <c r="D169" i="1"/>
  <c r="D168" i="1"/>
  <c r="D167" i="1"/>
  <c r="D166" i="1"/>
  <c r="E160" i="1"/>
  <c r="D160" i="1"/>
  <c r="E159" i="1"/>
  <c r="D159" i="1"/>
  <c r="E158" i="1"/>
  <c r="D158" i="1"/>
  <c r="E156" i="1"/>
  <c r="D156" i="1"/>
  <c r="E155" i="1"/>
  <c r="D155" i="1"/>
  <c r="E154" i="1"/>
  <c r="E152" i="1"/>
  <c r="D152" i="1"/>
  <c r="E151" i="1"/>
  <c r="D151" i="1"/>
  <c r="E150" i="1"/>
  <c r="D150" i="1"/>
  <c r="E149" i="1"/>
  <c r="E146" i="1"/>
  <c r="D146" i="1"/>
  <c r="E145" i="1"/>
  <c r="D145" i="1"/>
  <c r="D143" i="1"/>
  <c r="E142" i="1"/>
  <c r="D142" i="1"/>
  <c r="E141" i="1"/>
  <c r="D141" i="1"/>
  <c r="D139" i="1"/>
  <c r="E138" i="1"/>
  <c r="D138" i="1"/>
  <c r="E137" i="1"/>
  <c r="D137" i="1"/>
  <c r="E136" i="1"/>
  <c r="D136" i="1"/>
  <c r="D134" i="1"/>
  <c r="E132" i="1"/>
  <c r="E131" i="1"/>
  <c r="A183" i="1"/>
  <c r="A184" i="1" s="1"/>
  <c r="A185" i="1" s="1"/>
  <c r="F182" i="1" l="1"/>
  <c r="H182" i="1" s="1"/>
  <c r="F184" i="1"/>
  <c r="H184" i="1" s="1"/>
  <c r="F183" i="1"/>
  <c r="H183" i="1" s="1"/>
  <c r="F185" i="1"/>
  <c r="H185" i="1" s="1"/>
  <c r="F178" i="1"/>
  <c r="H178" i="1" s="1"/>
  <c r="F179" i="1"/>
  <c r="H179" i="1" s="1"/>
  <c r="A179" i="1"/>
  <c r="F167" i="1"/>
  <c r="H167" i="1" s="1"/>
  <c r="F168" i="1"/>
  <c r="H168" i="1" s="1"/>
  <c r="F169" i="1"/>
  <c r="H169" i="1" s="1"/>
  <c r="F170" i="1"/>
  <c r="H170" i="1" s="1"/>
  <c r="F171" i="1"/>
  <c r="H171" i="1" s="1"/>
  <c r="F172" i="1"/>
  <c r="H172" i="1" s="1"/>
  <c r="F173" i="1"/>
  <c r="H173" i="1" s="1"/>
  <c r="F174" i="1"/>
  <c r="H174" i="1" s="1"/>
  <c r="F175" i="1"/>
  <c r="H175" i="1" s="1"/>
  <c r="F176" i="1"/>
  <c r="H176" i="1" s="1"/>
  <c r="F166" i="1"/>
  <c r="I174" i="1"/>
  <c r="I166" i="1"/>
  <c r="A167" i="1"/>
  <c r="A168" i="1" s="1"/>
  <c r="A169" i="1" s="1"/>
  <c r="A170" i="1" s="1"/>
  <c r="A171" i="1" s="1"/>
  <c r="A172" i="1" s="1"/>
  <c r="A173" i="1" s="1"/>
  <c r="A174" i="1" s="1"/>
  <c r="A175" i="1" s="1"/>
  <c r="A176" i="1" s="1"/>
  <c r="F158" i="1"/>
  <c r="H158" i="1" s="1"/>
  <c r="F159" i="1"/>
  <c r="H159" i="1" s="1"/>
  <c r="A159" i="1"/>
  <c r="A160" i="1" s="1"/>
  <c r="F154" i="1"/>
  <c r="H154" i="1" s="1"/>
  <c r="A155" i="1"/>
  <c r="A156" i="1" s="1"/>
  <c r="A150" i="1"/>
  <c r="A151" i="1" s="1"/>
  <c r="A152" i="1" s="1"/>
  <c r="A146" i="1"/>
  <c r="F142" i="1"/>
  <c r="H142" i="1" s="1"/>
  <c r="F143" i="1"/>
  <c r="H143" i="1" s="1"/>
  <c r="A142" i="1"/>
  <c r="A143" i="1" s="1"/>
  <c r="F137" i="1"/>
  <c r="H137" i="1" s="1"/>
  <c r="F139" i="1"/>
  <c r="H139" i="1" s="1"/>
  <c r="A137" i="1"/>
  <c r="A138" i="1" s="1"/>
  <c r="A139" i="1" s="1"/>
  <c r="F136" i="1"/>
  <c r="H136" i="1" s="1"/>
  <c r="G51" i="1"/>
  <c r="E43" i="1"/>
  <c r="H166" i="1" l="1"/>
  <c r="G111" i="1" s="1"/>
  <c r="G112" i="1" s="1"/>
  <c r="C111" i="1"/>
  <c r="C112" i="1" s="1"/>
  <c r="E111" i="1"/>
  <c r="E112" i="1" s="1"/>
  <c r="F160" i="1"/>
  <c r="H160" i="1" s="1"/>
  <c r="F141" i="1"/>
  <c r="H141" i="1" s="1"/>
  <c r="F146" i="1"/>
  <c r="H146" i="1" s="1"/>
  <c r="F151" i="1"/>
  <c r="H151" i="1" s="1"/>
  <c r="F138" i="1"/>
  <c r="H138" i="1" s="1"/>
  <c r="F155" i="1"/>
  <c r="H155" i="1" s="1"/>
  <c r="F145" i="1"/>
  <c r="H145" i="1" s="1"/>
  <c r="F156" i="1"/>
  <c r="H156" i="1" s="1"/>
  <c r="J156" i="1" s="1"/>
  <c r="F150" i="1"/>
  <c r="H150" i="1" s="1"/>
  <c r="J150" i="1" s="1"/>
  <c r="F149" i="1"/>
  <c r="H149" i="1" s="1"/>
  <c r="F131" i="1"/>
  <c r="H131" i="1" l="1"/>
  <c r="F121" i="1"/>
  <c r="H121" i="1" s="1"/>
  <c r="F122" i="1"/>
  <c r="H122" i="1" s="1"/>
  <c r="F123" i="1"/>
  <c r="H123" i="1" s="1"/>
  <c r="F120" i="1"/>
  <c r="H120" i="1" s="1"/>
  <c r="B188" i="1" l="1"/>
  <c r="G58" i="1" l="1"/>
  <c r="C58" i="1"/>
  <c r="G56" i="1"/>
  <c r="C56" i="1"/>
  <c r="C54" i="1"/>
  <c r="S33" i="1" l="1"/>
  <c r="F11" i="5" l="1"/>
  <c r="G11" i="5" s="1"/>
  <c r="F10" i="5"/>
  <c r="G10" i="5" s="1"/>
  <c r="F9" i="5"/>
  <c r="G9" i="5" s="1"/>
  <c r="F8" i="5"/>
  <c r="G8" i="5" s="1"/>
  <c r="F7" i="5"/>
  <c r="G7" i="5" s="1"/>
  <c r="F6" i="5"/>
  <c r="G6" i="5" s="1"/>
  <c r="F5" i="5"/>
  <c r="G5" i="5" s="1"/>
  <c r="G12" i="5" s="1"/>
  <c r="D213" i="1"/>
  <c r="B189" i="1"/>
  <c r="F152" i="1"/>
  <c r="H152" i="1" s="1"/>
  <c r="F134" i="1"/>
  <c r="H134" i="1" s="1"/>
  <c r="F133" i="1"/>
  <c r="H133" i="1" s="1"/>
  <c r="F132" i="1"/>
  <c r="A132" i="1"/>
  <c r="A133" i="1" s="1"/>
  <c r="A134" i="1" s="1"/>
  <c r="A121" i="1"/>
  <c r="A122" i="1" s="1"/>
  <c r="A123" i="1" s="1"/>
  <c r="F99" i="1"/>
  <c r="C73" i="1"/>
  <c r="D67" i="1"/>
  <c r="C51" i="1"/>
  <c r="E44" i="1"/>
  <c r="E45" i="1" s="1"/>
  <c r="E31" i="1"/>
  <c r="E28" i="1"/>
  <c r="E26" i="1"/>
  <c r="C16" i="1"/>
  <c r="I15" i="1"/>
  <c r="Z13" i="1"/>
  <c r="E8" i="1"/>
  <c r="E3" i="1"/>
  <c r="H74" i="1"/>
  <c r="E107" i="1" l="1"/>
  <c r="E108" i="1" s="1"/>
  <c r="E113" i="1" s="1"/>
  <c r="C107" i="1"/>
  <c r="C108" i="1" s="1"/>
  <c r="C113" i="1" s="1"/>
  <c r="H132" i="1"/>
  <c r="G107" i="1" s="1"/>
  <c r="G108" i="1" s="1"/>
  <c r="G113"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<sst xmlns="http://schemas.openxmlformats.org/spreadsheetml/2006/main" count="632" uniqueCount="371">
  <si>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</si>
  <si>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</si>
  <si>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</si>
  <si>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</si>
  <si>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</si>
  <si>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</si>
  <si>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</si>
  <si>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</si>
  <si>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</si>
  <si>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</si>
  <si>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</si>
  <si>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</si>
  <si>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</si>
  <si>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</si>
  <si>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</si>
  <si>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</si>
  <si>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</si>
  <si>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</si>
  <si>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</si>
  <si>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</si>
  <si>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</si>
  <si>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</si>
  <si>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</si>
  <si>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</si>
  <si>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</si>
  <si>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</si>
  <si>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</si>
  <si>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</si>
  <si>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</si>
  <si>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</si>
  <si>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</si>
  <si>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</si>
  <si>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</si>
  <si>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</si>
  <si>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</si>
  <si>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</si>
  <si>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</si>
  <si>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</si>
  <si>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</si>
  <si>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</si>
  <si>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</si>
  <si>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</si>
  <si>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</si>
  <si>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</si>
  <si>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</si>
  <si>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</si>
  <si>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</si>
  <si>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</si>
  <si>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</si>
  <si>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</si>
  <si>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</si>
  <si>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</si>
  <si>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</si>
  <si>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</si>
  <si>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</si>
  <si>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</si>
  <si>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</si>
  <si>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</si>
  <si>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</si>
  <si>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</si>
  <si>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</si>
  <si>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</si>
  <si>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</si>
  <si>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</si>
  <si>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</si>
  <si>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</si>
  <si>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</si>
  <si>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</si>
  <si>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</si>
  <si>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</si>
  <si>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</si>
  <si>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</si>
  <si>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</si>
  <si>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</si>
  <si>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</si>
  <si>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</si>
  <si>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</si>
  <si>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</si>
  <si>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</si>
  <si>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</si>
  <si>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</si>
  <si>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</si>
  <si>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</si>
  <si>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</si>
  <si>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</si>
  <si>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</si>
  <si>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</si>
  <si>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</si>
  <si>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</si>
  <si>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</si>
  <si>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</si>
  <si>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</si>
  <si>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</si>
  <si>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</si>
  <si>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</si>
  <si>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</si>
  <si>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</si>
  <si>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</si>
  <si>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</si>
  <si>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</si>
  <si>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</si>
  <si>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</si>
  <si>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</si>
  <si>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</si>
  <si>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</si>
  <si>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</si>
  <si>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</si>
  <si>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</si>
  <si>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</si>
  <si>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</si>
  <si>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</si>
  <si>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</si>
  <si>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</si>
  <si>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</si>
  <si>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</si>
  <si>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</si>
  <si>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</si>
  <si>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</si>
  <si>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</si>
  <si>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</si>
  <si>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</si>
  <si>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</si>
  <si>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</si>
  <si>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</si>
  <si>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</si>
  <si>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</si>
  <si>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</si>
  <si>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</si>
  <si>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</si>
  <si>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</si>
  <si>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</si>
  <si>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</si>
  <si>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</si>
  <si>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</si>
  <si>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</si>
  <si>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</si>
  <si>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</si>
  <si>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</si>
  <si>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</si>
  <si>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</si>
  <si>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</si>
  <si>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</si>
  <si>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</si>
  <si>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</si>
  <si>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</si>
  <si>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</si>
  <si>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</si>
  <si>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</si>
  <si>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</si>
  <si>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</si>
  <si>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</si>
  <si>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</si>
  <si>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</si>
  <si>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</si>
  <si>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</si>
  <si>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</si>
  <si>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</si>
  <si>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</si>
  <si>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</si>
  <si>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</si>
  <si>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</si>
  <si>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</si>
  <si>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</si>
  <si>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</si>
  <si>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</si>
  <si>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</si>
  <si>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</si>
  <si>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</si>
  <si>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</si>
  <si>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</si>
  <si>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</si>
  <si>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</si>
  <si>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</si>
  <si>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</si>
  <si>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</si>
  <si>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</si>
  <si>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</si>
  <si>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</si>
  <si>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</si>
  <si>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</si>
  <si>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</si>
  <si>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</si>
  <si>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</si>
  <si>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</si>
  <si>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</si>
  <si>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</si>
  <si>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</si>
  <si>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</si>
  <si>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</si>
  <si>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</si>
  <si>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</si>
  <si>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</si>
  <si>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</si>
  <si>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</si>
  <si>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</si>
  <si>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</si>
  <si>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</si>
  <si>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</si>
  <si>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</si>
  <si>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</si>
  <si>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</si>
  <si>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</si>
  <si>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</si>
  <si>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</si>
  <si>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</si>
  <si>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</si>
  <si>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</si>
  <si>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</si>
  <si>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</si>
  <si>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</si>
  <si>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</si>
  <si>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</si>
  <si>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</si>
  <si>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</si>
  <si>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</si>
  <si>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</si>
  <si>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</si>
  <si>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</si>
  <si>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</si>
  <si>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</si>
  <si>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</si>
  <si>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</si>
  <si>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</si>
  <si>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</si>
  <si>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</si>
  <si>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</si>
  <si>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</si>
  <si>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</si>
  <si>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</si>
  <si>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</si>
  <si>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</si>
  <si>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</si>
  <si>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</si>
  <si>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</si>
  <si>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</si>
  <si>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</si>
  <si>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</si>
  <si>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</si>
  <si>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</si>
  <si>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</si>
  <si>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</si>
  <si>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</si>
  <si>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</si>
  <si>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</si>
  <si>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</si>
  <si>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</si>
  <si>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</si>
  <si>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</si>
  <si>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</si>
  <si>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</si>
  <si>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</si>
  <si>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</si>
  <si>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</si>
  <si>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</si>
  <si>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</si>
  <si>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</si>
  <si>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</si>
  <si>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</si>
  <si>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</si>
  <si>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</si>
  <si>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</si>
  <si>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</si>
  <si>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</si>
  <si>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</si>
  <si>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</si>
  <si>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</si>
  <si>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</si>
  <si>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</si>
  <si>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</si>
  <si>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</si>
  <si>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</si>
  <si>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</si>
  <si>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</si>
  <si>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</si>
  <si>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</si>
  <si>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</si>
  <si>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</si>
  <si>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</si>
  <si>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</si>
  <si>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</si>
  <si>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</si>
  <si>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</si>
  <si>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</si>
  <si>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</si>
  <si>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</si>
  <si>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</si>
  <si>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</si>
  <si>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</si>
  <si>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</si>
  <si>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</si>
  <si>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</si>
  <si>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</si>
  <si>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</si>
  <si>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</si>
  <si>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</si>
  <si>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Jalaram Icon LLP</t>
  </si>
  <si>
    <t>Landmark</t>
  </si>
  <si>
    <t>P51800046476</t>
  </si>
  <si>
    <t>Mulund (W)</t>
  </si>
  <si>
    <t>Landmark Co-operative Housing Society Ltd.</t>
  </si>
  <si>
    <t>P&amp;T Staff Colony</t>
  </si>
  <si>
    <t>19.176557,72.944332</t>
  </si>
  <si>
    <t>https://maps.app.goo.gl/7jiptwaFsXYGfdNUA</t>
  </si>
  <si>
    <t>Ambe Asirwad Apartment</t>
  </si>
  <si>
    <t>1.5 KM from Mulund Railway Station</t>
  </si>
  <si>
    <t>Mulund West</t>
  </si>
  <si>
    <t>Chandrakant Kotecha Road/Ambe Asirwad Apartment</t>
  </si>
  <si>
    <t>DC Das Road &amp; Chandrakant Kotecha Road</t>
  </si>
  <si>
    <t>DC Das Road/Anand Building</t>
  </si>
  <si>
    <t>C.T.S No.1050</t>
  </si>
  <si>
    <t>7.65 M. W. Chandrakant Kotecha Road</t>
  </si>
  <si>
    <t>12.10 M. W. Deshbandhu Chittranjan Das Road</t>
  </si>
  <si>
    <t>C.T.S No.1104 &amp; C.T.S No.1103</t>
  </si>
  <si>
    <t>SRA/ENG/T/PVT/0018/20211217/AP</t>
  </si>
  <si>
    <t>T/PVT/0118/20211217/AP</t>
  </si>
  <si>
    <t>Approved Sale Builttup Area of Building (Sq.Mt)</t>
  </si>
  <si>
    <t>Gr + 1P to 3P + 4th to 19th Floor</t>
  </si>
  <si>
    <r>
      <t xml:space="preserve">Proposed Amenities :                                                                                                                                                                                                                         </t>
    </r>
    <r>
      <rPr>
        <b/>
        <sz val="12"/>
        <color theme="1"/>
        <rFont val="Times New Roman"/>
        <family val="1"/>
      </rPr>
      <t xml:space="preserve">                                               </t>
    </r>
  </si>
  <si>
    <t>Gymnasium, Kids Play Area, Outdoor Seating, Landscape Area, Indoor Game, Yoga Deck, High Speed Elevators, Individual Ramp Parking, etc.</t>
  </si>
  <si>
    <t>Ground Floor For Entrance Lobby &amp; Parking</t>
  </si>
  <si>
    <t>1st &amp; 2nd Podium Floor For Parking</t>
  </si>
  <si>
    <t>3rd Podium Floor For Space For D.G Set, Meter Room, Fitness Center, Society Office, Space For Electric Sub Station &amp; Recreational Ground</t>
  </si>
  <si>
    <t>2BHK</t>
  </si>
  <si>
    <t>3.5BHK</t>
  </si>
  <si>
    <t>Deck + Balcony Area</t>
  </si>
  <si>
    <t>Sale / PTC</t>
  </si>
  <si>
    <t>Sale</t>
  </si>
  <si>
    <t>3BHK</t>
  </si>
  <si>
    <t>5.5BHK</t>
  </si>
  <si>
    <t>-</t>
  </si>
  <si>
    <t>4BHK</t>
  </si>
  <si>
    <t>Refuge Area</t>
  </si>
  <si>
    <t>6.5BHK</t>
  </si>
  <si>
    <t>4.5BHK</t>
  </si>
  <si>
    <t>PTC</t>
  </si>
  <si>
    <t>1BHK</t>
  </si>
  <si>
    <t>7.5BHK</t>
  </si>
  <si>
    <t>We considered Gross carpet area = Net carpet + Deck + Balcony Area</t>
  </si>
  <si>
    <t xml:space="preserve">Details of Residential in Building   </t>
  </si>
  <si>
    <t>Residential Area Details : PTC</t>
  </si>
  <si>
    <t>Residential Area Details : Sale</t>
  </si>
  <si>
    <t>Sale Flats - 35, PTC Flats - 55</t>
  </si>
  <si>
    <t>Open Plot</t>
  </si>
  <si>
    <t>This C.C is extended as further C.C from ground to 13th, 15th &amp; 18th upper Floors including brickwork &amp; plaster and only RCC framework to 14th, 16th, 17th &amp; 19th upper floors including OHWT &amp; LMH above terrace flooor as per amended approved plans dated 20/12/2022.</t>
  </si>
  <si>
    <t>1049,  Redevelopement of "Landmark Co-operative Housing Society Ltd."</t>
  </si>
  <si>
    <t>5BHK</t>
  </si>
  <si>
    <t>4th Floor For Residential (1st Floor As per Builder)</t>
  </si>
  <si>
    <t>5th Floor (2nd Floor As per Builder)</t>
  </si>
  <si>
    <t>6th Floor (3rd Floor As per Builder)</t>
  </si>
  <si>
    <t>7th Floor (Part Refuge Area) (4th Floor As per Builder)</t>
  </si>
  <si>
    <t>8th Floor (5th Floor As per Builder)</t>
  </si>
  <si>
    <t>9th Floor (6th Floor As per Builder)</t>
  </si>
  <si>
    <t>14th Floor For (Part Refuge Area) (11th Floor As per Builder)</t>
  </si>
  <si>
    <t>19th Floor (16th Floor As per Builder)</t>
  </si>
  <si>
    <t>11th to 13th, (8th to 10th Floor As per Builder)
15th (12th Floor As per Builder)&amp; 
18th Floor (15th Floor As per Builder)</t>
  </si>
  <si>
    <t>As per builder letter we have updated floor numbering.</t>
  </si>
  <si>
    <t xml:space="preserve"> 16th Floor (13th Floor As per Builder)</t>
  </si>
  <si>
    <t>10th &amp; 17th Floor (7th &amp; 14th Floor As per Builder)</t>
  </si>
  <si>
    <t>1601 
(As per sale plan 1303)</t>
  </si>
  <si>
    <t>1602
(As per sale plan 1304)</t>
  </si>
  <si>
    <t>1603
(As per sale plan 1301/1302)</t>
  </si>
  <si>
    <t>Consider only the 16th floor (i.e 13th floor according to the builder) for APF valuation. We have given flat no as per Builder letter provided to us for 16th Floor.</t>
  </si>
  <si>
    <t>Builder Letter:-</t>
  </si>
  <si>
    <t>Office No. 1031, Wing J, Akshar Business Park, Plot No. 03 Sector 25, Near APMC Market, 
Vashi, Navi Mumbai, Maharashtra 400703 TEL: 022-46090378/79/80                                                                       
E mail : vsjcapf@gmail.com. Web site : www.vsjadon.com</t>
  </si>
  <si>
    <t>Construction work is in process at the time of Visit. (Internal photographs not allowed.)</t>
  </si>
  <si>
    <t>Shruti Tathare</t>
  </si>
  <si>
    <t>Mr. Niraj 9022555685</t>
  </si>
  <si>
    <t>Finishing work is in process. Internal photographs not allowed.</t>
  </si>
  <si>
    <t>As per RERA -  30/06/2026</t>
  </si>
  <si>
    <t>Please Provide Revised approved Plans.</t>
  </si>
  <si>
    <t>Pravin Mestri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</si>
</sst>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6" fillId="0" borderId="25"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7" fillId="0" borderId="13"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6" fillId="0" borderId="7" xfId="1" applyNumberFormat="1" applyFont="1" applyBorder="1" applyAlignment="1" applyProtection="1">
      <alignment horizontal="center" vertical="center" wrapText="1"/>
      <protection locked="0"/>
    </xf>
    <xf numFmtId="14" fontId="7" fillId="0" borderId="0" xfId="1" applyNumberFormat="1" applyFont="1"/>
    <xf numFmtId="1" fontId="7"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9" fontId="10" fillId="0" borderId="13"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2" xfId="0" applyFont="1" applyFill="1" applyBorder="1"/>
    <xf numFmtId="0" fontId="26" fillId="0" borderId="8" xfId="0" applyFont="1" applyBorder="1"/>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 fontId="17" fillId="0" borderId="7"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18" xfId="0"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6" fillId="0" borderId="18"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3"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13" fillId="0" borderId="7" xfId="1" applyFont="1" applyBorder="1" applyAlignment="1" applyProtection="1">
      <alignment horizontal="center" vertical="top"/>
      <protection locked="0"/>
    </xf>
    <xf numFmtId="0" fontId="13" fillId="0" borderId="18"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18"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 fontId="6" fillId="0" borderId="2"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12" fillId="0" borderId="15" xfId="1" applyFont="1" applyBorder="1" applyAlignment="1" applyProtection="1">
      <alignment horizontal="left"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6" fillId="0" borderId="7"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3"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0" fontId="8" fillId="0" borderId="13"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1" fontId="10" fillId="0" borderId="18"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0" fillId="0" borderId="7"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1" fontId="10" fillId="0" borderId="7" xfId="0" applyNumberFormat="1"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1" fontId="8" fillId="0" borderId="7"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7" fillId="0" borderId="0" xfId="0" applyFont="1" applyAlignment="1">
      <alignment horizontal="left"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792257</xdr:colOff>
      <xdr:row>8</xdr:row>
      <xdr:rowOff>78441</xdr:rowOff>
    </xdr:from>
    <xdr:to>
      <xdr:col>14</xdr:col>
      <xdr:colOff>77468</xdr:colOff>
      <xdr:row>23</xdr:row>
      <xdr:rowOff>165986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101169" y="2073088"/>
          <a:ext cx="4473534" cy="4152796"/>
        </a:xfrm>
        <a:prstGeom prst="rect">
          <a:avLst/>
        </a:prstGeom>
      </xdr:spPr>
    </xdr:pic>
    <xdr:clientData/>
  </xdr:twoCellAnchor>
  <xdr:twoCellAnchor editAs="oneCell">
    <xdr:from>
      <xdr:col>1</xdr:col>
      <xdr:colOff>26625</xdr:colOff>
      <xdr:row>345</xdr:row>
      <xdr:rowOff>133351</xdr:rowOff>
    </xdr:from>
    <xdr:to>
      <xdr:col>6</xdr:col>
      <xdr:colOff>250875</xdr:colOff>
      <xdr:row>360</xdr:row>
      <xdr:rowOff>164670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
        <a:srcRect t="9467" r="2797"/>
        <a:stretch/>
      </xdr:blipFill>
      <xdr:spPr>
        <a:xfrm>
          <a:off x="788625" y="57783414"/>
          <a:ext cx="4320000" cy="2888819"/>
        </a:xfrm>
        <a:prstGeom prst="rect">
          <a:avLst/>
        </a:prstGeom>
        <a:ln w="9525">
          <a:solidFill>
            <a:schemeClr val="tx1"/>
          </a:solidFill>
        </a:ln>
      </xdr:spPr>
    </xdr:pic>
    <xdr:clientData/>
  </xdr:twoCellAnchor>
  <xdr:twoCellAnchor editAs="oneCell">
    <xdr:from>
      <xdr:col>0</xdr:col>
      <xdr:colOff>571501</xdr:colOff>
      <xdr:row>361</xdr:row>
      <xdr:rowOff>181579</xdr:rowOff>
    </xdr:from>
    <xdr:to>
      <xdr:col>6</xdr:col>
      <xdr:colOff>519699</xdr:colOff>
      <xdr:row>382</xdr:row>
      <xdr:rowOff>116122</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stretch>
          <a:fillRect/>
        </a:stretch>
      </xdr:blipFill>
      <xdr:spPr>
        <a:xfrm>
          <a:off x="571501" y="60879642"/>
          <a:ext cx="4805948" cy="3935044"/>
        </a:xfrm>
        <a:prstGeom prst="rect">
          <a:avLst/>
        </a:prstGeom>
        <a:ln w="9525">
          <a:solidFill>
            <a:schemeClr val="tx1"/>
          </a:solidFill>
        </a:ln>
      </xdr:spPr>
    </xdr:pic>
    <xdr:clientData/>
  </xdr:twoCellAnchor>
  <xdr:twoCellAnchor editAs="oneCell">
    <xdr:from>
      <xdr:col>8</xdr:col>
      <xdr:colOff>324557</xdr:colOff>
      <xdr:row>126</xdr:row>
      <xdr:rowOff>12547</xdr:rowOff>
    </xdr:from>
    <xdr:to>
      <xdr:col>13</xdr:col>
      <xdr:colOff>318950</xdr:colOff>
      <xdr:row>143</xdr:row>
      <xdr:rowOff>157561</xdr:rowOff>
    </xdr:to>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4"/>
        <a:stretch>
          <a:fillRect/>
        </a:stretch>
      </xdr:blipFill>
      <xdr:spPr>
        <a:xfrm>
          <a:off x="6636888" y="24107568"/>
          <a:ext cx="4329075" cy="3753212"/>
        </a:xfrm>
        <a:prstGeom prst="rect">
          <a:avLst/>
        </a:prstGeom>
      </xdr:spPr>
    </xdr:pic>
    <xdr:clientData/>
  </xdr:twoCellAnchor>
  <xdr:twoCellAnchor>
    <xdr:from>
      <xdr:col>3</xdr:col>
      <xdr:colOff>561975</xdr:colOff>
      <xdr:row>372</xdr:row>
      <xdr:rowOff>171450</xdr:rowOff>
    </xdr:from>
    <xdr:to>
      <xdr:col>4</xdr:col>
      <xdr:colOff>152400</xdr:colOff>
      <xdr:row>375</xdr:row>
      <xdr:rowOff>9524</xdr:rowOff>
    </xdr:to>
    <xdr:sp macro="" textlink="">
      <xdr:nvSpPr>
        <xdr:cNvPr id="43" name="Rectangle 42">
          <a:extLst>
            <a:ext uri="{FF2B5EF4-FFF2-40B4-BE49-F238E27FC236}">
              <a16:creationId xmlns:a16="http://schemas.microsoft.com/office/drawing/2014/main" xmlns="" id="{00000000-0008-0000-0000-00002B000000}"/>
            </a:ext>
          </a:extLst>
        </xdr:cNvPr>
        <xdr:cNvSpPr/>
      </xdr:nvSpPr>
      <xdr:spPr>
        <a:xfrm>
          <a:off x="2971800" y="65093850"/>
          <a:ext cx="504825" cy="43814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2</xdr:col>
      <xdr:colOff>89941</xdr:colOff>
      <xdr:row>257</xdr:row>
      <xdr:rowOff>133349</xdr:rowOff>
    </xdr:from>
    <xdr:ext cx="2781361" cy="2721572"/>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5"/>
        <a:stretch>
          <a:fillRect/>
        </a:stretch>
      </xdr:blipFill>
      <xdr:spPr>
        <a:xfrm>
          <a:off x="1647844" y="58550658"/>
          <a:ext cx="2781361" cy="2721572"/>
        </a:xfrm>
        <a:prstGeom prst="rect">
          <a:avLst/>
        </a:prstGeom>
        <a:ln w="9525">
          <a:solidFill>
            <a:schemeClr val="tx1"/>
          </a:solidFill>
        </a:ln>
      </xdr:spPr>
    </xdr:pic>
    <xdr:clientData/>
  </xdr:oneCellAnchor>
  <xdr:oneCellAnchor>
    <xdr:from>
      <xdr:col>1</xdr:col>
      <xdr:colOff>251979</xdr:colOff>
      <xdr:row>271</xdr:row>
      <xdr:rowOff>185272</xdr:rowOff>
    </xdr:from>
    <xdr:ext cx="3994708" cy="4656077"/>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rotWithShape="1">
        <a:blip xmlns:r="http://schemas.openxmlformats.org/officeDocument/2006/relationships" r:embed="rId6"/>
        <a:srcRect t="1129"/>
        <a:stretch/>
      </xdr:blipFill>
      <xdr:spPr>
        <a:xfrm>
          <a:off x="1010750" y="61427793"/>
          <a:ext cx="3994708" cy="4656077"/>
        </a:xfrm>
        <a:prstGeom prst="rect">
          <a:avLst/>
        </a:prstGeom>
        <a:ln w="9525">
          <a:solidFill>
            <a:schemeClr val="tx1"/>
          </a:solidFill>
        </a:ln>
      </xdr:spPr>
    </xdr:pic>
    <xdr:clientData/>
  </xdr:oneCellAnchor>
  <xdr:twoCellAnchor editAs="oneCell">
    <xdr:from>
      <xdr:col>1</xdr:col>
      <xdr:colOff>698892</xdr:colOff>
      <xdr:row>300</xdr:row>
      <xdr:rowOff>101561</xdr:rowOff>
    </xdr:from>
    <xdr:to>
      <xdr:col>7</xdr:col>
      <xdr:colOff>94203</xdr:colOff>
      <xdr:row>326</xdr:row>
      <xdr:rowOff>98288</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7"/>
        <a:stretch>
          <a:fillRect/>
        </a:stretch>
      </xdr:blipFill>
      <xdr:spPr>
        <a:xfrm>
          <a:off x="1460892" y="62966561"/>
          <a:ext cx="4209766" cy="5400000"/>
        </a:xfrm>
        <a:prstGeom prst="rect">
          <a:avLst/>
        </a:prstGeom>
        <a:ln>
          <a:solidFill>
            <a:schemeClr val="tx1"/>
          </a:solidFill>
        </a:ln>
      </xdr:spPr>
    </xdr:pic>
    <xdr:clientData/>
  </xdr:twoCellAnchor>
  <xdr:twoCellAnchor editAs="oneCell">
    <xdr:from>
      <xdr:col>2</xdr:col>
      <xdr:colOff>242456</xdr:colOff>
      <xdr:row>326</xdr:row>
      <xdr:rowOff>138544</xdr:rowOff>
    </xdr:from>
    <xdr:to>
      <xdr:col>6</xdr:col>
      <xdr:colOff>385380</xdr:colOff>
      <xdr:row>343</xdr:row>
      <xdr:rowOff>133636</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8"/>
        <a:stretch>
          <a:fillRect/>
        </a:stretch>
      </xdr:blipFill>
      <xdr:spPr>
        <a:xfrm>
          <a:off x="1801092" y="68406817"/>
          <a:ext cx="3433379" cy="3528000"/>
        </a:xfrm>
        <a:prstGeom prst="rect">
          <a:avLst/>
        </a:prstGeom>
        <a:ln>
          <a:solidFill>
            <a:schemeClr val="tx1"/>
          </a:solidFill>
        </a:ln>
      </xdr:spPr>
    </xdr:pic>
    <xdr:clientData/>
  </xdr:twoCellAnchor>
  <xdr:twoCellAnchor>
    <xdr:from>
      <xdr:col>0</xdr:col>
      <xdr:colOff>76201</xdr:colOff>
      <xdr:row>213</xdr:row>
      <xdr:rowOff>85724</xdr:rowOff>
    </xdr:from>
    <xdr:to>
      <xdr:col>7</xdr:col>
      <xdr:colOff>686828</xdr:colOff>
      <xdr:row>252</xdr:row>
      <xdr:rowOff>137603</xdr:rowOff>
    </xdr:to>
    <xdr:grpSp>
      <xdr:nvGrpSpPr>
        <xdr:cNvPr id="3" name="Group 2"/>
        <xdr:cNvGrpSpPr/>
      </xdr:nvGrpSpPr>
      <xdr:grpSpPr>
        <a:xfrm>
          <a:off x="76201" y="43795949"/>
          <a:ext cx="6163702" cy="7852854"/>
          <a:chOff x="76201" y="43795949"/>
          <a:chExt cx="6163702" cy="7852854"/>
        </a:xfrm>
      </xdr:grpSpPr>
      <xdr:pic>
        <xdr:nvPicPr>
          <xdr:cNvPr id="27" name="Picture 26" descr="https://vsjcllp.vsjadon.com/upload/insp-248572-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57551" y="49777650"/>
            <a:ext cx="1607222" cy="18711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8572-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57654" y="43795949"/>
            <a:ext cx="2969875" cy="345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8572-844.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76201" y="47348775"/>
            <a:ext cx="1991752" cy="23188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8572-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248151" y="47358300"/>
            <a:ext cx="1991752" cy="23188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8572-9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171701" y="47348775"/>
            <a:ext cx="1991752" cy="23188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8572-85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205654" y="43795949"/>
            <a:ext cx="2969875" cy="345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8572-151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506843" y="49774765"/>
            <a:ext cx="1637049" cy="18602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112074</xdr:colOff>
      <xdr:row>61</xdr:row>
      <xdr:rowOff>45874</xdr:rowOff>
    </xdr:from>
    <xdr:to>
      <xdr:col>11</xdr:col>
      <xdr:colOff>314325</xdr:colOff>
      <xdr:row>69</xdr:row>
      <xdr:rowOff>85083</xdr:rowOff>
    </xdr:to>
    <xdr:pic>
      <xdr:nvPicPr>
        <xdr:cNvPr id="8" name="Picture 7"/>
        <xdr:cNvPicPr>
          <a:picLocks noChangeAspect="1"/>
        </xdr:cNvPicPr>
      </xdr:nvPicPr>
      <xdr:blipFill>
        <a:blip xmlns:r="http://schemas.openxmlformats.org/officeDocument/2006/relationships" r:embed="rId16"/>
        <a:stretch>
          <a:fillRect/>
        </a:stretch>
      </xdr:blipFill>
      <xdr:spPr>
        <a:xfrm>
          <a:off x="7560624" y="13771399"/>
          <a:ext cx="1669101" cy="2277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7jiptwaFsXYGfdNU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45"/>
  <sheetViews>
    <sheetView tabSelected="1" view="pageBreakPreview" topLeftCell="A190" zoomScaleNormal="100" zoomScaleSheetLayoutView="100" zoomScalePageLayoutView="85" workbookViewId="0">
      <selection activeCell="L207" sqref="L207"/>
    </sheetView>
  </sheetViews>
  <sheetFormatPr defaultColWidth="9.140625" defaultRowHeight="15.75" x14ac:dyDescent="0.25"/>
  <cols>
    <col min="1" max="1" width="11.42578125" style="36" customWidth="1"/>
    <col min="2" max="2" width="12" style="36" customWidth="1"/>
    <col min="3" max="3" width="12.5703125" style="36" customWidth="1"/>
    <col min="4" max="4" width="13.5703125" style="36" customWidth="1"/>
    <col min="5" max="5" width="11.5703125" style="36" customWidth="1"/>
    <col min="6" max="6" width="11.140625" style="36" customWidth="1"/>
    <col min="7" max="8" width="11" style="36"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5703125" style="18" customWidth="1"/>
    <col min="17" max="18" width="9.140625" style="18"/>
    <col min="19" max="19" width="10.85546875" style="18" bestFit="1" customWidth="1"/>
    <col min="20" max="20" width="10.5703125" style="18" customWidth="1"/>
    <col min="21" max="247" width="9.140625" style="18"/>
    <col min="248" max="248" width="8.5703125" style="18" customWidth="1"/>
    <col min="249" max="249" width="9.85546875" style="18" customWidth="1"/>
    <col min="250" max="250" width="14.42578125" style="18" customWidth="1"/>
    <col min="251" max="251" width="7.425781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5703125" style="18" customWidth="1"/>
    <col min="505" max="505" width="9.85546875" style="18" customWidth="1"/>
    <col min="506" max="506" width="14.42578125" style="18" customWidth="1"/>
    <col min="507" max="507" width="7.425781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5703125" style="18" customWidth="1"/>
    <col min="761" max="761" width="9.85546875" style="18" customWidth="1"/>
    <col min="762" max="762" width="14.42578125" style="18" customWidth="1"/>
    <col min="763" max="763" width="7.425781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5703125" style="18" customWidth="1"/>
    <col min="1017" max="1017" width="9.85546875" style="18" customWidth="1"/>
    <col min="1018" max="1018" width="14.42578125" style="18" customWidth="1"/>
    <col min="1019" max="1019" width="7.425781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5703125" style="18" customWidth="1"/>
    <col min="1273" max="1273" width="9.85546875" style="18" customWidth="1"/>
    <col min="1274" max="1274" width="14.42578125" style="18" customWidth="1"/>
    <col min="1275" max="1275" width="7.425781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5703125" style="18" customWidth="1"/>
    <col min="1529" max="1529" width="9.85546875" style="18" customWidth="1"/>
    <col min="1530" max="1530" width="14.42578125" style="18" customWidth="1"/>
    <col min="1531" max="1531" width="7.425781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5703125" style="18" customWidth="1"/>
    <col min="1785" max="1785" width="9.85546875" style="18" customWidth="1"/>
    <col min="1786" max="1786" width="14.42578125" style="18" customWidth="1"/>
    <col min="1787" max="1787" width="7.425781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5703125" style="18" customWidth="1"/>
    <col min="2041" max="2041" width="9.85546875" style="18" customWidth="1"/>
    <col min="2042" max="2042" width="14.42578125" style="18" customWidth="1"/>
    <col min="2043" max="2043" width="7.425781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5703125" style="18" customWidth="1"/>
    <col min="2297" max="2297" width="9.85546875" style="18" customWidth="1"/>
    <col min="2298" max="2298" width="14.42578125" style="18" customWidth="1"/>
    <col min="2299" max="2299" width="7.425781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5703125" style="18" customWidth="1"/>
    <col min="2553" max="2553" width="9.85546875" style="18" customWidth="1"/>
    <col min="2554" max="2554" width="14.42578125" style="18" customWidth="1"/>
    <col min="2555" max="2555" width="7.425781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5703125" style="18" customWidth="1"/>
    <col min="2809" max="2809" width="9.85546875" style="18" customWidth="1"/>
    <col min="2810" max="2810" width="14.42578125" style="18" customWidth="1"/>
    <col min="2811" max="2811" width="7.425781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5703125" style="18" customWidth="1"/>
    <col min="3065" max="3065" width="9.85546875" style="18" customWidth="1"/>
    <col min="3066" max="3066" width="14.42578125" style="18" customWidth="1"/>
    <col min="3067" max="3067" width="7.425781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5703125" style="18" customWidth="1"/>
    <col min="3321" max="3321" width="9.85546875" style="18" customWidth="1"/>
    <col min="3322" max="3322" width="14.42578125" style="18" customWidth="1"/>
    <col min="3323" max="3323" width="7.425781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5703125" style="18" customWidth="1"/>
    <col min="3577" max="3577" width="9.85546875" style="18" customWidth="1"/>
    <col min="3578" max="3578" width="14.42578125" style="18" customWidth="1"/>
    <col min="3579" max="3579" width="7.425781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5703125" style="18" customWidth="1"/>
    <col min="3833" max="3833" width="9.85546875" style="18" customWidth="1"/>
    <col min="3834" max="3834" width="14.42578125" style="18" customWidth="1"/>
    <col min="3835" max="3835" width="7.425781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5703125" style="18" customWidth="1"/>
    <col min="4089" max="4089" width="9.85546875" style="18" customWidth="1"/>
    <col min="4090" max="4090" width="14.42578125" style="18" customWidth="1"/>
    <col min="4091" max="4091" width="7.425781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5703125" style="18" customWidth="1"/>
    <col min="4345" max="4345" width="9.85546875" style="18" customWidth="1"/>
    <col min="4346" max="4346" width="14.42578125" style="18" customWidth="1"/>
    <col min="4347" max="4347" width="7.425781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5703125" style="18" customWidth="1"/>
    <col min="4601" max="4601" width="9.85546875" style="18" customWidth="1"/>
    <col min="4602" max="4602" width="14.42578125" style="18" customWidth="1"/>
    <col min="4603" max="4603" width="7.425781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5703125" style="18" customWidth="1"/>
    <col min="4857" max="4857" width="9.85546875" style="18" customWidth="1"/>
    <col min="4858" max="4858" width="14.42578125" style="18" customWidth="1"/>
    <col min="4859" max="4859" width="7.425781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5703125" style="18" customWidth="1"/>
    <col min="5113" max="5113" width="9.85546875" style="18" customWidth="1"/>
    <col min="5114" max="5114" width="14.42578125" style="18" customWidth="1"/>
    <col min="5115" max="5115" width="7.425781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5703125" style="18" customWidth="1"/>
    <col min="5369" max="5369" width="9.85546875" style="18" customWidth="1"/>
    <col min="5370" max="5370" width="14.42578125" style="18" customWidth="1"/>
    <col min="5371" max="5371" width="7.425781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5703125" style="18" customWidth="1"/>
    <col min="5625" max="5625" width="9.85546875" style="18" customWidth="1"/>
    <col min="5626" max="5626" width="14.42578125" style="18" customWidth="1"/>
    <col min="5627" max="5627" width="7.425781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5703125" style="18" customWidth="1"/>
    <col min="5881" max="5881" width="9.85546875" style="18" customWidth="1"/>
    <col min="5882" max="5882" width="14.42578125" style="18" customWidth="1"/>
    <col min="5883" max="5883" width="7.425781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5703125" style="18" customWidth="1"/>
    <col min="6137" max="6137" width="9.85546875" style="18" customWidth="1"/>
    <col min="6138" max="6138" width="14.42578125" style="18" customWidth="1"/>
    <col min="6139" max="6139" width="7.425781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5703125" style="18" customWidth="1"/>
    <col min="6393" max="6393" width="9.85546875" style="18" customWidth="1"/>
    <col min="6394" max="6394" width="14.42578125" style="18" customWidth="1"/>
    <col min="6395" max="6395" width="7.425781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5703125" style="18" customWidth="1"/>
    <col min="6649" max="6649" width="9.85546875" style="18" customWidth="1"/>
    <col min="6650" max="6650" width="14.42578125" style="18" customWidth="1"/>
    <col min="6651" max="6651" width="7.425781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5703125" style="18" customWidth="1"/>
    <col min="6905" max="6905" width="9.85546875" style="18" customWidth="1"/>
    <col min="6906" max="6906" width="14.42578125" style="18" customWidth="1"/>
    <col min="6907" max="6907" width="7.425781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5703125" style="18" customWidth="1"/>
    <col min="7161" max="7161" width="9.85546875" style="18" customWidth="1"/>
    <col min="7162" max="7162" width="14.42578125" style="18" customWidth="1"/>
    <col min="7163" max="7163" width="7.425781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5703125" style="18" customWidth="1"/>
    <col min="7417" max="7417" width="9.85546875" style="18" customWidth="1"/>
    <col min="7418" max="7418" width="14.42578125" style="18" customWidth="1"/>
    <col min="7419" max="7419" width="7.425781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5703125" style="18" customWidth="1"/>
    <col min="7673" max="7673" width="9.85546875" style="18" customWidth="1"/>
    <col min="7674" max="7674" width="14.42578125" style="18" customWidth="1"/>
    <col min="7675" max="7675" width="7.425781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5703125" style="18" customWidth="1"/>
    <col min="7929" max="7929" width="9.85546875" style="18" customWidth="1"/>
    <col min="7930" max="7930" width="14.42578125" style="18" customWidth="1"/>
    <col min="7931" max="7931" width="7.425781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5703125" style="18" customWidth="1"/>
    <col min="8185" max="8185" width="9.85546875" style="18" customWidth="1"/>
    <col min="8186" max="8186" width="14.42578125" style="18" customWidth="1"/>
    <col min="8187" max="8187" width="7.425781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5703125" style="18" customWidth="1"/>
    <col min="8441" max="8441" width="9.85546875" style="18" customWidth="1"/>
    <col min="8442" max="8442" width="14.42578125" style="18" customWidth="1"/>
    <col min="8443" max="8443" width="7.425781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5703125" style="18" customWidth="1"/>
    <col min="8697" max="8697" width="9.85546875" style="18" customWidth="1"/>
    <col min="8698" max="8698" width="14.42578125" style="18" customWidth="1"/>
    <col min="8699" max="8699" width="7.425781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5703125" style="18" customWidth="1"/>
    <col min="8953" max="8953" width="9.85546875" style="18" customWidth="1"/>
    <col min="8954" max="8954" width="14.42578125" style="18" customWidth="1"/>
    <col min="8955" max="8955" width="7.425781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5703125" style="18" customWidth="1"/>
    <col min="9209" max="9209" width="9.85546875" style="18" customWidth="1"/>
    <col min="9210" max="9210" width="14.42578125" style="18" customWidth="1"/>
    <col min="9211" max="9211" width="7.425781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5703125" style="18" customWidth="1"/>
    <col min="9465" max="9465" width="9.85546875" style="18" customWidth="1"/>
    <col min="9466" max="9466" width="14.42578125" style="18" customWidth="1"/>
    <col min="9467" max="9467" width="7.425781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5703125" style="18" customWidth="1"/>
    <col min="9721" max="9721" width="9.85546875" style="18" customWidth="1"/>
    <col min="9722" max="9722" width="14.42578125" style="18" customWidth="1"/>
    <col min="9723" max="9723" width="7.425781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5703125" style="18" customWidth="1"/>
    <col min="9977" max="9977" width="9.85546875" style="18" customWidth="1"/>
    <col min="9978" max="9978" width="14.42578125" style="18" customWidth="1"/>
    <col min="9979" max="9979" width="7.425781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5703125" style="18" customWidth="1"/>
    <col min="10233" max="10233" width="9.85546875" style="18" customWidth="1"/>
    <col min="10234" max="10234" width="14.42578125" style="18" customWidth="1"/>
    <col min="10235" max="10235" width="7.425781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5703125" style="18" customWidth="1"/>
    <col min="10489" max="10489" width="9.85546875" style="18" customWidth="1"/>
    <col min="10490" max="10490" width="14.42578125" style="18" customWidth="1"/>
    <col min="10491" max="10491" width="7.425781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5703125" style="18" customWidth="1"/>
    <col min="10745" max="10745" width="9.85546875" style="18" customWidth="1"/>
    <col min="10746" max="10746" width="14.42578125" style="18" customWidth="1"/>
    <col min="10747" max="10747" width="7.425781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5703125" style="18" customWidth="1"/>
    <col min="11001" max="11001" width="9.85546875" style="18" customWidth="1"/>
    <col min="11002" max="11002" width="14.42578125" style="18" customWidth="1"/>
    <col min="11003" max="11003" width="7.425781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5703125" style="18" customWidth="1"/>
    <col min="11257" max="11257" width="9.85546875" style="18" customWidth="1"/>
    <col min="11258" max="11258" width="14.42578125" style="18" customWidth="1"/>
    <col min="11259" max="11259" width="7.425781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5703125" style="18" customWidth="1"/>
    <col min="11513" max="11513" width="9.85546875" style="18" customWidth="1"/>
    <col min="11514" max="11514" width="14.42578125" style="18" customWidth="1"/>
    <col min="11515" max="11515" width="7.425781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5703125" style="18" customWidth="1"/>
    <col min="11769" max="11769" width="9.85546875" style="18" customWidth="1"/>
    <col min="11770" max="11770" width="14.42578125" style="18" customWidth="1"/>
    <col min="11771" max="11771" width="7.425781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5703125" style="18" customWidth="1"/>
    <col min="12025" max="12025" width="9.85546875" style="18" customWidth="1"/>
    <col min="12026" max="12026" width="14.42578125" style="18" customWidth="1"/>
    <col min="12027" max="12027" width="7.425781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5703125" style="18" customWidth="1"/>
    <col min="12281" max="12281" width="9.85546875" style="18" customWidth="1"/>
    <col min="12282" max="12282" width="14.42578125" style="18" customWidth="1"/>
    <col min="12283" max="12283" width="7.425781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5703125" style="18" customWidth="1"/>
    <col min="12537" max="12537" width="9.85546875" style="18" customWidth="1"/>
    <col min="12538" max="12538" width="14.42578125" style="18" customWidth="1"/>
    <col min="12539" max="12539" width="7.425781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5703125" style="18" customWidth="1"/>
    <col min="12793" max="12793" width="9.85546875" style="18" customWidth="1"/>
    <col min="12794" max="12794" width="14.42578125" style="18" customWidth="1"/>
    <col min="12795" max="12795" width="7.425781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5703125" style="18" customWidth="1"/>
    <col min="13049" max="13049" width="9.85546875" style="18" customWidth="1"/>
    <col min="13050" max="13050" width="14.42578125" style="18" customWidth="1"/>
    <col min="13051" max="13051" width="7.425781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5703125" style="18" customWidth="1"/>
    <col min="13305" max="13305" width="9.85546875" style="18" customWidth="1"/>
    <col min="13306" max="13306" width="14.42578125" style="18" customWidth="1"/>
    <col min="13307" max="13307" width="7.425781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5703125" style="18" customWidth="1"/>
    <col min="13561" max="13561" width="9.85546875" style="18" customWidth="1"/>
    <col min="13562" max="13562" width="14.42578125" style="18" customWidth="1"/>
    <col min="13563" max="13563" width="7.425781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5703125" style="18" customWidth="1"/>
    <col min="13817" max="13817" width="9.85546875" style="18" customWidth="1"/>
    <col min="13818" max="13818" width="14.42578125" style="18" customWidth="1"/>
    <col min="13819" max="13819" width="7.425781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5703125" style="18" customWidth="1"/>
    <col min="14073" max="14073" width="9.85546875" style="18" customWidth="1"/>
    <col min="14074" max="14074" width="14.42578125" style="18" customWidth="1"/>
    <col min="14075" max="14075" width="7.425781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5703125" style="18" customWidth="1"/>
    <col min="14329" max="14329" width="9.85546875" style="18" customWidth="1"/>
    <col min="14330" max="14330" width="14.42578125" style="18" customWidth="1"/>
    <col min="14331" max="14331" width="7.425781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5703125" style="18" customWidth="1"/>
    <col min="14585" max="14585" width="9.85546875" style="18" customWidth="1"/>
    <col min="14586" max="14586" width="14.42578125" style="18" customWidth="1"/>
    <col min="14587" max="14587" width="7.425781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5703125" style="18" customWidth="1"/>
    <col min="14841" max="14841" width="9.85546875" style="18" customWidth="1"/>
    <col min="14842" max="14842" width="14.42578125" style="18" customWidth="1"/>
    <col min="14843" max="14843" width="7.425781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5703125" style="18" customWidth="1"/>
    <col min="15097" max="15097" width="9.85546875" style="18" customWidth="1"/>
    <col min="15098" max="15098" width="14.42578125" style="18" customWidth="1"/>
    <col min="15099" max="15099" width="7.425781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5703125" style="18" customWidth="1"/>
    <col min="15353" max="15353" width="9.85546875" style="18" customWidth="1"/>
    <col min="15354" max="15354" width="14.42578125" style="18" customWidth="1"/>
    <col min="15355" max="15355" width="7.425781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5703125" style="18" customWidth="1"/>
    <col min="15609" max="15609" width="9.85546875" style="18" customWidth="1"/>
    <col min="15610" max="15610" width="14.42578125" style="18" customWidth="1"/>
    <col min="15611" max="15611" width="7.425781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5703125" style="18" customWidth="1"/>
    <col min="15865" max="15865" width="9.85546875" style="18" customWidth="1"/>
    <col min="15866" max="15866" width="14.42578125" style="18" customWidth="1"/>
    <col min="15867" max="15867" width="7.425781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5703125" style="18" customWidth="1"/>
    <col min="16121" max="16121" width="9.85546875" style="18" customWidth="1"/>
    <col min="16122" max="16122" width="14.42578125" style="18" customWidth="1"/>
    <col min="16123" max="16123" width="7.425781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31" t="s">
        <v>363</v>
      </c>
      <c r="B1" s="131"/>
      <c r="C1" s="131"/>
      <c r="D1" s="131"/>
      <c r="E1" s="131"/>
      <c r="F1" s="131"/>
      <c r="G1" s="131"/>
      <c r="H1" s="131"/>
    </row>
    <row r="2" spans="1:26" ht="16.5" customHeight="1" x14ac:dyDescent="0.25">
      <c r="A2" s="121" t="s">
        <v>0</v>
      </c>
      <c r="B2" s="121"/>
      <c r="C2" s="121"/>
      <c r="D2" s="121"/>
      <c r="E2" s="121"/>
      <c r="F2" s="121"/>
      <c r="G2" s="121"/>
      <c r="H2" s="121"/>
    </row>
    <row r="3" spans="1:26" x14ac:dyDescent="0.25">
      <c r="A3" s="94" t="s">
        <v>1</v>
      </c>
      <c r="B3" s="94"/>
      <c r="C3" s="94"/>
      <c r="D3" s="94"/>
      <c r="E3" s="94" t="str">
        <f ca="1">TEXT(TODAY(),"DD/MM/YYYY")</f>
        <v>20/09/2025</v>
      </c>
      <c r="F3" s="94"/>
      <c r="G3" s="94"/>
      <c r="H3" s="94"/>
      <c r="K3" s="52" t="s">
        <v>233</v>
      </c>
      <c r="L3" s="49" t="s">
        <v>231</v>
      </c>
      <c r="M3" s="49" t="s">
        <v>236</v>
      </c>
      <c r="N3" s="49" t="s">
        <v>234</v>
      </c>
      <c r="O3" s="49" t="s">
        <v>235</v>
      </c>
      <c r="P3" s="49" t="s">
        <v>237</v>
      </c>
    </row>
    <row r="4" spans="1:26" ht="15" customHeight="1" x14ac:dyDescent="0.25">
      <c r="A4" s="94" t="s">
        <v>230</v>
      </c>
      <c r="B4" s="94"/>
      <c r="C4" s="94"/>
      <c r="D4" s="94"/>
      <c r="E4" s="94" t="s">
        <v>231</v>
      </c>
      <c r="F4" s="94"/>
      <c r="G4" s="94"/>
      <c r="H4" s="94"/>
      <c r="K4" s="48" t="s">
        <v>232</v>
      </c>
      <c r="L4" s="49" t="s">
        <v>167</v>
      </c>
      <c r="M4" s="49" t="s">
        <v>241</v>
      </c>
      <c r="N4" s="49" t="s">
        <v>243</v>
      </c>
      <c r="O4" s="49" t="s">
        <v>245</v>
      </c>
      <c r="P4" s="49"/>
    </row>
    <row r="5" spans="1:26" ht="15" customHeight="1" x14ac:dyDescent="0.25">
      <c r="A5" s="94" t="s">
        <v>2</v>
      </c>
      <c r="B5" s="94"/>
      <c r="C5" s="94"/>
      <c r="D5" s="94"/>
      <c r="E5" s="94" t="s">
        <v>167</v>
      </c>
      <c r="F5" s="94"/>
      <c r="G5" s="94"/>
      <c r="H5" s="94"/>
      <c r="K5" s="48"/>
      <c r="L5" s="49" t="s">
        <v>238</v>
      </c>
      <c r="M5" s="49" t="s">
        <v>242</v>
      </c>
      <c r="N5" s="49" t="s">
        <v>244</v>
      </c>
      <c r="O5" s="49" t="s">
        <v>246</v>
      </c>
      <c r="P5" s="49"/>
    </row>
    <row r="6" spans="1:26" x14ac:dyDescent="0.25">
      <c r="A6" s="94" t="s">
        <v>3</v>
      </c>
      <c r="B6" s="94"/>
      <c r="C6" s="94"/>
      <c r="D6" s="94"/>
      <c r="E6" s="134">
        <v>45920</v>
      </c>
      <c r="F6" s="94"/>
      <c r="G6" s="94"/>
      <c r="H6" s="94"/>
      <c r="K6" s="48"/>
      <c r="L6" s="49" t="s">
        <v>239</v>
      </c>
      <c r="M6" s="49"/>
      <c r="N6" s="49"/>
      <c r="O6" s="49" t="s">
        <v>247</v>
      </c>
      <c r="P6" s="49"/>
    </row>
    <row r="7" spans="1:26" ht="16.5" customHeight="1" x14ac:dyDescent="0.25">
      <c r="A7" s="94" t="s">
        <v>4</v>
      </c>
      <c r="B7" s="94"/>
      <c r="C7" s="94"/>
      <c r="D7" s="94"/>
      <c r="E7" s="94" t="s">
        <v>295</v>
      </c>
      <c r="F7" s="94"/>
      <c r="G7" s="94"/>
      <c r="H7" s="94"/>
      <c r="K7" s="48"/>
      <c r="L7" s="49" t="s">
        <v>240</v>
      </c>
      <c r="M7" s="49"/>
      <c r="N7" s="49"/>
      <c r="O7" s="49" t="s">
        <v>247</v>
      </c>
      <c r="P7" s="49"/>
    </row>
    <row r="8" spans="1:26" ht="15" customHeight="1" x14ac:dyDescent="0.25">
      <c r="A8" s="94" t="s">
        <v>5</v>
      </c>
      <c r="B8" s="94"/>
      <c r="C8" s="94"/>
      <c r="D8" s="94"/>
      <c r="E8" s="94" t="str">
        <f>E7</f>
        <v>Jalaram Icon LLP</v>
      </c>
      <c r="F8" s="94"/>
      <c r="G8" s="94"/>
      <c r="H8" s="94"/>
      <c r="K8" s="48"/>
      <c r="L8" s="49"/>
      <c r="M8" s="49"/>
      <c r="N8" s="49"/>
      <c r="O8" s="49" t="s">
        <v>248</v>
      </c>
      <c r="P8" s="49"/>
    </row>
    <row r="9" spans="1:26" x14ac:dyDescent="0.25">
      <c r="A9" s="94" t="s">
        <v>6</v>
      </c>
      <c r="B9" s="94"/>
      <c r="C9" s="94"/>
      <c r="D9" s="94"/>
      <c r="E9" s="132" t="s">
        <v>296</v>
      </c>
      <c r="F9" s="133"/>
      <c r="G9" s="133"/>
      <c r="H9" s="133"/>
      <c r="K9" s="48"/>
      <c r="L9" s="49"/>
      <c r="M9" s="49"/>
      <c r="N9" s="49"/>
      <c r="O9" s="49" t="s">
        <v>249</v>
      </c>
      <c r="P9" s="49"/>
    </row>
    <row r="10" spans="1:26" x14ac:dyDescent="0.25">
      <c r="A10" s="94" t="s">
        <v>164</v>
      </c>
      <c r="B10" s="94"/>
      <c r="C10" s="94"/>
      <c r="D10" s="94"/>
      <c r="E10" s="93">
        <v>9322675077</v>
      </c>
      <c r="F10" s="94"/>
      <c r="G10" s="94"/>
      <c r="H10" s="94"/>
      <c r="K10" s="48"/>
      <c r="L10" s="49"/>
      <c r="M10" s="49"/>
      <c r="N10" s="49"/>
      <c r="O10" s="49"/>
      <c r="P10" s="49"/>
    </row>
    <row r="11" spans="1:26" x14ac:dyDescent="0.25">
      <c r="A11" s="94" t="s">
        <v>165</v>
      </c>
      <c r="B11" s="94"/>
      <c r="C11" s="94"/>
      <c r="D11" s="94"/>
      <c r="E11" s="93" t="s">
        <v>366</v>
      </c>
      <c r="F11" s="93"/>
      <c r="G11" s="93"/>
      <c r="H11" s="93"/>
    </row>
    <row r="12" spans="1:26" x14ac:dyDescent="0.25">
      <c r="A12" s="94" t="s">
        <v>7</v>
      </c>
      <c r="B12" s="94"/>
      <c r="C12" s="94"/>
      <c r="D12" s="94"/>
      <c r="E12" s="94" t="s">
        <v>118</v>
      </c>
      <c r="F12" s="94"/>
      <c r="G12" s="94"/>
      <c r="H12" s="94"/>
    </row>
    <row r="13" spans="1:26" x14ac:dyDescent="0.25">
      <c r="A13" s="94" t="s">
        <v>168</v>
      </c>
      <c r="B13" s="94"/>
      <c r="C13" s="94"/>
      <c r="D13" s="94"/>
      <c r="E13" s="94" t="s">
        <v>299</v>
      </c>
      <c r="F13" s="94"/>
      <c r="G13" s="94"/>
      <c r="H13" s="94"/>
      <c r="S13" s="49" t="s">
        <v>175</v>
      </c>
      <c r="T13" s="49" t="s">
        <v>185</v>
      </c>
      <c r="U13" s="49" t="s">
        <v>169</v>
      </c>
      <c r="V13" s="49" t="s">
        <v>190</v>
      </c>
      <c r="W13" s="49" t="s">
        <v>208</v>
      </c>
      <c r="X13"/>
      <c r="Y13" t="s">
        <v>190</v>
      </c>
      <c r="Z13" t="e">
        <f ca="1">OFFSET($S$13,1,MATCH($G20,$S$13:$W$13,0)-1,15,1)</f>
        <v>#VALUE!</v>
      </c>
    </row>
    <row r="14" spans="1:26" x14ac:dyDescent="0.25">
      <c r="A14" s="73" t="s">
        <v>276</v>
      </c>
      <c r="B14" s="73"/>
      <c r="C14" s="73"/>
      <c r="D14" s="73"/>
      <c r="E14" s="93" t="s">
        <v>224</v>
      </c>
      <c r="F14" s="93"/>
      <c r="G14" s="93"/>
      <c r="H14" s="93"/>
      <c r="S14" s="49" t="s">
        <v>176</v>
      </c>
      <c r="T14" s="49" t="s">
        <v>183</v>
      </c>
      <c r="U14" s="49" t="s">
        <v>205</v>
      </c>
      <c r="V14" s="49" t="s">
        <v>191</v>
      </c>
      <c r="W14" s="49" t="s">
        <v>209</v>
      </c>
      <c r="X14"/>
      <c r="Y14"/>
      <c r="Z14"/>
    </row>
    <row r="15" spans="1:26" x14ac:dyDescent="0.25">
      <c r="A15" s="73" t="s">
        <v>8</v>
      </c>
      <c r="B15" s="73"/>
      <c r="C15" s="73"/>
      <c r="D15" s="73"/>
      <c r="E15" s="93" t="s">
        <v>297</v>
      </c>
      <c r="F15" s="94"/>
      <c r="G15" s="94"/>
      <c r="H15" s="94"/>
      <c r="I15" s="68" t="e">
        <f ca="1">OFFSET($D$5,1,MATCH($J13,$D$5:$H$5,0)-1,15,1)</f>
        <v>#N/A</v>
      </c>
      <c r="J15" s="69"/>
      <c r="K15" s="69"/>
      <c r="L15" s="69"/>
      <c r="M15" s="69"/>
      <c r="N15" s="69"/>
      <c r="O15" s="69"/>
      <c r="P15" s="69"/>
      <c r="S15" s="49" t="s">
        <v>177</v>
      </c>
      <c r="T15" s="49" t="s">
        <v>184</v>
      </c>
      <c r="U15" s="49" t="s">
        <v>206</v>
      </c>
      <c r="V15" s="49" t="s">
        <v>192</v>
      </c>
      <c r="W15" s="49" t="s">
        <v>222</v>
      </c>
      <c r="X15"/>
      <c r="Y15"/>
      <c r="Z15"/>
    </row>
    <row r="16" spans="1:26" ht="65.25" customHeight="1" x14ac:dyDescent="0.25">
      <c r="A16" s="82" t="s">
        <v>9</v>
      </c>
      <c r="B16" s="82"/>
      <c r="C16" s="82" t="str">
        <f>CONCATENATE((IF(OR(E9="",E9="NA"),"",E9)),", ",(IF(OR(A17="",A17="NA"),"",A17)),".",(IF(OR(C17="",C17="NA"),"",C17)),", near ",(IF(OR(C22="",C22="NA"),"",C22)),", ",(IF(OR(C19="",C19="NA"),"",C19)),", ",(IF(OR(C18="",C18="NA"),"",C18)),", ",(IF(OR(G19="",G19="NA"),"",G19)),", ",(IF(OR(C20="",C20="NA"),"",C20)),", ",(IF(OR(C21="",C21="NA"),"",C21)),", ",(IF(OR(G20="",G20="NA"),"",G20))," - ",(IF(OR(G21="",G21="NA"),"",G21)),".")</f>
        <v>Landmark, CTS No.1049,  Redevelopement of "Landmark Co-operative Housing Society Ltd.", near Ambe Asirwad Apartment, DC Das Road &amp; Chandrakant Kotecha Road, P&amp;T Staff Colony, Mulund (W), Mulund West, Kurla, Mumbai - 400080.</v>
      </c>
      <c r="D16" s="82"/>
      <c r="E16" s="82"/>
      <c r="F16" s="82"/>
      <c r="G16" s="82"/>
      <c r="H16" s="82"/>
      <c r="S16" s="49" t="s">
        <v>178</v>
      </c>
      <c r="T16" s="49" t="s">
        <v>186</v>
      </c>
      <c r="U16" s="49" t="s">
        <v>207</v>
      </c>
      <c r="V16" s="49" t="s">
        <v>193</v>
      </c>
      <c r="W16" s="49" t="s">
        <v>210</v>
      </c>
      <c r="X16"/>
      <c r="Y16"/>
      <c r="Z16"/>
    </row>
    <row r="17" spans="1:26" x14ac:dyDescent="0.25">
      <c r="A17" s="93" t="s">
        <v>172</v>
      </c>
      <c r="B17" s="93"/>
      <c r="C17" s="93" t="s">
        <v>344</v>
      </c>
      <c r="D17" s="93"/>
      <c r="E17" s="93"/>
      <c r="F17" s="93"/>
      <c r="G17" s="93"/>
      <c r="H17" s="93"/>
      <c r="S17" s="49" t="s">
        <v>179</v>
      </c>
      <c r="T17" s="49" t="s">
        <v>187</v>
      </c>
      <c r="U17" s="49" t="s">
        <v>169</v>
      </c>
      <c r="V17" s="49" t="s">
        <v>194</v>
      </c>
      <c r="W17" s="49" t="s">
        <v>211</v>
      </c>
      <c r="X17"/>
      <c r="Y17"/>
      <c r="Z17"/>
    </row>
    <row r="18" spans="1:26" ht="15.75" customHeight="1" x14ac:dyDescent="0.25">
      <c r="A18" s="93" t="s">
        <v>160</v>
      </c>
      <c r="B18" s="93"/>
      <c r="C18" s="93" t="s">
        <v>300</v>
      </c>
      <c r="D18" s="93"/>
      <c r="E18" s="93"/>
      <c r="F18" s="93"/>
      <c r="G18" s="93"/>
      <c r="H18" s="93"/>
      <c r="S18" s="49" t="s">
        <v>180</v>
      </c>
      <c r="T18" s="49" t="s">
        <v>185</v>
      </c>
      <c r="U18" s="49"/>
      <c r="V18" s="49" t="s">
        <v>195</v>
      </c>
      <c r="W18" s="49" t="s">
        <v>212</v>
      </c>
      <c r="X18"/>
      <c r="Y18"/>
      <c r="Z18"/>
    </row>
    <row r="19" spans="1:26" ht="33" customHeight="1" x14ac:dyDescent="0.25">
      <c r="A19" s="82" t="s">
        <v>10</v>
      </c>
      <c r="B19" s="82"/>
      <c r="C19" s="93" t="s">
        <v>307</v>
      </c>
      <c r="D19" s="93"/>
      <c r="E19" s="93" t="s">
        <v>69</v>
      </c>
      <c r="F19" s="93"/>
      <c r="G19" s="93" t="s">
        <v>298</v>
      </c>
      <c r="H19" s="93"/>
      <c r="S19" s="49" t="s">
        <v>181</v>
      </c>
      <c r="T19" s="49" t="s">
        <v>188</v>
      </c>
      <c r="U19" s="49"/>
      <c r="V19" s="49" t="s">
        <v>196</v>
      </c>
      <c r="W19" s="49" t="s">
        <v>213</v>
      </c>
      <c r="X19"/>
      <c r="Y19"/>
      <c r="Z19"/>
    </row>
    <row r="20" spans="1:26" x14ac:dyDescent="0.25">
      <c r="A20" s="73" t="s">
        <v>12</v>
      </c>
      <c r="B20" s="73"/>
      <c r="C20" s="93" t="s">
        <v>305</v>
      </c>
      <c r="D20" s="93"/>
      <c r="E20" s="93" t="s">
        <v>11</v>
      </c>
      <c r="F20" s="93"/>
      <c r="G20" s="135" t="s">
        <v>169</v>
      </c>
      <c r="H20" s="135"/>
      <c r="S20" s="49" t="s">
        <v>182</v>
      </c>
      <c r="T20" s="49" t="s">
        <v>189</v>
      </c>
      <c r="U20" s="49"/>
      <c r="V20" s="49" t="s">
        <v>197</v>
      </c>
      <c r="W20" s="49" t="s">
        <v>214</v>
      </c>
      <c r="X20"/>
      <c r="Y20"/>
      <c r="Z20"/>
    </row>
    <row r="21" spans="1:26" x14ac:dyDescent="0.25">
      <c r="A21" s="73" t="s">
        <v>70</v>
      </c>
      <c r="B21" s="73"/>
      <c r="C21" s="93" t="s">
        <v>207</v>
      </c>
      <c r="D21" s="93"/>
      <c r="E21" s="93" t="s">
        <v>13</v>
      </c>
      <c r="F21" s="93"/>
      <c r="G21" s="93">
        <v>400080</v>
      </c>
      <c r="H21" s="93"/>
      <c r="S21" s="49"/>
      <c r="T21" s="49"/>
      <c r="U21" s="49"/>
      <c r="V21" s="49" t="s">
        <v>198</v>
      </c>
      <c r="W21" s="49" t="s">
        <v>215</v>
      </c>
      <c r="X21"/>
      <c r="Y21"/>
      <c r="Z21"/>
    </row>
    <row r="22" spans="1:26" ht="32.25" customHeight="1" x14ac:dyDescent="0.25">
      <c r="A22" s="73" t="s">
        <v>119</v>
      </c>
      <c r="B22" s="73"/>
      <c r="C22" s="93" t="s">
        <v>303</v>
      </c>
      <c r="D22" s="93"/>
      <c r="E22" s="82" t="s">
        <v>14</v>
      </c>
      <c r="F22" s="82"/>
      <c r="G22" s="93" t="s">
        <v>304</v>
      </c>
      <c r="H22" s="93"/>
      <c r="S22" s="49"/>
      <c r="T22" s="49"/>
      <c r="U22" s="49"/>
      <c r="V22" s="49" t="s">
        <v>199</v>
      </c>
      <c r="W22" s="49" t="s">
        <v>216</v>
      </c>
      <c r="X22"/>
      <c r="Y22"/>
      <c r="Z22"/>
    </row>
    <row r="23" spans="1:26" ht="15" customHeight="1" x14ac:dyDescent="0.25">
      <c r="A23" s="82" t="s">
        <v>72</v>
      </c>
      <c r="B23" s="82"/>
      <c r="C23" s="82"/>
      <c r="D23" s="82"/>
      <c r="E23" s="94" t="s">
        <v>15</v>
      </c>
      <c r="F23" s="94"/>
      <c r="G23" s="94"/>
      <c r="H23" s="94"/>
      <c r="S23" s="49"/>
      <c r="T23" s="49"/>
      <c r="U23" s="49"/>
      <c r="V23" s="49" t="s">
        <v>200</v>
      </c>
      <c r="W23" s="49" t="s">
        <v>217</v>
      </c>
      <c r="X23"/>
      <c r="Y23"/>
      <c r="Z23"/>
    </row>
    <row r="24" spans="1:26" ht="18.75" customHeight="1" x14ac:dyDescent="0.25">
      <c r="A24" s="82"/>
      <c r="B24" s="82"/>
      <c r="C24" s="82"/>
      <c r="D24" s="82"/>
      <c r="E24" s="94"/>
      <c r="F24" s="94"/>
      <c r="G24" s="94"/>
      <c r="H24" s="94"/>
      <c r="S24" s="49"/>
      <c r="T24" s="49"/>
      <c r="U24" s="49"/>
      <c r="V24" s="49" t="s">
        <v>201</v>
      </c>
      <c r="W24" s="49" t="s">
        <v>218</v>
      </c>
      <c r="X24"/>
      <c r="Y24"/>
      <c r="Z24"/>
    </row>
    <row r="25" spans="1:26" ht="15" customHeight="1" x14ac:dyDescent="0.25">
      <c r="A25" s="82" t="s">
        <v>16</v>
      </c>
      <c r="B25" s="82"/>
      <c r="C25" s="82"/>
      <c r="D25" s="82"/>
      <c r="E25" s="93" t="s">
        <v>17</v>
      </c>
      <c r="F25" s="93"/>
      <c r="G25" s="93"/>
      <c r="H25" s="93"/>
      <c r="S25" s="49"/>
      <c r="T25" s="49"/>
      <c r="U25" s="49"/>
      <c r="V25" s="49" t="s">
        <v>202</v>
      </c>
      <c r="W25" s="49" t="s">
        <v>219</v>
      </c>
      <c r="X25"/>
      <c r="Y25"/>
      <c r="Z25"/>
    </row>
    <row r="26" spans="1:26" ht="15" customHeight="1" x14ac:dyDescent="0.25">
      <c r="A26" s="73" t="s">
        <v>18</v>
      </c>
      <c r="B26" s="73"/>
      <c r="C26" s="73"/>
      <c r="D26" s="73"/>
      <c r="E26" s="93" t="str">
        <f>IF(AND(G20="Mumbai"),"Upper Class","Middle Class")</f>
        <v>Upper Class</v>
      </c>
      <c r="F26" s="93"/>
      <c r="G26" s="93"/>
      <c r="H26" s="93"/>
      <c r="S26" s="49"/>
      <c r="T26" s="49"/>
      <c r="U26" s="49"/>
      <c r="V26" s="49" t="s">
        <v>203</v>
      </c>
      <c r="W26" s="49" t="s">
        <v>220</v>
      </c>
      <c r="X26"/>
      <c r="Y26"/>
      <c r="Z26"/>
    </row>
    <row r="27" spans="1:26" x14ac:dyDescent="0.25">
      <c r="A27" s="73" t="s">
        <v>19</v>
      </c>
      <c r="B27" s="73"/>
      <c r="C27" s="73"/>
      <c r="D27" s="73"/>
      <c r="E27" s="93" t="s">
        <v>20</v>
      </c>
      <c r="F27" s="93"/>
      <c r="G27" s="93"/>
      <c r="H27" s="93"/>
      <c r="S27" s="49"/>
      <c r="T27" s="49"/>
      <c r="U27" s="49"/>
      <c r="V27" s="49" t="s">
        <v>204</v>
      </c>
      <c r="W27" s="49" t="s">
        <v>221</v>
      </c>
      <c r="X27"/>
      <c r="Y27"/>
      <c r="Z27"/>
    </row>
    <row r="28" spans="1:26" ht="15.75" customHeight="1" x14ac:dyDescent="0.25">
      <c r="A28" s="73" t="s">
        <v>21</v>
      </c>
      <c r="B28" s="73"/>
      <c r="C28" s="73"/>
      <c r="D28" s="73"/>
      <c r="E28" s="93" t="str">
        <f>IF(AND(G20="Mumbai"),"Developed","Developing")</f>
        <v>Developed</v>
      </c>
      <c r="F28" s="93"/>
      <c r="G28" s="93"/>
      <c r="H28" s="93"/>
    </row>
    <row r="29" spans="1:26" x14ac:dyDescent="0.25">
      <c r="A29" s="73" t="s">
        <v>22</v>
      </c>
      <c r="B29" s="73"/>
      <c r="C29" s="73"/>
      <c r="D29" s="73"/>
      <c r="E29" s="93" t="s">
        <v>23</v>
      </c>
      <c r="F29" s="93"/>
      <c r="G29" s="93"/>
      <c r="H29" s="93"/>
    </row>
    <row r="30" spans="1:26" ht="15.75" customHeight="1" x14ac:dyDescent="0.25">
      <c r="A30" s="73" t="s">
        <v>77</v>
      </c>
      <c r="B30" s="73"/>
      <c r="C30" s="73"/>
      <c r="D30" s="73"/>
      <c r="E30" s="93" t="s">
        <v>78</v>
      </c>
      <c r="F30" s="93"/>
      <c r="G30" s="93"/>
      <c r="H30" s="93"/>
    </row>
    <row r="31" spans="1:26" ht="15" customHeight="1" x14ac:dyDescent="0.25">
      <c r="A31" s="73" t="s">
        <v>30</v>
      </c>
      <c r="B31" s="73"/>
      <c r="C31" s="73"/>
      <c r="D31" s="73"/>
      <c r="E31" s="9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3"/>
      <c r="G31" s="93"/>
      <c r="H31" s="93"/>
    </row>
    <row r="32" spans="1:26" ht="15.75" customHeight="1" x14ac:dyDescent="0.25">
      <c r="A32" s="73" t="s">
        <v>88</v>
      </c>
      <c r="B32" s="73"/>
      <c r="C32" s="73"/>
      <c r="D32" s="73"/>
      <c r="E32" s="93" t="s">
        <v>31</v>
      </c>
      <c r="F32" s="93"/>
      <c r="G32" s="93"/>
      <c r="H32" s="93"/>
    </row>
    <row r="33" spans="1:19" s="19" customFormat="1" x14ac:dyDescent="0.25">
      <c r="A33" s="142" t="s">
        <v>89</v>
      </c>
      <c r="B33" s="142"/>
      <c r="C33" s="138" t="s">
        <v>170</v>
      </c>
      <c r="D33" s="139"/>
      <c r="E33" s="140"/>
      <c r="F33" s="138" t="s">
        <v>29</v>
      </c>
      <c r="G33" s="139"/>
      <c r="H33" s="140"/>
      <c r="S33" s="19" t="e">
        <f ca="1">OFFSET($S$13,1,MATCH($G20,$S$13:$W$13,0)-1,15,1)</f>
        <v>#VALUE!</v>
      </c>
    </row>
    <row r="34" spans="1:19" s="19" customFormat="1" x14ac:dyDescent="0.25">
      <c r="A34" s="141" t="s">
        <v>24</v>
      </c>
      <c r="B34" s="141" t="s">
        <v>28</v>
      </c>
      <c r="C34" s="143" t="s">
        <v>309</v>
      </c>
      <c r="D34" s="144"/>
      <c r="E34" s="145"/>
      <c r="F34" s="143" t="s">
        <v>342</v>
      </c>
      <c r="G34" s="144"/>
      <c r="H34" s="145"/>
    </row>
    <row r="35" spans="1:19" ht="30" customHeight="1" x14ac:dyDescent="0.25">
      <c r="A35" s="136" t="s">
        <v>25</v>
      </c>
      <c r="B35" s="136" t="s">
        <v>28</v>
      </c>
      <c r="C35" s="136" t="s">
        <v>310</v>
      </c>
      <c r="D35" s="136"/>
      <c r="E35" s="136"/>
      <c r="F35" s="137" t="s">
        <v>306</v>
      </c>
      <c r="G35" s="137"/>
      <c r="H35" s="137"/>
    </row>
    <row r="36" spans="1:19" s="19" customFormat="1" ht="33.75" customHeight="1" x14ac:dyDescent="0.25">
      <c r="A36" s="136" t="s">
        <v>27</v>
      </c>
      <c r="B36" s="136" t="s">
        <v>28</v>
      </c>
      <c r="C36" s="137" t="s">
        <v>311</v>
      </c>
      <c r="D36" s="137"/>
      <c r="E36" s="137"/>
      <c r="F36" s="136" t="s">
        <v>308</v>
      </c>
      <c r="G36" s="136"/>
      <c r="H36" s="136"/>
    </row>
    <row r="37" spans="1:19" x14ac:dyDescent="0.25">
      <c r="A37" s="141" t="s">
        <v>26</v>
      </c>
      <c r="B37" s="141" t="s">
        <v>28</v>
      </c>
      <c r="C37" s="146" t="s">
        <v>312</v>
      </c>
      <c r="D37" s="146"/>
      <c r="E37" s="146"/>
      <c r="F37" s="146" t="s">
        <v>342</v>
      </c>
      <c r="G37" s="146"/>
      <c r="H37" s="146"/>
    </row>
    <row r="38" spans="1:19" x14ac:dyDescent="0.25">
      <c r="A38" s="73" t="s">
        <v>277</v>
      </c>
      <c r="B38" s="73"/>
      <c r="C38" s="73"/>
      <c r="D38" s="73"/>
      <c r="E38" s="73"/>
      <c r="F38" s="73"/>
      <c r="G38" s="73"/>
      <c r="H38" s="73"/>
    </row>
    <row r="39" spans="1:19" ht="15.75" customHeight="1" x14ac:dyDescent="0.25">
      <c r="A39" s="73" t="s">
        <v>162</v>
      </c>
      <c r="B39" s="73"/>
      <c r="C39" s="129" t="s">
        <v>301</v>
      </c>
      <c r="D39" s="129"/>
      <c r="E39" s="129"/>
      <c r="F39" s="129"/>
      <c r="G39" s="129"/>
      <c r="H39" s="129"/>
    </row>
    <row r="40" spans="1:19" x14ac:dyDescent="0.25">
      <c r="A40" s="73" t="s">
        <v>159</v>
      </c>
      <c r="B40" s="73"/>
      <c r="C40" s="172" t="s">
        <v>302</v>
      </c>
      <c r="D40" s="93"/>
      <c r="E40" s="93"/>
      <c r="F40" s="93"/>
      <c r="G40" s="93"/>
      <c r="H40" s="93"/>
    </row>
    <row r="41" spans="1:19" x14ac:dyDescent="0.25">
      <c r="A41" s="129" t="s">
        <v>32</v>
      </c>
      <c r="B41" s="129"/>
      <c r="C41" s="129"/>
      <c r="D41" s="129"/>
      <c r="E41" s="129"/>
      <c r="F41" s="129"/>
      <c r="G41" s="129"/>
      <c r="H41" s="129"/>
    </row>
    <row r="42" spans="1:19" x14ac:dyDescent="0.25">
      <c r="A42" s="73" t="s">
        <v>33</v>
      </c>
      <c r="B42" s="73"/>
      <c r="C42" s="73"/>
      <c r="D42" s="73"/>
      <c r="E42" s="147">
        <v>1857.6</v>
      </c>
      <c r="F42" s="147"/>
      <c r="G42" s="147"/>
      <c r="H42" s="147"/>
    </row>
    <row r="43" spans="1:19" x14ac:dyDescent="0.25">
      <c r="A43" s="73" t="s">
        <v>34</v>
      </c>
      <c r="B43" s="73"/>
      <c r="C43" s="73"/>
      <c r="D43" s="73"/>
      <c r="E43" s="83">
        <f>5572.8/E42</f>
        <v>3.0000000000000004</v>
      </c>
      <c r="F43" s="83"/>
      <c r="G43" s="83"/>
      <c r="H43" s="83"/>
    </row>
    <row r="44" spans="1:19" x14ac:dyDescent="0.25">
      <c r="A44" s="73" t="s">
        <v>35</v>
      </c>
      <c r="B44" s="73"/>
      <c r="C44" s="73"/>
      <c r="D44" s="73"/>
      <c r="E44" s="83">
        <f>E46/E42-E43</f>
        <v>0</v>
      </c>
      <c r="F44" s="83"/>
      <c r="G44" s="83"/>
      <c r="H44" s="83"/>
    </row>
    <row r="45" spans="1:19" x14ac:dyDescent="0.25">
      <c r="A45" s="73" t="s">
        <v>36</v>
      </c>
      <c r="B45" s="73"/>
      <c r="C45" s="73"/>
      <c r="D45" s="73"/>
      <c r="E45" s="83">
        <f>E43+E44</f>
        <v>3.0000000000000004</v>
      </c>
      <c r="F45" s="83"/>
      <c r="G45" s="83"/>
      <c r="H45" s="83"/>
    </row>
    <row r="46" spans="1:19" x14ac:dyDescent="0.25">
      <c r="A46" s="73" t="s">
        <v>87</v>
      </c>
      <c r="B46" s="73"/>
      <c r="C46" s="73"/>
      <c r="D46" s="73"/>
      <c r="E46" s="150">
        <v>5572.8</v>
      </c>
      <c r="F46" s="150"/>
      <c r="G46" s="150"/>
      <c r="H46" s="150"/>
    </row>
    <row r="47" spans="1:19" x14ac:dyDescent="0.25">
      <c r="A47" s="94" t="s">
        <v>37</v>
      </c>
      <c r="B47" s="94"/>
      <c r="C47" s="94"/>
      <c r="D47" s="94"/>
      <c r="E47" s="95" t="s">
        <v>118</v>
      </c>
      <c r="F47" s="95"/>
      <c r="G47" s="95"/>
      <c r="H47" s="95"/>
    </row>
    <row r="48" spans="1:19" x14ac:dyDescent="0.25">
      <c r="A48" s="129" t="s">
        <v>38</v>
      </c>
      <c r="B48" s="129"/>
      <c r="C48" s="129"/>
      <c r="D48" s="129"/>
      <c r="E48" s="129"/>
      <c r="F48" s="129"/>
      <c r="G48" s="129"/>
      <c r="H48" s="129"/>
    </row>
    <row r="49" spans="1:24" ht="33.75" customHeight="1" x14ac:dyDescent="0.25">
      <c r="A49" s="86" t="s">
        <v>148</v>
      </c>
      <c r="B49" s="87"/>
      <c r="C49" s="181" t="s">
        <v>251</v>
      </c>
      <c r="D49" s="182"/>
      <c r="E49" s="182"/>
      <c r="F49" s="182"/>
      <c r="G49" s="182"/>
      <c r="H49" s="183"/>
      <c r="R49" t="s">
        <v>250</v>
      </c>
      <c r="S49" t="s">
        <v>169</v>
      </c>
      <c r="T49" t="s">
        <v>175</v>
      </c>
      <c r="U49" t="s">
        <v>190</v>
      </c>
      <c r="V49" t="s">
        <v>185</v>
      </c>
    </row>
    <row r="50" spans="1:24" ht="15.75" customHeight="1" x14ac:dyDescent="0.25">
      <c r="A50" s="86" t="s">
        <v>39</v>
      </c>
      <c r="B50" s="87"/>
      <c r="C50" s="86" t="s">
        <v>313</v>
      </c>
      <c r="D50" s="102"/>
      <c r="E50" s="87"/>
      <c r="F50" s="15" t="s">
        <v>40</v>
      </c>
      <c r="G50" s="88">
        <v>44581</v>
      </c>
      <c r="H50" s="87"/>
      <c r="R50"/>
      <c r="S50" t="s">
        <v>251</v>
      </c>
      <c r="T50" t="s">
        <v>256</v>
      </c>
      <c r="U50" t="s">
        <v>267</v>
      </c>
      <c r="V50" t="s">
        <v>272</v>
      </c>
    </row>
    <row r="51" spans="1:24" x14ac:dyDescent="0.25">
      <c r="A51" s="86" t="s">
        <v>41</v>
      </c>
      <c r="B51" s="87"/>
      <c r="C51" s="86" t="str">
        <f>C50</f>
        <v>SRA/ENG/T/PVT/0018/20211217/AP</v>
      </c>
      <c r="D51" s="102"/>
      <c r="E51" s="87"/>
      <c r="F51" s="15" t="s">
        <v>40</v>
      </c>
      <c r="G51" s="88">
        <f>G50</f>
        <v>44581</v>
      </c>
      <c r="H51" s="87"/>
      <c r="R51"/>
      <c r="S51" t="s">
        <v>252</v>
      </c>
      <c r="T51" t="s">
        <v>257</v>
      </c>
      <c r="U51" t="s">
        <v>265</v>
      </c>
      <c r="V51" t="s">
        <v>273</v>
      </c>
    </row>
    <row r="52" spans="1:24" s="20" customFormat="1" ht="15.75" customHeight="1" x14ac:dyDescent="0.25">
      <c r="A52" s="111" t="s">
        <v>152</v>
      </c>
      <c r="B52" s="112"/>
      <c r="C52" s="86" t="s">
        <v>314</v>
      </c>
      <c r="D52" s="102"/>
      <c r="E52" s="87"/>
      <c r="F52" s="15" t="s">
        <v>40</v>
      </c>
      <c r="G52" s="88">
        <v>44915</v>
      </c>
      <c r="H52" s="87"/>
      <c r="R52"/>
      <c r="S52" t="s">
        <v>253</v>
      </c>
      <c r="T52" t="s">
        <v>258</v>
      </c>
      <c r="U52" t="s">
        <v>255</v>
      </c>
      <c r="V52" t="s">
        <v>274</v>
      </c>
    </row>
    <row r="53" spans="1:24" s="20" customFormat="1" ht="66.95" customHeight="1" x14ac:dyDescent="0.25">
      <c r="A53" s="113"/>
      <c r="B53" s="114"/>
      <c r="C53" s="86" t="s">
        <v>343</v>
      </c>
      <c r="D53" s="102"/>
      <c r="E53" s="102"/>
      <c r="F53" s="102"/>
      <c r="G53" s="102"/>
      <c r="H53" s="87"/>
      <c r="R53"/>
      <c r="S53" t="s">
        <v>254</v>
      </c>
      <c r="T53" t="s">
        <v>261</v>
      </c>
      <c r="U53" t="s">
        <v>268</v>
      </c>
    </row>
    <row r="54" spans="1:24" s="20" customFormat="1" hidden="1" x14ac:dyDescent="0.25">
      <c r="A54" s="98" t="s">
        <v>278</v>
      </c>
      <c r="B54" s="99"/>
      <c r="C54" s="86" t="str">
        <f>C53</f>
        <v>This C.C is extended as further C.C from ground to 13th, 15th &amp; 18th upper Floors including brickwork &amp; plaster and only RCC framework to 14th, 16th, 17th &amp; 19th upper floors including OHWT &amp; LMH above terrace flooor as per amended approved plans dated 20/12/2022.</v>
      </c>
      <c r="D54" s="102"/>
      <c r="E54" s="87"/>
      <c r="F54" s="15" t="s">
        <v>40</v>
      </c>
      <c r="G54" s="86"/>
      <c r="H54" s="87"/>
      <c r="R54"/>
      <c r="S54" t="s">
        <v>253</v>
      </c>
      <c r="T54" t="s">
        <v>258</v>
      </c>
      <c r="U54" t="s">
        <v>255</v>
      </c>
      <c r="V54" t="s">
        <v>274</v>
      </c>
    </row>
    <row r="55" spans="1:24" s="20" customFormat="1" ht="32.25" hidden="1" customHeight="1" x14ac:dyDescent="0.25">
      <c r="A55" s="100"/>
      <c r="B55" s="101"/>
      <c r="C55" s="175"/>
      <c r="D55" s="176"/>
      <c r="E55" s="176"/>
      <c r="F55" s="176"/>
      <c r="G55" s="176"/>
      <c r="H55" s="177"/>
      <c r="R55"/>
      <c r="S55" t="s">
        <v>255</v>
      </c>
      <c r="T55" t="s">
        <v>259</v>
      </c>
      <c r="U55" t="s">
        <v>269</v>
      </c>
      <c r="V55" s="18"/>
      <c r="W55" s="18"/>
      <c r="X55" s="18"/>
    </row>
    <row r="56" spans="1:24" s="20" customFormat="1" ht="34.5" hidden="1" customHeight="1" x14ac:dyDescent="0.25">
      <c r="A56" s="98" t="s">
        <v>279</v>
      </c>
      <c r="B56" s="99"/>
      <c r="C56" s="86">
        <f>C55</f>
        <v>0</v>
      </c>
      <c r="D56" s="102"/>
      <c r="E56" s="87"/>
      <c r="F56" s="15" t="s">
        <v>40</v>
      </c>
      <c r="G56" s="86">
        <f>G55</f>
        <v>0</v>
      </c>
      <c r="H56" s="87"/>
      <c r="R56"/>
      <c r="S56" s="18"/>
      <c r="T56" t="s">
        <v>260</v>
      </c>
      <c r="U56" t="s">
        <v>270</v>
      </c>
      <c r="V56" s="18"/>
      <c r="W56" s="18"/>
      <c r="X56" s="18"/>
    </row>
    <row r="57" spans="1:24" s="20" customFormat="1" ht="41.25" hidden="1" customHeight="1" x14ac:dyDescent="0.25">
      <c r="A57" s="100"/>
      <c r="B57" s="101"/>
      <c r="C57" s="86"/>
      <c r="D57" s="102"/>
      <c r="E57" s="102"/>
      <c r="F57" s="102"/>
      <c r="G57" s="102"/>
      <c r="H57" s="87"/>
      <c r="R57"/>
      <c r="S57" s="18"/>
      <c r="T57" t="s">
        <v>262</v>
      </c>
      <c r="U57" t="s">
        <v>271</v>
      </c>
      <c r="V57" s="18"/>
      <c r="W57" s="18"/>
      <c r="X57" s="18"/>
    </row>
    <row r="58" spans="1:24" s="20" customFormat="1" ht="15.75" hidden="1" customHeight="1" x14ac:dyDescent="0.25">
      <c r="A58" s="98" t="s">
        <v>280</v>
      </c>
      <c r="B58" s="99"/>
      <c r="C58" s="86">
        <f>C57</f>
        <v>0</v>
      </c>
      <c r="D58" s="102"/>
      <c r="E58" s="87"/>
      <c r="F58" s="15" t="s">
        <v>40</v>
      </c>
      <c r="G58" s="86">
        <f>G57</f>
        <v>0</v>
      </c>
      <c r="H58" s="87"/>
      <c r="R58"/>
      <c r="S58" s="18"/>
      <c r="T58" t="s">
        <v>263</v>
      </c>
      <c r="U58" s="18" t="s">
        <v>294</v>
      </c>
      <c r="V58" s="18"/>
      <c r="W58" s="18"/>
      <c r="X58" s="18"/>
    </row>
    <row r="59" spans="1:24" s="20" customFormat="1" ht="33.75" hidden="1" customHeight="1" x14ac:dyDescent="0.25">
      <c r="A59" s="100"/>
      <c r="B59" s="101"/>
      <c r="C59" s="86"/>
      <c r="D59" s="102"/>
      <c r="E59" s="102"/>
      <c r="F59" s="102"/>
      <c r="G59" s="102"/>
      <c r="H59" s="87"/>
      <c r="R59"/>
      <c r="S59" s="18"/>
      <c r="T59" t="s">
        <v>264</v>
      </c>
      <c r="U59" s="18"/>
      <c r="V59" s="18"/>
      <c r="W59" s="18"/>
      <c r="X59" s="18"/>
    </row>
    <row r="60" spans="1:24" x14ac:dyDescent="0.25">
      <c r="A60" s="76" t="s">
        <v>42</v>
      </c>
      <c r="B60" s="77"/>
      <c r="C60" s="76" t="s">
        <v>101</v>
      </c>
      <c r="D60" s="78"/>
      <c r="E60" s="77"/>
      <c r="F60" s="41" t="s">
        <v>40</v>
      </c>
      <c r="G60" s="96" t="s">
        <v>28</v>
      </c>
      <c r="H60" s="97"/>
      <c r="R60"/>
      <c r="T60" t="s">
        <v>266</v>
      </c>
    </row>
    <row r="61" spans="1:24" x14ac:dyDescent="0.25">
      <c r="A61" s="92" t="s">
        <v>44</v>
      </c>
      <c r="B61" s="92"/>
      <c r="C61" s="92"/>
      <c r="D61" s="92"/>
      <c r="E61" s="92"/>
      <c r="F61" s="92"/>
      <c r="G61" s="92"/>
      <c r="H61" s="92"/>
      <c r="T61" t="s">
        <v>275</v>
      </c>
    </row>
    <row r="62" spans="1:24" ht="33" customHeight="1" x14ac:dyDescent="0.25">
      <c r="A62" s="82" t="s">
        <v>315</v>
      </c>
      <c r="B62" s="82"/>
      <c r="C62" s="82"/>
      <c r="D62" s="73">
        <v>3715.2</v>
      </c>
      <c r="E62" s="73"/>
      <c r="F62" s="73"/>
      <c r="G62" s="73"/>
      <c r="H62" s="73"/>
      <c r="R62"/>
    </row>
    <row r="63" spans="1:24" x14ac:dyDescent="0.25">
      <c r="A63" s="93" t="s">
        <v>45</v>
      </c>
      <c r="B63" s="94"/>
      <c r="C63" s="94"/>
      <c r="D63" s="95" t="s">
        <v>341</v>
      </c>
      <c r="E63" s="95"/>
      <c r="F63" s="95"/>
      <c r="G63" s="95"/>
      <c r="H63" s="95"/>
      <c r="I63" s="21"/>
      <c r="R63"/>
    </row>
    <row r="64" spans="1:24" x14ac:dyDescent="0.25">
      <c r="A64" s="151" t="s">
        <v>46</v>
      </c>
      <c r="B64" s="152"/>
      <c r="C64" s="160"/>
      <c r="D64" s="153" t="s">
        <v>316</v>
      </c>
      <c r="E64" s="154"/>
      <c r="F64" s="154"/>
      <c r="G64" s="154"/>
      <c r="H64" s="154"/>
      <c r="R64"/>
    </row>
    <row r="65" spans="1:19" ht="15.75" customHeight="1" x14ac:dyDescent="0.25">
      <c r="A65" s="151" t="s">
        <v>85</v>
      </c>
      <c r="B65" s="152"/>
      <c r="C65" s="152"/>
      <c r="D65" s="153" t="s">
        <v>316</v>
      </c>
      <c r="E65" s="154"/>
      <c r="F65" s="154"/>
      <c r="G65" s="154"/>
      <c r="H65" s="154"/>
      <c r="R65"/>
    </row>
    <row r="66" spans="1:19" ht="15.75" customHeight="1" x14ac:dyDescent="0.25">
      <c r="A66" s="73" t="s">
        <v>43</v>
      </c>
      <c r="B66" s="73"/>
      <c r="C66" s="73"/>
      <c r="D66" s="82" t="s">
        <v>368</v>
      </c>
      <c r="E66" s="82"/>
      <c r="F66" s="82"/>
      <c r="G66" s="82"/>
      <c r="H66" s="82"/>
      <c r="J66" s="57"/>
      <c r="K66" s="21"/>
      <c r="N66" s="21"/>
      <c r="S66"/>
    </row>
    <row r="67" spans="1:19" ht="15.75" customHeight="1" x14ac:dyDescent="0.25">
      <c r="A67" s="148" t="s">
        <v>83</v>
      </c>
      <c r="B67" s="148"/>
      <c r="C67" s="148"/>
      <c r="D67" s="149" t="str">
        <f>(IF(G60="NA","60 Years After Completion",IF(G60&lt;&gt;"NA",""&amp;60-ROUNDDOWN((E3-G60)/360,0)&amp;" Years"," ")))</f>
        <v>60 Years After Completion</v>
      </c>
      <c r="E67" s="149"/>
      <c r="F67" s="149"/>
      <c r="G67" s="149"/>
      <c r="H67" s="149"/>
      <c r="N67" s="21"/>
      <c r="S67"/>
    </row>
    <row r="68" spans="1:19" ht="15.75" customHeight="1" x14ac:dyDescent="0.25">
      <c r="A68" s="73" t="s">
        <v>84</v>
      </c>
      <c r="B68" s="73"/>
      <c r="C68" s="73"/>
      <c r="D68" s="82" t="s">
        <v>23</v>
      </c>
      <c r="E68" s="82"/>
      <c r="F68" s="82"/>
      <c r="G68" s="82"/>
      <c r="H68" s="82"/>
      <c r="J68" s="22"/>
      <c r="K68" s="22"/>
      <c r="S68"/>
    </row>
    <row r="69" spans="1:19" ht="48.75" customHeight="1" x14ac:dyDescent="0.25">
      <c r="A69" s="95" t="s">
        <v>317</v>
      </c>
      <c r="B69" s="95"/>
      <c r="C69" s="95"/>
      <c r="D69" s="186" t="s">
        <v>318</v>
      </c>
      <c r="E69" s="186"/>
      <c r="F69" s="186"/>
      <c r="G69" s="186"/>
      <c r="H69" s="186"/>
      <c r="S69"/>
    </row>
    <row r="70" spans="1:19" x14ac:dyDescent="0.25">
      <c r="A70" s="82" t="s">
        <v>145</v>
      </c>
      <c r="B70" s="82"/>
      <c r="C70" s="82"/>
      <c r="D70" s="82" t="s">
        <v>28</v>
      </c>
      <c r="E70" s="82"/>
      <c r="F70" s="82"/>
      <c r="G70" s="82"/>
      <c r="H70" s="82"/>
      <c r="I70" s="23"/>
      <c r="J70" s="23"/>
      <c r="K70" s="23"/>
      <c r="L70" s="23"/>
      <c r="M70" s="23"/>
      <c r="N70" s="23"/>
    </row>
    <row r="71" spans="1:19" ht="15.75" customHeight="1" x14ac:dyDescent="0.25">
      <c r="A71" s="73" t="s">
        <v>82</v>
      </c>
      <c r="B71" s="73"/>
      <c r="C71" s="73"/>
      <c r="D71" s="93" t="str">
        <f ca="1">(IF(G77&gt;95%,"Nothing",IF(G77&gt;0%,"Cement, Aggregate, Steel, etc",IF(G77=0%,"Work not yet Started"))))</f>
        <v>Cement, Aggregate, Steel, etc</v>
      </c>
      <c r="E71" s="93"/>
      <c r="F71" s="93"/>
      <c r="G71" s="93"/>
      <c r="H71" s="93"/>
      <c r="J71" s="22"/>
      <c r="S71"/>
    </row>
    <row r="72" spans="1:19" ht="33.75" customHeight="1" thickBot="1" x14ac:dyDescent="0.3">
      <c r="A72" s="82" t="s">
        <v>114</v>
      </c>
      <c r="B72" s="82"/>
      <c r="C72" s="82"/>
      <c r="D72" s="93" t="str">
        <f ca="1">(IF(D71="Nothing","Yes",IF(D71="Cement, Aggregate, Steel, etc","Under Construction",IF(D71="Work not yet Started","Work not yet Started"))))</f>
        <v>Under Construction</v>
      </c>
      <c r="E72" s="93"/>
      <c r="F72" s="93" t="str">
        <f ca="1">(IF(D71="Nothing","Yes",IF(D71="Cement, Aggregate, Steel, etc","Under Construction",IF(D71="Work not yet Started","Work not yet Started"))))</f>
        <v>Under Construction</v>
      </c>
      <c r="G72" s="93"/>
      <c r="H72" s="93"/>
      <c r="S72"/>
    </row>
    <row r="73" spans="1:19" ht="15.75" customHeight="1" x14ac:dyDescent="0.25">
      <c r="A73" s="179" t="s">
        <v>137</v>
      </c>
      <c r="B73" s="179"/>
      <c r="C73" s="179" t="str">
        <f>D65</f>
        <v>Gr + 1P to 3P + 4th to 19th Floor</v>
      </c>
      <c r="D73" s="179"/>
      <c r="E73" s="179"/>
      <c r="F73" s="179"/>
      <c r="G73" s="179"/>
      <c r="H73" s="179"/>
      <c r="I73" s="63" t="str">
        <f ca="1">IF(D86=100%,"All work Completed. Possession granted to the Building.",IF(D85=100%,"All work Completed, Waiting for OC",I74&amp;""&amp;I75&amp;""&amp;J74&amp;""&amp;J73&amp;" "&amp;J75))</f>
        <v>Excavation, Plinth, RCC Slab, Brickwork, Internal Plaster, External Plaster, Flooring Completed, Painting upto 18 Floor, Finishing upto 13 Floor Completed</v>
      </c>
      <c r="J73" s="45"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Painting upto 18 Floor, Finishing upto 13 Floor</v>
      </c>
      <c r="S73"/>
    </row>
    <row r="74" spans="1:19" x14ac:dyDescent="0.25">
      <c r="A74" s="43" t="s">
        <v>139</v>
      </c>
      <c r="B74" s="43">
        <f>IF(AND(ISNUMBER(SEARCH("1B",C73))),1,IF(AND(ISNUMBER(SEARCH("2B",C73))),2,IF(AND(ISNUMBER(SEARCH("3B",C73))),3,IF(AND(ISNUMBER(SEARCH("4B",C73))),4,IF(ISNUMBER(SEARCH("5B",C73)),5,0)))))</f>
        <v>0</v>
      </c>
      <c r="C74" s="43" t="s">
        <v>68</v>
      </c>
      <c r="D74" s="43">
        <v>1</v>
      </c>
      <c r="E74" s="43" t="s">
        <v>67</v>
      </c>
      <c r="F74" s="43">
        <v>0</v>
      </c>
      <c r="G74" s="44" t="s">
        <v>76</v>
      </c>
      <c r="H74" s="43">
        <f ca="1">--TRIM(RIGHT(SUBSTITUTE(LEFT(C73,_xlfn.AGGREGATE(16,6,FIND({0,1,2,3,4,5,6,7,8,9},C73,ROW(INDIRECT("1:"&amp;LEN(C73)))),1))," ",REPT(" ",LEN(C73))),LEN(C73)))</f>
        <v>19</v>
      </c>
      <c r="I74" s="6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v>
      </c>
      <c r="J74" s="47"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8.95" customHeight="1" x14ac:dyDescent="0.25">
      <c r="A75" s="178" t="s">
        <v>86</v>
      </c>
      <c r="B75" s="133"/>
      <c r="C75" s="132" t="str">
        <f ca="1">I73</f>
        <v>Excavation, Plinth, RCC Slab, Brickwork, Internal Plaster, External Plaster, Flooring Completed, Painting upto 18 Floor, Finishing upto 13 Floor Completed</v>
      </c>
      <c r="D75" s="132"/>
      <c r="E75" s="132"/>
      <c r="F75" s="132"/>
      <c r="G75" s="132"/>
      <c r="H75" s="180"/>
      <c r="I75" s="46" t="str">
        <f ca="1">IF(I74&lt;&gt;""," Completed","")</f>
        <v xml:space="preserve"> Completed</v>
      </c>
      <c r="J75" s="47" t="str">
        <f ca="1">IF(J73&lt;&gt;"","Completed","")</f>
        <v>Completed</v>
      </c>
      <c r="S75"/>
    </row>
    <row r="76" spans="1:19" ht="15.75" customHeight="1" x14ac:dyDescent="0.25">
      <c r="A76" s="84" t="s">
        <v>47</v>
      </c>
      <c r="B76" s="85"/>
      <c r="C76" s="39" t="s">
        <v>136</v>
      </c>
      <c r="D76" s="39" t="s">
        <v>79</v>
      </c>
      <c r="E76" s="85" t="s">
        <v>81</v>
      </c>
      <c r="F76" s="85"/>
      <c r="G76" s="85" t="s">
        <v>80</v>
      </c>
      <c r="H76" s="125"/>
      <c r="I76" s="13" t="s">
        <v>138</v>
      </c>
      <c r="J76" s="24">
        <f ca="1">H74*25%</f>
        <v>4.75</v>
      </c>
      <c r="S76"/>
    </row>
    <row r="77" spans="1:19" x14ac:dyDescent="0.25">
      <c r="A77" s="84" t="s">
        <v>125</v>
      </c>
      <c r="B77" s="85"/>
      <c r="C77" s="39">
        <f ca="1">J78</f>
        <v>19</v>
      </c>
      <c r="D77" s="16">
        <f ca="1">((100/H74)*C77)/100</f>
        <v>1</v>
      </c>
      <c r="E77" s="161">
        <f ca="1">(((C78/H74*10)+(40/(D74+F74+H74)*C79)+(7.5/(H74)*C80)+(7.5/(H74)*C81)+(10/H74*C82)+(10/H74*C83)+(5/H74*C84)+(5/H74*C85)+(5/H74*C86))/100)</f>
        <v>0.93157894736842095</v>
      </c>
      <c r="F77" s="162"/>
      <c r="G77" s="161">
        <f ca="1">((((C77/H74)*20)+((C78/H74)*25)+(30/(H74+F74+D74)*C79)+(5/H74*C80)+(5/H74*C81)+(5/H74*C82)+(5/H74*C83)+(0/H74*C84)+(0/H74*C85)+(5/H74*C86))/100)</f>
        <v>0.95</v>
      </c>
      <c r="H77" s="167"/>
      <c r="I77" s="13" t="s">
        <v>96</v>
      </c>
      <c r="J77" s="25">
        <f ca="1">H74*50%</f>
        <v>9.5</v>
      </c>
    </row>
    <row r="78" spans="1:19" x14ac:dyDescent="0.25">
      <c r="A78" s="84" t="s">
        <v>48</v>
      </c>
      <c r="B78" s="85"/>
      <c r="C78" s="39">
        <f ca="1">J86</f>
        <v>19</v>
      </c>
      <c r="D78" s="16">
        <f ca="1">((100/H74)*C78)/100</f>
        <v>1</v>
      </c>
      <c r="E78" s="163"/>
      <c r="F78" s="164"/>
      <c r="G78" s="163"/>
      <c r="H78" s="168"/>
      <c r="I78" s="13" t="s">
        <v>97</v>
      </c>
      <c r="J78" s="25">
        <f ca="1">H74</f>
        <v>19</v>
      </c>
      <c r="S78"/>
    </row>
    <row r="79" spans="1:19" ht="15.75" customHeight="1" x14ac:dyDescent="0.25">
      <c r="A79" s="84" t="s">
        <v>126</v>
      </c>
      <c r="B79" s="85"/>
      <c r="C79" s="39">
        <v>20</v>
      </c>
      <c r="D79" s="16">
        <f ca="1">((100/(D74+F74+H74))*C79)/100</f>
        <v>1</v>
      </c>
      <c r="E79" s="163"/>
      <c r="F79" s="164"/>
      <c r="G79" s="163"/>
      <c r="H79" s="168"/>
      <c r="I79" s="13" t="s">
        <v>98</v>
      </c>
      <c r="J79" s="26">
        <f ca="1">(IF(B74&gt;1,(H74/(B74+2)),H74/4))</f>
        <v>4.75</v>
      </c>
      <c r="S79"/>
    </row>
    <row r="80" spans="1:19" ht="15.75" customHeight="1" x14ac:dyDescent="0.25">
      <c r="A80" s="84" t="s">
        <v>133</v>
      </c>
      <c r="B80" s="85" t="s">
        <v>127</v>
      </c>
      <c r="C80" s="39">
        <v>19</v>
      </c>
      <c r="D80" s="16">
        <f ca="1">((100/H74)*C80)/100</f>
        <v>1</v>
      </c>
      <c r="E80" s="163"/>
      <c r="F80" s="164"/>
      <c r="G80" s="163"/>
      <c r="H80" s="168"/>
      <c r="I80" s="13" t="s">
        <v>99</v>
      </c>
      <c r="J80" s="26">
        <f ca="1">(IF(B74&gt;1,(H74/(B74+2)+J79),H74/4+J79))</f>
        <v>9.5</v>
      </c>
    </row>
    <row r="81" spans="1:22" ht="15.75" customHeight="1" x14ac:dyDescent="0.25">
      <c r="A81" s="84" t="s">
        <v>134</v>
      </c>
      <c r="B81" s="85" t="s">
        <v>127</v>
      </c>
      <c r="C81" s="39">
        <v>19</v>
      </c>
      <c r="D81" s="16">
        <f ca="1">((100/H74)*C81)/100</f>
        <v>1</v>
      </c>
      <c r="E81" s="163"/>
      <c r="F81" s="164"/>
      <c r="G81" s="163"/>
      <c r="H81" s="168"/>
      <c r="I81" s="13" t="s">
        <v>143</v>
      </c>
      <c r="J81" s="26">
        <f>(IF(B74&gt;1,(H74/(B74+2)+J80),0))</f>
        <v>0</v>
      </c>
    </row>
    <row r="82" spans="1:22" ht="15" customHeight="1" x14ac:dyDescent="0.25">
      <c r="A82" s="84" t="s">
        <v>132</v>
      </c>
      <c r="B82" s="85" t="s">
        <v>129</v>
      </c>
      <c r="C82" s="39">
        <v>19</v>
      </c>
      <c r="D82" s="16">
        <f ca="1">((100/(H74))*C82)/100</f>
        <v>1</v>
      </c>
      <c r="E82" s="163"/>
      <c r="F82" s="164"/>
      <c r="G82" s="163"/>
      <c r="H82" s="168"/>
      <c r="I82" s="13" t="s">
        <v>140</v>
      </c>
      <c r="J82" s="26">
        <f>(IF(B74&gt;2,(H74/(B74+2)+J81),0))</f>
        <v>0</v>
      </c>
    </row>
    <row r="83" spans="1:22" ht="15.75" customHeight="1" x14ac:dyDescent="0.25">
      <c r="A83" s="84" t="s">
        <v>128</v>
      </c>
      <c r="B83" s="85" t="s">
        <v>128</v>
      </c>
      <c r="C83" s="39">
        <v>19</v>
      </c>
      <c r="D83" s="16">
        <f ca="1">((100/H74)*C83)/100</f>
        <v>1</v>
      </c>
      <c r="E83" s="163"/>
      <c r="F83" s="164"/>
      <c r="G83" s="163"/>
      <c r="H83" s="168"/>
      <c r="I83" s="13" t="s">
        <v>141</v>
      </c>
      <c r="J83" s="27">
        <f>(IF(B74&gt;3,(H74/(B74+2)+J82),0))</f>
        <v>0</v>
      </c>
    </row>
    <row r="84" spans="1:22" ht="15.75" customHeight="1" x14ac:dyDescent="0.25">
      <c r="A84" s="84" t="s">
        <v>135</v>
      </c>
      <c r="B84" s="85"/>
      <c r="C84" s="39">
        <v>18</v>
      </c>
      <c r="D84" s="16">
        <f ca="1">((100/H74)*C84)/100</f>
        <v>0.94736842105263164</v>
      </c>
      <c r="E84" s="163"/>
      <c r="F84" s="164"/>
      <c r="G84" s="163"/>
      <c r="H84" s="168"/>
      <c r="I84" s="13" t="s">
        <v>142</v>
      </c>
      <c r="J84" s="26">
        <f>(IF(B74&gt;4,(H74/(B74+2)+J83),0))</f>
        <v>0</v>
      </c>
    </row>
    <row r="85" spans="1:22" ht="15.75" customHeight="1" x14ac:dyDescent="0.25">
      <c r="A85" s="84" t="s">
        <v>130</v>
      </c>
      <c r="B85" s="85" t="s">
        <v>130</v>
      </c>
      <c r="C85" s="39">
        <v>13</v>
      </c>
      <c r="D85" s="16">
        <f ca="1">((100/(H74))*C85)/100</f>
        <v>0.6842105263157896</v>
      </c>
      <c r="E85" s="163"/>
      <c r="F85" s="164"/>
      <c r="G85" s="163"/>
      <c r="H85" s="168"/>
      <c r="I85" s="13" t="s">
        <v>144</v>
      </c>
      <c r="J85" s="26">
        <f ca="1">(IF(B74=1,(H74/(B74+3)+J80),IF(B74=0,(H74/4+J80),IF(B74&gt;1,0))))</f>
        <v>14.25</v>
      </c>
    </row>
    <row r="86" spans="1:22" ht="16.5" thickBot="1" x14ac:dyDescent="0.3">
      <c r="A86" s="170" t="s">
        <v>131</v>
      </c>
      <c r="B86" s="171"/>
      <c r="C86" s="40">
        <v>0</v>
      </c>
      <c r="D86" s="17">
        <f ca="1">((100/(H74))*C86)/100</f>
        <v>0</v>
      </c>
      <c r="E86" s="165"/>
      <c r="F86" s="166"/>
      <c r="G86" s="165"/>
      <c r="H86" s="169"/>
      <c r="I86" s="14" t="s">
        <v>100</v>
      </c>
      <c r="J86" s="28">
        <f ca="1">(IF(B74&gt;1.5,(H74/(B74+2)+J80+MAX(0,J81-J80)+MAX(0,J82-J81)+MAX(0,J83-J82)+MAX(0,J84-J83)+MAX(0,J85-J84)),IF(B74=1,(H74/(B74+3)+J85),IF(B74=0,H74/4+J85))))</f>
        <v>19</v>
      </c>
    </row>
    <row r="87" spans="1:22" x14ac:dyDescent="0.25">
      <c r="A87" s="185" t="s">
        <v>154</v>
      </c>
      <c r="B87" s="185"/>
      <c r="C87" s="185"/>
      <c r="D87" s="185"/>
      <c r="E87" s="185"/>
      <c r="F87" s="130" t="s">
        <v>158</v>
      </c>
      <c r="G87" s="130"/>
      <c r="H87" s="130"/>
      <c r="R87" t="s">
        <v>250</v>
      </c>
      <c r="S87" t="s">
        <v>169</v>
      </c>
      <c r="T87" t="s">
        <v>175</v>
      </c>
      <c r="U87" t="s">
        <v>190</v>
      </c>
      <c r="V87" t="s">
        <v>185</v>
      </c>
    </row>
    <row r="88" spans="1:22" x14ac:dyDescent="0.25">
      <c r="A88" s="73" t="s">
        <v>156</v>
      </c>
      <c r="B88" s="73"/>
      <c r="C88" s="73"/>
      <c r="D88" s="73"/>
      <c r="E88" s="73"/>
      <c r="F88" s="70">
        <v>18000</v>
      </c>
      <c r="G88" s="70"/>
      <c r="H88" s="70"/>
      <c r="R88"/>
      <c r="S88">
        <v>800000</v>
      </c>
      <c r="T88">
        <v>300000</v>
      </c>
      <c r="U88">
        <v>100000</v>
      </c>
      <c r="V88">
        <v>100000</v>
      </c>
    </row>
    <row r="89" spans="1:22" hidden="1" x14ac:dyDescent="0.25">
      <c r="A89" s="73" t="s">
        <v>155</v>
      </c>
      <c r="B89" s="73"/>
      <c r="C89" s="73"/>
      <c r="D89" s="73"/>
      <c r="E89" s="73"/>
      <c r="F89" s="70"/>
      <c r="G89" s="70"/>
      <c r="H89" s="70"/>
      <c r="R89"/>
      <c r="S89">
        <v>900000</v>
      </c>
      <c r="T89">
        <v>350000</v>
      </c>
      <c r="U89">
        <v>150000</v>
      </c>
      <c r="V89">
        <v>150000</v>
      </c>
    </row>
    <row r="90" spans="1:22" hidden="1" x14ac:dyDescent="0.25">
      <c r="A90" s="73" t="s">
        <v>157</v>
      </c>
      <c r="B90" s="73"/>
      <c r="C90" s="73"/>
      <c r="D90" s="73"/>
      <c r="E90" s="73"/>
      <c r="F90" s="70"/>
      <c r="G90" s="70"/>
      <c r="H90" s="70"/>
      <c r="R90"/>
      <c r="S90">
        <v>1000000</v>
      </c>
      <c r="T90">
        <v>400000</v>
      </c>
      <c r="U90">
        <v>200000</v>
      </c>
      <c r="V90">
        <v>200000</v>
      </c>
    </row>
    <row r="91" spans="1:22" s="29" customFormat="1" hidden="1" x14ac:dyDescent="0.25">
      <c r="A91" s="73" t="s">
        <v>171</v>
      </c>
      <c r="B91" s="73"/>
      <c r="C91" s="73"/>
      <c r="D91" s="73"/>
      <c r="E91" s="73"/>
      <c r="F91" s="70"/>
      <c r="G91" s="70"/>
      <c r="H91" s="70"/>
      <c r="R91"/>
      <c r="S91">
        <v>1100000</v>
      </c>
      <c r="T91">
        <v>500000</v>
      </c>
      <c r="U91">
        <v>250000</v>
      </c>
      <c r="V91" s="20">
        <v>250000</v>
      </c>
    </row>
    <row r="92" spans="1:22" s="29" customFormat="1" hidden="1" x14ac:dyDescent="0.25">
      <c r="A92" s="73" t="s">
        <v>90</v>
      </c>
      <c r="B92" s="73"/>
      <c r="C92" s="73"/>
      <c r="D92" s="73"/>
      <c r="E92" s="73"/>
      <c r="F92" s="70"/>
      <c r="G92" s="70"/>
      <c r="H92" s="70"/>
      <c r="R92"/>
      <c r="S92">
        <v>1200000</v>
      </c>
      <c r="T92">
        <v>600000</v>
      </c>
      <c r="U92">
        <v>300000</v>
      </c>
      <c r="V92">
        <v>300000</v>
      </c>
    </row>
    <row r="93" spans="1:22" s="29" customFormat="1" hidden="1" x14ac:dyDescent="0.25">
      <c r="A93" s="73" t="s">
        <v>91</v>
      </c>
      <c r="B93" s="73"/>
      <c r="C93" s="73"/>
      <c r="D93" s="73"/>
      <c r="E93" s="73"/>
      <c r="F93" s="70"/>
      <c r="G93" s="70"/>
      <c r="H93" s="70"/>
      <c r="R93"/>
      <c r="S93">
        <v>1300000</v>
      </c>
      <c r="T93">
        <v>700000</v>
      </c>
      <c r="U93">
        <v>350000</v>
      </c>
      <c r="V93" s="20">
        <v>400000</v>
      </c>
    </row>
    <row r="94" spans="1:22" s="29" customFormat="1" hidden="1" x14ac:dyDescent="0.25">
      <c r="A94" s="73" t="s">
        <v>92</v>
      </c>
      <c r="B94" s="73"/>
      <c r="C94" s="73"/>
      <c r="D94" s="73"/>
      <c r="E94" s="73"/>
      <c r="F94" s="70"/>
      <c r="G94" s="70"/>
      <c r="H94" s="70"/>
      <c r="R94"/>
      <c r="S94">
        <v>1400000</v>
      </c>
      <c r="T94">
        <v>800000</v>
      </c>
      <c r="U94">
        <v>400000</v>
      </c>
      <c r="V94"/>
    </row>
    <row r="95" spans="1:22" s="29" customFormat="1" hidden="1" x14ac:dyDescent="0.25">
      <c r="A95" s="73" t="s">
        <v>93</v>
      </c>
      <c r="B95" s="73"/>
      <c r="C95" s="73"/>
      <c r="D95" s="73"/>
      <c r="E95" s="73"/>
      <c r="F95" s="70"/>
      <c r="G95" s="70"/>
      <c r="H95" s="70"/>
      <c r="R95"/>
      <c r="S95">
        <v>1500000</v>
      </c>
      <c r="T95">
        <v>900000</v>
      </c>
      <c r="U95">
        <v>500000</v>
      </c>
      <c r="V95" s="20"/>
    </row>
    <row r="96" spans="1:22" s="29" customFormat="1" hidden="1" x14ac:dyDescent="0.25">
      <c r="A96" s="73" t="s">
        <v>94</v>
      </c>
      <c r="B96" s="73"/>
      <c r="C96" s="73"/>
      <c r="D96" s="73"/>
      <c r="E96" s="73"/>
      <c r="F96" s="70"/>
      <c r="G96" s="70"/>
      <c r="H96" s="70"/>
      <c r="R96"/>
      <c r="S96">
        <v>1600000</v>
      </c>
      <c r="T96">
        <v>1000000</v>
      </c>
      <c r="U96">
        <v>600000</v>
      </c>
      <c r="V96"/>
    </row>
    <row r="97" spans="1:22" s="29" customFormat="1" hidden="1" x14ac:dyDescent="0.25">
      <c r="A97" s="73" t="s">
        <v>95</v>
      </c>
      <c r="B97" s="73"/>
      <c r="C97" s="73"/>
      <c r="D97" s="73"/>
      <c r="E97" s="73"/>
      <c r="F97" s="70"/>
      <c r="G97" s="70"/>
      <c r="H97" s="70"/>
      <c r="R97"/>
      <c r="S97">
        <v>1700000</v>
      </c>
      <c r="T97"/>
      <c r="U97"/>
      <c r="V97" s="20"/>
    </row>
    <row r="98" spans="1:22" x14ac:dyDescent="0.25">
      <c r="A98" s="73" t="s">
        <v>49</v>
      </c>
      <c r="B98" s="73"/>
      <c r="C98" s="73"/>
      <c r="D98" s="73"/>
      <c r="E98" s="73"/>
      <c r="F98" s="70">
        <v>900000</v>
      </c>
      <c r="G98" s="70"/>
      <c r="H98" s="70"/>
      <c r="R98"/>
      <c r="S98">
        <v>1800000</v>
      </c>
      <c r="T98"/>
      <c r="U98"/>
    </row>
    <row r="99" spans="1:22" s="30" customFormat="1" x14ac:dyDescent="0.25">
      <c r="A99" s="129" t="s">
        <v>50</v>
      </c>
      <c r="B99" s="129"/>
      <c r="C99" s="129"/>
      <c r="D99" s="129"/>
      <c r="E99" s="129"/>
      <c r="F99" s="70">
        <f>F88*0.8</f>
        <v>14400</v>
      </c>
      <c r="G99" s="70"/>
      <c r="H99" s="70"/>
      <c r="R99" s="18"/>
      <c r="S99" s="18"/>
      <c r="T99"/>
      <c r="U99"/>
      <c r="V99" s="18"/>
    </row>
    <row r="100" spans="1:22" s="31" customFormat="1" ht="15.75" hidden="1" customHeight="1" x14ac:dyDescent="0.25">
      <c r="A100" s="128" t="s">
        <v>71</v>
      </c>
      <c r="B100" s="128"/>
      <c r="C100" s="128"/>
      <c r="D100" s="128"/>
      <c r="E100" s="128"/>
      <c r="F100" s="128"/>
      <c r="G100" s="128"/>
      <c r="H100" s="128"/>
      <c r="R100"/>
      <c r="S100" s="18"/>
      <c r="T100"/>
      <c r="U100"/>
      <c r="V100" s="18"/>
    </row>
    <row r="101" spans="1:22" s="31" customFormat="1" ht="15.75" hidden="1" customHeight="1" x14ac:dyDescent="0.25">
      <c r="A101" s="72" t="s">
        <v>51</v>
      </c>
      <c r="B101" s="72"/>
      <c r="C101" s="81" t="s">
        <v>74</v>
      </c>
      <c r="D101" s="81"/>
      <c r="E101" s="79" t="s">
        <v>52</v>
      </c>
      <c r="F101" s="79"/>
      <c r="G101" s="72" t="s">
        <v>53</v>
      </c>
      <c r="H101" s="72"/>
      <c r="R101"/>
      <c r="S101" s="18"/>
      <c r="T101"/>
      <c r="U101" s="18"/>
      <c r="V101" s="18"/>
    </row>
    <row r="102" spans="1:22" s="31" customFormat="1" hidden="1" x14ac:dyDescent="0.25">
      <c r="A102" s="80"/>
      <c r="B102" s="80"/>
      <c r="C102" s="156"/>
      <c r="D102" s="156"/>
      <c r="E102" s="173"/>
      <c r="F102" s="173"/>
      <c r="G102" s="118"/>
      <c r="H102" s="118"/>
      <c r="R102"/>
      <c r="S102" s="18"/>
      <c r="T102"/>
      <c r="U102" s="18"/>
      <c r="V102" s="18"/>
    </row>
    <row r="103" spans="1:22" s="31" customFormat="1" hidden="1" x14ac:dyDescent="0.25">
      <c r="A103" s="80"/>
      <c r="B103" s="80"/>
      <c r="C103" s="156"/>
      <c r="D103" s="156"/>
      <c r="E103" s="173"/>
      <c r="F103" s="173"/>
      <c r="G103" s="118"/>
      <c r="H103" s="118"/>
      <c r="R103"/>
      <c r="S103" s="18"/>
      <c r="T103"/>
      <c r="U103" s="18"/>
      <c r="V103" s="18"/>
    </row>
    <row r="104" spans="1:22" s="31" customFormat="1" hidden="1" x14ac:dyDescent="0.25">
      <c r="A104" s="128" t="s">
        <v>147</v>
      </c>
      <c r="B104" s="128"/>
      <c r="C104" s="81"/>
      <c r="D104" s="81"/>
      <c r="E104" s="79"/>
      <c r="F104" s="79"/>
      <c r="G104" s="72"/>
      <c r="H104" s="72"/>
      <c r="R104"/>
      <c r="S104" s="18"/>
      <c r="T104"/>
      <c r="U104" s="18"/>
      <c r="V104" s="18"/>
    </row>
    <row r="105" spans="1:22" s="31" customFormat="1" x14ac:dyDescent="0.25">
      <c r="A105" s="128" t="s">
        <v>340</v>
      </c>
      <c r="B105" s="128"/>
      <c r="C105" s="128"/>
      <c r="D105" s="128"/>
      <c r="E105" s="128"/>
      <c r="F105" s="128"/>
      <c r="G105" s="128"/>
      <c r="H105" s="128"/>
      <c r="T105"/>
    </row>
    <row r="106" spans="1:22" s="31" customFormat="1" ht="15.75" customHeight="1" x14ac:dyDescent="0.25">
      <c r="A106" s="72" t="s">
        <v>51</v>
      </c>
      <c r="B106" s="72"/>
      <c r="C106" s="81" t="s">
        <v>74</v>
      </c>
      <c r="D106" s="81"/>
      <c r="E106" s="79" t="s">
        <v>52</v>
      </c>
      <c r="F106" s="79"/>
      <c r="G106" s="72" t="s">
        <v>53</v>
      </c>
      <c r="H106" s="72"/>
      <c r="T106"/>
    </row>
    <row r="107" spans="1:22" s="31" customFormat="1" x14ac:dyDescent="0.25">
      <c r="A107" s="80" t="s">
        <v>66</v>
      </c>
      <c r="B107" s="80"/>
      <c r="C107" s="156">
        <f>COUNT(F131:F134)+COUNT(F136:F139)+COUNT(F141:F143)+COUNT(F145:F146)+COUNT(F149:F152)+COUNT(F154:F156)+COUNT(F158:F160)*3+COUNT(F178:F179)+COUNT(F182:F185)</f>
        <v>35</v>
      </c>
      <c r="D107" s="156"/>
      <c r="E107" s="157">
        <f>SUM(F131:F134)+SUM(F136:F139)+SUM(F141:F143)+SUM(F145:F146)+SUM(F149:F152)+SUM(F154:F156)+SUM(F158:F160)*3+SUM(F178:F179)+SUM(F182:F185)</f>
        <v>48383.45450639999</v>
      </c>
      <c r="F107" s="157"/>
      <c r="G107" s="157">
        <f>SUM(H131:H134)+SUM(H136:H139)+SUM(H141:H143)+SUM(H145:H146)+SUM(H149:H152)+SUM(H154:H156)+SUM(H158:H160)*3+SUM(H178:H179)+SUM(H182:H185)</f>
        <v>72575.181759599989</v>
      </c>
      <c r="H107" s="157"/>
      <c r="I107" s="31">
        <f>20+20+5+10+3+2+1+1+4*2+3+7+2+2+1+1+2*2</f>
        <v>90</v>
      </c>
      <c r="T107"/>
    </row>
    <row r="108" spans="1:22" s="31" customFormat="1" hidden="1" x14ac:dyDescent="0.25">
      <c r="A108" s="184" t="s">
        <v>147</v>
      </c>
      <c r="B108" s="184"/>
      <c r="C108" s="119">
        <f t="shared" ref="C108:G108" si="0">SUM(C107)</f>
        <v>35</v>
      </c>
      <c r="D108" s="119"/>
      <c r="E108" s="187">
        <f t="shared" si="0"/>
        <v>48383.45450639999</v>
      </c>
      <c r="F108" s="187"/>
      <c r="G108" s="188">
        <f t="shared" si="0"/>
        <v>72575.181759599989</v>
      </c>
      <c r="H108" s="188"/>
    </row>
    <row r="109" spans="1:22" s="31" customFormat="1" x14ac:dyDescent="0.25">
      <c r="A109" s="128" t="s">
        <v>339</v>
      </c>
      <c r="B109" s="128"/>
      <c r="C109" s="128"/>
      <c r="D109" s="128"/>
      <c r="E109" s="128"/>
      <c r="F109" s="128"/>
      <c r="G109" s="128"/>
      <c r="H109" s="128"/>
    </row>
    <row r="110" spans="1:22" s="31" customFormat="1" x14ac:dyDescent="0.25">
      <c r="A110" s="72" t="s">
        <v>51</v>
      </c>
      <c r="B110" s="72"/>
      <c r="C110" s="81" t="s">
        <v>74</v>
      </c>
      <c r="D110" s="81"/>
      <c r="E110" s="79" t="s">
        <v>52</v>
      </c>
      <c r="F110" s="79"/>
      <c r="G110" s="72" t="s">
        <v>53</v>
      </c>
      <c r="H110" s="72"/>
    </row>
    <row r="111" spans="1:22" s="31" customFormat="1" x14ac:dyDescent="0.25">
      <c r="A111" s="80" t="s">
        <v>66</v>
      </c>
      <c r="B111" s="80"/>
      <c r="C111" s="156">
        <f>COUNT(F166:F176)*5</f>
        <v>55</v>
      </c>
      <c r="D111" s="156"/>
      <c r="E111" s="157">
        <f>SUM(F166:F176)*5</f>
        <v>16518.434399999998</v>
      </c>
      <c r="F111" s="157"/>
      <c r="G111" s="157">
        <f>SUM(H166:H176)*5</f>
        <v>24777.651599999997</v>
      </c>
      <c r="H111" s="157"/>
    </row>
    <row r="112" spans="1:22" s="31" customFormat="1" hidden="1" x14ac:dyDescent="0.25">
      <c r="A112" s="184" t="s">
        <v>147</v>
      </c>
      <c r="B112" s="184"/>
      <c r="C112" s="196">
        <f t="shared" ref="C112:G112" si="1">SUM(C111)</f>
        <v>55</v>
      </c>
      <c r="D112" s="197"/>
      <c r="E112" s="198">
        <f t="shared" si="1"/>
        <v>16518.434399999998</v>
      </c>
      <c r="F112" s="199"/>
      <c r="G112" s="200">
        <f t="shared" si="1"/>
        <v>24777.651599999997</v>
      </c>
      <c r="H112" s="201"/>
    </row>
    <row r="113" spans="1:20" s="31" customFormat="1" x14ac:dyDescent="0.25">
      <c r="A113" s="128" t="s">
        <v>163</v>
      </c>
      <c r="B113" s="128"/>
      <c r="C113" s="174">
        <f>C108+C112</f>
        <v>90</v>
      </c>
      <c r="D113" s="81"/>
      <c r="E113" s="174">
        <f t="shared" ref="E113" si="2">E108+E112</f>
        <v>64901.888906399989</v>
      </c>
      <c r="F113" s="81"/>
      <c r="G113" s="174">
        <f t="shared" ref="G113" si="3">G108+G112</f>
        <v>97352.833359599987</v>
      </c>
      <c r="H113" s="81"/>
    </row>
    <row r="114" spans="1:20" s="31" customFormat="1" x14ac:dyDescent="0.25">
      <c r="A114" s="106"/>
      <c r="B114" s="106"/>
      <c r="C114" s="106"/>
      <c r="D114" s="106"/>
      <c r="E114" s="106"/>
      <c r="F114" s="106"/>
      <c r="G114" s="106"/>
      <c r="H114" s="106"/>
    </row>
    <row r="115" spans="1:20" s="30" customFormat="1" x14ac:dyDescent="0.25">
      <c r="A115" s="121" t="s">
        <v>54</v>
      </c>
      <c r="B115" s="121"/>
      <c r="C115" s="121"/>
      <c r="D115" s="121"/>
      <c r="E115" s="121"/>
      <c r="F115" s="121"/>
      <c r="G115" s="121"/>
      <c r="H115" s="121"/>
      <c r="T115" s="31"/>
    </row>
    <row r="116" spans="1:20" x14ac:dyDescent="0.25">
      <c r="A116" s="71" t="s">
        <v>338</v>
      </c>
      <c r="B116" s="71"/>
      <c r="C116" s="71"/>
      <c r="D116" s="71"/>
      <c r="E116" s="71"/>
      <c r="F116" s="71"/>
      <c r="G116" s="71"/>
      <c r="H116" s="71"/>
      <c r="T116" s="31"/>
    </row>
    <row r="117" spans="1:20" ht="47.25" hidden="1" customHeight="1" x14ac:dyDescent="0.25">
      <c r="A117" s="116" t="s">
        <v>116</v>
      </c>
      <c r="B117" s="116" t="s">
        <v>173</v>
      </c>
      <c r="C117" s="116" t="s">
        <v>55</v>
      </c>
      <c r="D117" s="116" t="s">
        <v>228</v>
      </c>
      <c r="E117" s="158" t="s">
        <v>153</v>
      </c>
      <c r="F117" s="116" t="s">
        <v>56</v>
      </c>
      <c r="G117" s="158" t="s">
        <v>57</v>
      </c>
      <c r="H117" s="50" t="s">
        <v>146</v>
      </c>
      <c r="T117" s="31"/>
    </row>
    <row r="118" spans="1:20" s="33" customFormat="1" hidden="1" x14ac:dyDescent="0.25">
      <c r="A118" s="117"/>
      <c r="B118" s="117"/>
      <c r="C118" s="117"/>
      <c r="D118" s="117"/>
      <c r="E118" s="159"/>
      <c r="F118" s="117"/>
      <c r="G118" s="159"/>
      <c r="H118" s="51">
        <v>0.45</v>
      </c>
      <c r="T118" s="30"/>
    </row>
    <row r="119" spans="1:20" s="33" customFormat="1" hidden="1" x14ac:dyDescent="0.25">
      <c r="A119" s="107" t="s">
        <v>115</v>
      </c>
      <c r="B119" s="108"/>
      <c r="C119" s="108"/>
      <c r="D119" s="108"/>
      <c r="E119" s="108"/>
      <c r="F119" s="108"/>
      <c r="G119" s="108"/>
      <c r="H119" s="109"/>
      <c r="J119" s="32"/>
      <c r="T119" s="18"/>
    </row>
    <row r="120" spans="1:20" s="33" customFormat="1" ht="15.75" hidden="1" customHeight="1" x14ac:dyDescent="0.25">
      <c r="A120" s="74">
        <v>1</v>
      </c>
      <c r="B120" s="75"/>
      <c r="C120" s="38"/>
      <c r="D120" s="38">
        <v>0</v>
      </c>
      <c r="E120" s="38">
        <v>0</v>
      </c>
      <c r="F120" s="38">
        <f>D120+(IF(E120&lt;201,E120,IF(E120&lt;301,E120/2,E120/3)))</f>
        <v>0</v>
      </c>
      <c r="G120" s="38">
        <v>0</v>
      </c>
      <c r="H120" s="38">
        <f>(F120+(IF(G120&lt;101,G120,IF(G120&lt;201,G120/2,IF(G120&lt;=301,G120/3,G120/4)))))*(($H$118)+1)</f>
        <v>0</v>
      </c>
      <c r="I120" s="32"/>
      <c r="L120" s="155"/>
      <c r="M120" s="155"/>
      <c r="N120" s="32"/>
      <c r="T120" s="18"/>
    </row>
    <row r="121" spans="1:20" s="33" customFormat="1" ht="15.75" hidden="1" customHeight="1" x14ac:dyDescent="0.25">
      <c r="A121" s="74">
        <f>A120+1</f>
        <v>2</v>
      </c>
      <c r="B121" s="75"/>
      <c r="C121" s="38"/>
      <c r="D121" s="38"/>
      <c r="E121" s="38">
        <v>0</v>
      </c>
      <c r="F121" s="38">
        <f t="shared" ref="F121:F123" si="4">D121+(IF(E121&lt;201,E121,IF(E121&lt;301,E121/2,E121/3)))</f>
        <v>0</v>
      </c>
      <c r="G121" s="38">
        <v>0</v>
      </c>
      <c r="H121" s="38">
        <f t="shared" ref="H121:H123" si="5">(F121+(IF(G121&lt;101,G121,IF(G121&lt;201,G121/2,IF(G121&lt;=301,G121/3,G121/4)))))*(($H$118)+1)</f>
        <v>0</v>
      </c>
      <c r="I121" s="59">
        <v>10.763999999999999</v>
      </c>
      <c r="L121" s="155"/>
      <c r="M121" s="155"/>
      <c r="N121" s="32"/>
    </row>
    <row r="122" spans="1:20" s="33" customFormat="1" ht="15.75" hidden="1" customHeight="1" x14ac:dyDescent="0.25">
      <c r="A122" s="74">
        <f>A121+1</f>
        <v>3</v>
      </c>
      <c r="B122" s="75"/>
      <c r="C122" s="38"/>
      <c r="D122" s="38"/>
      <c r="E122" s="38">
        <v>0</v>
      </c>
      <c r="F122" s="38">
        <f t="shared" si="4"/>
        <v>0</v>
      </c>
      <c r="G122" s="38">
        <v>0</v>
      </c>
      <c r="H122" s="38">
        <f t="shared" si="5"/>
        <v>0</v>
      </c>
      <c r="I122" s="32"/>
      <c r="L122" s="155"/>
      <c r="M122" s="155"/>
      <c r="N122" s="32"/>
    </row>
    <row r="123" spans="1:20" s="33" customFormat="1" ht="15.75" hidden="1" customHeight="1" x14ac:dyDescent="0.25">
      <c r="A123" s="74">
        <f>A122+1</f>
        <v>4</v>
      </c>
      <c r="B123" s="75"/>
      <c r="C123" s="38"/>
      <c r="D123" s="38"/>
      <c r="E123" s="38">
        <v>0</v>
      </c>
      <c r="F123" s="38">
        <f t="shared" si="4"/>
        <v>0</v>
      </c>
      <c r="G123" s="38">
        <v>0</v>
      </c>
      <c r="H123" s="38">
        <f t="shared" si="5"/>
        <v>0</v>
      </c>
      <c r="I123" s="32"/>
      <c r="L123" s="155"/>
      <c r="M123" s="155"/>
      <c r="N123" s="32"/>
    </row>
    <row r="124" spans="1:20" s="33" customFormat="1" x14ac:dyDescent="0.25">
      <c r="A124" s="74"/>
      <c r="B124" s="120"/>
      <c r="C124" s="120"/>
      <c r="D124" s="120"/>
      <c r="E124" s="120"/>
      <c r="F124" s="120"/>
      <c r="G124" s="120"/>
      <c r="H124" s="75"/>
      <c r="I124" s="32"/>
      <c r="N124" s="32"/>
    </row>
    <row r="125" spans="1:20" ht="47.25" customHeight="1" x14ac:dyDescent="0.25">
      <c r="A125" s="122" t="s">
        <v>117</v>
      </c>
      <c r="B125" s="116" t="s">
        <v>325</v>
      </c>
      <c r="C125" s="116" t="s">
        <v>55</v>
      </c>
      <c r="D125" s="116" t="s">
        <v>228</v>
      </c>
      <c r="E125" s="116" t="s">
        <v>324</v>
      </c>
      <c r="F125" s="116" t="s">
        <v>56</v>
      </c>
      <c r="G125" s="158" t="s">
        <v>57</v>
      </c>
      <c r="H125" s="50" t="s">
        <v>146</v>
      </c>
      <c r="I125" s="32"/>
      <c r="T125" s="33"/>
    </row>
    <row r="126" spans="1:20" s="33" customFormat="1" x14ac:dyDescent="0.25">
      <c r="A126" s="123"/>
      <c r="B126" s="117"/>
      <c r="C126" s="117"/>
      <c r="D126" s="117"/>
      <c r="E126" s="117"/>
      <c r="F126" s="117"/>
      <c r="G126" s="159"/>
      <c r="H126" s="60">
        <v>0.5</v>
      </c>
      <c r="I126" s="32"/>
    </row>
    <row r="127" spans="1:20" s="33" customFormat="1" x14ac:dyDescent="0.25">
      <c r="A127" s="107" t="s">
        <v>319</v>
      </c>
      <c r="B127" s="108"/>
      <c r="C127" s="108"/>
      <c r="D127" s="108"/>
      <c r="E127" s="108"/>
      <c r="F127" s="108"/>
      <c r="G127" s="108"/>
      <c r="H127" s="109"/>
      <c r="I127" s="32"/>
    </row>
    <row r="128" spans="1:20" s="33" customFormat="1" x14ac:dyDescent="0.25">
      <c r="A128" s="107" t="s">
        <v>320</v>
      </c>
      <c r="B128" s="108"/>
      <c r="C128" s="108"/>
      <c r="D128" s="108"/>
      <c r="E128" s="108"/>
      <c r="F128" s="108"/>
      <c r="G128" s="108"/>
      <c r="H128" s="109"/>
      <c r="J128" s="32"/>
    </row>
    <row r="129" spans="1:20" s="33" customFormat="1" ht="30" customHeight="1" x14ac:dyDescent="0.25">
      <c r="A129" s="103" t="s">
        <v>321</v>
      </c>
      <c r="B129" s="104"/>
      <c r="C129" s="104"/>
      <c r="D129" s="104"/>
      <c r="E129" s="104"/>
      <c r="F129" s="104"/>
      <c r="G129" s="104"/>
      <c r="H129" s="105"/>
      <c r="I129" s="32"/>
      <c r="L129" s="155"/>
      <c r="M129" s="155"/>
      <c r="N129" s="32"/>
      <c r="T129" s="18"/>
    </row>
    <row r="130" spans="1:20" s="33" customFormat="1" ht="15.75" customHeight="1" x14ac:dyDescent="0.25">
      <c r="A130" s="103" t="s">
        <v>346</v>
      </c>
      <c r="B130" s="104"/>
      <c r="C130" s="104"/>
      <c r="D130" s="104"/>
      <c r="E130" s="104"/>
      <c r="F130" s="104"/>
      <c r="G130" s="104"/>
      <c r="H130" s="105"/>
      <c r="I130" s="32"/>
      <c r="L130" s="155"/>
      <c r="M130" s="155"/>
      <c r="N130" s="32"/>
    </row>
    <row r="131" spans="1:20" s="33" customFormat="1" ht="15.75" customHeight="1" x14ac:dyDescent="0.25">
      <c r="A131" s="38">
        <v>1</v>
      </c>
      <c r="B131" s="38" t="s">
        <v>326</v>
      </c>
      <c r="C131" s="38" t="s">
        <v>322</v>
      </c>
      <c r="D131" s="59">
        <f>(4.03*5.25+2.6*3.5+3.05*3.5+3.09*3.15+0.9*1.4+2.04*1.25+1.23*2.15+5.5*0.9+1.38*0.9)*10.764</f>
        <v>681.49574999999993</v>
      </c>
      <c r="E131" s="59">
        <f>(3.65*1.5)*10.764</f>
        <v>58.932899999999989</v>
      </c>
      <c r="F131" s="38">
        <f>D131+E131</f>
        <v>740.42864999999995</v>
      </c>
      <c r="G131" s="38">
        <v>0</v>
      </c>
      <c r="H131" s="38">
        <f>F131*(($H$126)+1)+(IF(G131&lt;101,G131,IF(G131&lt;201,G131/2,IF(G131&lt;=301,G131/3,G131/4))))</f>
        <v>1110.642975</v>
      </c>
      <c r="I131" s="32"/>
      <c r="L131" s="155"/>
      <c r="M131" s="155"/>
      <c r="N131" s="32"/>
    </row>
    <row r="132" spans="1:20" s="33" customFormat="1" ht="15.75" customHeight="1" x14ac:dyDescent="0.25">
      <c r="A132" s="38">
        <f>A131+1</f>
        <v>2</v>
      </c>
      <c r="B132" s="38" t="s">
        <v>326</v>
      </c>
      <c r="C132" s="38" t="s">
        <v>322</v>
      </c>
      <c r="D132" s="59">
        <f>(3.65*5.4+1.26*4.1+1.45*1.8+2.6*3.5+3.05*3.5+3.09*3.15+0.9*1.4+1.23*2.15+2.04*1.25+3.31*0.9)*10.764</f>
        <v>715.03099199999997</v>
      </c>
      <c r="E132" s="59">
        <f>(3.65*1.5)*10.764</f>
        <v>58.932899999999989</v>
      </c>
      <c r="F132" s="38">
        <f>D132+E132</f>
        <v>773.96389199999999</v>
      </c>
      <c r="G132" s="38">
        <v>0</v>
      </c>
      <c r="H132" s="38">
        <f>F132*(($H$126)+1)+(IF(G132&lt;101,G132,IF(G132&lt;201,G132/2,IF(G132&lt;=301,G132/3,G132/4))))</f>
        <v>1160.9458380000001</v>
      </c>
      <c r="I132" s="32"/>
      <c r="L132" s="155"/>
      <c r="M132" s="155"/>
      <c r="N132" s="32"/>
    </row>
    <row r="133" spans="1:20" s="33" customFormat="1" x14ac:dyDescent="0.25">
      <c r="A133" s="38">
        <f>A132+1</f>
        <v>3</v>
      </c>
      <c r="B133" s="38" t="s">
        <v>326</v>
      </c>
      <c r="C133" s="38" t="s">
        <v>323</v>
      </c>
      <c r="D133" s="59">
        <f>(7.53*6.25+2.75*4.1+0.38*4.1+2.6*3.65+3.05*3.5+3.09*3.15+0.9*1.4+4.9*3.05+2.6*3.5+2.04*1.25+1.3*3.05+1.4*2.2+4.12*0.9+1.45*1.8)*10.764</f>
        <v>1410.213168</v>
      </c>
      <c r="E133" s="59">
        <f>((7.53*1.6)+(3.05))*10.764</f>
        <v>162.51487200000003</v>
      </c>
      <c r="F133" s="38">
        <f>D133+E133</f>
        <v>1572.72804</v>
      </c>
      <c r="G133" s="38">
        <v>0</v>
      </c>
      <c r="H133" s="38">
        <f>F133*(($H$126)+1)+(IF(G133&lt;101,G133,IF(G133&lt;201,G133/2,IF(G133&lt;=301,G133/3,G133/4))))</f>
        <v>2359.0920599999999</v>
      </c>
      <c r="I133" s="32"/>
      <c r="L133" s="155"/>
      <c r="M133" s="155"/>
    </row>
    <row r="134" spans="1:20" s="33" customFormat="1" x14ac:dyDescent="0.25">
      <c r="A134" s="38">
        <f>A133+1</f>
        <v>4</v>
      </c>
      <c r="B134" s="38" t="s">
        <v>326</v>
      </c>
      <c r="C134" s="38" t="s">
        <v>322</v>
      </c>
      <c r="D134" s="59">
        <f>(3.6*3.3+2.25*3.3+3.7*3.05+4.86*3.05+1.2*3.05+1*2+1*1.05+2.11*1.9)*10.764</f>
        <v>604.20484799999986</v>
      </c>
      <c r="E134" s="59">
        <v>0</v>
      </c>
      <c r="F134" s="38">
        <f>D134+E134</f>
        <v>604.20484799999986</v>
      </c>
      <c r="G134" s="38">
        <v>0</v>
      </c>
      <c r="H134" s="38">
        <f>F134*(($H$126)+1)+(IF(G134&lt;101,G134,IF(G134&lt;201,G134/2,IF(G134&lt;=301,G134/3,G134/4))))</f>
        <v>906.30727199999978</v>
      </c>
      <c r="I134" s="32"/>
      <c r="N134" s="32"/>
    </row>
    <row r="135" spans="1:20" s="33" customFormat="1" x14ac:dyDescent="0.25">
      <c r="A135" s="124" t="s">
        <v>347</v>
      </c>
      <c r="B135" s="124"/>
      <c r="C135" s="124"/>
      <c r="D135" s="124"/>
      <c r="E135" s="124"/>
      <c r="F135" s="124"/>
      <c r="G135" s="124"/>
      <c r="H135" s="124"/>
      <c r="I135" s="32"/>
      <c r="N135" s="32"/>
    </row>
    <row r="136" spans="1:20" s="33" customFormat="1" x14ac:dyDescent="0.25">
      <c r="A136" s="62">
        <v>1</v>
      </c>
      <c r="B136" s="62" t="s">
        <v>326</v>
      </c>
      <c r="C136" s="62" t="s">
        <v>322</v>
      </c>
      <c r="D136" s="59">
        <f>(4.03*5.25+2.6*3.5+3.05*3.5+3.09*3.15+0.9*1.4+2.04*1.25+1.23*2.15+5.5*0.9+1.38*0.9)*10.764</f>
        <v>681.49574999999993</v>
      </c>
      <c r="E136" s="59">
        <f>(3.65*1.5)*10.764</f>
        <v>58.932899999999989</v>
      </c>
      <c r="F136" s="62">
        <f>D136+E136</f>
        <v>740.42864999999995</v>
      </c>
      <c r="G136" s="62">
        <v>0</v>
      </c>
      <c r="H136" s="62">
        <f>F136*(($H$126)+1)+(IF(G136&lt;101,G136,IF(G136&lt;201,G136/2,IF(G136&lt;=301,G136/3,G136/4))))</f>
        <v>1110.642975</v>
      </c>
      <c r="I136" s="32"/>
      <c r="N136" s="32"/>
    </row>
    <row r="137" spans="1:20" s="33" customFormat="1" x14ac:dyDescent="0.25">
      <c r="A137" s="62">
        <f>A136+1</f>
        <v>2</v>
      </c>
      <c r="B137" s="62" t="s">
        <v>326</v>
      </c>
      <c r="C137" s="62" t="s">
        <v>327</v>
      </c>
      <c r="D137" s="59">
        <f>(3.65*5.4+1.26*4.1+1.45*1.8+2.6*3.5+3.05*3.5+3.09*3.15+0.9*1.4+3.35*3.05+1.23*2.15+2.04*1.25+1.2*3.05+3.31*0.9)*10.764</f>
        <v>864.4084019999998</v>
      </c>
      <c r="E137" s="59">
        <f>((3.65*1.5)+(3.05))*10.764</f>
        <v>91.76309999999998</v>
      </c>
      <c r="F137" s="62">
        <f>D137+E137</f>
        <v>956.1715019999998</v>
      </c>
      <c r="G137" s="62">
        <v>0</v>
      </c>
      <c r="H137" s="62">
        <f>F137*(($H$126)+1)+(IF(G137&lt;101,G137,IF(G137&lt;201,G137/2,IF(G137&lt;=301,G137/3,G137/4))))</f>
        <v>1434.2572529999998</v>
      </c>
      <c r="I137" s="32"/>
      <c r="N137" s="32"/>
    </row>
    <row r="138" spans="1:20" s="33" customFormat="1" x14ac:dyDescent="0.25">
      <c r="A138" s="62">
        <f>A137+1</f>
        <v>3</v>
      </c>
      <c r="B138" s="62" t="s">
        <v>326</v>
      </c>
      <c r="C138" s="62" t="s">
        <v>323</v>
      </c>
      <c r="D138" s="59">
        <f>(7.53*6.25+2.75*4.1+0.38*4.1+2.6*3.65+3.05*3.5+3.09*3.15+0.9*1.4+4.9*3.05+2.6*3.5+2.04*1.25+1.3*3.05+1.4*2.2+4.12*0.9+1.45*1.8)*10.764</f>
        <v>1410.213168</v>
      </c>
      <c r="E138" s="59">
        <f>((7.53*1.5)+(3.05))*10.764</f>
        <v>154.40957999999998</v>
      </c>
      <c r="F138" s="62">
        <f>D138+E138</f>
        <v>1564.622748</v>
      </c>
      <c r="G138" s="62">
        <v>0</v>
      </c>
      <c r="H138" s="62">
        <f>F138*(($H$126)+1)+(IF(G138&lt;101,G138,IF(G138&lt;201,G138/2,IF(G138&lt;=301,G138/3,G138/4))))</f>
        <v>2346.9341220000001</v>
      </c>
      <c r="I138" s="32"/>
      <c r="N138" s="32"/>
    </row>
    <row r="139" spans="1:20" s="33" customFormat="1" ht="15.75" customHeight="1" x14ac:dyDescent="0.25">
      <c r="A139" s="62">
        <f>A138+1</f>
        <v>4</v>
      </c>
      <c r="B139" s="62" t="s">
        <v>326</v>
      </c>
      <c r="C139" s="62" t="s">
        <v>322</v>
      </c>
      <c r="D139" s="59">
        <f>(3.6*3.3+2.25*3.3+3.7*3.05+4.86*3.05+1.2*3.05+1*2+1*1.05+2.11*1.9)*10.764</f>
        <v>604.20484799999986</v>
      </c>
      <c r="E139" s="59">
        <v>0</v>
      </c>
      <c r="F139" s="62">
        <f>D139+E139</f>
        <v>604.20484799999986</v>
      </c>
      <c r="G139" s="62">
        <v>0</v>
      </c>
      <c r="H139" s="62">
        <f>F139*(($H$126)+1)+(IF(G139&lt;101,G139,IF(G139&lt;201,G139/2,IF(G139&lt;=301,G139/3,G139/4))))</f>
        <v>906.30727199999978</v>
      </c>
      <c r="I139" s="32"/>
    </row>
    <row r="140" spans="1:20" s="33" customFormat="1" ht="15.75" customHeight="1" x14ac:dyDescent="0.25">
      <c r="A140" s="124" t="s">
        <v>348</v>
      </c>
      <c r="B140" s="124"/>
      <c r="C140" s="124"/>
      <c r="D140" s="124"/>
      <c r="E140" s="124"/>
      <c r="F140" s="124"/>
      <c r="G140" s="124"/>
      <c r="H140" s="124"/>
      <c r="I140" s="32"/>
    </row>
    <row r="141" spans="1:20" s="33" customFormat="1" ht="15.75" customHeight="1" x14ac:dyDescent="0.25">
      <c r="A141" s="38">
        <v>1</v>
      </c>
      <c r="B141" s="38" t="s">
        <v>326</v>
      </c>
      <c r="C141" s="38" t="s">
        <v>328</v>
      </c>
      <c r="D141" s="59">
        <f>(7.53*5.24+0.38*4.1+1.45*0.9+1.19*4.1+1.45*1.8+2.6*3.5+3.05*3.5*2+3.09*3.15*2+0.9*1.4*2+3.35*3.05+2.6*3.5+2.45*1.25*2+1.35*2.15*2+1.2*3.05+5.5*0.9+3.31*0.9)*10.764</f>
        <v>1561.6701827999998</v>
      </c>
      <c r="E141" s="59">
        <f>((7.53*1.5)+(3.05))*10.764</f>
        <v>154.40957999999998</v>
      </c>
      <c r="F141" s="38">
        <f>D141+E141</f>
        <v>1716.0797627999998</v>
      </c>
      <c r="G141" s="38">
        <v>0</v>
      </c>
      <c r="H141" s="38">
        <f>F141*(($H$126)+1)+(IF(G141&lt;101,G141,IF(G141&lt;201,G141/2,IF(G141&lt;=301,G141/3,G141/4))))</f>
        <v>2574.1196441999996</v>
      </c>
      <c r="I141" s="32"/>
    </row>
    <row r="142" spans="1:20" s="33" customFormat="1" ht="15.75" customHeight="1" x14ac:dyDescent="0.25">
      <c r="A142" s="38">
        <f>A141+1</f>
        <v>2</v>
      </c>
      <c r="B142" s="38" t="s">
        <v>326</v>
      </c>
      <c r="C142" s="58" t="s">
        <v>323</v>
      </c>
      <c r="D142" s="59">
        <f>(7.53*6.25+2.75*4.1+0.38*4.1+2.6*3.65+3.05*3.5+3.09*3.15+0.9*1.4+4.9*3.05+2.6*3.5+2.04*1.25+1.3*3.05+1.4*2.2+4.12*0.9+1.45*1.8)*10.764</f>
        <v>1410.213168</v>
      </c>
      <c r="E142" s="59">
        <f>((7.53*1.5)+(3.05))*10.764</f>
        <v>154.40957999999998</v>
      </c>
      <c r="F142" s="38">
        <f>D142+E142</f>
        <v>1564.622748</v>
      </c>
      <c r="G142" s="38">
        <v>0</v>
      </c>
      <c r="H142" s="38">
        <f>F142*(($H$126)+1)+(IF(G142&lt;101,G142,IF(G142&lt;201,G142/2,IF(G142&lt;=301,G142/3,G142/4))))</f>
        <v>2346.9341220000001</v>
      </c>
      <c r="I142" s="32"/>
    </row>
    <row r="143" spans="1:20" s="33" customFormat="1" ht="15.75" customHeight="1" x14ac:dyDescent="0.25">
      <c r="A143" s="38">
        <f>A142+1</f>
        <v>3</v>
      </c>
      <c r="B143" s="38" t="s">
        <v>326</v>
      </c>
      <c r="C143" s="38" t="s">
        <v>322</v>
      </c>
      <c r="D143" s="59">
        <f>(3.6*3.3+2.25*3.3+3.7*3.05+4.86*3.05+1.2*3.05+1*2+1*1.05+2.11*1.9)*10.764</f>
        <v>604.20484799999986</v>
      </c>
      <c r="E143" s="59">
        <v>0</v>
      </c>
      <c r="F143" s="38">
        <f>D143+E143</f>
        <v>604.20484799999986</v>
      </c>
      <c r="G143" s="38">
        <v>0</v>
      </c>
      <c r="H143" s="38">
        <f>F143*(($H$126)+1)+(IF(G143&lt;101,G143,IF(G143&lt;201,G143/2,IF(G143&lt;=301,G143/3,G143/4))))</f>
        <v>906.30727199999978</v>
      </c>
      <c r="I143" s="32"/>
    </row>
    <row r="144" spans="1:20" s="33" customFormat="1" ht="15.75" customHeight="1" x14ac:dyDescent="0.25">
      <c r="A144" s="107" t="s">
        <v>349</v>
      </c>
      <c r="B144" s="108"/>
      <c r="C144" s="108"/>
      <c r="D144" s="108"/>
      <c r="E144" s="108"/>
      <c r="F144" s="108"/>
      <c r="G144" s="108"/>
      <c r="H144" s="109"/>
      <c r="I144" s="32"/>
    </row>
    <row r="145" spans="1:20" s="33" customFormat="1" ht="15.75" customHeight="1" x14ac:dyDescent="0.25">
      <c r="A145" s="38">
        <v>1</v>
      </c>
      <c r="B145" s="38" t="s">
        <v>326</v>
      </c>
      <c r="C145" s="38" t="s">
        <v>345</v>
      </c>
      <c r="D145" s="59">
        <f>(7.53*6.24+0.45*4.1+1.38*1.8+1.19*4.1+1.45*1.8+2.6*3.5+3.05*3.5*2+3.09*3.15*2+0.9*1.4*2+4.05*3.05+2.6*3.5+2.45*1.25*2+1.23*2.3+1.35*2.15+1.2*3.05+4.12*0.9+3.31*0.9)*10.764</f>
        <v>1667.3242247999999</v>
      </c>
      <c r="E145" s="59">
        <f>((7.53*1.5)+(3.05))*10.764</f>
        <v>154.40957999999998</v>
      </c>
      <c r="F145" s="38">
        <f>D145+E145</f>
        <v>1821.7338047999999</v>
      </c>
      <c r="G145" s="38">
        <v>0</v>
      </c>
      <c r="H145" s="38">
        <f>F145*(($H$126)+1)+(IF(G145&lt;101,G145,IF(G145&lt;201,G145/2,IF(G145&lt;=301,G145/3,G145/4))))</f>
        <v>2732.6007071999998</v>
      </c>
      <c r="I145" s="32"/>
    </row>
    <row r="146" spans="1:20" s="33" customFormat="1" ht="15.75" customHeight="1" x14ac:dyDescent="0.25">
      <c r="A146" s="38">
        <f>A145+1</f>
        <v>2</v>
      </c>
      <c r="B146" s="38" t="s">
        <v>326</v>
      </c>
      <c r="C146" s="38" t="s">
        <v>330</v>
      </c>
      <c r="D146" s="59">
        <f>(7.53*6.25+1.19*4.1+1.45*1.8+2.6*3.5+3.05*3.5+3.09*3.15+0.9*1.4+4.05*3.05+2.6*4.55+2.6*3.05+2.04*1.25+1.3*2.15+1.2*3.05+3.31*0.9)*10.764</f>
        <v>1393.0392060000001</v>
      </c>
      <c r="E146" s="59">
        <f>((7.53*1.5)+(3.05))*10.764</f>
        <v>154.40957999999998</v>
      </c>
      <c r="F146" s="38">
        <f>D146+E146</f>
        <v>1547.4487860000002</v>
      </c>
      <c r="G146" s="38">
        <v>0</v>
      </c>
      <c r="H146" s="38">
        <f>F146*(($H$126)+1)+(IF(G146&lt;101,G146,IF(G146&lt;201,G146/2,IF(G146&lt;=301,G146/3,G146/4))))</f>
        <v>2321.1731790000003</v>
      </c>
      <c r="I146" s="32"/>
    </row>
    <row r="147" spans="1:20" s="33" customFormat="1" ht="15.75" customHeight="1" x14ac:dyDescent="0.25">
      <c r="A147" s="56" t="s">
        <v>329</v>
      </c>
      <c r="B147" s="110" t="s">
        <v>331</v>
      </c>
      <c r="C147" s="110"/>
      <c r="D147" s="110"/>
      <c r="E147" s="110"/>
      <c r="F147" s="110"/>
      <c r="G147" s="110"/>
      <c r="H147" s="110"/>
      <c r="I147" s="32"/>
    </row>
    <row r="148" spans="1:20" s="33" customFormat="1" x14ac:dyDescent="0.25">
      <c r="A148" s="103" t="s">
        <v>350</v>
      </c>
      <c r="B148" s="104"/>
      <c r="C148" s="104"/>
      <c r="D148" s="104"/>
      <c r="E148" s="104"/>
      <c r="F148" s="104"/>
      <c r="G148" s="104"/>
      <c r="H148" s="105"/>
      <c r="I148" s="32"/>
    </row>
    <row r="149" spans="1:20" s="33" customFormat="1" ht="15.75" customHeight="1" x14ac:dyDescent="0.25">
      <c r="A149" s="38">
        <v>1</v>
      </c>
      <c r="B149" s="38" t="s">
        <v>326</v>
      </c>
      <c r="C149" s="58" t="s">
        <v>330</v>
      </c>
      <c r="D149" s="59">
        <f>(3.65*6.25+1.83*4.1+2.6*3.5+3.05*3.5+3.09*3.15+0.9*1.4+3.8*3.05+4.85*4.2+2.11*1.9+2.85*2.15+0.9*2.3+2.04*1.25+1.21*2.15+1.85*2.05+1.71*0.9+2.41*1.8+2.7*2.05)*10.764</f>
        <v>1352.0283659999998</v>
      </c>
      <c r="E149" s="59">
        <f>((3.65*1.5+6.5*1.9+3.05))*10.764</f>
        <v>224.6985</v>
      </c>
      <c r="F149" s="38">
        <f>D149+E149</f>
        <v>1576.7268659999997</v>
      </c>
      <c r="G149" s="38">
        <v>0</v>
      </c>
      <c r="H149" s="38">
        <f>F149*(($H$126)+1)+(IF(G149&lt;101,G149,IF(G149&lt;201,G149/2,IF(G149&lt;=301,G149/3,G149/4))))</f>
        <v>2365.0902989999995</v>
      </c>
      <c r="I149" s="32"/>
    </row>
    <row r="150" spans="1:20" s="33" customFormat="1" ht="15.75" customHeight="1" x14ac:dyDescent="0.25">
      <c r="A150" s="38">
        <f>A149+1</f>
        <v>2</v>
      </c>
      <c r="B150" s="38" t="s">
        <v>326</v>
      </c>
      <c r="C150" s="38" t="s">
        <v>327</v>
      </c>
      <c r="D150" s="59">
        <f>(3.65*6.25+1.19*4.1+1.45*1.8+2.6*3.5+3.05*3.5+3.09*3.15+0.9*1.4+4.05*3.05+2.04*1.25+1.3*2.15+1.2*3.05+3.31*0.9)*10.764</f>
        <v>919.31556599999976</v>
      </c>
      <c r="E150" s="59">
        <f>((3.65*1.5)+(3.05))*10.764</f>
        <v>91.76309999999998</v>
      </c>
      <c r="F150" s="38">
        <f>D150+E150</f>
        <v>1011.0786659999998</v>
      </c>
      <c r="G150" s="38">
        <v>0</v>
      </c>
      <c r="H150" s="38">
        <f>F150*(($H$126)+1)+(IF(G150&lt;101,G150,IF(G150&lt;201,G150/2,IF(G150&lt;=301,G150/3,G150/4))))</f>
        <v>1516.6179989999996</v>
      </c>
      <c r="I150" s="32"/>
      <c r="J150" s="33">
        <f>39900000/H150</f>
        <v>26308.536511045331</v>
      </c>
    </row>
    <row r="151" spans="1:20" s="33" customFormat="1" ht="15.75" customHeight="1" x14ac:dyDescent="0.25">
      <c r="A151" s="38">
        <f>A150+1</f>
        <v>3</v>
      </c>
      <c r="B151" s="38" t="s">
        <v>326</v>
      </c>
      <c r="C151" s="38" t="s">
        <v>327</v>
      </c>
      <c r="D151" s="59">
        <f>(3.65*6.25+1.19*4.1+1.45*1.8+2.6*3.5+3.05*3.5+3.09*3.15+0.9*1.4+4.05*3.05+2.04*1.25+1.3*2.15+1.2*3.05+3.31*0.9)*10.764</f>
        <v>919.31556599999976</v>
      </c>
      <c r="E151" s="59">
        <f>((3.65*1.5)+(3.05))*10.764</f>
        <v>91.76309999999998</v>
      </c>
      <c r="F151" s="38">
        <f>D151+E151</f>
        <v>1011.0786659999998</v>
      </c>
      <c r="G151" s="38">
        <v>0</v>
      </c>
      <c r="H151" s="38">
        <f>F151*(($H$126)+1)+(IF(G151&lt;101,G151,IF(G151&lt;201,G151/2,IF(G151&lt;=301,G151/3,G151/4))))</f>
        <v>1516.6179989999996</v>
      </c>
      <c r="I151" s="32"/>
    </row>
    <row r="152" spans="1:20" s="33" customFormat="1" ht="15.75" customHeight="1" x14ac:dyDescent="0.25">
      <c r="A152" s="38">
        <f>A151+1</f>
        <v>4</v>
      </c>
      <c r="B152" s="38" t="s">
        <v>326</v>
      </c>
      <c r="C152" s="38" t="s">
        <v>327</v>
      </c>
      <c r="D152" s="59">
        <f>(3.65*6.25+0.47*4.1+2.6*3.5+3.05*3.5+3.09*3.15+0.9*0.6+2.61*0.9+4.85*3.05+2.04*1.25+1.21*2.15+1.21*3.05+3.77*0.9+1.36*0.9)*10.764</f>
        <v>919.12181399999986</v>
      </c>
      <c r="E152" s="59">
        <f>((3.65*1.5)+(3.05))*10.764</f>
        <v>91.76309999999998</v>
      </c>
      <c r="F152" s="38">
        <f>D152+E152</f>
        <v>1010.8849139999999</v>
      </c>
      <c r="G152" s="38">
        <v>0</v>
      </c>
      <c r="H152" s="38">
        <f>F152*(($H$126)+1)+(IF(G152&lt;101,G152,IF(G152&lt;201,G152/2,IF(G152&lt;=301,G152/3,G152/4))))</f>
        <v>1516.3273709999999</v>
      </c>
      <c r="I152" s="32"/>
    </row>
    <row r="153" spans="1:20" s="33" customFormat="1" ht="15.75" customHeight="1" x14ac:dyDescent="0.25">
      <c r="A153" s="103" t="s">
        <v>351</v>
      </c>
      <c r="B153" s="104"/>
      <c r="C153" s="104"/>
      <c r="D153" s="104"/>
      <c r="E153" s="104"/>
      <c r="F153" s="104"/>
      <c r="G153" s="104"/>
      <c r="H153" s="105"/>
      <c r="I153" s="32"/>
    </row>
    <row r="154" spans="1:20" s="31" customFormat="1" x14ac:dyDescent="0.25">
      <c r="A154" s="38">
        <v>1</v>
      </c>
      <c r="B154" s="38" t="s">
        <v>326</v>
      </c>
      <c r="C154" s="38" t="s">
        <v>332</v>
      </c>
      <c r="D154" s="59">
        <f>(7.53*6.25+0.45*4.1+1.38*1.8+1.19*4.1+1.45*1.8+2.6*3.5+3.05*3.5*2+3.09*3.15*2+0.9*1.4*2+3.91*3.05+2.15*3.05+4.05*3.05+2.45*1.25*2+1.23*2.15+1.35*2.15+1.2*3.05+4.12*0.9+3.31*0.9)*10.764</f>
        <v>1767.1474079999996</v>
      </c>
      <c r="E154" s="59">
        <f>((7.53*1.5)+(3.05*2))*10.764</f>
        <v>187.23978</v>
      </c>
      <c r="F154" s="38">
        <f>D154+E154</f>
        <v>1954.3871879999997</v>
      </c>
      <c r="G154" s="38">
        <v>0</v>
      </c>
      <c r="H154" s="38">
        <f>F154*(($H$126)+1)+(IF(G154&lt;101,G154,IF(G154&lt;201,G154/2,IF(G154&lt;=301,G154/3,G154/4))))</f>
        <v>2931.5807819999995</v>
      </c>
      <c r="T154" s="33"/>
    </row>
    <row r="155" spans="1:20" s="31" customFormat="1" x14ac:dyDescent="0.25">
      <c r="A155" s="38">
        <f>A154+1</f>
        <v>2</v>
      </c>
      <c r="B155" s="38" t="s">
        <v>326</v>
      </c>
      <c r="C155" s="38" t="s">
        <v>327</v>
      </c>
      <c r="D155" s="59">
        <f>(3.65*6.25+1.19*4.1+1.45*1.8+2.6*3.5+3.05*3.5+3.09*3.15+0.9*1.4+4.05*3.05+2.04*1.25+1.3*2.15+1.2*3.05+3.31*0.9)*10.764</f>
        <v>919.31556599999976</v>
      </c>
      <c r="E155" s="59">
        <f>((3.65*1.54)+(3.05))*10.764</f>
        <v>93.334643999999983</v>
      </c>
      <c r="F155" s="38">
        <f>D155+E155</f>
        <v>1012.6502099999998</v>
      </c>
      <c r="G155" s="38">
        <v>0</v>
      </c>
      <c r="H155" s="38">
        <f>F155*(($H$126)+1)+(IF(G155&lt;101,G155,IF(G155&lt;201,G155/2,IF(G155&lt;=301,G155/3,G155/4))))</f>
        <v>1518.9753149999997</v>
      </c>
      <c r="T155" s="33"/>
    </row>
    <row r="156" spans="1:20" s="31" customFormat="1" x14ac:dyDescent="0.25">
      <c r="A156" s="38">
        <f>A155+1</f>
        <v>3</v>
      </c>
      <c r="B156" s="38" t="s">
        <v>326</v>
      </c>
      <c r="C156" s="58" t="s">
        <v>333</v>
      </c>
      <c r="D156" s="59">
        <f>(3.65*6.25+1.83*4.1+2.6*3.5+3.05*3.5+3.09*3.15+0.9*0.6+3.8*3.05+4.85*4.2+2.11*1.9+2.85*2.15+0.9*2.25+2.04*1.25+1.21*2.1+1.85*2.15+2.76*0.9+2.41*1.85)*10.764</f>
        <v>1297.024326</v>
      </c>
      <c r="E156" s="59">
        <f>((3.65*1.54+6.5*1.9+3.05))*10.764</f>
        <v>226.27004399999998</v>
      </c>
      <c r="F156" s="38">
        <f>D156+E156</f>
        <v>1523.2943700000001</v>
      </c>
      <c r="G156" s="38">
        <v>0</v>
      </c>
      <c r="H156" s="38">
        <f>F156*(($H$126)+1)+(IF(G156&lt;101,G156,IF(G156&lt;201,G156/2,IF(G156&lt;=301,G156/3,G156/4))))</f>
        <v>2284.9415550000003</v>
      </c>
      <c r="J156" s="31">
        <f>521000000/H156</f>
        <v>228014.58481943532</v>
      </c>
      <c r="T156" s="33"/>
    </row>
    <row r="157" spans="1:20" s="31" customFormat="1" x14ac:dyDescent="0.25">
      <c r="A157" s="103" t="s">
        <v>357</v>
      </c>
      <c r="B157" s="104"/>
      <c r="C157" s="104"/>
      <c r="D157" s="104"/>
      <c r="E157" s="104"/>
      <c r="F157" s="104"/>
      <c r="G157" s="104"/>
      <c r="H157" s="105"/>
      <c r="T157" s="33"/>
    </row>
    <row r="158" spans="1:20" s="31" customFormat="1" x14ac:dyDescent="0.25">
      <c r="A158" s="38">
        <v>1</v>
      </c>
      <c r="B158" s="38" t="s">
        <v>326</v>
      </c>
      <c r="C158" s="58" t="s">
        <v>330</v>
      </c>
      <c r="D158" s="59">
        <f>(3.65*7.21+1.83*4.1+2.6*3.5+3.05*3.5+3.09*3.15+0.9*1.4+3.8*3.05+4.85*4.2+2.11*1.9+2.85*2.15+0.9*2.3+2.04*1.25+1.21*2.15+1.85*2.15+1.71*0.9+2.41*1.8)*10.764</f>
        <v>1332.1580219999998</v>
      </c>
      <c r="E158" s="59">
        <f>((3.65*1.54+6.5*1.9+2.8)+(3.05*2+3.09))*10.764</f>
        <v>322.50020399999994</v>
      </c>
      <c r="F158" s="38">
        <f>D158+E158</f>
        <v>1654.6582259999998</v>
      </c>
      <c r="G158" s="38">
        <v>0</v>
      </c>
      <c r="H158" s="38">
        <f>F158*(($H$126)+1)+(IF(G158&lt;101,G158,IF(G158&lt;201,G158/2,IF(G158&lt;=301,G158/3,G158/4))))</f>
        <v>2481.9873389999998</v>
      </c>
      <c r="T158" s="33"/>
    </row>
    <row r="159" spans="1:20" s="31" customFormat="1" x14ac:dyDescent="0.25">
      <c r="A159" s="38">
        <f>A158+1</f>
        <v>2</v>
      </c>
      <c r="B159" s="38" t="s">
        <v>326</v>
      </c>
      <c r="C159" s="38" t="s">
        <v>327</v>
      </c>
      <c r="D159" s="59">
        <f>(3.65*6.25+1.19*4.1+1.45*1.8+2.6*3.5+3.05*3.5+3.09*3.15+0.9*1.4+4.05*3.05+2.04*1.25+1.3*2.15+1.2*3.05+3.31*0.9)*10.764</f>
        <v>919.31556599999976</v>
      </c>
      <c r="E159" s="59">
        <f>((3.65*1.54+2.8)+(3.05*2+3.09))*10.764</f>
        <v>189.56480399999995</v>
      </c>
      <c r="F159" s="38">
        <f>D159+E159</f>
        <v>1108.8803699999996</v>
      </c>
      <c r="G159" s="38">
        <v>0</v>
      </c>
      <c r="H159" s="38">
        <f>F159*(($H$126)+1)+(IF(G159&lt;101,G159,IF(G159&lt;201,G159/2,IF(G159&lt;=301,G159/3,G159/4))))</f>
        <v>1663.3205549999993</v>
      </c>
      <c r="T159" s="33"/>
    </row>
    <row r="160" spans="1:20" s="31" customFormat="1" x14ac:dyDescent="0.25">
      <c r="A160" s="38">
        <f>A159+1</f>
        <v>3</v>
      </c>
      <c r="B160" s="38" t="s">
        <v>326</v>
      </c>
      <c r="C160" s="58" t="s">
        <v>333</v>
      </c>
      <c r="D160" s="59">
        <f>(9.19*5+7.6*2.2+2.6*2.65+6.29*3.15*2+3.95*0.7*2+4.05*3.05+3.95*0.7+4.85*3.05+3.95*0.7+2.6*2.65+2.65*2.7+2.04*1.25+2.57*2.7+2.67*2.7+2.43*2.1+1.71*2.1)*10.764</f>
        <v>2011.0273559999994</v>
      </c>
      <c r="E160" s="59">
        <f>((7.6*1.54+2.8*2)+(3.05*2+6.29*2))*10.764</f>
        <v>387.33177599999993</v>
      </c>
      <c r="F160" s="38">
        <f>D160+E160</f>
        <v>2398.3591319999991</v>
      </c>
      <c r="G160" s="38">
        <v>0</v>
      </c>
      <c r="H160" s="38">
        <f>F160*(($H$126)+1)+(IF(G160&lt;101,G160,IF(G160&lt;201,G160/2,IF(G160&lt;=301,G160/3,G160/4))))</f>
        <v>3597.5386979999985</v>
      </c>
      <c r="T160" s="33"/>
    </row>
    <row r="161" spans="1:20" s="31" customFormat="1" x14ac:dyDescent="0.25">
      <c r="A161" s="103" t="s">
        <v>356</v>
      </c>
      <c r="B161" s="104"/>
      <c r="C161" s="104"/>
      <c r="D161" s="104"/>
      <c r="E161" s="104"/>
      <c r="F161" s="104"/>
      <c r="G161" s="104"/>
      <c r="H161" s="105"/>
      <c r="T161" s="33"/>
    </row>
    <row r="162" spans="1:20" s="31" customFormat="1" ht="65.25" customHeight="1" x14ac:dyDescent="0.25">
      <c r="A162" s="38" t="s">
        <v>358</v>
      </c>
      <c r="B162" s="38" t="s">
        <v>326</v>
      </c>
      <c r="C162" s="58" t="s">
        <v>330</v>
      </c>
      <c r="D162" s="59">
        <f>(3.65*7.21+1.83*4.1+2.6*3.5+3.05*3.5+3.09*3.15+0.9*1.4+3.8*3.05+4.85*4.2+2.11*1.9+2.85*2.15+0.9*2.3+2.04*1.25+1.21*2.15+1.85*2.15+1.71*0.9+2.41*1.8)*10.764</f>
        <v>1332.1580219999998</v>
      </c>
      <c r="E162" s="59">
        <f>((3.65*1.54+6.5*1.9+2.8)+(3.05*2+3.09))*10.764</f>
        <v>322.50020399999994</v>
      </c>
      <c r="F162" s="38">
        <f>D162+E162</f>
        <v>1654.6582259999998</v>
      </c>
      <c r="G162" s="38">
        <v>0</v>
      </c>
      <c r="H162" s="38">
        <f>F162*(($H$126)+1)+(IF(G162&lt;101,G162,IF(G162&lt;201,G162/2,IF(G162&lt;=301,G162/3,G162/4))))</f>
        <v>2481.9873389999998</v>
      </c>
      <c r="T162" s="33"/>
    </row>
    <row r="163" spans="1:20" s="31" customFormat="1" ht="66" customHeight="1" x14ac:dyDescent="0.25">
      <c r="A163" s="38" t="s">
        <v>359</v>
      </c>
      <c r="B163" s="38" t="s">
        <v>326</v>
      </c>
      <c r="C163" s="38" t="s">
        <v>327</v>
      </c>
      <c r="D163" s="59">
        <f>(3.65*6.25+1.19*4.1+1.45*1.8+2.6*3.5+3.05*3.5+3.09*3.15+0.9*1.4+4.05*3.05+2.04*1.25+1.3*2.15+1.2*3.05+3.31*0.9)*10.764</f>
        <v>919.31556599999976</v>
      </c>
      <c r="E163" s="59">
        <f>((3.65*1.54+2.8)+(3.05*2+3.09))*10.764</f>
        <v>189.56480399999995</v>
      </c>
      <c r="F163" s="38">
        <f>D163+E163</f>
        <v>1108.8803699999996</v>
      </c>
      <c r="G163" s="38">
        <v>0</v>
      </c>
      <c r="H163" s="38">
        <f>F163*(($H$126)+1)+(IF(G163&lt;101,G163,IF(G163&lt;201,G163/2,IF(G163&lt;=301,G163/3,G163/4))))</f>
        <v>1663.3205549999993</v>
      </c>
      <c r="T163" s="33"/>
    </row>
    <row r="164" spans="1:20" s="31" customFormat="1" ht="63" customHeight="1" x14ac:dyDescent="0.25">
      <c r="A164" s="38" t="s">
        <v>360</v>
      </c>
      <c r="B164" s="38" t="s">
        <v>326</v>
      </c>
      <c r="C164" s="58" t="s">
        <v>333</v>
      </c>
      <c r="D164" s="59">
        <f>(9.19*5+7.6*2.2+2.6*2.65+6.29*3.15*2+3.95*0.7*2+4.05*3.05+3.95*0.7+4.85*3.05+3.95*0.7+2.6*2.65+2.65*2.7+2.04*1.25+2.57*2.7+2.67*2.7+2.43*2.1+1.71*2.1)*10.764</f>
        <v>2011.0273559999994</v>
      </c>
      <c r="E164" s="59">
        <f>((7.6*1.54+2.8*2)+(3.05*2+6.29*2))*10.764</f>
        <v>387.33177599999993</v>
      </c>
      <c r="F164" s="38">
        <f>D164+E164</f>
        <v>2398.3591319999991</v>
      </c>
      <c r="G164" s="38">
        <v>0</v>
      </c>
      <c r="H164" s="38">
        <f>F164*(($H$126)+1)+(IF(G164&lt;101,G164,IF(G164&lt;201,G164/2,IF(G164&lt;=301,G164/3,G164/4))))</f>
        <v>3597.5386979999985</v>
      </c>
      <c r="T164" s="33"/>
    </row>
    <row r="165" spans="1:20" s="31" customFormat="1" ht="50.25" customHeight="1" x14ac:dyDescent="0.25">
      <c r="A165" s="124" t="s">
        <v>354</v>
      </c>
      <c r="B165" s="124"/>
      <c r="C165" s="124"/>
      <c r="D165" s="124"/>
      <c r="E165" s="124"/>
      <c r="F165" s="124"/>
      <c r="G165" s="124"/>
      <c r="H165" s="124"/>
      <c r="T165" s="33"/>
    </row>
    <row r="166" spans="1:20" s="31" customFormat="1" x14ac:dyDescent="0.25">
      <c r="A166" s="62">
        <v>1</v>
      </c>
      <c r="B166" s="62" t="s">
        <v>334</v>
      </c>
      <c r="C166" s="58" t="s">
        <v>335</v>
      </c>
      <c r="D166" s="59">
        <f>(27.89)*10.764</f>
        <v>300.20796000000001</v>
      </c>
      <c r="E166" s="62">
        <v>0</v>
      </c>
      <c r="F166" s="62">
        <f>D166+E166</f>
        <v>300.20796000000001</v>
      </c>
      <c r="G166" s="62">
        <v>0</v>
      </c>
      <c r="H166" s="62">
        <f>F166*(($H$126)+1)+(IF(G166&lt;101,G166,IF(G166&lt;201,G166/2,IF(G166&lt;=301,G166/3,G166/4))))</f>
        <v>450.31194000000005</v>
      </c>
      <c r="I166" s="31">
        <f>3.3*2.77+2.85*1.82+3.3*2.4+1.2*2.2+3*1</f>
        <v>27.887999999999998</v>
      </c>
      <c r="T166" s="33"/>
    </row>
    <row r="167" spans="1:20" s="31" customFormat="1" x14ac:dyDescent="0.25">
      <c r="A167" s="62">
        <f>A166+1</f>
        <v>2</v>
      </c>
      <c r="B167" s="62" t="s">
        <v>334</v>
      </c>
      <c r="C167" s="58" t="s">
        <v>335</v>
      </c>
      <c r="D167" s="59">
        <f>(27.88)*10.764</f>
        <v>300.10031999999995</v>
      </c>
      <c r="E167" s="62">
        <v>0</v>
      </c>
      <c r="F167" s="62">
        <f t="shared" ref="F167:F176" si="6">D167+E167</f>
        <v>300.10031999999995</v>
      </c>
      <c r="G167" s="62">
        <v>0</v>
      </c>
      <c r="H167" s="62">
        <f>F167*(($H$126)+1)+(IF(G167&lt;101,G167,IF(G167&lt;201,G167/2,IF(G167&lt;=301,G167/3,G167/4))))</f>
        <v>450.1504799999999</v>
      </c>
      <c r="T167" s="33"/>
    </row>
    <row r="168" spans="1:20" s="31" customFormat="1" x14ac:dyDescent="0.25">
      <c r="A168" s="62">
        <f>A167+1</f>
        <v>3</v>
      </c>
      <c r="B168" s="62" t="s">
        <v>334</v>
      </c>
      <c r="C168" s="58" t="s">
        <v>335</v>
      </c>
      <c r="D168" s="59">
        <f>(27.95)*10.764</f>
        <v>300.85379999999998</v>
      </c>
      <c r="E168" s="62">
        <v>0</v>
      </c>
      <c r="F168" s="62">
        <f t="shared" si="6"/>
        <v>300.85379999999998</v>
      </c>
      <c r="G168" s="62">
        <v>0</v>
      </c>
      <c r="H168" s="62">
        <f>F168*(($H$126)+1)+(IF(G168&lt;101,G168,IF(G168&lt;201,G168/2,IF(G168&lt;=301,G168/3,G168/4))))</f>
        <v>451.28069999999997</v>
      </c>
      <c r="T168" s="33"/>
    </row>
    <row r="169" spans="1:20" s="31" customFormat="1" x14ac:dyDescent="0.25">
      <c r="A169" s="62">
        <f t="shared" ref="A169:A175" si="7">A168+1</f>
        <v>4</v>
      </c>
      <c r="B169" s="62" t="s">
        <v>334</v>
      </c>
      <c r="C169" s="58" t="s">
        <v>335</v>
      </c>
      <c r="D169" s="59">
        <f>(27.88)*10.764</f>
        <v>300.10031999999995</v>
      </c>
      <c r="E169" s="62">
        <v>0</v>
      </c>
      <c r="F169" s="62">
        <f t="shared" si="6"/>
        <v>300.10031999999995</v>
      </c>
      <c r="G169" s="62">
        <v>0</v>
      </c>
      <c r="H169" s="62">
        <f t="shared" ref="H169:H176" si="8">F169*(($H$126)+1)+(IF(G169&lt;101,G169,IF(G169&lt;201,G169/2,IF(G169&lt;=301,G169/3,G169/4))))</f>
        <v>450.1504799999999</v>
      </c>
      <c r="T169" s="33"/>
    </row>
    <row r="170" spans="1:20" s="31" customFormat="1" x14ac:dyDescent="0.25">
      <c r="A170" s="62">
        <f t="shared" si="7"/>
        <v>5</v>
      </c>
      <c r="B170" s="62" t="s">
        <v>334</v>
      </c>
      <c r="C170" s="58" t="s">
        <v>335</v>
      </c>
      <c r="D170" s="59">
        <f>(27.89)*10.764</f>
        <v>300.20796000000001</v>
      </c>
      <c r="E170" s="62">
        <v>0</v>
      </c>
      <c r="F170" s="62">
        <f t="shared" si="6"/>
        <v>300.20796000000001</v>
      </c>
      <c r="G170" s="62">
        <v>0</v>
      </c>
      <c r="H170" s="62">
        <f t="shared" si="8"/>
        <v>450.31194000000005</v>
      </c>
      <c r="T170" s="33"/>
    </row>
    <row r="171" spans="1:20" s="31" customFormat="1" x14ac:dyDescent="0.25">
      <c r="A171" s="62">
        <f t="shared" si="7"/>
        <v>6</v>
      </c>
      <c r="B171" s="62" t="s">
        <v>334</v>
      </c>
      <c r="C171" s="58" t="s">
        <v>335</v>
      </c>
      <c r="D171" s="59">
        <f>(27.89)*10.764</f>
        <v>300.20796000000001</v>
      </c>
      <c r="E171" s="62">
        <v>0</v>
      </c>
      <c r="F171" s="62">
        <f t="shared" si="6"/>
        <v>300.20796000000001</v>
      </c>
      <c r="G171" s="62">
        <v>0</v>
      </c>
      <c r="H171" s="62">
        <f t="shared" si="8"/>
        <v>450.31194000000005</v>
      </c>
      <c r="T171" s="33"/>
    </row>
    <row r="172" spans="1:20" s="31" customFormat="1" x14ac:dyDescent="0.25">
      <c r="A172" s="38">
        <f t="shared" si="7"/>
        <v>7</v>
      </c>
      <c r="B172" s="38" t="s">
        <v>334</v>
      </c>
      <c r="C172" s="58" t="s">
        <v>335</v>
      </c>
      <c r="D172" s="59">
        <f>(27.88)*10.764</f>
        <v>300.10031999999995</v>
      </c>
      <c r="E172" s="38">
        <v>0</v>
      </c>
      <c r="F172" s="38">
        <f t="shared" si="6"/>
        <v>300.10031999999995</v>
      </c>
      <c r="G172" s="38">
        <v>0</v>
      </c>
      <c r="H172" s="38">
        <f t="shared" si="8"/>
        <v>450.1504799999999</v>
      </c>
      <c r="T172" s="33"/>
    </row>
    <row r="173" spans="1:20" s="31" customFormat="1" x14ac:dyDescent="0.25">
      <c r="A173" s="38">
        <f t="shared" si="7"/>
        <v>8</v>
      </c>
      <c r="B173" s="38" t="s">
        <v>334</v>
      </c>
      <c r="C173" s="58" t="s">
        <v>335</v>
      </c>
      <c r="D173" s="59">
        <f>(27.95)*10.764</f>
        <v>300.85379999999998</v>
      </c>
      <c r="E173" s="38">
        <v>0</v>
      </c>
      <c r="F173" s="38">
        <f t="shared" si="6"/>
        <v>300.85379999999998</v>
      </c>
      <c r="G173" s="38">
        <v>0</v>
      </c>
      <c r="H173" s="38">
        <f t="shared" si="8"/>
        <v>451.28069999999997</v>
      </c>
      <c r="T173" s="33"/>
    </row>
    <row r="174" spans="1:20" s="31" customFormat="1" x14ac:dyDescent="0.25">
      <c r="A174" s="38">
        <f t="shared" si="7"/>
        <v>9</v>
      </c>
      <c r="B174" s="38" t="s">
        <v>334</v>
      </c>
      <c r="C174" s="58" t="s">
        <v>335</v>
      </c>
      <c r="D174" s="59">
        <f>(27.88)*10.764</f>
        <v>300.10031999999995</v>
      </c>
      <c r="E174" s="38">
        <v>0</v>
      </c>
      <c r="F174" s="38">
        <f t="shared" si="6"/>
        <v>300.10031999999995</v>
      </c>
      <c r="G174" s="38">
        <v>0</v>
      </c>
      <c r="H174" s="38">
        <f t="shared" si="8"/>
        <v>450.1504799999999</v>
      </c>
      <c r="I174" s="31">
        <f>2.74*3.39+1.95*3.12+2.6*3.39+1.2*2.07+1.35*0.9</f>
        <v>27.885599999999997</v>
      </c>
      <c r="T174" s="33"/>
    </row>
    <row r="175" spans="1:20" s="31" customFormat="1" x14ac:dyDescent="0.25">
      <c r="A175" s="38">
        <f t="shared" si="7"/>
        <v>10</v>
      </c>
      <c r="B175" s="38" t="s">
        <v>334</v>
      </c>
      <c r="C175" s="58" t="s">
        <v>335</v>
      </c>
      <c r="D175" s="59">
        <f>(27.89)*10.764</f>
        <v>300.20796000000001</v>
      </c>
      <c r="E175" s="38">
        <v>0</v>
      </c>
      <c r="F175" s="38">
        <f t="shared" si="6"/>
        <v>300.20796000000001</v>
      </c>
      <c r="G175" s="38">
        <v>0</v>
      </c>
      <c r="H175" s="38">
        <f t="shared" si="8"/>
        <v>450.31194000000005</v>
      </c>
      <c r="T175" s="33"/>
    </row>
    <row r="176" spans="1:20" s="31" customFormat="1" x14ac:dyDescent="0.25">
      <c r="A176" s="38">
        <f t="shared" ref="A176" si="9">A175+1</f>
        <v>11</v>
      </c>
      <c r="B176" s="38" t="s">
        <v>334</v>
      </c>
      <c r="C176" s="58" t="s">
        <v>335</v>
      </c>
      <c r="D176" s="59">
        <f>(27.94)*10.764</f>
        <v>300.74615999999997</v>
      </c>
      <c r="E176" s="38">
        <v>0</v>
      </c>
      <c r="F176" s="38">
        <f t="shared" si="6"/>
        <v>300.74615999999997</v>
      </c>
      <c r="G176" s="38">
        <v>0</v>
      </c>
      <c r="H176" s="38">
        <f t="shared" si="8"/>
        <v>451.11923999999999</v>
      </c>
      <c r="T176" s="33"/>
    </row>
    <row r="177" spans="1:20" s="31" customFormat="1" x14ac:dyDescent="0.25">
      <c r="A177" s="103" t="s">
        <v>352</v>
      </c>
      <c r="B177" s="104"/>
      <c r="C177" s="104"/>
      <c r="D177" s="104"/>
      <c r="E177" s="104"/>
      <c r="F177" s="104"/>
      <c r="G177" s="104"/>
      <c r="H177" s="105"/>
      <c r="T177" s="33"/>
    </row>
    <row r="178" spans="1:20" s="31" customFormat="1" x14ac:dyDescent="0.25">
      <c r="A178" s="38">
        <v>1</v>
      </c>
      <c r="B178" s="38" t="s">
        <v>326</v>
      </c>
      <c r="C178" s="58" t="s">
        <v>336</v>
      </c>
      <c r="D178" s="59">
        <f>(7.53*7.21+1.83*4.1+2.4*1.8+1.19*4.1+1.45*1.8+2.6*3.5+3.05*3.5*2+3.09*3.15*2+0.9*1.4*2+3.8*3.05+4.85*5.27+0.9*2.3+2.11*1.9+4.05*3.05+2.6*3.5+2.04*1.25+2.04*1.24+1.21*2.15+1.3*2.15+1.2*3.05+1.71*0.9+3.31*0.9)*10.764</f>
        <v>2253.7168055999987</v>
      </c>
      <c r="E178" s="59">
        <f>((7.53*1.54+2.8*2+5.27*1.9)+(3.05*4+3.09*2))*10.764</f>
        <v>490.72214879999996</v>
      </c>
      <c r="F178" s="38">
        <f>D178+E178</f>
        <v>2744.4389543999987</v>
      </c>
      <c r="G178" s="38">
        <v>0</v>
      </c>
      <c r="H178" s="38">
        <f>F178*(($H$126)+1)+(IF(G178&lt;101,G178,IF(G178&lt;201,G178/2,IF(G178&lt;=301,G178/3,G178/4))))</f>
        <v>4116.658431599998</v>
      </c>
      <c r="T178" s="33"/>
    </row>
    <row r="179" spans="1:20" s="31" customFormat="1" x14ac:dyDescent="0.25">
      <c r="A179" s="38">
        <f>A178+1</f>
        <v>2</v>
      </c>
      <c r="B179" s="38" t="s">
        <v>326</v>
      </c>
      <c r="C179" s="38" t="s">
        <v>327</v>
      </c>
      <c r="D179" s="59">
        <f>(3.65*7.21+1.19*4.1+1.45*1.8+2.6*3.5+3.05*3.5+3.09*3.15+0.9*1.4+4.05*3.05+2.04*1.25+1.3*2.15+1.2*3.05+3.31*0.9)*10.764</f>
        <v>957.03262199999995</v>
      </c>
      <c r="E179" s="59">
        <f>((3.65*1.54+2.8)+(3.05*2+3.09))*10.764</f>
        <v>189.56480399999995</v>
      </c>
      <c r="F179" s="38">
        <f>D179+E179</f>
        <v>1146.5974259999998</v>
      </c>
      <c r="G179" s="38">
        <v>0</v>
      </c>
      <c r="H179" s="38">
        <f>F179*(($H$126)+1)+(IF(G179&lt;101,G179,IF(G179&lt;201,G179/2,IF(G179&lt;=301,G179/3,G179/4))))</f>
        <v>1719.8961389999997</v>
      </c>
      <c r="T179" s="33"/>
    </row>
    <row r="180" spans="1:20" s="31" customFormat="1" x14ac:dyDescent="0.25">
      <c r="A180" s="38" t="s">
        <v>329</v>
      </c>
      <c r="B180" s="74" t="s">
        <v>331</v>
      </c>
      <c r="C180" s="120"/>
      <c r="D180" s="120"/>
      <c r="E180" s="120"/>
      <c r="F180" s="120"/>
      <c r="G180" s="120"/>
      <c r="H180" s="75"/>
      <c r="T180" s="33"/>
    </row>
    <row r="181" spans="1:20" s="31" customFormat="1" x14ac:dyDescent="0.25">
      <c r="A181" s="103" t="s">
        <v>353</v>
      </c>
      <c r="B181" s="104"/>
      <c r="C181" s="104"/>
      <c r="D181" s="104"/>
      <c r="E181" s="104"/>
      <c r="F181" s="104"/>
      <c r="G181" s="104"/>
      <c r="H181" s="105"/>
      <c r="T181" s="33"/>
    </row>
    <row r="182" spans="1:20" s="31" customFormat="1" x14ac:dyDescent="0.25">
      <c r="A182" s="38">
        <v>1</v>
      </c>
      <c r="B182" s="38" t="s">
        <v>326</v>
      </c>
      <c r="C182" s="58" t="s">
        <v>330</v>
      </c>
      <c r="D182" s="59">
        <f>(3.65*7.21+1.83*4.1+2.6*3.5+3.05*3.5+3.09*3.15+0.9*1.4+3.8*3.05+4.85*4.2+2.11*1.9+2.85*2.15+0.9*2.3+2.04*1.25+1.21*2.15+1.85*2.15+1.71*0.9+2.41*1.8)*10.764</f>
        <v>1332.1580219999998</v>
      </c>
      <c r="E182" s="59">
        <f>((3.65*1.54+2.8+6.5*1.9)+(3.05*2+3.09))*10.764</f>
        <v>322.50020399999994</v>
      </c>
      <c r="F182" s="38">
        <f>D182+E182</f>
        <v>1654.6582259999998</v>
      </c>
      <c r="G182" s="38">
        <v>0</v>
      </c>
      <c r="H182" s="38">
        <f>F182*(($H$126)+1)+(IF(G182&lt;101,G182,IF(G182&lt;201,G182/2,IF(G182&lt;=301,G182/3,G182/4))))</f>
        <v>2481.9873389999998</v>
      </c>
      <c r="T182" s="33"/>
    </row>
    <row r="183" spans="1:20" s="31" customFormat="1" x14ac:dyDescent="0.25">
      <c r="A183" s="38">
        <f>A182+1</f>
        <v>2</v>
      </c>
      <c r="B183" s="38" t="s">
        <v>326</v>
      </c>
      <c r="C183" s="38" t="s">
        <v>327</v>
      </c>
      <c r="D183" s="59">
        <f>(3.65*7.21+1.19*4.1+1.45*1.8+2.6*3.5+3.05*3.5+3.09*3.15+0.9*1.4+4.05*3.05+2.04*1.24+1.3*2.15+1.2*3.05+3.31*0.9)*10.764</f>
        <v>956.81303639999999</v>
      </c>
      <c r="E183" s="59">
        <f>((3.65*1.54+2.8)+(3.05*2+3.09))*10.764</f>
        <v>189.56480399999995</v>
      </c>
      <c r="F183" s="38">
        <f>D183+E183</f>
        <v>1146.3778404</v>
      </c>
      <c r="G183" s="38">
        <v>0</v>
      </c>
      <c r="H183" s="38">
        <f>F183*(($H$126)+1)+(IF(G183&lt;101,G183,IF(G183&lt;201,G183/2,IF(G183&lt;=301,G183/3,G183/4))))</f>
        <v>1719.5667606</v>
      </c>
      <c r="T183" s="33"/>
    </row>
    <row r="184" spans="1:20" s="31" customFormat="1" x14ac:dyDescent="0.25">
      <c r="A184" s="38">
        <f>A183+1</f>
        <v>3</v>
      </c>
      <c r="B184" s="38" t="s">
        <v>326</v>
      </c>
      <c r="C184" s="38" t="s">
        <v>327</v>
      </c>
      <c r="D184" s="59">
        <f>(3.65*7.21+1.19*4.1+1.45*1.8+2.6*3.5+3.05*3.5+3.09*3.15+0.9*1.4+4.05*3.05+2.04*1.25+1.3*2.15+1.2*3.05+3.31*0.9)*10.764</f>
        <v>957.03262199999995</v>
      </c>
      <c r="E184" s="59">
        <f>((3.65*1.54+2.8)+(3.05*2+3.09))*10.764</f>
        <v>189.56480399999995</v>
      </c>
      <c r="F184" s="38">
        <f>D184+E184</f>
        <v>1146.5974259999998</v>
      </c>
      <c r="G184" s="38">
        <v>0</v>
      </c>
      <c r="H184" s="38">
        <f>F184*(($H$126)+1)+(IF(G184&lt;101,G184,IF(G184&lt;201,G184/2,IF(G184&lt;=301,G184/3,G184/4))))</f>
        <v>1719.8961389999997</v>
      </c>
      <c r="T184" s="33"/>
    </row>
    <row r="185" spans="1:20" s="31" customFormat="1" x14ac:dyDescent="0.25">
      <c r="A185" s="38">
        <f>A184+1</f>
        <v>4</v>
      </c>
      <c r="B185" s="38" t="s">
        <v>326</v>
      </c>
      <c r="C185" s="38" t="s">
        <v>323</v>
      </c>
      <c r="D185" s="59">
        <f>(3.65*7.21+0.47*4.1+1.36*1.8+2.6*3.5+3.05*3.5+3.09*3.15+0.9*1.4+4.85*3.05+2.04*1.25+1.21*2.15+1.21*3.05+4.4*0.9)*10.764</f>
        <v>958.58263799999986</v>
      </c>
      <c r="E185" s="59">
        <f>((3.65*1.54+2.8)+(3.05*2+3.09))*10.764</f>
        <v>189.56480399999995</v>
      </c>
      <c r="F185" s="38">
        <f>D185+E185</f>
        <v>1148.1474419999997</v>
      </c>
      <c r="G185" s="38">
        <v>0</v>
      </c>
      <c r="H185" s="38">
        <f>F185*(($H$126)+1)+(IF(G185&lt;101,G185,IF(G185&lt;201,G185/2,IF(G185&lt;=301,G185/3,G185/4))))</f>
        <v>1722.2211629999997</v>
      </c>
      <c r="T185" s="33"/>
    </row>
    <row r="186" spans="1:20" s="31" customFormat="1" x14ac:dyDescent="0.25">
      <c r="A186" s="195" t="s">
        <v>65</v>
      </c>
      <c r="B186" s="195"/>
      <c r="C186" s="195"/>
      <c r="D186" s="195"/>
      <c r="E186" s="195"/>
      <c r="F186" s="195"/>
      <c r="G186" s="195"/>
      <c r="H186" s="195"/>
      <c r="T186" s="33"/>
    </row>
    <row r="187" spans="1:20" s="31" customFormat="1" x14ac:dyDescent="0.25">
      <c r="A187" s="42" t="s">
        <v>150</v>
      </c>
      <c r="B187" s="192" t="s">
        <v>367</v>
      </c>
      <c r="C187" s="193"/>
      <c r="D187" s="193"/>
      <c r="E187" s="193"/>
      <c r="F187" s="193"/>
      <c r="G187" s="193"/>
      <c r="H187" s="194"/>
      <c r="I187" s="203" t="s">
        <v>364</v>
      </c>
    </row>
    <row r="188" spans="1:20" s="31" customFormat="1" x14ac:dyDescent="0.25">
      <c r="A188" s="42" t="s">
        <v>150</v>
      </c>
      <c r="B188" s="189" t="str">
        <f>(IF(H125="Saleable area Loading :","We have considered Saleable area of Flats as per our Calculation.","We considered Saleable area of Flat as per Builder area Sheet."))</f>
        <v>We have considered Saleable area of Flats as per our Calculation.</v>
      </c>
      <c r="C188" s="190"/>
      <c r="D188" s="190"/>
      <c r="E188" s="190"/>
      <c r="F188" s="190"/>
      <c r="G188" s="190"/>
      <c r="H188" s="191"/>
    </row>
    <row r="189" spans="1:20" s="31" customFormat="1" hidden="1" x14ac:dyDescent="0.25">
      <c r="A189" s="42" t="s">
        <v>150</v>
      </c>
      <c r="B189" s="189" t="str">
        <f>(IF(H117="Saleable area Loading :","We have considered Saleable area of Commercial as per our Calculation.","We considered Saleable area of Commercial as per Builder area Sheet."))</f>
        <v>We have considered Saleable area of Commercial as per our Calculation.</v>
      </c>
      <c r="C189" s="190"/>
      <c r="D189" s="190"/>
      <c r="E189" s="190"/>
      <c r="F189" s="190"/>
      <c r="G189" s="190"/>
      <c r="H189" s="191"/>
    </row>
    <row r="190" spans="1:20" s="31" customFormat="1" x14ac:dyDescent="0.25">
      <c r="A190" s="42" t="s">
        <v>150</v>
      </c>
      <c r="B190" s="65" t="s">
        <v>120</v>
      </c>
      <c r="C190" s="66"/>
      <c r="D190" s="66"/>
      <c r="E190" s="66"/>
      <c r="F190" s="66"/>
      <c r="G190" s="66"/>
      <c r="H190" s="67"/>
    </row>
    <row r="191" spans="1:20" s="31" customFormat="1" x14ac:dyDescent="0.25">
      <c r="A191" s="42" t="s">
        <v>150</v>
      </c>
      <c r="B191" s="65" t="s">
        <v>337</v>
      </c>
      <c r="C191" s="66"/>
      <c r="D191" s="66"/>
      <c r="E191" s="66"/>
      <c r="F191" s="66"/>
      <c r="G191" s="66"/>
      <c r="H191" s="67"/>
    </row>
    <row r="192" spans="1:20" s="31" customFormat="1" x14ac:dyDescent="0.25">
      <c r="A192" s="42" t="s">
        <v>150</v>
      </c>
      <c r="B192" s="65" t="s">
        <v>149</v>
      </c>
      <c r="C192" s="66"/>
      <c r="D192" s="66"/>
      <c r="E192" s="66"/>
      <c r="F192" s="66"/>
      <c r="G192" s="66"/>
      <c r="H192" s="67"/>
    </row>
    <row r="193" spans="1:20" s="31" customFormat="1" x14ac:dyDescent="0.25">
      <c r="A193" s="42" t="s">
        <v>150</v>
      </c>
      <c r="B193" s="65" t="s">
        <v>121</v>
      </c>
      <c r="C193" s="66"/>
      <c r="D193" s="66"/>
      <c r="E193" s="66"/>
      <c r="F193" s="66"/>
      <c r="G193" s="66"/>
      <c r="H193" s="67"/>
    </row>
    <row r="194" spans="1:20" s="31" customFormat="1" ht="32.25" customHeight="1" x14ac:dyDescent="0.25">
      <c r="A194" s="42" t="s">
        <v>150</v>
      </c>
      <c r="B194" s="65" t="s">
        <v>151</v>
      </c>
      <c r="C194" s="66"/>
      <c r="D194" s="66"/>
      <c r="E194" s="66"/>
      <c r="F194" s="66"/>
      <c r="G194" s="66"/>
      <c r="H194" s="67"/>
    </row>
    <row r="195" spans="1:20" s="31" customFormat="1" x14ac:dyDescent="0.25">
      <c r="A195" s="42" t="s">
        <v>150</v>
      </c>
      <c r="B195" s="65" t="s">
        <v>122</v>
      </c>
      <c r="C195" s="66"/>
      <c r="D195" s="66"/>
      <c r="E195" s="66"/>
      <c r="F195" s="66"/>
      <c r="G195" s="66"/>
      <c r="H195" s="67"/>
    </row>
    <row r="196" spans="1:20" hidden="1" x14ac:dyDescent="0.25">
      <c r="A196" s="42" t="s">
        <v>150</v>
      </c>
      <c r="B196" s="89" t="s">
        <v>174</v>
      </c>
      <c r="C196" s="90"/>
      <c r="D196" s="90"/>
      <c r="E196" s="90"/>
      <c r="F196" s="90"/>
      <c r="G196" s="90"/>
      <c r="H196" s="91"/>
      <c r="T196" s="31"/>
    </row>
    <row r="197" spans="1:20" hidden="1" x14ac:dyDescent="0.25">
      <c r="A197" s="42" t="s">
        <v>150</v>
      </c>
      <c r="B197" s="89" t="s">
        <v>229</v>
      </c>
      <c r="C197" s="90"/>
      <c r="D197" s="90"/>
      <c r="E197" s="90"/>
      <c r="F197" s="90"/>
      <c r="G197" s="90"/>
      <c r="H197" s="91"/>
      <c r="T197" s="31"/>
    </row>
    <row r="198" spans="1:20" s="31" customFormat="1" x14ac:dyDescent="0.25">
      <c r="A198" s="42" t="s">
        <v>150</v>
      </c>
      <c r="B198" s="65" t="s">
        <v>355</v>
      </c>
      <c r="C198" s="66"/>
      <c r="D198" s="66"/>
      <c r="E198" s="66"/>
      <c r="F198" s="66"/>
      <c r="G198" s="66"/>
      <c r="H198" s="67"/>
    </row>
    <row r="199" spans="1:20" s="31" customFormat="1" ht="31.5" customHeight="1" x14ac:dyDescent="0.25">
      <c r="A199" s="42" t="s">
        <v>150</v>
      </c>
      <c r="B199" s="65" t="s">
        <v>361</v>
      </c>
      <c r="C199" s="66"/>
      <c r="D199" s="66"/>
      <c r="E199" s="66"/>
      <c r="F199" s="66"/>
      <c r="G199" s="66"/>
      <c r="H199" s="67"/>
    </row>
    <row r="200" spans="1:20" s="31" customFormat="1" x14ac:dyDescent="0.25">
      <c r="A200" s="61" t="s">
        <v>150</v>
      </c>
      <c r="B200" s="65" t="s">
        <v>369</v>
      </c>
      <c r="C200" s="66"/>
      <c r="D200" s="66"/>
      <c r="E200" s="66"/>
      <c r="F200" s="66"/>
      <c r="G200" s="66"/>
      <c r="H200" s="67"/>
    </row>
    <row r="201" spans="1:20" ht="15.75" customHeight="1" x14ac:dyDescent="0.25">
      <c r="A201" s="92" t="s">
        <v>58</v>
      </c>
      <c r="B201" s="92"/>
      <c r="C201" s="92"/>
      <c r="D201" s="92"/>
      <c r="E201" s="92"/>
      <c r="F201" s="92"/>
      <c r="G201" s="92"/>
      <c r="H201" s="92"/>
      <c r="T201" s="31"/>
    </row>
    <row r="202" spans="1:20" x14ac:dyDescent="0.25">
      <c r="A202" s="73" t="s">
        <v>59</v>
      </c>
      <c r="B202" s="73"/>
      <c r="C202" s="73"/>
      <c r="D202" s="73"/>
      <c r="E202" s="73"/>
      <c r="F202" s="73"/>
      <c r="G202" s="73"/>
      <c r="H202" s="73"/>
    </row>
    <row r="203" spans="1:20" x14ac:dyDescent="0.25">
      <c r="A203" s="115" t="s">
        <v>60</v>
      </c>
      <c r="B203" s="115"/>
      <c r="C203" s="115"/>
      <c r="D203" s="115"/>
      <c r="E203" s="115"/>
      <c r="F203" s="115"/>
      <c r="G203" s="115"/>
      <c r="H203" s="115"/>
    </row>
    <row r="204" spans="1:20" x14ac:dyDescent="0.25">
      <c r="A204" s="73" t="s">
        <v>61</v>
      </c>
      <c r="B204" s="73"/>
      <c r="C204" s="73"/>
      <c r="D204" s="73"/>
      <c r="E204" s="73"/>
      <c r="F204" s="73"/>
      <c r="G204" s="73"/>
      <c r="H204" s="73"/>
    </row>
    <row r="205" spans="1:20" x14ac:dyDescent="0.25">
      <c r="A205" s="73" t="s">
        <v>62</v>
      </c>
      <c r="B205" s="73"/>
      <c r="C205" s="73"/>
      <c r="D205" s="73"/>
      <c r="E205" s="73"/>
      <c r="F205" s="73"/>
      <c r="G205" s="73"/>
      <c r="H205" s="73"/>
    </row>
    <row r="206" spans="1:20" x14ac:dyDescent="0.25">
      <c r="A206" s="73" t="s">
        <v>123</v>
      </c>
      <c r="B206" s="73"/>
      <c r="C206" s="73"/>
      <c r="D206" s="73"/>
      <c r="E206" s="73"/>
      <c r="F206" s="73"/>
      <c r="G206" s="73"/>
      <c r="H206" s="73"/>
    </row>
    <row r="207" spans="1:20" ht="31.5" customHeight="1" x14ac:dyDescent="0.25">
      <c r="A207" s="82" t="s">
        <v>124</v>
      </c>
      <c r="B207" s="82"/>
      <c r="C207" s="82"/>
      <c r="D207" s="82"/>
      <c r="E207" s="82"/>
      <c r="F207" s="82"/>
      <c r="G207" s="82"/>
      <c r="H207" s="82"/>
    </row>
    <row r="208" spans="1:20" x14ac:dyDescent="0.25">
      <c r="A208" s="127" t="s">
        <v>73</v>
      </c>
      <c r="B208" s="127"/>
      <c r="C208" s="127" t="s">
        <v>370</v>
      </c>
      <c r="D208" s="127"/>
      <c r="E208" s="127" t="s">
        <v>102</v>
      </c>
      <c r="F208" s="127"/>
      <c r="G208" s="127" t="s">
        <v>365</v>
      </c>
      <c r="H208" s="127"/>
    </row>
    <row r="209" spans="1:8" x14ac:dyDescent="0.25">
      <c r="A209" s="126" t="s">
        <v>75</v>
      </c>
      <c r="B209" s="126"/>
      <c r="C209" s="126"/>
      <c r="D209" s="126"/>
      <c r="E209" s="126"/>
      <c r="F209" s="126"/>
      <c r="G209" s="126"/>
      <c r="H209" s="126"/>
    </row>
    <row r="210" spans="1:8" x14ac:dyDescent="0.25">
      <c r="A210" s="126"/>
      <c r="B210" s="126"/>
      <c r="C210" s="126"/>
      <c r="D210" s="126"/>
      <c r="E210" s="126"/>
      <c r="F210" s="126"/>
      <c r="G210" s="126"/>
      <c r="H210" s="126"/>
    </row>
    <row r="211" spans="1:8" x14ac:dyDescent="0.25">
      <c r="A211" s="126"/>
      <c r="B211" s="126"/>
      <c r="C211" s="126"/>
      <c r="D211" s="126"/>
      <c r="E211" s="126"/>
      <c r="F211" s="126"/>
      <c r="G211" s="126"/>
      <c r="H211" s="126"/>
    </row>
    <row r="212" spans="1:8" x14ac:dyDescent="0.25">
      <c r="A212" s="126"/>
      <c r="B212" s="126"/>
      <c r="C212" s="126"/>
      <c r="D212" s="126"/>
      <c r="E212" s="126"/>
      <c r="F212" s="126"/>
      <c r="G212" s="126"/>
      <c r="H212" s="126"/>
    </row>
    <row r="213" spans="1:8" x14ac:dyDescent="0.25">
      <c r="A213" s="34" t="s">
        <v>63</v>
      </c>
      <c r="B213" s="35"/>
      <c r="C213" s="35"/>
      <c r="D213" s="34" t="str">
        <f>E9</f>
        <v>Landmark</v>
      </c>
      <c r="F213" s="35"/>
      <c r="G213" s="35"/>
      <c r="H213" s="35"/>
    </row>
    <row r="214" spans="1:8" ht="15.75" customHeight="1" x14ac:dyDescent="0.25">
      <c r="A214" s="35"/>
      <c r="B214" s="35"/>
      <c r="C214" s="35"/>
      <c r="D214" s="35"/>
      <c r="E214" s="35"/>
      <c r="F214" s="35"/>
      <c r="G214" s="35"/>
      <c r="H214" s="35"/>
    </row>
    <row r="215" spans="1:8" x14ac:dyDescent="0.25">
      <c r="A215" s="35"/>
      <c r="B215" s="35"/>
      <c r="C215" s="35"/>
      <c r="D215" s="35"/>
      <c r="E215" s="35"/>
      <c r="F215" s="35"/>
      <c r="G215" s="35"/>
      <c r="H215" s="35"/>
    </row>
    <row r="257" spans="1:1" x14ac:dyDescent="0.25">
      <c r="A257" s="37" t="s">
        <v>161</v>
      </c>
    </row>
    <row r="301" spans="1:1" x14ac:dyDescent="0.25">
      <c r="A301" s="37" t="s">
        <v>362</v>
      </c>
    </row>
    <row r="345" spans="1:1" x14ac:dyDescent="0.25">
      <c r="A345" s="37" t="s">
        <v>64</v>
      </c>
    </row>
  </sheetData>
  <mergeCells count="320">
    <mergeCell ref="B200:H200"/>
    <mergeCell ref="B199:H199"/>
    <mergeCell ref="A109:H109"/>
    <mergeCell ref="C110:D110"/>
    <mergeCell ref="E110:F110"/>
    <mergeCell ref="G110:H110"/>
    <mergeCell ref="C111:D111"/>
    <mergeCell ref="E111:F111"/>
    <mergeCell ref="G111:H111"/>
    <mergeCell ref="C112:D112"/>
    <mergeCell ref="E112:F112"/>
    <mergeCell ref="G112:H112"/>
    <mergeCell ref="B197:H197"/>
    <mergeCell ref="B194:H194"/>
    <mergeCell ref="A123:B123"/>
    <mergeCell ref="A122:B122"/>
    <mergeCell ref="A165:H165"/>
    <mergeCell ref="A177:H177"/>
    <mergeCell ref="B180:H180"/>
    <mergeCell ref="A181:H181"/>
    <mergeCell ref="A113:B113"/>
    <mergeCell ref="C113:D113"/>
    <mergeCell ref="E113:F113"/>
    <mergeCell ref="B195:H195"/>
    <mergeCell ref="B193:H193"/>
    <mergeCell ref="A92:E92"/>
    <mergeCell ref="A108:B108"/>
    <mergeCell ref="E108:F108"/>
    <mergeCell ref="A97:E97"/>
    <mergeCell ref="G108:H108"/>
    <mergeCell ref="C103:D103"/>
    <mergeCell ref="E103:F103"/>
    <mergeCell ref="G103:H103"/>
    <mergeCell ref="A104:B104"/>
    <mergeCell ref="C104:D104"/>
    <mergeCell ref="E104:F104"/>
    <mergeCell ref="G104:H104"/>
    <mergeCell ref="F92:H92"/>
    <mergeCell ref="A93:E93"/>
    <mergeCell ref="F93:H93"/>
    <mergeCell ref="A95:E95"/>
    <mergeCell ref="B189:H189"/>
    <mergeCell ref="B187:H187"/>
    <mergeCell ref="B188:H188"/>
    <mergeCell ref="B190:H190"/>
    <mergeCell ref="B191:H191"/>
    <mergeCell ref="A186:H186"/>
    <mergeCell ref="A144:H144"/>
    <mergeCell ref="A49:B49"/>
    <mergeCell ref="C49:H49"/>
    <mergeCell ref="B192:H192"/>
    <mergeCell ref="F89:H89"/>
    <mergeCell ref="A89:E89"/>
    <mergeCell ref="D117:D118"/>
    <mergeCell ref="A91:E91"/>
    <mergeCell ref="A111:B111"/>
    <mergeCell ref="A112:B112"/>
    <mergeCell ref="A90:E90"/>
    <mergeCell ref="A87:E87"/>
    <mergeCell ref="F91:H91"/>
    <mergeCell ref="G117:G118"/>
    <mergeCell ref="A79:B79"/>
    <mergeCell ref="A78:B78"/>
    <mergeCell ref="A80:B80"/>
    <mergeCell ref="E76:F76"/>
    <mergeCell ref="A69:C69"/>
    <mergeCell ref="D69:H69"/>
    <mergeCell ref="A72:C72"/>
    <mergeCell ref="D72:H72"/>
    <mergeCell ref="A70:C70"/>
    <mergeCell ref="D71:H71"/>
    <mergeCell ref="A77:B77"/>
    <mergeCell ref="L133:M133"/>
    <mergeCell ref="A40:B40"/>
    <mergeCell ref="C40:H40"/>
    <mergeCell ref="F117:F118"/>
    <mergeCell ref="C102:D102"/>
    <mergeCell ref="E102:F102"/>
    <mergeCell ref="B117:B118"/>
    <mergeCell ref="A117:A118"/>
    <mergeCell ref="C125:C126"/>
    <mergeCell ref="G125:G126"/>
    <mergeCell ref="L132:M132"/>
    <mergeCell ref="L129:M129"/>
    <mergeCell ref="G113:H113"/>
    <mergeCell ref="L130:M130"/>
    <mergeCell ref="L131:M131"/>
    <mergeCell ref="C55:H55"/>
    <mergeCell ref="A76:B76"/>
    <mergeCell ref="A75:B75"/>
    <mergeCell ref="A73:B73"/>
    <mergeCell ref="C73:H73"/>
    <mergeCell ref="A81:B81"/>
    <mergeCell ref="A68:C68"/>
    <mergeCell ref="D68:H68"/>
    <mergeCell ref="C75:H75"/>
    <mergeCell ref="A39:B39"/>
    <mergeCell ref="C39:H39"/>
    <mergeCell ref="A46:D46"/>
    <mergeCell ref="L123:M123"/>
    <mergeCell ref="L122:M122"/>
    <mergeCell ref="L121:M121"/>
    <mergeCell ref="L120:M120"/>
    <mergeCell ref="A84:B84"/>
    <mergeCell ref="C107:D107"/>
    <mergeCell ref="E107:F107"/>
    <mergeCell ref="G107:H107"/>
    <mergeCell ref="A88:E88"/>
    <mergeCell ref="A119:H119"/>
    <mergeCell ref="E117:E118"/>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G76:H76"/>
    <mergeCell ref="A209:H212"/>
    <mergeCell ref="A208:B208"/>
    <mergeCell ref="E208:F208"/>
    <mergeCell ref="C208:D208"/>
    <mergeCell ref="G208:H208"/>
    <mergeCell ref="A100:H100"/>
    <mergeCell ref="A98:E98"/>
    <mergeCell ref="F98:H98"/>
    <mergeCell ref="A99:E99"/>
    <mergeCell ref="F99:H99"/>
    <mergeCell ref="A135:H135"/>
    <mergeCell ref="A107:B107"/>
    <mergeCell ref="A102:B102"/>
    <mergeCell ref="A204:H204"/>
    <mergeCell ref="A105:H105"/>
    <mergeCell ref="A207:H207"/>
    <mergeCell ref="A205:H205"/>
    <mergeCell ref="A201:H201"/>
    <mergeCell ref="G106:H106"/>
    <mergeCell ref="C117:C118"/>
    <mergeCell ref="B125:B126"/>
    <mergeCell ref="A202:H202"/>
    <mergeCell ref="F87:H87"/>
    <mergeCell ref="G51:H51"/>
    <mergeCell ref="A52:B53"/>
    <mergeCell ref="C53:H53"/>
    <mergeCell ref="A206:H206"/>
    <mergeCell ref="A203:H203"/>
    <mergeCell ref="A106:B106"/>
    <mergeCell ref="D125:D126"/>
    <mergeCell ref="E125:E126"/>
    <mergeCell ref="A110:B110"/>
    <mergeCell ref="F88:H88"/>
    <mergeCell ref="G102:H102"/>
    <mergeCell ref="F94:H94"/>
    <mergeCell ref="C101:D101"/>
    <mergeCell ref="C108:D108"/>
    <mergeCell ref="A128:H128"/>
    <mergeCell ref="F90:H90"/>
    <mergeCell ref="A94:E94"/>
    <mergeCell ref="A124:H124"/>
    <mergeCell ref="E106:F106"/>
    <mergeCell ref="A115:H115"/>
    <mergeCell ref="A125:A126"/>
    <mergeCell ref="F125:F126"/>
    <mergeCell ref="A120:B120"/>
    <mergeCell ref="A140:H140"/>
    <mergeCell ref="B196:H196"/>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A161:H161"/>
    <mergeCell ref="A114:H114"/>
    <mergeCell ref="A127:H127"/>
    <mergeCell ref="A129:H129"/>
    <mergeCell ref="A130:H130"/>
    <mergeCell ref="B147:H147"/>
    <mergeCell ref="A148:H148"/>
    <mergeCell ref="A153:H153"/>
    <mergeCell ref="A157:H157"/>
    <mergeCell ref="B198:H198"/>
    <mergeCell ref="I15:P15"/>
    <mergeCell ref="F97:H97"/>
    <mergeCell ref="F95:H95"/>
    <mergeCell ref="A116:H116"/>
    <mergeCell ref="G101:H101"/>
    <mergeCell ref="A96:E96"/>
    <mergeCell ref="A121:B121"/>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G52:H52"/>
    <mergeCell ref="A51:B5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7:E118">
      <formula1>"Attached Loft area,Attached Otla area,Attached Mezzanine area"</formula1>
    </dataValidation>
    <dataValidation type="list" allowBlank="1" showInputMessage="1" showErrorMessage="1" sqref="G208:H208">
      <formula1>"Kunal Kadam,Shruti Tathare,Pranita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7:B118">
      <formula1>"Shop No. (Sale Plan),Sale / Rehab,Sale / Mhada"</formula1>
    </dataValidation>
    <dataValidation type="list" allowBlank="1" showInputMessage="1" showErrorMessage="1" sqref="B125:B126">
      <formula1>"Flat No. (Sale Plan),Sale / Rehab,Sale / PTC"</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5:E126">
      <formula1>"Fungible area,Deck + Balcony Area,Chajja Area,Cornice Area,AP Area,WS Area"</formula1>
    </dataValidation>
    <dataValidation type="list" allowBlank="1" showInputMessage="1" showErrorMessage="1" sqref="H118 H12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4" orientation="portrait" r:id="rId2"/>
  <headerFooter>
    <oddHeader>&amp;C&amp;G</oddHeader>
    <oddFooter>&amp;L&amp;"Times New Roman,Bold"&amp;12Ref No: &amp;F&amp;C&amp;G&amp;R&amp;"Times New Roman,Bold"&amp;12&amp;P</oddFooter>
  </headerFooter>
  <rowBreaks count="5" manualBreakCount="5">
    <brk id="72" max="16383" man="1"/>
    <brk id="212" max="16383" man="1"/>
    <brk id="256" max="16383" man="1"/>
    <brk id="300" max="7" man="1"/>
    <brk id="34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02" t="s">
        <v>103</v>
      </c>
      <c r="C3" s="202"/>
      <c r="D3" s="202"/>
      <c r="E3" s="202"/>
      <c r="F3" s="202"/>
      <c r="G3" s="202"/>
      <c r="H3" s="202"/>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175</v>
      </c>
      <c r="E4" s="49" t="s">
        <v>185</v>
      </c>
      <c r="F4" s="49" t="s">
        <v>169</v>
      </c>
      <c r="G4" s="49" t="s">
        <v>190</v>
      </c>
      <c r="H4" s="49" t="s">
        <v>208</v>
      </c>
      <c r="J4" t="s">
        <v>190</v>
      </c>
      <c r="K4" t="s">
        <v>206</v>
      </c>
    </row>
    <row r="5" spans="2:11" x14ac:dyDescent="0.25">
      <c r="B5" s="48"/>
      <c r="C5" s="48"/>
      <c r="D5" s="49" t="s">
        <v>176</v>
      </c>
      <c r="E5" s="49" t="s">
        <v>183</v>
      </c>
      <c r="F5" s="49" t="s">
        <v>205</v>
      </c>
      <c r="G5" s="49" t="s">
        <v>191</v>
      </c>
      <c r="H5" s="49" t="s">
        <v>209</v>
      </c>
    </row>
    <row r="6" spans="2:11" x14ac:dyDescent="0.25">
      <c r="B6" s="48"/>
      <c r="C6" s="48"/>
      <c r="D6" s="49" t="s">
        <v>177</v>
      </c>
      <c r="E6" s="49" t="s">
        <v>184</v>
      </c>
      <c r="F6" s="49" t="s">
        <v>206</v>
      </c>
      <c r="G6" s="49" t="s">
        <v>192</v>
      </c>
      <c r="H6" s="49" t="s">
        <v>222</v>
      </c>
    </row>
    <row r="7" spans="2:11" x14ac:dyDescent="0.25">
      <c r="B7" s="48"/>
      <c r="C7" s="48"/>
      <c r="D7" s="49" t="s">
        <v>178</v>
      </c>
      <c r="E7" s="49" t="s">
        <v>186</v>
      </c>
      <c r="F7" s="49" t="s">
        <v>207</v>
      </c>
      <c r="G7" s="49" t="s">
        <v>193</v>
      </c>
      <c r="H7" s="49" t="s">
        <v>210</v>
      </c>
    </row>
    <row r="8" spans="2:11" x14ac:dyDescent="0.25">
      <c r="B8" s="48"/>
      <c r="C8" s="48"/>
      <c r="D8" s="49" t="s">
        <v>179</v>
      </c>
      <c r="E8" s="49" t="s">
        <v>187</v>
      </c>
      <c r="F8" s="49"/>
      <c r="G8" s="49" t="s">
        <v>194</v>
      </c>
      <c r="H8" s="49" t="s">
        <v>211</v>
      </c>
    </row>
    <row r="9" spans="2:11" x14ac:dyDescent="0.25">
      <c r="B9" s="48"/>
      <c r="C9" s="48"/>
      <c r="D9" s="49" t="s">
        <v>180</v>
      </c>
      <c r="E9" s="49" t="s">
        <v>185</v>
      </c>
      <c r="F9" s="49"/>
      <c r="G9" s="49" t="s">
        <v>195</v>
      </c>
      <c r="H9" s="49" t="s">
        <v>212</v>
      </c>
    </row>
    <row r="10" spans="2:11" x14ac:dyDescent="0.25">
      <c r="B10" s="48"/>
      <c r="C10" s="48"/>
      <c r="D10" s="49" t="s">
        <v>181</v>
      </c>
      <c r="E10" s="49" t="s">
        <v>188</v>
      </c>
      <c r="F10" s="49"/>
      <c r="G10" s="49" t="s">
        <v>196</v>
      </c>
      <c r="H10" s="49" t="s">
        <v>213</v>
      </c>
    </row>
    <row r="11" spans="2:11" x14ac:dyDescent="0.25">
      <c r="B11" s="48"/>
      <c r="C11" s="48"/>
      <c r="D11" s="49" t="s">
        <v>182</v>
      </c>
      <c r="E11" s="49" t="s">
        <v>189</v>
      </c>
      <c r="F11" s="49"/>
      <c r="G11" s="49" t="s">
        <v>197</v>
      </c>
      <c r="H11" s="49" t="s">
        <v>214</v>
      </c>
    </row>
    <row r="12" spans="2:11" x14ac:dyDescent="0.25">
      <c r="B12" s="48"/>
      <c r="C12" s="48"/>
      <c r="D12" s="49"/>
      <c r="E12" s="49"/>
      <c r="F12" s="49"/>
      <c r="G12" s="49" t="s">
        <v>198</v>
      </c>
      <c r="H12" s="49" t="s">
        <v>215</v>
      </c>
    </row>
    <row r="13" spans="2:11" x14ac:dyDescent="0.25">
      <c r="B13" s="48"/>
      <c r="C13" s="48"/>
      <c r="D13" s="49"/>
      <c r="E13" s="49"/>
      <c r="F13" s="49"/>
      <c r="G13" s="49" t="s">
        <v>199</v>
      </c>
      <c r="H13" s="49" t="s">
        <v>216</v>
      </c>
    </row>
    <row r="14" spans="2:11" x14ac:dyDescent="0.25">
      <c r="B14" s="48"/>
      <c r="C14" s="48"/>
      <c r="D14" s="49"/>
      <c r="E14" s="49"/>
      <c r="F14" s="49"/>
      <c r="G14" s="49" t="s">
        <v>200</v>
      </c>
      <c r="H14" s="49" t="s">
        <v>217</v>
      </c>
    </row>
    <row r="15" spans="2:11" x14ac:dyDescent="0.25">
      <c r="B15" s="48"/>
      <c r="C15" s="48"/>
      <c r="D15" s="49"/>
      <c r="E15" s="49"/>
      <c r="F15" s="49"/>
      <c r="G15" s="49" t="s">
        <v>201</v>
      </c>
      <c r="H15" s="49" t="s">
        <v>218</v>
      </c>
    </row>
    <row r="16" spans="2:11" x14ac:dyDescent="0.25">
      <c r="B16" s="48"/>
      <c r="C16" s="48"/>
      <c r="D16" s="49"/>
      <c r="E16" s="49"/>
      <c r="F16" s="49"/>
      <c r="G16" s="49" t="s">
        <v>202</v>
      </c>
      <c r="H16" s="49" t="s">
        <v>219</v>
      </c>
    </row>
    <row r="17" spans="2:8" x14ac:dyDescent="0.25">
      <c r="B17" s="48"/>
      <c r="C17" s="48"/>
      <c r="D17" s="49"/>
      <c r="E17" s="49"/>
      <c r="F17" s="49"/>
      <c r="G17" s="49" t="s">
        <v>203</v>
      </c>
      <c r="H17" s="49" t="s">
        <v>220</v>
      </c>
    </row>
    <row r="18" spans="2:8" x14ac:dyDescent="0.25">
      <c r="B18" s="48"/>
      <c r="C18" s="48"/>
      <c r="D18" s="49"/>
      <c r="E18" s="49"/>
      <c r="F18" s="49"/>
      <c r="G18" s="49" t="s">
        <v>204</v>
      </c>
      <c r="H18" s="49" t="s">
        <v>221</v>
      </c>
    </row>
    <row r="24" spans="2:8" x14ac:dyDescent="0.25">
      <c r="C24" t="s">
        <v>166</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166</v>
      </c>
    </row>
    <row r="33" spans="3:11" x14ac:dyDescent="0.25">
      <c r="J33">
        <v>1</v>
      </c>
      <c r="K33">
        <v>2</v>
      </c>
    </row>
    <row r="34" spans="3:11" x14ac:dyDescent="0.25">
      <c r="C34" s="52" t="s">
        <v>233</v>
      </c>
      <c r="D34" s="49" t="s">
        <v>231</v>
      </c>
      <c r="E34" s="49" t="s">
        <v>236</v>
      </c>
      <c r="F34" s="49" t="s">
        <v>234</v>
      </c>
      <c r="G34" s="49" t="s">
        <v>235</v>
      </c>
      <c r="H34" s="49" t="s">
        <v>237</v>
      </c>
      <c r="J34" t="s">
        <v>190</v>
      </c>
      <c r="K34" t="s">
        <v>206</v>
      </c>
    </row>
    <row r="35" spans="3:11" x14ac:dyDescent="0.25">
      <c r="C35" s="48" t="s">
        <v>232</v>
      </c>
      <c r="D35" s="49" t="s">
        <v>167</v>
      </c>
      <c r="E35" s="49" t="s">
        <v>241</v>
      </c>
      <c r="F35" s="49" t="s">
        <v>243</v>
      </c>
      <c r="G35" s="49" t="s">
        <v>245</v>
      </c>
      <c r="H35" s="49"/>
    </row>
    <row r="36" spans="3:11" x14ac:dyDescent="0.25">
      <c r="C36" s="48"/>
      <c r="D36" s="49" t="s">
        <v>238</v>
      </c>
      <c r="E36" s="49" t="s">
        <v>242</v>
      </c>
      <c r="F36" s="49" t="s">
        <v>244</v>
      </c>
      <c r="G36" s="49" t="s">
        <v>246</v>
      </c>
      <c r="H36" s="49"/>
    </row>
    <row r="37" spans="3:11" x14ac:dyDescent="0.25">
      <c r="C37" s="48"/>
      <c r="D37" s="49" t="s">
        <v>239</v>
      </c>
      <c r="E37" s="49"/>
      <c r="F37" s="49"/>
      <c r="G37" s="49" t="s">
        <v>247</v>
      </c>
      <c r="H37" s="49"/>
    </row>
    <row r="38" spans="3:11" x14ac:dyDescent="0.25">
      <c r="C38" s="48"/>
      <c r="D38" s="49" t="s">
        <v>240</v>
      </c>
      <c r="E38" s="49"/>
      <c r="F38" s="49"/>
      <c r="G38" s="49" t="s">
        <v>247</v>
      </c>
      <c r="H38" s="49"/>
    </row>
    <row r="39" spans="3:11" x14ac:dyDescent="0.25">
      <c r="C39" s="48"/>
      <c r="D39" s="49"/>
      <c r="E39" s="49"/>
      <c r="F39" s="49"/>
      <c r="G39" s="49" t="s">
        <v>248</v>
      </c>
      <c r="H39" s="49"/>
    </row>
    <row r="40" spans="3:11" x14ac:dyDescent="0.25">
      <c r="C40" s="48"/>
      <c r="D40" s="49"/>
      <c r="E40" s="49"/>
      <c r="F40" s="49"/>
      <c r="G40" s="49" t="s">
        <v>249</v>
      </c>
      <c r="H40" s="49"/>
    </row>
    <row r="41" spans="3:11" x14ac:dyDescent="0.25">
      <c r="C41" s="48"/>
      <c r="D41" s="49"/>
      <c r="E41" s="49"/>
      <c r="F41" s="49"/>
      <c r="G41" s="49"/>
      <c r="H41" s="49"/>
    </row>
    <row r="43" spans="3:11" x14ac:dyDescent="0.25">
      <c r="C43" t="s">
        <v>250</v>
      </c>
    </row>
    <row r="44" spans="3:11" x14ac:dyDescent="0.25">
      <c r="C44" t="s">
        <v>169</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3">
        <v>1</v>
      </c>
      <c r="C2" s="55" t="s">
        <v>281</v>
      </c>
    </row>
    <row r="3" spans="2:3" x14ac:dyDescent="0.25">
      <c r="B3" s="53">
        <v>2</v>
      </c>
      <c r="C3" s="54" t="s">
        <v>282</v>
      </c>
    </row>
    <row r="4" spans="2:3" x14ac:dyDescent="0.25">
      <c r="B4" s="53">
        <v>3</v>
      </c>
      <c r="C4" s="53" t="s">
        <v>283</v>
      </c>
    </row>
    <row r="5" spans="2:3" ht="30" x14ac:dyDescent="0.25">
      <c r="B5" s="53">
        <v>4</v>
      </c>
      <c r="C5" s="54" t="s">
        <v>284</v>
      </c>
    </row>
    <row r="6" spans="2:3" x14ac:dyDescent="0.25">
      <c r="B6" s="53">
        <v>5</v>
      </c>
      <c r="C6" s="53" t="s">
        <v>285</v>
      </c>
    </row>
    <row r="7" spans="2:3" ht="30" x14ac:dyDescent="0.25">
      <c r="B7" s="53">
        <v>6</v>
      </c>
      <c r="C7" s="54" t="s">
        <v>286</v>
      </c>
    </row>
    <row r="8" spans="2:3" ht="90" x14ac:dyDescent="0.25">
      <c r="B8" s="53">
        <v>7</v>
      </c>
      <c r="C8" s="54" t="s">
        <v>287</v>
      </c>
    </row>
    <row r="9" spans="2:3" x14ac:dyDescent="0.25">
      <c r="B9" s="53">
        <v>8</v>
      </c>
      <c r="C9" s="53" t="s">
        <v>288</v>
      </c>
    </row>
    <row r="10" spans="2:3" x14ac:dyDescent="0.25">
      <c r="B10" s="53">
        <v>9</v>
      </c>
      <c r="C10" s="53" t="s">
        <v>289</v>
      </c>
    </row>
    <row r="11" spans="2:3" x14ac:dyDescent="0.25">
      <c r="B11" s="53">
        <v>10</v>
      </c>
      <c r="C11" s="53" t="s">
        <v>290</v>
      </c>
    </row>
    <row r="12" spans="2:3" x14ac:dyDescent="0.25">
      <c r="B12" s="53">
        <v>11</v>
      </c>
      <c r="C12" s="53" t="s">
        <v>291</v>
      </c>
    </row>
    <row r="13" spans="2:3" x14ac:dyDescent="0.25">
      <c r="B13" s="53">
        <v>12</v>
      </c>
      <c r="C13" s="53" t="s">
        <v>292</v>
      </c>
    </row>
    <row r="14" spans="2:3" x14ac:dyDescent="0.25">
      <c r="B14" s="53">
        <v>13</v>
      </c>
      <c r="C14" s="53" t="s">
        <v>293</v>
      </c>
    </row>
    <row r="15" spans="2:3" x14ac:dyDescent="0.25">
      <c r="B15" s="53">
        <v>14</v>
      </c>
      <c r="C15" s="53"/>
    </row>
    <row r="16" spans="2:3" x14ac:dyDescent="0.25">
      <c r="B16" s="53">
        <v>15</v>
      </c>
      <c r="C16" s="5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2025-09-20T07:38:29Z</cp:lastPrinted>
  <dcterms:created xsi:type="dcterms:W3CDTF">2019-07-16T09:29:46Z</dcterms:created>
  <dcterms:modified xsi:type="dcterms:W3CDTF">2025-09-20T07:38:56Z</dcterms:modified>
</cp:coreProperties>
</file>