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SCLT\22228 - Regency Antilia Phase VIII Avana\"/>
    </mc:Choice>
  </mc:AlternateContent>
  <xr:revisionPtr revIDLastSave="0" documentId="13_ncr:1_{05597253-59EC-4DD1-98A8-3213A0D33D7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4" i="1" l="1"/>
  <c r="E171" i="1"/>
  <c r="L172" i="1"/>
  <c r="I163" i="1"/>
  <c r="I158" i="1"/>
  <c r="E192" i="1"/>
  <c r="D192" i="1"/>
  <c r="E191" i="1"/>
  <c r="D191" i="1"/>
  <c r="E186" i="1"/>
  <c r="D186" i="1"/>
  <c r="E185" i="1"/>
  <c r="D185" i="1"/>
  <c r="E184" i="1"/>
  <c r="D184" i="1"/>
  <c r="E183" i="1"/>
  <c r="D183" i="1"/>
  <c r="E182" i="1"/>
  <c r="D182" i="1"/>
  <c r="E181" i="1"/>
  <c r="D181" i="1"/>
  <c r="E180" i="1"/>
  <c r="D180" i="1"/>
  <c r="E178" i="1"/>
  <c r="D178" i="1"/>
  <c r="E177" i="1"/>
  <c r="D177" i="1"/>
  <c r="E176" i="1"/>
  <c r="D176" i="1"/>
  <c r="E175" i="1"/>
  <c r="D175" i="1"/>
  <c r="E174" i="1"/>
  <c r="D174" i="1"/>
  <c r="E173" i="1"/>
  <c r="D173" i="1"/>
  <c r="E172" i="1"/>
  <c r="D172" i="1"/>
  <c r="D171" i="1"/>
  <c r="E199" i="1"/>
  <c r="D199" i="1"/>
  <c r="E198" i="1"/>
  <c r="D198" i="1"/>
  <c r="E197" i="1"/>
  <c r="D197" i="1"/>
  <c r="A197" i="1"/>
  <c r="A198" i="1" s="1"/>
  <c r="A199" i="1" s="1"/>
  <c r="E196" i="1"/>
  <c r="D196" i="1"/>
  <c r="E194" i="1"/>
  <c r="D194" i="1"/>
  <c r="E193" i="1"/>
  <c r="D193" i="1"/>
  <c r="A192" i="1"/>
  <c r="A193" i="1" s="1"/>
  <c r="A194" i="1" s="1"/>
  <c r="A181" i="1"/>
  <c r="A182" i="1" s="1"/>
  <c r="A183" i="1" s="1"/>
  <c r="A184" i="1" s="1"/>
  <c r="A185" i="1" s="1"/>
  <c r="A186" i="1" s="1"/>
  <c r="A187" i="1" s="1"/>
  <c r="A172" i="1"/>
  <c r="A173" i="1" s="1"/>
  <c r="A174" i="1" s="1"/>
  <c r="A175" i="1" s="1"/>
  <c r="A176" i="1" s="1"/>
  <c r="A177" i="1" s="1"/>
  <c r="A178" i="1" s="1"/>
  <c r="E167" i="1"/>
  <c r="D167" i="1"/>
  <c r="E166" i="1"/>
  <c r="D166" i="1"/>
  <c r="E165" i="1"/>
  <c r="D165" i="1"/>
  <c r="A165" i="1"/>
  <c r="A166" i="1" s="1"/>
  <c r="A167" i="1" s="1"/>
  <c r="E164" i="1"/>
  <c r="D164" i="1"/>
  <c r="E162" i="1"/>
  <c r="D162" i="1"/>
  <c r="E161" i="1"/>
  <c r="D161" i="1"/>
  <c r="E160" i="1"/>
  <c r="D160" i="1"/>
  <c r="E159" i="1"/>
  <c r="D159" i="1"/>
  <c r="F186" i="1" l="1"/>
  <c r="H186" i="1" s="1"/>
  <c r="C141" i="1"/>
  <c r="C140" i="1"/>
  <c r="C139" i="1"/>
  <c r="F199" i="1"/>
  <c r="H199" i="1" s="1"/>
  <c r="F193" i="1"/>
  <c r="H193" i="1" s="1"/>
  <c r="F174" i="1"/>
  <c r="H174" i="1" s="1"/>
  <c r="F178" i="1"/>
  <c r="H178" i="1" s="1"/>
  <c r="N178" i="1" s="1"/>
  <c r="F184" i="1"/>
  <c r="H184" i="1" s="1"/>
  <c r="N184" i="1" s="1"/>
  <c r="F172" i="1"/>
  <c r="H172" i="1" s="1"/>
  <c r="N172" i="1" s="1"/>
  <c r="F185" i="1"/>
  <c r="H185" i="1" s="1"/>
  <c r="F183" i="1"/>
  <c r="H183" i="1" s="1"/>
  <c r="F175" i="1"/>
  <c r="H175" i="1" s="1"/>
  <c r="F194" i="1"/>
  <c r="H194" i="1" s="1"/>
  <c r="F166" i="1"/>
  <c r="H166" i="1" s="1"/>
  <c r="N166" i="1" s="1"/>
  <c r="F177" i="1"/>
  <c r="H177" i="1" s="1"/>
  <c r="N177" i="1" s="1"/>
  <c r="F182" i="1"/>
  <c r="H182" i="1" s="1"/>
  <c r="F176" i="1"/>
  <c r="H176" i="1" s="1"/>
  <c r="F197" i="1"/>
  <c r="H197" i="1" s="1"/>
  <c r="F191" i="1"/>
  <c r="F181" i="1"/>
  <c r="H181" i="1" s="1"/>
  <c r="F198" i="1"/>
  <c r="H198" i="1" s="1"/>
  <c r="F196" i="1"/>
  <c r="H196" i="1" s="1"/>
  <c r="F192" i="1"/>
  <c r="H192" i="1" s="1"/>
  <c r="F171" i="1"/>
  <c r="F173" i="1"/>
  <c r="H173" i="1" s="1"/>
  <c r="F180" i="1"/>
  <c r="H180" i="1" s="1"/>
  <c r="F164" i="1"/>
  <c r="H164" i="1" s="1"/>
  <c r="F167" i="1"/>
  <c r="H167" i="1" s="1"/>
  <c r="F165" i="1"/>
  <c r="H165" i="1" s="1"/>
  <c r="N165" i="1" s="1"/>
  <c r="C142" i="1" l="1"/>
  <c r="H171" i="1"/>
  <c r="E140" i="1"/>
  <c r="H191" i="1"/>
  <c r="G141" i="1" s="1"/>
  <c r="E141" i="1"/>
  <c r="G140" i="1" l="1"/>
  <c r="N171" i="1"/>
  <c r="E43" i="1"/>
  <c r="C77" i="1"/>
  <c r="H4" i="8"/>
  <c r="J6" i="8" l="1"/>
  <c r="D16" i="8"/>
  <c r="D10" i="8"/>
  <c r="D11" i="8"/>
  <c r="D15" i="8"/>
  <c r="D9" i="8"/>
  <c r="J8" i="8"/>
  <c r="C7" i="8" s="1"/>
  <c r="D14" i="8"/>
  <c r="D13" i="8"/>
  <c r="J7" i="8"/>
  <c r="J3" i="8"/>
  <c r="J5" i="8" s="1"/>
  <c r="D12" i="8"/>
  <c r="B4" i="8"/>
  <c r="F148" i="1"/>
  <c r="B38" i="6"/>
  <c r="B39" i="6" s="1"/>
  <c r="B40" i="6" s="1"/>
  <c r="B41" i="6" s="1"/>
  <c r="B42" i="6" s="1"/>
  <c r="B43" i="6" s="1"/>
  <c r="B44" i="6" s="1"/>
  <c r="B45" i="6" s="1"/>
  <c r="B46" i="6" s="1"/>
  <c r="B47" i="6" s="1"/>
  <c r="B48" i="6" s="1"/>
  <c r="B49" i="6" s="1"/>
  <c r="B50" i="6" s="1"/>
  <c r="B51" i="6" s="1"/>
  <c r="B52" i="6" s="1"/>
  <c r="B53" i="6" s="1"/>
  <c r="B54" i="6" s="1"/>
  <c r="D7" i="8" l="1"/>
  <c r="J9" i="8"/>
  <c r="J10" i="8" s="1"/>
  <c r="J15" i="8" s="1"/>
  <c r="J16" i="8" s="1"/>
  <c r="E7" i="8" s="1"/>
  <c r="J14" i="8"/>
  <c r="J13" i="8"/>
  <c r="J11" i="8"/>
  <c r="J12" i="8"/>
  <c r="H148" i="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8" i="1"/>
  <c r="B203" i="1"/>
  <c r="B202" i="1"/>
  <c r="F162" i="1"/>
  <c r="H162" i="1" s="1"/>
  <c r="F161" i="1"/>
  <c r="H161" i="1" s="1"/>
  <c r="F160" i="1"/>
  <c r="H160" i="1" s="1"/>
  <c r="A160" i="1"/>
  <c r="A161" i="1" s="1"/>
  <c r="A162" i="1" s="1"/>
  <c r="F159" i="1"/>
  <c r="F151" i="1"/>
  <c r="H151" i="1" s="1"/>
  <c r="F150" i="1"/>
  <c r="H150" i="1" s="1"/>
  <c r="F149" i="1"/>
  <c r="H149" i="1" s="1"/>
  <c r="A149" i="1"/>
  <c r="A150" i="1" s="1"/>
  <c r="A151" i="1" s="1"/>
  <c r="F131" i="1"/>
  <c r="C105" i="1"/>
  <c r="C91" i="1"/>
  <c r="B78" i="1"/>
  <c r="D71" i="1"/>
  <c r="G57" i="1"/>
  <c r="C57" i="1"/>
  <c r="C55" i="1"/>
  <c r="G51" i="1"/>
  <c r="G52" i="1" s="1"/>
  <c r="K55" i="1" s="1"/>
  <c r="C51" i="1"/>
  <c r="C52" i="1" s="1"/>
  <c r="E44" i="1"/>
  <c r="E45" i="1" s="1"/>
  <c r="S33" i="1"/>
  <c r="E31" i="1"/>
  <c r="E28" i="1"/>
  <c r="E26" i="1"/>
  <c r="C16" i="1"/>
  <c r="I15" i="1"/>
  <c r="Z13" i="1"/>
  <c r="E8" i="1"/>
  <c r="E3" i="1"/>
  <c r="B213" i="1" s="1"/>
  <c r="H106" i="1"/>
  <c r="H92" i="1"/>
  <c r="H159" i="1" l="1"/>
  <c r="G139" i="1" s="1"/>
  <c r="G142" i="1" s="1"/>
  <c r="E139" i="1"/>
  <c r="E142" i="1" s="1"/>
  <c r="I5" i="8"/>
  <c r="I3" i="8" s="1"/>
  <c r="C5" i="8" s="1"/>
  <c r="E42" i="7"/>
  <c r="D42" i="7" s="1"/>
  <c r="J85" i="1"/>
  <c r="J86" i="1"/>
  <c r="B106" i="1"/>
  <c r="J114" i="1" s="1"/>
  <c r="I42" i="7"/>
  <c r="H42" i="7" s="1"/>
  <c r="L42" i="7"/>
  <c r="K42" i="7" s="1"/>
  <c r="J91" i="1"/>
  <c r="J93" i="1" s="1"/>
  <c r="D100" i="1"/>
  <c r="D99" i="1"/>
  <c r="D104" i="1"/>
  <c r="D98" i="1"/>
  <c r="J94" i="1"/>
  <c r="D103" i="1"/>
  <c r="J96" i="1"/>
  <c r="C95" i="1" s="1"/>
  <c r="D97" i="1"/>
  <c r="D102" i="1"/>
  <c r="J95" i="1"/>
  <c r="D101" i="1"/>
  <c r="D115" i="1"/>
  <c r="J109" i="1"/>
  <c r="J105" i="1"/>
  <c r="J107" i="1" s="1"/>
  <c r="J108" i="1"/>
  <c r="D113" i="1"/>
  <c r="D118" i="1"/>
  <c r="D112" i="1"/>
  <c r="D117" i="1"/>
  <c r="D111" i="1"/>
  <c r="D114" i="1"/>
  <c r="J110" i="1"/>
  <c r="D116" i="1"/>
  <c r="L55" i="1"/>
  <c r="B92" i="1"/>
  <c r="J87" i="1"/>
  <c r="J88" i="1"/>
  <c r="I52" i="1"/>
  <c r="H78" i="1"/>
  <c r="C109" i="1" l="1"/>
  <c r="D109" i="1" s="1"/>
  <c r="D89" i="1"/>
  <c r="D83" i="1"/>
  <c r="J83" i="1"/>
  <c r="J84" i="1" s="1"/>
  <c r="J89" i="1" s="1"/>
  <c r="J90" i="1" s="1"/>
  <c r="J82" i="1"/>
  <c r="D88" i="1"/>
  <c r="D87" i="1"/>
  <c r="J77" i="1"/>
  <c r="J79" i="1" s="1"/>
  <c r="D86" i="1"/>
  <c r="D90" i="1"/>
  <c r="D84" i="1"/>
  <c r="J81" i="1"/>
  <c r="J80" i="1"/>
  <c r="D85" i="1"/>
  <c r="J116" i="1"/>
  <c r="J115" i="1"/>
  <c r="D44" i="7"/>
  <c r="E44" i="7"/>
  <c r="J113" i="1"/>
  <c r="J111" i="1"/>
  <c r="J112" i="1" s="1"/>
  <c r="J117" i="1" s="1"/>
  <c r="J118" i="1" s="1"/>
  <c r="D95" i="1"/>
  <c r="J100" i="1"/>
  <c r="J97" i="1"/>
  <c r="J98" i="1" s="1"/>
  <c r="J103" i="1" s="1"/>
  <c r="J104" i="1" s="1"/>
  <c r="C96" i="1" s="1"/>
  <c r="J102" i="1"/>
  <c r="J99" i="1"/>
  <c r="J101" i="1"/>
  <c r="C110" i="1" l="1"/>
  <c r="G109" i="1" s="1"/>
  <c r="C81" i="1"/>
  <c r="D81" i="1" s="1"/>
  <c r="C82" i="1"/>
  <c r="E81" i="1" s="1"/>
  <c r="E95" i="1"/>
  <c r="D96" i="1"/>
  <c r="I92" i="1" s="1"/>
  <c r="J92" i="1"/>
  <c r="G95" i="1"/>
  <c r="G81" i="1" l="1"/>
  <c r="D75" i="1" s="1"/>
  <c r="D76" i="1" s="1"/>
  <c r="J78" i="1"/>
  <c r="E109" i="1"/>
  <c r="J106" i="1"/>
  <c r="D110" i="1"/>
  <c r="I106" i="1" s="1"/>
  <c r="I107" i="1" s="1"/>
  <c r="D82" i="1"/>
  <c r="I78" i="1" s="1"/>
  <c r="I79" i="1" s="1"/>
  <c r="I93" i="1"/>
  <c r="I91" i="1" s="1"/>
  <c r="C93" i="1" s="1"/>
  <c r="F76" i="1" l="1"/>
  <c r="I105" i="1"/>
  <c r="C107" i="1" s="1"/>
  <c r="I77" i="1"/>
  <c r="C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<sst xmlns="http://schemas.openxmlformats.org/spreadsheetml/2006/main" count="784" uniqueCount="449">
  <si>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</si>
  <si>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</si>
  <si>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</si>
  <si>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</si>
  <si>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</si>
  <si>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</si>
  <si>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</si>
  <si>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</si>
  <si>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</si>
  <si>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</si>
  <si>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</si>
  <si>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</si>
  <si>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</si>
  <si>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</si>
  <si>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</si>
  <si>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</si>
  <si>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</si>
  <si>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</si>
  <si>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</si>
  <si>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</si>
  <si>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</si>
  <si>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</si>
  <si>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</si>
  <si>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</si>
  <si>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</si>
  <si>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</si>
  <si>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</si>
  <si>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</si>
  <si>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</si>
  <si>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</si>
  <si>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</si>
  <si>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</si>
  <si>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</si>
  <si>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</si>
  <si>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</si>
  <si>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</si>
  <si>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</si>
  <si>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</si>
  <si>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</si>
  <si>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</si>
  <si>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</si>
  <si>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</si>
  <si>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</si>
  <si>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</si>
  <si>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</si>
  <si>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</si>
  <si>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</si>
  <si>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</si>
  <si>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</si>
  <si>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</si>
  <si>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</si>
  <si>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</si>
  <si>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</si>
  <si>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</si>
  <si>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</si>
  <si>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</si>
  <si>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</si>
  <si>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</si>
  <si>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</si>
  <si>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</si>
  <si>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</si>
  <si>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</si>
  <si>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</si>
  <si>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</si>
  <si>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</si>
  <si>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</si>
  <si>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</si>
  <si>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</si>
  <si>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</si>
  <si>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</si>
  <si>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</si>
  <si>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</si>
  <si>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</si>
  <si>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</si>
  <si>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</si>
  <si>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</si>
  <si>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</si>
  <si>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</si>
  <si>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</si>
  <si>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</si>
  <si>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</si>
  <si>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</si>
  <si>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</si>
  <si>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</si>
  <si>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</si>
  <si>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</si>
  <si>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</si>
  <si>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</si>
  <si>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</si>
  <si>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</si>
  <si>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</si>
  <si>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</si>
  <si>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</si>
  <si>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</si>
  <si>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</si>
  <si>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</si>
  <si>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</si>
  <si>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</si>
  <si>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</si>
  <si>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</si>
  <si>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</si>
  <si>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</si>
  <si>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</si>
  <si>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</si>
  <si>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</si>
  <si>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</si>
  <si>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</si>
  <si>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</si>
  <si>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</si>
  <si>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</si>
  <si>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</si>
  <si>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</si>
  <si>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</si>
  <si>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</si>
  <si>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</si>
  <si>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</si>
  <si>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</si>
  <si>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</si>
  <si>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</si>
  <si>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</si>
  <si>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</si>
  <si>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</si>
  <si>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</si>
  <si>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</si>
  <si>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</si>
  <si>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</si>
  <si>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</si>
  <si>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</si>
  <si>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</si>
  <si>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</si>
  <si>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</si>
  <si>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</si>
  <si>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</si>
  <si>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</si>
  <si>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</si>
  <si>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</si>
  <si>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</si>
  <si>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</si>
  <si>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</si>
  <si>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</si>
  <si>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</si>
  <si>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</si>
  <si>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</si>
  <si>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</si>
  <si>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</si>
  <si>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</si>
  <si>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</si>
  <si>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</si>
  <si>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</si>
  <si>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Only For MCGM &amp; MHADA or SRA</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</si>
  <si>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</si>
  <si>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</si>
  <si>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</si>
  <si>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</si>
  <si>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</si>
  <si>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</si>
  <si>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</si>
  <si>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</si>
  <si>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</si>
  <si>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</si>
  <si>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</si>
  <si>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</si>
  <si>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</si>
  <si>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</si>
  <si>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</si>
  <si>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</si>
  <si>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</si>
  <si>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</si>
  <si>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</si>
  <si>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</si>
  <si>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</si>
  <si>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</si>
  <si>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</si>
  <si>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</si>
  <si>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</si>
  <si>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</si>
  <si>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</si>
  <si>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</si>
  <si>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</si>
  <si>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</si>
  <si>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</si>
  <si>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</si>
  <si>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</si>
  <si>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</si>
  <si>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</si>
  <si>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</si>
  <si>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</si>
  <si>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</si>
  <si>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</si>
  <si>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</si>
  <si>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</si>
  <si>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</si>
  <si>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</si>
  <si>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</si>
  <si>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</si>
  <si>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</si>
  <si>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</si>
  <si>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</si>
  <si>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</si>
  <si>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</si>
  <si>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</si>
  <si>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</si>
  <si>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</si>
  <si>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</si>
  <si>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</si>
  <si>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</si>
  <si>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</si>
  <si>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</si>
  <si>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</si>
  <si>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</si>
  <si>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</si>
  <si>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</si>
  <si>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</si>
  <si>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</si>
  <si>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</si>
  <si>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</si>
  <si>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</si>
  <si>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</si>
  <si>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</si>
  <si>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</si>
  <si>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</si>
  <si>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</si>
  <si>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</si>
  <si>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</si>
  <si>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</si>
  <si>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</si>
  <si>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</si>
  <si>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</si>
  <si>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</si>
  <si>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</si>
  <si>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</si>
  <si>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</si>
  <si>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</si>
  <si>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</si>
  <si>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</si>
  <si>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</si>
  <si>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</si>
  <si>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</si>
  <si>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</si>
  <si>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</si>
  <si>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</si>
  <si>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</si>
  <si>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</si>
  <si>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</si>
  <si>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</si>
  <si>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</si>
  <si>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</si>
  <si>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</si>
  <si>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</si>
  <si>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</si>
  <si>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</si>
  <si>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</si>
  <si>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</si>
  <si>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</si>
  <si>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</si>
  <si>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</si>
  <si>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</si>
  <si>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</si>
  <si>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</si>
  <si>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</si>
  <si>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</si>
  <si>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</si>
  <si>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</si>
  <si>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</si>
  <si>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</si>
  <si>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</si>
  <si>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</si>
  <si>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</si>
  <si>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</si>
  <si>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</si>
  <si>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</si>
  <si>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</si>
  <si>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</si>
  <si>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</si>
  <si>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</si>
  <si>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</si>
  <si>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</si>
  <si>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</si>
  <si>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</si>
  <si>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</si>
  <si>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</si>
  <si>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</si>
  <si>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</si>
  <si>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</si>
  <si>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</si>
  <si>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</si>
  <si>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</si>
  <si>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</si>
  <si>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</si>
  <si>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</si>
  <si>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</si>
  <si>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</si>
  <si>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</si>
  <si>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</si>
  <si>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</si>
  <si>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</si>
  <si>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</si>
  <si>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</si>
  <si>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</si>
  <si>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</si>
  <si>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</si>
  <si>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</si>
  <si>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</si>
  <si>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</si>
  <si>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</si>
  <si>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</si>
  <si>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</si>
  <si>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</si>
  <si>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</si>
  <si>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</si>
  <si>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</si>
  <si>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</si>
  <si>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</si>
  <si>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</si>
  <si>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</si>
  <si>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</si>
  <si>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</si>
  <si>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</si>
  <si>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</si>
  <si>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</si>
  <si>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</si>
  <si>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</si>
  <si>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</si>
  <si>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</si>
  <si>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</si>
  <si>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</si>
  <si>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</si>
  <si>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</si>
  <si>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</si>
  <si>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</si>
  <si>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</si>
  <si>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</si>
  <si>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</si>
  <si>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</si>
  <si>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</si>
  <si>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</si>
  <si>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</si>
  <si>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</si>
  <si>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</si>
  <si>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</si>
  <si>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</si>
  <si>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</si>
  <si>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</si>
  <si>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</si>
  <si>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</si>
  <si>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</si>
  <si>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</si>
  <si>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</si>
  <si>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</si>
  <si>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</si>
  <si>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</si>
  <si>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</si>
  <si>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</si>
  <si>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</si>
  <si>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</si>
  <si>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</si>
  <si>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</si>
  <si>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</si>
  <si>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</si>
  <si>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</si>
  <si>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</si>
  <si>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</si>
  <si>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</si>
  <si>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</si>
  <si>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</si>
  <si>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</si>
  <si>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</si>
  <si>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</si>
  <si>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</si>
  <si>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</si>
  <si>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</si>
  <si>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</si>
  <si>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</si>
  <si>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</si>
  <si>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</si>
  <si>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</si>
  <si>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</si>
  <si>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</si>
  <si>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</si>
  <si>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</si>
  <si>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</si>
  <si>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</si>
  <si>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</si>
  <si>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</si>
  <si>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</si>
  <si>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Finance</t>
  </si>
  <si>
    <t>Truhome Vasai</t>
  </si>
  <si>
    <t>Ground + 20th Floor</t>
  </si>
  <si>
    <t xml:space="preserve">Jio Finance Table </t>
  </si>
  <si>
    <t>P51700052485</t>
  </si>
  <si>
    <t xml:space="preserve">Regency Antilia Phase VIII Avana </t>
  </si>
  <si>
    <t>Regency Nirman Ltd</t>
  </si>
  <si>
    <t>Mr Lal Bhojwani 7208880407/ 9323315900</t>
  </si>
  <si>
    <t>Mr Lal Bhojwani 7208880407</t>
  </si>
  <si>
    <t>Survey No</t>
  </si>
  <si>
    <t>40 to 44, 46 to 52, 54 to 58, CTS No. 279/1 to 6</t>
  </si>
  <si>
    <t>Mharal</t>
  </si>
  <si>
    <t>19.249267,73.174134</t>
  </si>
  <si>
    <t>https://maps.app.goo.gl/1wkczf9MPhMrKg6F8</t>
  </si>
  <si>
    <t>Ahilyanagar Kalyan Road</t>
  </si>
  <si>
    <t>Shahad East</t>
  </si>
  <si>
    <t>2.20KM from Shahad Railway Station</t>
  </si>
  <si>
    <t>Tharwani Solitaire</t>
  </si>
  <si>
    <t>Khemani Industrial Area</t>
  </si>
  <si>
    <t>Open Plot/Road</t>
  </si>
  <si>
    <t>Regency Avana - Angelica</t>
  </si>
  <si>
    <t>Under constuctiom Building</t>
  </si>
  <si>
    <t>Internal Road</t>
  </si>
  <si>
    <t>Type C5 Wing A, B &amp; C</t>
  </si>
  <si>
    <t>Type C3 Wing A, B &amp; C</t>
  </si>
  <si>
    <t>24.00 M.  Wide Road</t>
  </si>
  <si>
    <t>Type C6 Wing A, B &amp; C</t>
  </si>
  <si>
    <t>03 Wings</t>
  </si>
  <si>
    <t>UMP/NRV/BP/125/13/392</t>
  </si>
  <si>
    <t>Building Type C4 (Wing A, B &amp; C) = Stilt + 32 Floors</t>
  </si>
  <si>
    <t>Approved area of building Type C4 (Wing A, B &amp; C) (Sq.Mt)</t>
  </si>
  <si>
    <t xml:space="preserve">Type C4 Wing A = Gr + 1st to 32nd Floor 
Type C4 Wing B = Gr + 1st to 32nd Floor 
Type C4 Wing C = Gr + 1st to 32nd Floor </t>
  </si>
  <si>
    <t xml:space="preserve">Type C4 Wing B = Gr + 1st to 32nd Floor </t>
  </si>
  <si>
    <t xml:space="preserve">Type C4 Wing C = Gr + 1st to 32nd Floor </t>
  </si>
  <si>
    <t>As per RERA - 31/12/2026</t>
  </si>
  <si>
    <r>
      <t xml:space="preserve">Proposed Amenities :                                                                                                                                                                                                                         </t>
    </r>
    <r>
      <rPr>
        <b/>
        <sz val="12"/>
        <rFont val="Times New Roman"/>
        <family val="1"/>
      </rPr>
      <t xml:space="preserve">                                               </t>
    </r>
  </si>
  <si>
    <t>Theater, Community hall, Video game parlo, Indoor games room, Library/ net café, Squash court with viewer’s gallery, Badminton court with viewer’s gallery, Exhibition space, Gymnasium, Yoga, Zumba fitness center</t>
  </si>
  <si>
    <t xml:space="preserve">Type C4 Wing A, B &amp; C = Gr + 1st to 32nd Floor </t>
  </si>
  <si>
    <t xml:space="preserve">Type C4 </t>
  </si>
  <si>
    <t>Wing A</t>
  </si>
  <si>
    <t>Ground Floor For Entrance Lobby, Society Office, Meter Room &amp; Parking</t>
  </si>
  <si>
    <t>1st to 6th, 8th to 11th, 13th to 16th, 18th to 21st, 23rd to 26th &amp; 28th to 31st Floor</t>
  </si>
  <si>
    <t>2BHK</t>
  </si>
  <si>
    <t>3BHK</t>
  </si>
  <si>
    <t>Balcony Area + FB Area + Service Slab</t>
  </si>
  <si>
    <t xml:space="preserve"> 7th, 12th, 17th, 22nd, 27th &amp; 32nd Floor (Refuge Area at midlanding of Staircase)</t>
  </si>
  <si>
    <t>Wing B</t>
  </si>
  <si>
    <t>Wing C</t>
  </si>
  <si>
    <t>1BHK</t>
  </si>
  <si>
    <t xml:space="preserve"> 7th, 12th, 17th, 22nd, 27th &amp; 32nd Floor (Part Refuge Area)</t>
  </si>
  <si>
    <t>Refuge Area</t>
  </si>
  <si>
    <t xml:space="preserve">Details of Residential in Building   </t>
  </si>
  <si>
    <t>Flats - 506</t>
  </si>
  <si>
    <t>Construction work is in process at the time of Visit (labour found).</t>
  </si>
  <si>
    <t>We considered Gross carpet area = Net carpet + Balcony Area + FB Area + Service Slab.</t>
  </si>
  <si>
    <t>Kunal Kadam</t>
  </si>
  <si>
    <t>Mangesh Bapardekar</t>
  </si>
  <si>
    <t>Approved Plans, CC &amp; Cost Sheet.</t>
  </si>
  <si>
    <t xml:space="preserve">Online </t>
  </si>
  <si>
    <t xml:space="preserve">Cost Sheet </t>
  </si>
  <si>
    <t>Nearby</t>
  </si>
  <si>
    <t xml:space="preserve">Please check Environment Clearance Certificate &amp; Fire NOC.
</t>
  </si>
  <si>
    <t>Type C4 Wing A, B &amp; C</t>
  </si>
  <si>
    <t xml:space="preserve">As per mentioned in the approved plans, Building Type C4 ( Wing A, B &amp; C) is mentioned Gr + 1st 32nd Floor, But as per site visit we have observed that building is constructed upto 30th Floor.
and as per the discussion with Builder person Mr. Lal Bhojwani, he has informed us Building Type C4 ( Wing A, B &amp; C) will be constructed upto 30th Floor. Therefore revised proposed structure will be Gr + 1st 30th Floor.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</si>
</sst>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7" xfId="0" applyBorder="1" applyAlignment="1">
      <alignment vertical="top" wrapText="1"/>
    </xf>
    <xf numFmtId="0" fontId="7" fillId="0" borderId="0" xfId="1" applyFont="1" applyAlignment="1">
      <alignment horizont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0" xfId="1" applyNumberFormat="1" applyFont="1" applyAlignment="1" applyProtection="1">
      <alignment horizontal="center" vertical="center" wrapText="1"/>
      <protection locked="0"/>
    </xf>
    <xf numFmtId="0" fontId="16" fillId="0" borderId="0" xfId="1" applyFont="1" applyAlignment="1">
      <alignment horizontal="center"/>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2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5" borderId="8" xfId="1" applyNumberFormat="1" applyFont="1" applyFill="1" applyBorder="1" applyAlignment="1" applyProtection="1">
      <alignment horizontal="center" vertical="center" wrapText="1"/>
      <protection locked="0"/>
    </xf>
    <xf numFmtId="1" fontId="8" fillId="5" borderId="21" xfId="1" applyNumberFormat="1" applyFont="1" applyFill="1" applyBorder="1" applyAlignment="1" applyProtection="1">
      <alignment horizontal="center" vertical="center" wrapText="1"/>
      <protection locked="0"/>
    </xf>
    <xf numFmtId="1" fontId="8" fillId="5" borderId="9" xfId="1" applyNumberFormat="1" applyFont="1" applyFill="1" applyBorder="1" applyAlignment="1" applyProtection="1">
      <alignment horizontal="center" vertical="center" wrapText="1"/>
      <protection locked="0"/>
    </xf>
    <xf numFmtId="1" fontId="8" fillId="6" borderId="8" xfId="1" applyNumberFormat="1" applyFont="1" applyFill="1" applyBorder="1" applyAlignment="1" applyProtection="1">
      <alignment horizontal="center" vertical="center" wrapText="1"/>
      <protection locked="0"/>
    </xf>
    <xf numFmtId="1" fontId="8" fillId="6" borderId="21" xfId="1" applyNumberFormat="1" applyFont="1" applyFill="1" applyBorder="1" applyAlignment="1" applyProtection="1">
      <alignment horizontal="center" vertical="center" wrapText="1"/>
      <protection locked="0"/>
    </xf>
    <xf numFmtId="1" fontId="8" fillId="6" borderId="9" xfId="1" applyNumberFormat="1" applyFont="1" applyFill="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0" borderId="11" xfId="0" applyBorder="1" applyAlignment="1">
      <alignment horizontal="center"/>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304800</xdr:colOff>
      <xdr:row>229</xdr:row>
      <xdr:rowOff>15240</xdr:rowOff>
    </xdr:from>
    <xdr:to>
      <xdr:col>7</xdr:col>
      <xdr:colOff>484447</xdr:colOff>
      <xdr:row>268</xdr:row>
      <xdr:rowOff>0</xdr:rowOff>
    </xdr:to>
    <xdr:grpSp>
      <xdr:nvGrpSpPr>
        <xdr:cNvPr id="2" name="Group 1">
          <a:extLst>
            <a:ext uri="{FF2B5EF4-FFF2-40B4-BE49-F238E27FC236}">
              <a16:creationId xmlns:a16="http://schemas.microsoft.com/office/drawing/2014/main" id="{10DBC87D-2052-FEB9-0C43-D9962502C4CE}"/>
            </a:ext>
          </a:extLst>
        </xdr:cNvPr>
        <xdr:cNvGrpSpPr/>
      </xdr:nvGrpSpPr>
      <xdr:grpSpPr>
        <a:xfrm>
          <a:off x="304800" y="37917120"/>
          <a:ext cx="5909887" cy="7703820"/>
          <a:chOff x="337835" y="182880"/>
          <a:chExt cx="5909887" cy="7829506"/>
        </a:xfrm>
      </xdr:grpSpPr>
      <xdr:grpSp>
        <xdr:nvGrpSpPr>
          <xdr:cNvPr id="3" name="Group 2">
            <a:extLst>
              <a:ext uri="{FF2B5EF4-FFF2-40B4-BE49-F238E27FC236}">
                <a16:creationId xmlns:a16="http://schemas.microsoft.com/office/drawing/2014/main" id="{AC1B84F4-FD44-9307-04D8-8AFC972DE785}"/>
              </a:ext>
            </a:extLst>
          </xdr:cNvPr>
          <xdr:cNvGrpSpPr/>
        </xdr:nvGrpSpPr>
        <xdr:grpSpPr>
          <a:xfrm>
            <a:off x="370760" y="4217116"/>
            <a:ext cx="5844037" cy="1800000"/>
            <a:chOff x="370760" y="4217116"/>
            <a:chExt cx="5844037" cy="1800000"/>
          </a:xfrm>
        </xdr:grpSpPr>
        <xdr:pic>
          <xdr:nvPicPr>
            <xdr:cNvPr id="11" name="Picture 10">
              <a:extLst>
                <a:ext uri="{FF2B5EF4-FFF2-40B4-BE49-F238E27FC236}">
                  <a16:creationId xmlns:a16="http://schemas.microsoft.com/office/drawing/2014/main" id="{00A18C68-46AB-7234-F0D2-E9B0658880E5}"/>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3367722" y="4217116"/>
              <a:ext cx="1348594" cy="1800000"/>
            </a:xfrm>
            <a:prstGeom prst="rect">
              <a:avLst/>
            </a:prstGeom>
            <a:ln>
              <a:solidFill>
                <a:schemeClr val="tx1"/>
              </a:solidFill>
            </a:ln>
          </xdr:spPr>
        </xdr:pic>
        <xdr:pic>
          <xdr:nvPicPr>
            <xdr:cNvPr id="12" name="Picture 11">
              <a:extLst>
                <a:ext uri="{FF2B5EF4-FFF2-40B4-BE49-F238E27FC236}">
                  <a16:creationId xmlns:a16="http://schemas.microsoft.com/office/drawing/2014/main" id="{D89207FE-7D09-65D0-1058-3343A1E92641}"/>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1869241" y="4217116"/>
              <a:ext cx="1348594"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01D4F737-EF6E-E474-8568-70AE7DA67EFC}"/>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370760" y="4217116"/>
              <a:ext cx="1348594"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B585629B-3AA1-8081-3CBD-3AC273E102D1}"/>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866203" y="4217116"/>
              <a:ext cx="1348594" cy="180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131FDAE4-0FAE-D47C-0DCA-4D091DA4551D}"/>
              </a:ext>
            </a:extLst>
          </xdr:cNvPr>
          <xdr:cNvGrpSpPr/>
        </xdr:nvGrpSpPr>
        <xdr:grpSpPr>
          <a:xfrm>
            <a:off x="595249" y="6207347"/>
            <a:ext cx="5395058" cy="1805039"/>
            <a:chOff x="819739" y="6207347"/>
            <a:chExt cx="5395058" cy="1805039"/>
          </a:xfrm>
        </xdr:grpSpPr>
        <xdr:pic>
          <xdr:nvPicPr>
            <xdr:cNvPr id="8" name="Picture 7">
              <a:extLst>
                <a:ext uri="{FF2B5EF4-FFF2-40B4-BE49-F238E27FC236}">
                  <a16:creationId xmlns:a16="http://schemas.microsoft.com/office/drawing/2014/main" id="{7C53C997-7ACA-7455-0DEE-178997D809F8}"/>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819739" y="6212386"/>
              <a:ext cx="2398096" cy="1800000"/>
            </a:xfrm>
            <a:prstGeom prst="rect">
              <a:avLst/>
            </a:prstGeom>
            <a:ln>
              <a:solidFill>
                <a:schemeClr val="tx1"/>
              </a:solidFill>
            </a:ln>
          </xdr:spPr>
        </xdr:pic>
        <xdr:pic>
          <xdr:nvPicPr>
            <xdr:cNvPr id="9" name="Picture 8">
              <a:extLst>
                <a:ext uri="{FF2B5EF4-FFF2-40B4-BE49-F238E27FC236}">
                  <a16:creationId xmlns:a16="http://schemas.microsoft.com/office/drawing/2014/main" id="{EDFFAEEE-B15D-77D9-132A-103A6E785E91}"/>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3367722" y="6207347"/>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F94AEB78-F2E2-7588-13BF-D3F97A6DBE7A}"/>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4866203" y="6207347"/>
              <a:ext cx="1348594"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5E3407F0-A8F6-69A3-3A37-900DA54F246B}"/>
              </a:ext>
            </a:extLst>
          </xdr:cNvPr>
          <xdr:cNvGrpSpPr/>
        </xdr:nvGrpSpPr>
        <xdr:grpSpPr>
          <a:xfrm>
            <a:off x="337835" y="182880"/>
            <a:ext cx="5909887" cy="3844005"/>
            <a:chOff x="337835" y="182880"/>
            <a:chExt cx="5909887" cy="3844005"/>
          </a:xfrm>
        </xdr:grpSpPr>
        <xdr:pic>
          <xdr:nvPicPr>
            <xdr:cNvPr id="6" name="Picture 5">
              <a:extLst>
                <a:ext uri="{FF2B5EF4-FFF2-40B4-BE49-F238E27FC236}">
                  <a16:creationId xmlns:a16="http://schemas.microsoft.com/office/drawing/2014/main" id="{F6D3C170-67BD-D677-AE79-6B39703806B0}"/>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3367722" y="182880"/>
              <a:ext cx="2880000" cy="3844005"/>
            </a:xfrm>
            <a:prstGeom prst="rect">
              <a:avLst/>
            </a:prstGeom>
            <a:ln>
              <a:solidFill>
                <a:schemeClr val="tx1"/>
              </a:solidFill>
            </a:ln>
          </xdr:spPr>
        </xdr:pic>
        <xdr:pic>
          <xdr:nvPicPr>
            <xdr:cNvPr id="7" name="Picture 6">
              <a:extLst>
                <a:ext uri="{FF2B5EF4-FFF2-40B4-BE49-F238E27FC236}">
                  <a16:creationId xmlns:a16="http://schemas.microsoft.com/office/drawing/2014/main" id="{5BA048BC-D7D7-E419-3A30-168753E35904}"/>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37835" y="182880"/>
              <a:ext cx="2880000" cy="3844005"/>
            </a:xfrm>
            <a:prstGeom prst="rect">
              <a:avLst/>
            </a:prstGeom>
            <a:ln>
              <a:solidFill>
                <a:schemeClr val="tx1"/>
              </a:solidFill>
            </a:ln>
          </xdr:spPr>
        </xdr:pic>
      </xdr:grpSp>
    </xdr:grpSp>
    <xdr:clientData/>
  </xdr:twoCellAnchor>
  <xdr:twoCellAnchor>
    <xdr:from>
      <xdr:col>0</xdr:col>
      <xdr:colOff>708660</xdr:colOff>
      <xdr:row>271</xdr:row>
      <xdr:rowOff>0</xdr:rowOff>
    </xdr:from>
    <xdr:to>
      <xdr:col>7</xdr:col>
      <xdr:colOff>160020</xdr:colOff>
      <xdr:row>310</xdr:row>
      <xdr:rowOff>83819</xdr:rowOff>
    </xdr:to>
    <xdr:grpSp>
      <xdr:nvGrpSpPr>
        <xdr:cNvPr id="15" name="Group 14">
          <a:extLst>
            <a:ext uri="{FF2B5EF4-FFF2-40B4-BE49-F238E27FC236}">
              <a16:creationId xmlns:a16="http://schemas.microsoft.com/office/drawing/2014/main" id="{662030B8-B5A8-AB8D-B657-1262DA203EAD}"/>
            </a:ext>
          </a:extLst>
        </xdr:cNvPr>
        <xdr:cNvGrpSpPr/>
      </xdr:nvGrpSpPr>
      <xdr:grpSpPr>
        <a:xfrm>
          <a:off x="708660" y="46215300"/>
          <a:ext cx="5181600" cy="7810499"/>
          <a:chOff x="716045" y="183473"/>
          <a:chExt cx="5400000" cy="8607237"/>
        </a:xfrm>
      </xdr:grpSpPr>
      <xdr:grpSp>
        <xdr:nvGrpSpPr>
          <xdr:cNvPr id="16" name="Group 15">
            <a:extLst>
              <a:ext uri="{FF2B5EF4-FFF2-40B4-BE49-F238E27FC236}">
                <a16:creationId xmlns:a16="http://schemas.microsoft.com/office/drawing/2014/main" id="{59DF2E68-78E2-EAF7-8F14-B0101FDBB64A}"/>
              </a:ext>
            </a:extLst>
          </xdr:cNvPr>
          <xdr:cNvGrpSpPr/>
        </xdr:nvGrpSpPr>
        <xdr:grpSpPr>
          <a:xfrm>
            <a:off x="716045" y="4024968"/>
            <a:ext cx="5400000" cy="4765742"/>
            <a:chOff x="1093266" y="2510610"/>
            <a:chExt cx="5400000" cy="4765742"/>
          </a:xfrm>
        </xdr:grpSpPr>
        <xdr:pic>
          <xdr:nvPicPr>
            <xdr:cNvPr id="18" name="Picture 17">
              <a:extLst>
                <a:ext uri="{FF2B5EF4-FFF2-40B4-BE49-F238E27FC236}">
                  <a16:creationId xmlns:a16="http://schemas.microsoft.com/office/drawing/2014/main" id="{BC7D971D-5A20-7DF8-099F-1E5FD4AB37FC}"/>
                </a:ext>
              </a:extLst>
            </xdr:cNvPr>
            <xdr:cNvPicPr>
              <a:picLocks noChangeAspect="1"/>
            </xdr:cNvPicPr>
          </xdr:nvPicPr>
          <xdr:blipFill>
            <a:blip xmlns:r="http://schemas.openxmlformats.org/officeDocument/2006/relationships" r:embed="rId10"/>
            <a:stretch>
              <a:fillRect/>
            </a:stretch>
          </xdr:blipFill>
          <xdr:spPr>
            <a:xfrm>
              <a:off x="1093266" y="2510610"/>
              <a:ext cx="5400000" cy="4765742"/>
            </a:xfrm>
            <a:prstGeom prst="rect">
              <a:avLst/>
            </a:prstGeom>
            <a:ln>
              <a:solidFill>
                <a:schemeClr val="tx1"/>
              </a:solidFill>
            </a:ln>
          </xdr:spPr>
        </xdr:pic>
        <xdr:sp macro="" textlink="">
          <xdr:nvSpPr>
            <xdr:cNvPr id="19" name="Rectangle 18">
              <a:extLst>
                <a:ext uri="{FF2B5EF4-FFF2-40B4-BE49-F238E27FC236}">
                  <a16:creationId xmlns:a16="http://schemas.microsoft.com/office/drawing/2014/main" id="{E82E5889-8892-B35F-D19F-EDFA544A5F30}"/>
                </a:ext>
              </a:extLst>
            </xdr:cNvPr>
            <xdr:cNvSpPr/>
          </xdr:nvSpPr>
          <xdr:spPr>
            <a:xfrm>
              <a:off x="5212080" y="3764280"/>
              <a:ext cx="510540" cy="8077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TextBox 4">
              <a:extLst>
                <a:ext uri="{FF2B5EF4-FFF2-40B4-BE49-F238E27FC236}">
                  <a16:creationId xmlns:a16="http://schemas.microsoft.com/office/drawing/2014/main" id="{65FA7DD6-1B8B-678B-7208-FB9E9E77A011}"/>
                </a:ext>
              </a:extLst>
            </xdr:cNvPr>
            <xdr:cNvSpPr txBox="1"/>
          </xdr:nvSpPr>
          <xdr:spPr>
            <a:xfrm>
              <a:off x="4714988" y="3169920"/>
              <a:ext cx="994183" cy="430887"/>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t>Type C4 </a:t>
              </a:r>
            </a:p>
            <a:p>
              <a:r>
                <a:rPr lang="en-IN" sz="1100" b="1"/>
                <a:t>Wing A, B &amp; C</a:t>
              </a:r>
            </a:p>
          </xdr:txBody>
        </xdr:sp>
      </xdr:grpSp>
      <xdr:pic>
        <xdr:nvPicPr>
          <xdr:cNvPr id="17" name="Picture 16">
            <a:extLst>
              <a:ext uri="{FF2B5EF4-FFF2-40B4-BE49-F238E27FC236}">
                <a16:creationId xmlns:a16="http://schemas.microsoft.com/office/drawing/2014/main" id="{A27C63C6-1ADE-18C3-FD96-4E42AA8EC797}"/>
              </a:ext>
            </a:extLst>
          </xdr:cNvPr>
          <xdr:cNvPicPr>
            <a:picLocks noChangeAspect="1"/>
          </xdr:cNvPicPr>
        </xdr:nvPicPr>
        <xdr:blipFill>
          <a:blip xmlns:r="http://schemas.openxmlformats.org/officeDocument/2006/relationships" r:embed="rId11"/>
          <a:stretch>
            <a:fillRect/>
          </a:stretch>
        </xdr:blipFill>
        <xdr:spPr>
          <a:xfrm>
            <a:off x="716045" y="183473"/>
            <a:ext cx="5400000" cy="3723876"/>
          </a:xfrm>
          <a:prstGeom prst="rect">
            <a:avLst/>
          </a:prstGeom>
          <a:ln>
            <a:solidFill>
              <a:schemeClr val="tx1"/>
            </a:solidFill>
          </a:ln>
        </xdr:spPr>
      </xdr:pic>
    </xdr:grpSp>
    <xdr:clientData/>
  </xdr:twoCellAnchor>
  <xdr:twoCellAnchor>
    <xdr:from>
      <xdr:col>0</xdr:col>
      <xdr:colOff>342900</xdr:colOff>
      <xdr:row>313</xdr:row>
      <xdr:rowOff>22860</xdr:rowOff>
    </xdr:from>
    <xdr:to>
      <xdr:col>7</xdr:col>
      <xdr:colOff>372660</xdr:colOff>
      <xdr:row>350</xdr:row>
      <xdr:rowOff>185041</xdr:rowOff>
    </xdr:to>
    <xdr:grpSp>
      <xdr:nvGrpSpPr>
        <xdr:cNvPr id="21" name="Group 20">
          <a:extLst>
            <a:ext uri="{FF2B5EF4-FFF2-40B4-BE49-F238E27FC236}">
              <a16:creationId xmlns:a16="http://schemas.microsoft.com/office/drawing/2014/main" id="{82A5904D-1545-4D08-3C31-9C45D4ECD2A7}"/>
            </a:ext>
          </a:extLst>
        </xdr:cNvPr>
        <xdr:cNvGrpSpPr/>
      </xdr:nvGrpSpPr>
      <xdr:grpSpPr>
        <a:xfrm>
          <a:off x="342900" y="54559200"/>
          <a:ext cx="5760000" cy="7492621"/>
          <a:chOff x="549000" y="261257"/>
          <a:chExt cx="5760000" cy="7492621"/>
        </a:xfrm>
      </xdr:grpSpPr>
      <xdr:pic>
        <xdr:nvPicPr>
          <xdr:cNvPr id="22" name="Picture 21">
            <a:extLst>
              <a:ext uri="{FF2B5EF4-FFF2-40B4-BE49-F238E27FC236}">
                <a16:creationId xmlns:a16="http://schemas.microsoft.com/office/drawing/2014/main" id="{5C27E276-B826-A34C-0569-FB1966E35709}"/>
              </a:ext>
            </a:extLst>
          </xdr:cNvPr>
          <xdr:cNvPicPr>
            <a:picLocks noChangeAspect="1"/>
          </xdr:cNvPicPr>
        </xdr:nvPicPr>
        <xdr:blipFill>
          <a:blip xmlns:r="http://schemas.openxmlformats.org/officeDocument/2006/relationships" r:embed="rId12"/>
          <a:stretch>
            <a:fillRect/>
          </a:stretch>
        </xdr:blipFill>
        <xdr:spPr>
          <a:xfrm>
            <a:off x="549000" y="261257"/>
            <a:ext cx="5760000" cy="4012279"/>
          </a:xfrm>
          <a:prstGeom prst="rect">
            <a:avLst/>
          </a:prstGeom>
          <a:ln>
            <a:solidFill>
              <a:schemeClr val="tx1"/>
            </a:solidFill>
          </a:ln>
        </xdr:spPr>
      </xdr:pic>
      <xdr:grpSp>
        <xdr:nvGrpSpPr>
          <xdr:cNvPr id="23" name="Group 22">
            <a:extLst>
              <a:ext uri="{FF2B5EF4-FFF2-40B4-BE49-F238E27FC236}">
                <a16:creationId xmlns:a16="http://schemas.microsoft.com/office/drawing/2014/main" id="{EACB7523-C98F-E24A-F3A4-EDE06D2DAB84}"/>
              </a:ext>
            </a:extLst>
          </xdr:cNvPr>
          <xdr:cNvGrpSpPr/>
        </xdr:nvGrpSpPr>
        <xdr:grpSpPr>
          <a:xfrm>
            <a:off x="549000" y="4392764"/>
            <a:ext cx="5760000" cy="3361114"/>
            <a:chOff x="549000" y="4392764"/>
            <a:chExt cx="5760000" cy="3361114"/>
          </a:xfrm>
        </xdr:grpSpPr>
        <xdr:pic>
          <xdr:nvPicPr>
            <xdr:cNvPr id="24" name="Picture 23">
              <a:extLst>
                <a:ext uri="{FF2B5EF4-FFF2-40B4-BE49-F238E27FC236}">
                  <a16:creationId xmlns:a16="http://schemas.microsoft.com/office/drawing/2014/main" id="{75379355-49FA-404A-28C7-19C6F5E7F331}"/>
                </a:ext>
              </a:extLst>
            </xdr:cNvPr>
            <xdr:cNvPicPr>
              <a:picLocks noChangeAspect="1"/>
            </xdr:cNvPicPr>
          </xdr:nvPicPr>
          <xdr:blipFill>
            <a:blip xmlns:r="http://schemas.openxmlformats.org/officeDocument/2006/relationships" r:embed="rId13"/>
            <a:stretch>
              <a:fillRect/>
            </a:stretch>
          </xdr:blipFill>
          <xdr:spPr>
            <a:xfrm>
              <a:off x="549000" y="4392764"/>
              <a:ext cx="5760000" cy="3361114"/>
            </a:xfrm>
            <a:prstGeom prst="rect">
              <a:avLst/>
            </a:prstGeom>
            <a:ln>
              <a:solidFill>
                <a:schemeClr val="tx1"/>
              </a:solidFill>
            </a:ln>
          </xdr:spPr>
        </xdr:pic>
        <xdr:sp macro="" textlink="">
          <xdr:nvSpPr>
            <xdr:cNvPr id="25" name="Rectangle 24">
              <a:extLst>
                <a:ext uri="{FF2B5EF4-FFF2-40B4-BE49-F238E27FC236}">
                  <a16:creationId xmlns:a16="http://schemas.microsoft.com/office/drawing/2014/main" id="{ADB5FA91-D9BD-7E63-5651-239EE4669C97}"/>
                </a:ext>
              </a:extLst>
            </xdr:cNvPr>
            <xdr:cNvSpPr/>
          </xdr:nvSpPr>
          <xdr:spPr>
            <a:xfrm rot="21060197">
              <a:off x="2220686" y="5185954"/>
              <a:ext cx="783771" cy="1371600"/>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wkczf9MPhMrKg6F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12"/>
  <sheetViews>
    <sheetView tabSelected="1" showWhiteSpace="0" view="pageBreakPreview" zoomScaleNormal="100" zoomScaleSheetLayoutView="100" zoomScalePageLayoutView="85" workbookViewId="0">
      <selection activeCell="L215" sqref="L215"/>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1.3320312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247" t="s">
        <v>376</v>
      </c>
      <c r="B1" s="247"/>
      <c r="C1" s="247"/>
      <c r="D1" s="247"/>
      <c r="E1" s="247"/>
      <c r="F1" s="247"/>
      <c r="G1" s="247"/>
      <c r="H1" s="247"/>
    </row>
    <row r="2" spans="1:26" ht="16.5" customHeight="1" x14ac:dyDescent="0.3">
      <c r="A2" s="248" t="s">
        <v>0</v>
      </c>
      <c r="B2" s="248"/>
      <c r="C2" s="248"/>
      <c r="D2" s="248"/>
      <c r="E2" s="248"/>
      <c r="F2" s="248"/>
      <c r="G2" s="248"/>
      <c r="H2" s="248"/>
    </row>
    <row r="3" spans="1:26" x14ac:dyDescent="0.3">
      <c r="A3" s="198" t="s">
        <v>1</v>
      </c>
      <c r="B3" s="198"/>
      <c r="C3" s="198"/>
      <c r="D3" s="198"/>
      <c r="E3" s="198" t="str">
        <f ca="1">TEXT(TODAY(),"DD/MM/YYYY")</f>
        <v>23/09/2025</v>
      </c>
      <c r="F3" s="198"/>
      <c r="G3" s="198"/>
      <c r="H3" s="198"/>
      <c r="K3" s="56" t="s">
        <v>233</v>
      </c>
      <c r="L3" s="54" t="s">
        <v>231</v>
      </c>
      <c r="M3" s="54" t="s">
        <v>236</v>
      </c>
      <c r="N3" s="54" t="s">
        <v>385</v>
      </c>
      <c r="O3" s="54" t="s">
        <v>353</v>
      </c>
      <c r="P3" s="54" t="s">
        <v>379</v>
      </c>
    </row>
    <row r="4" spans="1:26" ht="15" customHeight="1" x14ac:dyDescent="0.3">
      <c r="A4" s="198" t="s">
        <v>230</v>
      </c>
      <c r="B4" s="198"/>
      <c r="C4" s="198"/>
      <c r="D4" s="198"/>
      <c r="E4" s="198" t="s">
        <v>353</v>
      </c>
      <c r="F4" s="198"/>
      <c r="G4" s="198"/>
      <c r="H4" s="198"/>
      <c r="K4" s="53" t="s">
        <v>232</v>
      </c>
      <c r="L4" s="54" t="s">
        <v>168</v>
      </c>
      <c r="M4" s="54" t="s">
        <v>241</v>
      </c>
      <c r="N4" s="54" t="s">
        <v>386</v>
      </c>
      <c r="O4" s="54" t="s">
        <v>338</v>
      </c>
      <c r="P4" s="54" t="s">
        <v>380</v>
      </c>
    </row>
    <row r="5" spans="1:26" ht="15" customHeight="1" x14ac:dyDescent="0.3">
      <c r="A5" s="198" t="s">
        <v>2</v>
      </c>
      <c r="B5" s="198"/>
      <c r="C5" s="198"/>
      <c r="D5" s="198"/>
      <c r="E5" s="198" t="s">
        <v>341</v>
      </c>
      <c r="F5" s="198"/>
      <c r="G5" s="198"/>
      <c r="H5" s="198"/>
      <c r="K5" s="53"/>
      <c r="L5" s="54" t="s">
        <v>238</v>
      </c>
      <c r="M5" s="54" t="s">
        <v>242</v>
      </c>
      <c r="N5" s="54" t="s">
        <v>244</v>
      </c>
      <c r="O5" s="54" t="s">
        <v>339</v>
      </c>
      <c r="P5" s="54"/>
    </row>
    <row r="6" spans="1:26" x14ac:dyDescent="0.3">
      <c r="A6" s="198" t="s">
        <v>3</v>
      </c>
      <c r="B6" s="198"/>
      <c r="C6" s="198"/>
      <c r="D6" s="198"/>
      <c r="E6" s="249">
        <v>45920</v>
      </c>
      <c r="F6" s="198"/>
      <c r="G6" s="198"/>
      <c r="H6" s="198"/>
      <c r="K6" s="53"/>
      <c r="L6" s="54" t="s">
        <v>239</v>
      </c>
      <c r="M6" s="54" t="s">
        <v>351</v>
      </c>
      <c r="N6" s="54"/>
      <c r="O6" s="54" t="s">
        <v>340</v>
      </c>
      <c r="P6" s="54"/>
    </row>
    <row r="7" spans="1:26" ht="16.5" customHeight="1" x14ac:dyDescent="0.3">
      <c r="A7" s="198" t="s">
        <v>4</v>
      </c>
      <c r="B7" s="198"/>
      <c r="C7" s="198"/>
      <c r="D7" s="198"/>
      <c r="E7" s="198" t="s">
        <v>391</v>
      </c>
      <c r="F7" s="198"/>
      <c r="G7" s="198"/>
      <c r="H7" s="198"/>
      <c r="K7" s="53"/>
      <c r="L7" s="54" t="s">
        <v>240</v>
      </c>
      <c r="M7" s="54"/>
      <c r="N7" s="54"/>
      <c r="O7" s="54" t="s">
        <v>340</v>
      </c>
      <c r="P7" s="54"/>
    </row>
    <row r="8" spans="1:26" ht="15" customHeight="1" x14ac:dyDescent="0.3">
      <c r="A8" s="198" t="s">
        <v>5</v>
      </c>
      <c r="B8" s="198"/>
      <c r="C8" s="198"/>
      <c r="D8" s="198"/>
      <c r="E8" s="198" t="str">
        <f>E7</f>
        <v>Regency Nirman Ltd</v>
      </c>
      <c r="F8" s="198"/>
      <c r="G8" s="198"/>
      <c r="H8" s="198"/>
      <c r="K8" s="53"/>
      <c r="L8" s="54"/>
      <c r="M8" s="54"/>
      <c r="N8" s="54"/>
      <c r="O8" s="54" t="s">
        <v>341</v>
      </c>
      <c r="P8" s="54"/>
    </row>
    <row r="9" spans="1:26" x14ac:dyDescent="0.3">
      <c r="A9" s="198" t="s">
        <v>6</v>
      </c>
      <c r="B9" s="198"/>
      <c r="C9" s="198"/>
      <c r="D9" s="198"/>
      <c r="E9" s="147" t="s">
        <v>390</v>
      </c>
      <c r="F9" s="147"/>
      <c r="G9" s="147"/>
      <c r="H9" s="147"/>
      <c r="K9" s="53"/>
      <c r="L9" s="54"/>
      <c r="M9" s="54"/>
      <c r="N9" s="54"/>
      <c r="O9" s="54" t="s">
        <v>342</v>
      </c>
      <c r="P9" s="54"/>
    </row>
    <row r="10" spans="1:26" x14ac:dyDescent="0.3">
      <c r="A10" s="198" t="s">
        <v>165</v>
      </c>
      <c r="B10" s="198"/>
      <c r="C10" s="198"/>
      <c r="D10" s="198"/>
      <c r="E10" s="198" t="s">
        <v>392</v>
      </c>
      <c r="F10" s="198"/>
      <c r="G10" s="198"/>
      <c r="H10" s="198"/>
      <c r="K10" s="53"/>
      <c r="L10" s="54"/>
      <c r="M10" s="54"/>
      <c r="N10" s="54"/>
      <c r="O10" s="54" t="s">
        <v>343</v>
      </c>
      <c r="P10" s="54"/>
    </row>
    <row r="11" spans="1:26" x14ac:dyDescent="0.3">
      <c r="A11" s="198" t="s">
        <v>166</v>
      </c>
      <c r="B11" s="198"/>
      <c r="C11" s="198"/>
      <c r="D11" s="198"/>
      <c r="E11" s="198" t="s">
        <v>393</v>
      </c>
      <c r="F11" s="198"/>
      <c r="G11" s="198"/>
      <c r="H11" s="198"/>
      <c r="O11" s="54" t="s">
        <v>344</v>
      </c>
    </row>
    <row r="12" spans="1:26" x14ac:dyDescent="0.3">
      <c r="A12" s="198" t="s">
        <v>7</v>
      </c>
      <c r="B12" s="198"/>
      <c r="C12" s="198"/>
      <c r="D12" s="198"/>
      <c r="E12" s="198" t="s">
        <v>447</v>
      </c>
      <c r="F12" s="198"/>
      <c r="G12" s="198"/>
      <c r="H12" s="198"/>
    </row>
    <row r="13" spans="1:26" x14ac:dyDescent="0.3">
      <c r="A13" s="198" t="s">
        <v>169</v>
      </c>
      <c r="B13" s="198"/>
      <c r="C13" s="198"/>
      <c r="D13" s="198"/>
      <c r="E13" s="198" t="s">
        <v>28</v>
      </c>
      <c r="F13" s="198"/>
      <c r="G13" s="198"/>
      <c r="H13" s="198"/>
      <c r="S13" s="54" t="s">
        <v>177</v>
      </c>
      <c r="T13" s="54" t="s">
        <v>186</v>
      </c>
      <c r="U13" s="54" t="s">
        <v>170</v>
      </c>
      <c r="V13" s="54" t="s">
        <v>191</v>
      </c>
      <c r="W13" s="54" t="s">
        <v>209</v>
      </c>
      <c r="X13"/>
      <c r="Y13" t="s">
        <v>191</v>
      </c>
      <c r="Z13" t="e">
        <f ca="1">OFFSET($S$13,1,MATCH($G20,$S$13:$W$13,0)-1,15,1)</f>
        <v>#VALUE!</v>
      </c>
    </row>
    <row r="14" spans="1:26" x14ac:dyDescent="0.3">
      <c r="A14" s="154" t="s">
        <v>276</v>
      </c>
      <c r="B14" s="154"/>
      <c r="C14" s="154"/>
      <c r="D14" s="154"/>
      <c r="E14" s="168" t="s">
        <v>442</v>
      </c>
      <c r="F14" s="168"/>
      <c r="G14" s="168"/>
      <c r="H14" s="168"/>
      <c r="S14" s="54" t="s">
        <v>177</v>
      </c>
      <c r="T14" s="54" t="s">
        <v>184</v>
      </c>
      <c r="U14" s="54" t="s">
        <v>206</v>
      </c>
      <c r="V14" s="54" t="s">
        <v>192</v>
      </c>
      <c r="W14" s="54" t="s">
        <v>210</v>
      </c>
      <c r="X14"/>
      <c r="Y14"/>
      <c r="Z14"/>
    </row>
    <row r="15" spans="1:26" x14ac:dyDescent="0.3">
      <c r="A15" s="154" t="s">
        <v>8</v>
      </c>
      <c r="B15" s="154"/>
      <c r="C15" s="154"/>
      <c r="D15" s="154"/>
      <c r="E15" s="168" t="s">
        <v>389</v>
      </c>
      <c r="F15" s="198"/>
      <c r="G15" s="198"/>
      <c r="H15" s="198"/>
      <c r="I15" s="259" t="e">
        <f ca="1">OFFSET($D$5,1,MATCH($J13,$D$5:$H$5,0)-1,15,1)</f>
        <v>#N/A</v>
      </c>
      <c r="J15" s="260"/>
      <c r="K15" s="260"/>
      <c r="L15" s="260"/>
      <c r="M15" s="260"/>
      <c r="N15" s="260"/>
      <c r="O15" s="260"/>
      <c r="P15" s="260"/>
      <c r="S15" s="54" t="s">
        <v>178</v>
      </c>
      <c r="T15" s="54" t="s">
        <v>185</v>
      </c>
      <c r="U15" s="54" t="s">
        <v>207</v>
      </c>
      <c r="V15" s="54" t="s">
        <v>193</v>
      </c>
      <c r="W15" s="54" t="s">
        <v>223</v>
      </c>
      <c r="X15"/>
      <c r="Y15"/>
      <c r="Z15"/>
    </row>
    <row r="16" spans="1:26" ht="48.75" customHeight="1" x14ac:dyDescent="0.3">
      <c r="A16" s="179" t="s">
        <v>9</v>
      </c>
      <c r="B16" s="179"/>
      <c r="C16" s="179" t="str">
        <f>CONCATENATE((IF(OR(E9="",E9="NA"),"",E9)),", ",(IF(OR(A17="",A17="NA"),"",A17)),".",(IF(OR(C17="",C17="NA"),"",C17)),", near ",(IF(OR(C22="",C22="NA"),"",C22)),", ",(IF(OR(C19="",C19="NA"),"",C19)),", ",(IF(OR(C18="",C18="NA"),"",C18)),", ",(IF(OR(G19="",G19="NA"),"",G19)),", ",(IF(OR(C20="",C20="NA"),"",C20)),", ",(IF(OR(C21="",C21="NA"),"",C21)),", ",(IF(OR(G20="",G20="NA"),"",G20))," - ",(IF(OR(G21="",G21="NA"),"",G21)),".")</f>
        <v>Regency Antilia Phase VIII Avana , Survey No.40 to 44, 46 to 52, 54 to 58, CTS No. 279/1 to 6, near Tharwani Solitaire, Ahilyanagar Kalyan Road, Khemani Industrial Area, Mharal, Shahad East, Ulhasnagar, Thane - 421103.</v>
      </c>
      <c r="D16" s="179"/>
      <c r="E16" s="179"/>
      <c r="F16" s="179"/>
      <c r="G16" s="179"/>
      <c r="H16" s="179"/>
      <c r="S16" s="54" t="s">
        <v>179</v>
      </c>
      <c r="T16" s="54" t="s">
        <v>187</v>
      </c>
      <c r="U16" s="54" t="s">
        <v>208</v>
      </c>
      <c r="V16" s="54" t="s">
        <v>194</v>
      </c>
      <c r="W16" s="54" t="s">
        <v>211</v>
      </c>
      <c r="X16"/>
      <c r="Y16"/>
      <c r="Z16"/>
    </row>
    <row r="17" spans="1:26" x14ac:dyDescent="0.3">
      <c r="A17" s="168" t="s">
        <v>394</v>
      </c>
      <c r="B17" s="168"/>
      <c r="C17" s="168" t="s">
        <v>395</v>
      </c>
      <c r="D17" s="168"/>
      <c r="E17" s="168"/>
      <c r="F17" s="168"/>
      <c r="G17" s="168"/>
      <c r="H17" s="168"/>
      <c r="S17" s="54" t="s">
        <v>180</v>
      </c>
      <c r="T17" s="54" t="s">
        <v>188</v>
      </c>
      <c r="U17" s="54" t="s">
        <v>170</v>
      </c>
      <c r="V17" s="54" t="s">
        <v>195</v>
      </c>
      <c r="W17" s="54" t="s">
        <v>212</v>
      </c>
      <c r="X17"/>
      <c r="Y17"/>
      <c r="Z17"/>
    </row>
    <row r="18" spans="1:26" ht="15.75" customHeight="1" x14ac:dyDescent="0.3">
      <c r="A18" s="168" t="s">
        <v>161</v>
      </c>
      <c r="B18" s="168"/>
      <c r="C18" s="168" t="s">
        <v>403</v>
      </c>
      <c r="D18" s="168"/>
      <c r="E18" s="168"/>
      <c r="F18" s="168"/>
      <c r="G18" s="168"/>
      <c r="H18" s="168"/>
      <c r="S18" s="54" t="s">
        <v>181</v>
      </c>
      <c r="T18" s="54" t="s">
        <v>186</v>
      </c>
      <c r="U18" s="54"/>
      <c r="V18" s="54" t="s">
        <v>196</v>
      </c>
      <c r="W18" s="54" t="s">
        <v>213</v>
      </c>
      <c r="X18"/>
      <c r="Y18"/>
      <c r="Z18"/>
    </row>
    <row r="19" spans="1:26" ht="15.75" customHeight="1" x14ac:dyDescent="0.3">
      <c r="A19" s="179" t="s">
        <v>10</v>
      </c>
      <c r="B19" s="179"/>
      <c r="C19" s="198" t="s">
        <v>399</v>
      </c>
      <c r="D19" s="198"/>
      <c r="E19" s="179" t="s">
        <v>69</v>
      </c>
      <c r="F19" s="179"/>
      <c r="G19" s="168" t="s">
        <v>396</v>
      </c>
      <c r="H19" s="168"/>
      <c r="S19" s="54" t="s">
        <v>182</v>
      </c>
      <c r="T19" s="54" t="s">
        <v>189</v>
      </c>
      <c r="U19" s="54"/>
      <c r="V19" s="54" t="s">
        <v>197</v>
      </c>
      <c r="W19" s="54" t="s">
        <v>214</v>
      </c>
      <c r="X19"/>
      <c r="Y19"/>
      <c r="Z19"/>
    </row>
    <row r="20" spans="1:26" x14ac:dyDescent="0.3">
      <c r="A20" s="154" t="s">
        <v>12</v>
      </c>
      <c r="B20" s="154"/>
      <c r="C20" s="168" t="s">
        <v>400</v>
      </c>
      <c r="D20" s="168"/>
      <c r="E20" s="168" t="s">
        <v>11</v>
      </c>
      <c r="F20" s="168"/>
      <c r="G20" s="246" t="s">
        <v>177</v>
      </c>
      <c r="H20" s="246"/>
      <c r="S20" s="54" t="s">
        <v>183</v>
      </c>
      <c r="T20" s="54" t="s">
        <v>190</v>
      </c>
      <c r="U20" s="54"/>
      <c r="V20" s="54" t="s">
        <v>198</v>
      </c>
      <c r="W20" s="54" t="s">
        <v>215</v>
      </c>
      <c r="X20"/>
      <c r="Y20"/>
      <c r="Z20"/>
    </row>
    <row r="21" spans="1:26" x14ac:dyDescent="0.3">
      <c r="A21" s="154" t="s">
        <v>70</v>
      </c>
      <c r="B21" s="154"/>
      <c r="C21" s="168" t="s">
        <v>181</v>
      </c>
      <c r="D21" s="168"/>
      <c r="E21" s="168" t="s">
        <v>13</v>
      </c>
      <c r="F21" s="168"/>
      <c r="G21" s="168">
        <v>421103</v>
      </c>
      <c r="H21" s="168"/>
      <c r="S21" s="54"/>
      <c r="T21" s="54"/>
      <c r="U21" s="54"/>
      <c r="V21" s="54" t="s">
        <v>199</v>
      </c>
      <c r="W21" s="54" t="s">
        <v>216</v>
      </c>
      <c r="X21"/>
      <c r="Y21"/>
      <c r="Z21"/>
    </row>
    <row r="22" spans="1:26" ht="32.25" customHeight="1" x14ac:dyDescent="0.3">
      <c r="A22" s="154" t="s">
        <v>119</v>
      </c>
      <c r="B22" s="154"/>
      <c r="C22" s="168" t="s">
        <v>402</v>
      </c>
      <c r="D22" s="168"/>
      <c r="E22" s="168" t="s">
        <v>14</v>
      </c>
      <c r="F22" s="168"/>
      <c r="G22" s="168" t="s">
        <v>401</v>
      </c>
      <c r="H22" s="168"/>
      <c r="S22" s="54"/>
      <c r="T22" s="54"/>
      <c r="U22" s="54"/>
      <c r="V22" s="54" t="s">
        <v>200</v>
      </c>
      <c r="W22" s="54" t="s">
        <v>217</v>
      </c>
      <c r="X22"/>
      <c r="Y22"/>
      <c r="Z22"/>
    </row>
    <row r="23" spans="1:26" ht="15" customHeight="1" x14ac:dyDescent="0.3">
      <c r="A23" s="179" t="s">
        <v>72</v>
      </c>
      <c r="B23" s="179"/>
      <c r="C23" s="179"/>
      <c r="D23" s="179"/>
      <c r="E23" s="198" t="s">
        <v>15</v>
      </c>
      <c r="F23" s="198"/>
      <c r="G23" s="198"/>
      <c r="H23" s="198"/>
      <c r="S23" s="54"/>
      <c r="T23" s="54"/>
      <c r="U23" s="54"/>
      <c r="V23" s="54" t="s">
        <v>201</v>
      </c>
      <c r="W23" s="54" t="s">
        <v>218</v>
      </c>
      <c r="X23"/>
      <c r="Y23"/>
      <c r="Z23"/>
    </row>
    <row r="24" spans="1:26" ht="18.75" customHeight="1" x14ac:dyDescent="0.3">
      <c r="A24" s="179"/>
      <c r="B24" s="179"/>
      <c r="C24" s="179"/>
      <c r="D24" s="179"/>
      <c r="E24" s="198"/>
      <c r="F24" s="198"/>
      <c r="G24" s="198"/>
      <c r="H24" s="198"/>
      <c r="S24" s="54"/>
      <c r="T24" s="54"/>
      <c r="U24" s="54"/>
      <c r="V24" s="54" t="s">
        <v>202</v>
      </c>
      <c r="W24" s="54" t="s">
        <v>219</v>
      </c>
      <c r="X24"/>
      <c r="Y24"/>
      <c r="Z24"/>
    </row>
    <row r="25" spans="1:26" ht="15" customHeight="1" x14ac:dyDescent="0.3">
      <c r="A25" s="179" t="s">
        <v>16</v>
      </c>
      <c r="B25" s="179"/>
      <c r="C25" s="179"/>
      <c r="D25" s="179"/>
      <c r="E25" s="168" t="s">
        <v>17</v>
      </c>
      <c r="F25" s="168"/>
      <c r="G25" s="168"/>
      <c r="H25" s="168"/>
      <c r="S25" s="54"/>
      <c r="T25" s="54"/>
      <c r="U25" s="54"/>
      <c r="V25" s="54" t="s">
        <v>203</v>
      </c>
      <c r="W25" s="54" t="s">
        <v>220</v>
      </c>
      <c r="X25"/>
      <c r="Y25"/>
      <c r="Z25"/>
    </row>
    <row r="26" spans="1:26" ht="15" customHeight="1" x14ac:dyDescent="0.3">
      <c r="A26" s="154" t="s">
        <v>18</v>
      </c>
      <c r="B26" s="154"/>
      <c r="C26" s="154"/>
      <c r="D26" s="154"/>
      <c r="E26" s="168" t="str">
        <f>IF(AND(G20="Mumbai"),"Upper Class","Middle Class")</f>
        <v>Middle Class</v>
      </c>
      <c r="F26" s="168"/>
      <c r="G26" s="168"/>
      <c r="H26" s="168"/>
      <c r="S26" s="54"/>
      <c r="T26" s="54"/>
      <c r="U26" s="54"/>
      <c r="V26" s="54" t="s">
        <v>204</v>
      </c>
      <c r="W26" s="54" t="s">
        <v>221</v>
      </c>
      <c r="X26"/>
      <c r="Y26"/>
      <c r="Z26"/>
    </row>
    <row r="27" spans="1:26" x14ac:dyDescent="0.3">
      <c r="A27" s="154" t="s">
        <v>19</v>
      </c>
      <c r="B27" s="154"/>
      <c r="C27" s="154"/>
      <c r="D27" s="154"/>
      <c r="E27" s="168" t="s">
        <v>20</v>
      </c>
      <c r="F27" s="168"/>
      <c r="G27" s="168"/>
      <c r="H27" s="168"/>
      <c r="S27" s="54"/>
      <c r="T27" s="54"/>
      <c r="U27" s="54"/>
      <c r="V27" s="54" t="s">
        <v>205</v>
      </c>
      <c r="W27" s="54" t="s">
        <v>222</v>
      </c>
      <c r="X27"/>
      <c r="Y27"/>
      <c r="Z27"/>
    </row>
    <row r="28" spans="1:26" ht="15.75" customHeight="1" x14ac:dyDescent="0.3">
      <c r="A28" s="154" t="s">
        <v>21</v>
      </c>
      <c r="B28" s="154"/>
      <c r="C28" s="154"/>
      <c r="D28" s="154"/>
      <c r="E28" s="168" t="str">
        <f>IF(AND(G20="Mumbai"),"Developed","Developing")</f>
        <v>Developing</v>
      </c>
      <c r="F28" s="168"/>
      <c r="G28" s="168"/>
      <c r="H28" s="168"/>
    </row>
    <row r="29" spans="1:26" x14ac:dyDescent="0.3">
      <c r="A29" s="154" t="s">
        <v>22</v>
      </c>
      <c r="B29" s="154"/>
      <c r="C29" s="154"/>
      <c r="D29" s="154"/>
      <c r="E29" s="168" t="s">
        <v>23</v>
      </c>
      <c r="F29" s="168"/>
      <c r="G29" s="168"/>
      <c r="H29" s="168"/>
    </row>
    <row r="30" spans="1:26" ht="15.75" customHeight="1" x14ac:dyDescent="0.3">
      <c r="A30" s="154" t="s">
        <v>77</v>
      </c>
      <c r="B30" s="154"/>
      <c r="C30" s="154"/>
      <c r="D30" s="154"/>
      <c r="E30" s="168" t="s">
        <v>78</v>
      </c>
      <c r="F30" s="168"/>
      <c r="G30" s="168"/>
      <c r="H30" s="168"/>
    </row>
    <row r="31" spans="1:26" ht="15" customHeight="1" x14ac:dyDescent="0.3">
      <c r="A31" s="154" t="s">
        <v>30</v>
      </c>
      <c r="B31" s="154"/>
      <c r="C31" s="154"/>
      <c r="D31" s="154"/>
      <c r="E31" s="168"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68"/>
      <c r="G31" s="168"/>
      <c r="H31" s="168"/>
    </row>
    <row r="32" spans="1:26" ht="15.75" customHeight="1" x14ac:dyDescent="0.3">
      <c r="A32" s="154" t="s">
        <v>88</v>
      </c>
      <c r="B32" s="154"/>
      <c r="C32" s="154"/>
      <c r="D32" s="154"/>
      <c r="E32" s="168" t="s">
        <v>31</v>
      </c>
      <c r="F32" s="168"/>
      <c r="G32" s="168"/>
      <c r="H32" s="168"/>
    </row>
    <row r="33" spans="1:19" s="22" customFormat="1" x14ac:dyDescent="0.3">
      <c r="A33" s="245" t="s">
        <v>89</v>
      </c>
      <c r="B33" s="245"/>
      <c r="C33" s="242" t="s">
        <v>171</v>
      </c>
      <c r="D33" s="243"/>
      <c r="E33" s="244"/>
      <c r="F33" s="242" t="s">
        <v>29</v>
      </c>
      <c r="G33" s="243"/>
      <c r="H33" s="244"/>
      <c r="S33" s="22" t="e">
        <f ca="1">OFFSET($S$13,1,MATCH($G20,$S$13:$W$13,0)-1,15,1)</f>
        <v>#VALUE!</v>
      </c>
    </row>
    <row r="34" spans="1:19" s="22" customFormat="1" x14ac:dyDescent="0.3">
      <c r="A34" s="241" t="s">
        <v>24</v>
      </c>
      <c r="B34" s="241" t="s">
        <v>28</v>
      </c>
      <c r="C34" s="181" t="s">
        <v>411</v>
      </c>
      <c r="D34" s="182"/>
      <c r="E34" s="183"/>
      <c r="F34" s="181" t="s">
        <v>406</v>
      </c>
      <c r="G34" s="182"/>
      <c r="H34" s="183"/>
    </row>
    <row r="35" spans="1:19" x14ac:dyDescent="0.3">
      <c r="A35" s="241" t="s">
        <v>25</v>
      </c>
      <c r="B35" s="241" t="s">
        <v>28</v>
      </c>
      <c r="C35" s="181" t="s">
        <v>410</v>
      </c>
      <c r="D35" s="182"/>
      <c r="E35" s="183"/>
      <c r="F35" s="181" t="s">
        <v>407</v>
      </c>
      <c r="G35" s="182"/>
      <c r="H35" s="183"/>
    </row>
    <row r="36" spans="1:19" s="22" customFormat="1" x14ac:dyDescent="0.3">
      <c r="A36" s="241" t="s">
        <v>27</v>
      </c>
      <c r="B36" s="241" t="s">
        <v>28</v>
      </c>
      <c r="C36" s="181" t="s">
        <v>408</v>
      </c>
      <c r="D36" s="182"/>
      <c r="E36" s="183"/>
      <c r="F36" s="181" t="s">
        <v>404</v>
      </c>
      <c r="G36" s="182"/>
      <c r="H36" s="183"/>
    </row>
    <row r="37" spans="1:19" x14ac:dyDescent="0.3">
      <c r="A37" s="241" t="s">
        <v>26</v>
      </c>
      <c r="B37" s="241" t="s">
        <v>28</v>
      </c>
      <c r="C37" s="181" t="s">
        <v>409</v>
      </c>
      <c r="D37" s="182"/>
      <c r="E37" s="183"/>
      <c r="F37" s="181" t="s">
        <v>405</v>
      </c>
      <c r="G37" s="182"/>
      <c r="H37" s="183"/>
    </row>
    <row r="38" spans="1:19" x14ac:dyDescent="0.3">
      <c r="A38" s="154" t="s">
        <v>277</v>
      </c>
      <c r="B38" s="154"/>
      <c r="C38" s="154"/>
      <c r="D38" s="154"/>
      <c r="E38" s="154"/>
      <c r="F38" s="154"/>
      <c r="G38" s="154"/>
      <c r="H38" s="154"/>
    </row>
    <row r="39" spans="1:19" ht="15.75" customHeight="1" x14ac:dyDescent="0.3">
      <c r="A39" s="154" t="s">
        <v>163</v>
      </c>
      <c r="B39" s="154"/>
      <c r="C39" s="186" t="s">
        <v>397</v>
      </c>
      <c r="D39" s="186"/>
      <c r="E39" s="186"/>
      <c r="F39" s="186"/>
      <c r="G39" s="186"/>
      <c r="H39" s="186"/>
    </row>
    <row r="40" spans="1:19" x14ac:dyDescent="0.3">
      <c r="A40" s="154" t="s">
        <v>160</v>
      </c>
      <c r="B40" s="154"/>
      <c r="C40" s="167" t="s">
        <v>398</v>
      </c>
      <c r="D40" s="168"/>
      <c r="E40" s="168"/>
      <c r="F40" s="168"/>
      <c r="G40" s="168"/>
      <c r="H40" s="168"/>
    </row>
    <row r="41" spans="1:19" x14ac:dyDescent="0.3">
      <c r="A41" s="186" t="s">
        <v>32</v>
      </c>
      <c r="B41" s="186"/>
      <c r="C41" s="186"/>
      <c r="D41" s="186"/>
      <c r="E41" s="186"/>
      <c r="F41" s="186"/>
      <c r="G41" s="186"/>
      <c r="H41" s="186"/>
    </row>
    <row r="42" spans="1:19" x14ac:dyDescent="0.3">
      <c r="A42" s="154" t="s">
        <v>33</v>
      </c>
      <c r="B42" s="154"/>
      <c r="C42" s="154"/>
      <c r="D42" s="154"/>
      <c r="E42" s="203">
        <v>159102.9</v>
      </c>
      <c r="F42" s="203"/>
      <c r="G42" s="203"/>
      <c r="H42" s="203"/>
    </row>
    <row r="43" spans="1:19" x14ac:dyDescent="0.3">
      <c r="A43" s="154" t="s">
        <v>34</v>
      </c>
      <c r="B43" s="154"/>
      <c r="C43" s="154"/>
      <c r="D43" s="154"/>
      <c r="E43" s="205">
        <f>175013.19/E42</f>
        <v>1.1000000000000001</v>
      </c>
      <c r="F43" s="205"/>
      <c r="G43" s="205"/>
      <c r="H43" s="205"/>
    </row>
    <row r="44" spans="1:19" x14ac:dyDescent="0.3">
      <c r="A44" s="154" t="s">
        <v>35</v>
      </c>
      <c r="B44" s="154"/>
      <c r="C44" s="154"/>
      <c r="D44" s="154"/>
      <c r="E44" s="205">
        <f>E46/E42-E43</f>
        <v>1.4227649527444188</v>
      </c>
      <c r="F44" s="205"/>
      <c r="G44" s="205"/>
      <c r="H44" s="205"/>
    </row>
    <row r="45" spans="1:19" x14ac:dyDescent="0.3">
      <c r="A45" s="154" t="s">
        <v>36</v>
      </c>
      <c r="B45" s="154"/>
      <c r="C45" s="154"/>
      <c r="D45" s="154"/>
      <c r="E45" s="205">
        <f>E43+E44</f>
        <v>2.5227649527444189</v>
      </c>
      <c r="F45" s="205"/>
      <c r="G45" s="205"/>
      <c r="H45" s="205"/>
    </row>
    <row r="46" spans="1:19" x14ac:dyDescent="0.3">
      <c r="A46" s="154" t="s">
        <v>87</v>
      </c>
      <c r="B46" s="154"/>
      <c r="C46" s="154"/>
      <c r="D46" s="154"/>
      <c r="E46" s="206">
        <v>401379.22</v>
      </c>
      <c r="F46" s="206"/>
      <c r="G46" s="206"/>
      <c r="H46" s="206"/>
    </row>
    <row r="47" spans="1:19" x14ac:dyDescent="0.3">
      <c r="A47" s="198" t="s">
        <v>37</v>
      </c>
      <c r="B47" s="198"/>
      <c r="C47" s="198"/>
      <c r="D47" s="198"/>
      <c r="E47" s="198" t="s">
        <v>412</v>
      </c>
      <c r="F47" s="198"/>
      <c r="G47" s="198"/>
      <c r="H47" s="198"/>
    </row>
    <row r="48" spans="1:19" x14ac:dyDescent="0.3">
      <c r="A48" s="186" t="s">
        <v>38</v>
      </c>
      <c r="B48" s="186"/>
      <c r="C48" s="186"/>
      <c r="D48" s="186"/>
      <c r="E48" s="186"/>
      <c r="F48" s="186"/>
      <c r="G48" s="186"/>
      <c r="H48" s="186"/>
    </row>
    <row r="49" spans="1:24" ht="33.75" customHeight="1" x14ac:dyDescent="0.3">
      <c r="A49" s="176" t="s">
        <v>148</v>
      </c>
      <c r="B49" s="178"/>
      <c r="C49" s="212" t="s">
        <v>262</v>
      </c>
      <c r="D49" s="213"/>
      <c r="E49" s="213"/>
      <c r="F49" s="213"/>
      <c r="G49" s="213"/>
      <c r="H49" s="214"/>
      <c r="R49" t="s">
        <v>250</v>
      </c>
      <c r="S49" s="57" t="s">
        <v>170</v>
      </c>
      <c r="T49" s="57" t="s">
        <v>177</v>
      </c>
      <c r="U49" s="57" t="s">
        <v>191</v>
      </c>
      <c r="V49" s="57" t="s">
        <v>186</v>
      </c>
    </row>
    <row r="50" spans="1:24" ht="15.75" customHeight="1" x14ac:dyDescent="0.3">
      <c r="A50" s="176" t="s">
        <v>39</v>
      </c>
      <c r="B50" s="178"/>
      <c r="C50" s="176" t="s">
        <v>413</v>
      </c>
      <c r="D50" s="177"/>
      <c r="E50" s="178"/>
      <c r="F50" s="18" t="s">
        <v>40</v>
      </c>
      <c r="G50" s="184">
        <v>44845</v>
      </c>
      <c r="H50" s="185"/>
      <c r="R50"/>
      <c r="S50" s="57" t="s">
        <v>251</v>
      </c>
      <c r="T50" s="57" t="s">
        <v>256</v>
      </c>
      <c r="U50" s="57" t="s">
        <v>267</v>
      </c>
      <c r="V50" s="57" t="s">
        <v>272</v>
      </c>
    </row>
    <row r="51" spans="1:24" x14ac:dyDescent="0.3">
      <c r="A51" s="176" t="s">
        <v>41</v>
      </c>
      <c r="B51" s="178"/>
      <c r="C51" s="176" t="str">
        <f>C50</f>
        <v>UMP/NRV/BP/125/13/392</v>
      </c>
      <c r="D51" s="177"/>
      <c r="E51" s="178"/>
      <c r="F51" s="18" t="s">
        <v>40</v>
      </c>
      <c r="G51" s="184">
        <f>G50</f>
        <v>44845</v>
      </c>
      <c r="H51" s="185"/>
      <c r="R51"/>
      <c r="S51" s="57" t="s">
        <v>252</v>
      </c>
      <c r="T51" s="57" t="s">
        <v>354</v>
      </c>
      <c r="U51" s="57" t="s">
        <v>265</v>
      </c>
      <c r="V51" s="57" t="s">
        <v>273</v>
      </c>
    </row>
    <row r="52" spans="1:24" s="23" customFormat="1" ht="15.75" customHeight="1" x14ac:dyDescent="0.3">
      <c r="A52" s="190" t="s">
        <v>153</v>
      </c>
      <c r="B52" s="191"/>
      <c r="C52" s="190" t="str">
        <f>C51</f>
        <v>UMP/NRV/BP/125/13/392</v>
      </c>
      <c r="D52" s="196"/>
      <c r="E52" s="191"/>
      <c r="F52" s="18" t="s">
        <v>40</v>
      </c>
      <c r="G52" s="184">
        <f>G51</f>
        <v>44845</v>
      </c>
      <c r="H52" s="185"/>
      <c r="I52" s="22" t="str">
        <f ca="1">IF(G52&gt;EDATE(E3,-48),"NO REMARK","CC REMARK FOR CC")</f>
        <v>NO REMARK</v>
      </c>
      <c r="J52" s="78"/>
      <c r="R52"/>
      <c r="S52" s="57" t="s">
        <v>253</v>
      </c>
      <c r="T52" s="57" t="s">
        <v>258</v>
      </c>
      <c r="U52" s="57" t="s">
        <v>255</v>
      </c>
      <c r="V52" s="57" t="s">
        <v>274</v>
      </c>
    </row>
    <row r="53" spans="1:24" s="23" customFormat="1" ht="33.75" hidden="1" customHeight="1" x14ac:dyDescent="0.3">
      <c r="A53" s="192"/>
      <c r="B53" s="193"/>
      <c r="C53" s="194"/>
      <c r="D53" s="197"/>
      <c r="E53" s="195"/>
      <c r="F53" s="18" t="s">
        <v>118</v>
      </c>
      <c r="G53" s="176" t="s">
        <v>149</v>
      </c>
      <c r="H53" s="178"/>
      <c r="R53"/>
      <c r="S53" s="57" t="s">
        <v>254</v>
      </c>
      <c r="T53" s="57" t="s">
        <v>261</v>
      </c>
      <c r="U53" s="57" t="s">
        <v>268</v>
      </c>
      <c r="V53" s="74" t="s">
        <v>346</v>
      </c>
    </row>
    <row r="54" spans="1:24" s="23" customFormat="1" x14ac:dyDescent="0.3">
      <c r="A54" s="194"/>
      <c r="B54" s="195"/>
      <c r="C54" s="176" t="s">
        <v>414</v>
      </c>
      <c r="D54" s="177"/>
      <c r="E54" s="177"/>
      <c r="F54" s="177"/>
      <c r="G54" s="177"/>
      <c r="H54" s="178"/>
      <c r="R54"/>
      <c r="S54" s="57"/>
      <c r="T54" s="57"/>
      <c r="U54" s="57"/>
      <c r="V54" s="74"/>
    </row>
    <row r="55" spans="1:24" s="23" customFormat="1" hidden="1" x14ac:dyDescent="0.3">
      <c r="A55" s="199" t="s">
        <v>278</v>
      </c>
      <c r="B55" s="200"/>
      <c r="C55" s="176">
        <f>C53</f>
        <v>0</v>
      </c>
      <c r="D55" s="177"/>
      <c r="E55" s="178"/>
      <c r="F55" s="18" t="s">
        <v>40</v>
      </c>
      <c r="G55" s="184"/>
      <c r="H55" s="185"/>
      <c r="K55" s="79">
        <f>EDATE(G52,-48)</f>
        <v>43384</v>
      </c>
      <c r="L55" s="23" t="str">
        <f ca="1">IF(G52&gt;EDATE(E3,-48),"NO REMARK","CC REMARK FOR CC")</f>
        <v>NO REMARK</v>
      </c>
      <c r="R55"/>
      <c r="S55" s="57" t="s">
        <v>253</v>
      </c>
      <c r="T55" s="57" t="s">
        <v>258</v>
      </c>
      <c r="U55" s="57" t="s">
        <v>255</v>
      </c>
      <c r="V55" s="57" t="s">
        <v>274</v>
      </c>
    </row>
    <row r="56" spans="1:24" s="23" customFormat="1" ht="32.25" hidden="1" customHeight="1" x14ac:dyDescent="0.3">
      <c r="A56" s="201"/>
      <c r="B56" s="202"/>
      <c r="C56" s="187"/>
      <c r="D56" s="188"/>
      <c r="E56" s="188"/>
      <c r="F56" s="188"/>
      <c r="G56" s="188"/>
      <c r="H56" s="189"/>
      <c r="R56"/>
      <c r="S56" s="57" t="s">
        <v>255</v>
      </c>
      <c r="T56" s="57" t="s">
        <v>259</v>
      </c>
      <c r="U56" s="57" t="s">
        <v>269</v>
      </c>
      <c r="V56" s="75"/>
      <c r="W56" s="21"/>
      <c r="X56" s="21"/>
    </row>
    <row r="57" spans="1:24" s="23" customFormat="1" ht="34.5" hidden="1" customHeight="1" x14ac:dyDescent="0.3">
      <c r="A57" s="199" t="s">
        <v>279</v>
      </c>
      <c r="B57" s="200"/>
      <c r="C57" s="176">
        <f>C56</f>
        <v>0</v>
      </c>
      <c r="D57" s="177"/>
      <c r="E57" s="178"/>
      <c r="F57" s="18" t="s">
        <v>40</v>
      </c>
      <c r="G57" s="184">
        <f>G56</f>
        <v>0</v>
      </c>
      <c r="H57" s="185"/>
      <c r="R57"/>
      <c r="S57" s="75"/>
      <c r="T57" s="57" t="s">
        <v>260</v>
      </c>
      <c r="U57" s="57" t="s">
        <v>270</v>
      </c>
      <c r="V57" s="75"/>
      <c r="W57" s="21"/>
      <c r="X57" s="21"/>
    </row>
    <row r="58" spans="1:24" s="23" customFormat="1" ht="41.25" hidden="1" customHeight="1" x14ac:dyDescent="0.3">
      <c r="A58" s="201"/>
      <c r="B58" s="202"/>
      <c r="C58" s="176"/>
      <c r="D58" s="177"/>
      <c r="E58" s="177"/>
      <c r="F58" s="177"/>
      <c r="G58" s="177"/>
      <c r="H58" s="178"/>
      <c r="R58"/>
      <c r="S58" s="75"/>
      <c r="T58" s="57" t="s">
        <v>262</v>
      </c>
      <c r="U58" s="57" t="s">
        <v>271</v>
      </c>
      <c r="V58" s="75"/>
      <c r="W58" s="21"/>
      <c r="X58" s="21"/>
    </row>
    <row r="59" spans="1:24" s="23" customFormat="1" ht="15.75" hidden="1" customHeight="1" x14ac:dyDescent="0.3">
      <c r="A59" s="199" t="s">
        <v>349</v>
      </c>
      <c r="B59" s="200"/>
      <c r="C59" s="235"/>
      <c r="D59" s="236"/>
      <c r="E59" s="237"/>
      <c r="F59" s="18" t="s">
        <v>40</v>
      </c>
      <c r="G59" s="184"/>
      <c r="H59" s="185"/>
      <c r="R59"/>
      <c r="S59" s="75"/>
      <c r="T59" s="57" t="s">
        <v>263</v>
      </c>
      <c r="U59" s="75" t="s">
        <v>293</v>
      </c>
      <c r="V59" s="75"/>
      <c r="W59" s="21"/>
      <c r="X59" s="21"/>
    </row>
    <row r="60" spans="1:24" s="23" customFormat="1" ht="33.75" hidden="1" customHeight="1" x14ac:dyDescent="0.3">
      <c r="A60" s="233"/>
      <c r="B60" s="234"/>
      <c r="C60" s="238"/>
      <c r="D60" s="239"/>
      <c r="E60" s="240"/>
      <c r="F60" s="18" t="s">
        <v>350</v>
      </c>
      <c r="G60" s="184"/>
      <c r="H60" s="185"/>
      <c r="R60"/>
      <c r="S60" s="75"/>
      <c r="T60" s="57" t="s">
        <v>264</v>
      </c>
      <c r="U60" s="75"/>
      <c r="V60" s="75"/>
      <c r="W60" s="21"/>
      <c r="X60" s="21"/>
    </row>
    <row r="61" spans="1:24" s="23" customFormat="1" ht="33.75" hidden="1" customHeight="1" x14ac:dyDescent="0.3">
      <c r="A61" s="201"/>
      <c r="B61" s="202"/>
      <c r="C61" s="176" t="s">
        <v>372</v>
      </c>
      <c r="D61" s="177"/>
      <c r="E61" s="177"/>
      <c r="F61" s="177"/>
      <c r="G61" s="177"/>
      <c r="H61" s="178"/>
      <c r="R61"/>
      <c r="S61" s="75"/>
      <c r="T61" s="57"/>
      <c r="U61" s="75"/>
      <c r="V61" s="75"/>
      <c r="W61" s="21"/>
      <c r="X61" s="21"/>
    </row>
    <row r="62" spans="1:24" x14ac:dyDescent="0.3">
      <c r="A62" s="262" t="s">
        <v>42</v>
      </c>
      <c r="B62" s="263"/>
      <c r="C62" s="262" t="s">
        <v>101</v>
      </c>
      <c r="D62" s="264"/>
      <c r="E62" s="263"/>
      <c r="F62" s="45" t="s">
        <v>40</v>
      </c>
      <c r="G62" s="265" t="s">
        <v>28</v>
      </c>
      <c r="H62" s="266"/>
      <c r="R62"/>
      <c r="S62" s="75"/>
      <c r="T62" s="57" t="s">
        <v>266</v>
      </c>
      <c r="U62" s="75"/>
      <c r="V62" s="75"/>
    </row>
    <row r="63" spans="1:24" x14ac:dyDescent="0.3">
      <c r="A63" s="225" t="s">
        <v>44</v>
      </c>
      <c r="B63" s="225"/>
      <c r="C63" s="225"/>
      <c r="D63" s="225"/>
      <c r="E63" s="225"/>
      <c r="F63" s="225"/>
      <c r="G63" s="225"/>
      <c r="H63" s="225"/>
      <c r="S63" s="75"/>
      <c r="T63" s="57" t="s">
        <v>275</v>
      </c>
      <c r="U63" s="75"/>
      <c r="V63" s="75"/>
    </row>
    <row r="64" spans="1:24" ht="32.4" customHeight="1" x14ac:dyDescent="0.3">
      <c r="A64" s="179" t="s">
        <v>415</v>
      </c>
      <c r="B64" s="179"/>
      <c r="C64" s="179"/>
      <c r="D64" s="154">
        <v>51620.7</v>
      </c>
      <c r="E64" s="154"/>
      <c r="F64" s="154"/>
      <c r="G64" s="154"/>
      <c r="H64" s="154"/>
      <c r="R64"/>
    </row>
    <row r="65" spans="1:19" x14ac:dyDescent="0.3">
      <c r="A65" s="168" t="s">
        <v>45</v>
      </c>
      <c r="B65" s="198"/>
      <c r="C65" s="198"/>
      <c r="D65" s="198" t="s">
        <v>437</v>
      </c>
      <c r="E65" s="198"/>
      <c r="F65" s="198"/>
      <c r="G65" s="198"/>
      <c r="H65" s="198"/>
      <c r="I65" s="24"/>
      <c r="R65"/>
    </row>
    <row r="66" spans="1:19" ht="48.75" customHeight="1" x14ac:dyDescent="0.3">
      <c r="A66" s="209" t="s">
        <v>46</v>
      </c>
      <c r="B66" s="210"/>
      <c r="C66" s="211"/>
      <c r="D66" s="207" t="s">
        <v>416</v>
      </c>
      <c r="E66" s="208"/>
      <c r="F66" s="208"/>
      <c r="G66" s="208"/>
      <c r="H66" s="208"/>
      <c r="R66"/>
    </row>
    <row r="67" spans="1:19" ht="15.75" customHeight="1" x14ac:dyDescent="0.3">
      <c r="A67" s="209" t="s">
        <v>85</v>
      </c>
      <c r="B67" s="210"/>
      <c r="C67" s="210"/>
      <c r="D67" s="219" t="s">
        <v>422</v>
      </c>
      <c r="E67" s="220"/>
      <c r="F67" s="220"/>
      <c r="G67" s="220"/>
      <c r="H67" s="221"/>
      <c r="R67"/>
    </row>
    <row r="68" spans="1:19" ht="15.75" hidden="1" customHeight="1" x14ac:dyDescent="0.3">
      <c r="A68" s="215"/>
      <c r="B68" s="216"/>
      <c r="C68" s="216"/>
      <c r="D68" s="222" t="s">
        <v>417</v>
      </c>
      <c r="E68" s="223"/>
      <c r="F68" s="223"/>
      <c r="G68" s="223"/>
      <c r="H68" s="224"/>
      <c r="R68"/>
    </row>
    <row r="69" spans="1:19" ht="15.75" hidden="1" customHeight="1" x14ac:dyDescent="0.3">
      <c r="A69" s="217"/>
      <c r="B69" s="218"/>
      <c r="C69" s="218"/>
      <c r="D69" s="267" t="s">
        <v>418</v>
      </c>
      <c r="E69" s="268"/>
      <c r="F69" s="268"/>
      <c r="G69" s="268"/>
      <c r="H69" s="269"/>
      <c r="S69"/>
    </row>
    <row r="70" spans="1:19" ht="15.75" customHeight="1" x14ac:dyDescent="0.3">
      <c r="A70" s="154" t="s">
        <v>43</v>
      </c>
      <c r="B70" s="154"/>
      <c r="C70" s="154"/>
      <c r="D70" s="180" t="s">
        <v>419</v>
      </c>
      <c r="E70" s="180"/>
      <c r="F70" s="180"/>
      <c r="G70" s="180"/>
      <c r="H70" s="180"/>
      <c r="J70" s="25"/>
      <c r="K70" s="24"/>
      <c r="N70" s="24"/>
      <c r="S70"/>
    </row>
    <row r="71" spans="1:19" ht="15.75" customHeight="1" x14ac:dyDescent="0.3">
      <c r="A71" s="154" t="s">
        <v>83</v>
      </c>
      <c r="B71" s="154"/>
      <c r="C71" s="154"/>
      <c r="D71" s="204" t="str">
        <f>(IF(G62="NA","60 Years After Completion",IF(G62&lt;&gt;"NA",""&amp;60-ROUNDDOWN((E3-G62)/360,0)&amp;" Years"," ")))</f>
        <v>60 Years After Completion</v>
      </c>
      <c r="E71" s="204"/>
      <c r="F71" s="204"/>
      <c r="G71" s="204"/>
      <c r="H71" s="204"/>
      <c r="N71" s="24"/>
      <c r="S71"/>
    </row>
    <row r="72" spans="1:19" ht="15.75" customHeight="1" x14ac:dyDescent="0.3">
      <c r="A72" s="154" t="s">
        <v>84</v>
      </c>
      <c r="B72" s="154"/>
      <c r="C72" s="154"/>
      <c r="D72" s="179" t="s">
        <v>23</v>
      </c>
      <c r="E72" s="179"/>
      <c r="F72" s="179"/>
      <c r="G72" s="179"/>
      <c r="H72" s="179"/>
      <c r="J72" s="26"/>
      <c r="K72" s="26"/>
      <c r="S72"/>
    </row>
    <row r="73" spans="1:19" ht="65.400000000000006" customHeight="1" x14ac:dyDescent="0.3">
      <c r="A73" s="198" t="s">
        <v>420</v>
      </c>
      <c r="B73" s="198"/>
      <c r="C73" s="198"/>
      <c r="D73" s="168" t="s">
        <v>421</v>
      </c>
      <c r="E73" s="168"/>
      <c r="F73" s="168"/>
      <c r="G73" s="168"/>
      <c r="H73" s="168"/>
      <c r="S73"/>
    </row>
    <row r="74" spans="1:19" x14ac:dyDescent="0.3">
      <c r="A74" s="179" t="s">
        <v>145</v>
      </c>
      <c r="B74" s="179"/>
      <c r="C74" s="179"/>
      <c r="D74" s="179" t="s">
        <v>28</v>
      </c>
      <c r="E74" s="179"/>
      <c r="F74" s="179"/>
      <c r="G74" s="179"/>
      <c r="H74" s="179"/>
      <c r="I74" s="27"/>
      <c r="J74" s="27"/>
      <c r="K74" s="27"/>
      <c r="L74" s="27"/>
      <c r="M74" s="27"/>
      <c r="N74" s="27"/>
    </row>
    <row r="75" spans="1:19" ht="15.75" customHeight="1" x14ac:dyDescent="0.3">
      <c r="A75" s="232" t="s">
        <v>82</v>
      </c>
      <c r="B75" s="232"/>
      <c r="C75" s="232"/>
      <c r="D75" s="207" t="str">
        <f ca="1">(IF(G81&gt;95%,"Nothing",IF(G81&gt;0%,"Cement, Aggregate, Steel, etc",IF(G81=0%,"Work not yet Started"))))</f>
        <v>Cement, Aggregate, Steel, etc</v>
      </c>
      <c r="E75" s="207"/>
      <c r="F75" s="207"/>
      <c r="G75" s="207"/>
      <c r="H75" s="207"/>
      <c r="J75" s="26"/>
      <c r="S75"/>
    </row>
    <row r="76" spans="1:19" ht="33.75" customHeight="1" thickBot="1" x14ac:dyDescent="0.35">
      <c r="A76" s="231" t="s">
        <v>114</v>
      </c>
      <c r="B76" s="231"/>
      <c r="C76" s="231"/>
      <c r="D76" s="207" t="str">
        <f ca="1">(IF(D75="Nothing","Yes",IF(D75="Cement, Aggregate, Steel, etc","Under Construction",IF(D75="Work not yet Started","Work not yet Started"))))</f>
        <v>Under Construction</v>
      </c>
      <c r="E76" s="207"/>
      <c r="F76" s="207" t="str">
        <f ca="1">(IF(D75="Nothing","Yes",IF(D75="Cement, Aggregate, Steel, etc","Under Construction",IF(D75="Work not yet Started","Work not yet Started"))))</f>
        <v>Under Construction</v>
      </c>
      <c r="G76" s="207"/>
      <c r="H76" s="207"/>
      <c r="S76"/>
    </row>
    <row r="77" spans="1:19" ht="15.75" customHeight="1" x14ac:dyDescent="0.3">
      <c r="A77" s="226" t="s">
        <v>137</v>
      </c>
      <c r="B77" s="227"/>
      <c r="C77" s="228" t="str">
        <f>D67</f>
        <v xml:space="preserve">Type C4 Wing A, B &amp; C = Gr + 1st to 32nd Floor </v>
      </c>
      <c r="D77" s="229"/>
      <c r="E77" s="229"/>
      <c r="F77" s="229"/>
      <c r="G77" s="229"/>
      <c r="H77" s="230"/>
      <c r="I77" s="49" t="str">
        <f ca="1">IF(D90=100%,"All work Completed. Possession granted to the Building.",IF(D89=100%,"All work Completed, Waiting for OC",I78&amp;""&amp;I79&amp;""&amp;J78&amp;""&amp;J77&amp;" "&amp;J79))</f>
        <v>Excavation, Plinth Completed, RCC upto 31 Slab, Brickwork upto 30 Floor, Internal Plaster upto 28 Floor, External Plaster upto 28 Floor, Flooring upto 25 Floor, Painting upto 25 Floor, Finishing upto 15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31 Slab, Brickwork upto 30 Floor, Internal Plaster upto 28 Floor, External Plaster upto 28 Floor, Flooring upto 25 Floor, Painting upto 25 Floor, Finishing upto 15 Floor</v>
      </c>
      <c r="S77"/>
    </row>
    <row r="78" spans="1:19" x14ac:dyDescent="0.3">
      <c r="A78" s="16" t="s">
        <v>139</v>
      </c>
      <c r="B78" s="47">
        <f>IF(AND(ISNUMBER(SEARCH("1B",C77))),1,IF(AND(ISNUMBER(SEARCH("2B",C77))),2,IF(AND(ISNUMBER(SEARCH("3B",C77))),3,IF(AND(ISNUMBER(SEARCH("4B",C77))),4,IF(ISNUMBER(SEARCH("5B",C77)),5,0)))))</f>
        <v>0</v>
      </c>
      <c r="C78" s="47" t="s">
        <v>68</v>
      </c>
      <c r="D78" s="47">
        <v>1</v>
      </c>
      <c r="E78" s="47" t="s">
        <v>67</v>
      </c>
      <c r="F78" s="47">
        <v>0</v>
      </c>
      <c r="G78" s="47" t="s">
        <v>76</v>
      </c>
      <c r="H78" s="17">
        <f ca="1">--TRIM(RIGHT(SUBSTITUTE(LEFT(C77,_xlfn.AGGREGATE(16,6,FIND({0,1,2,3,4,5,6,7,8,9},C77,ROW(INDIRECT("1:"&amp;LEN(C77)))),1))," ",REPT(" ",LEN(C77))),LEN(C77)))</f>
        <v>32</v>
      </c>
      <c r="I78" s="51" t="str">
        <f ca="1">IF(D81=100%,"Excavation","")&amp;IF(D82=100%,", Plinth","")&amp;IF(D83=100%,", RCC Slab","")&amp;IF(D84=100%,", Brickwork","")&amp;IF(D85=100%,", Internal Plaster","")&amp;IF(D86=100%,", External Plaster","")&amp;IF(D87=100%,", Flooring","")&amp;IF(D88=100%,", Painting","")&amp;IF(D89=100%,", Building common Amenities","")</f>
        <v>Excavation, Plinth</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49.8" customHeight="1" x14ac:dyDescent="0.3">
      <c r="A79" s="146" t="s">
        <v>86</v>
      </c>
      <c r="B79" s="147"/>
      <c r="C79" s="148" t="str">
        <f ca="1">I77</f>
        <v>Excavation, Plinth Completed, RCC upto 31 Slab, Brickwork upto 30 Floor, Internal Plaster upto 28 Floor, External Plaster upto 28 Floor, Flooring upto 25 Floor, Painting upto 25 Floor, Finishing upto 15 Floor Completed</v>
      </c>
      <c r="D79" s="148"/>
      <c r="E79" s="148"/>
      <c r="F79" s="148"/>
      <c r="G79" s="148"/>
      <c r="H79" s="149"/>
      <c r="I79" s="51" t="str">
        <f ca="1">IF(I78&lt;&gt;""," Completed","")</f>
        <v xml:space="preserve"> Completed</v>
      </c>
      <c r="J79" s="52" t="str">
        <f ca="1">IF(J77&lt;&gt;"","Completed","")</f>
        <v>Completed</v>
      </c>
      <c r="S79"/>
    </row>
    <row r="80" spans="1:19" ht="15.75" customHeight="1" x14ac:dyDescent="0.3">
      <c r="A80" s="124" t="s">
        <v>47</v>
      </c>
      <c r="B80" s="125"/>
      <c r="C80" s="98" t="s">
        <v>136</v>
      </c>
      <c r="D80" s="98" t="s">
        <v>79</v>
      </c>
      <c r="E80" s="125" t="s">
        <v>81</v>
      </c>
      <c r="F80" s="125"/>
      <c r="G80" s="125" t="s">
        <v>80</v>
      </c>
      <c r="H80" s="150"/>
      <c r="I80" s="13" t="s">
        <v>138</v>
      </c>
      <c r="J80" s="28">
        <f ca="1">H78*25%</f>
        <v>8</v>
      </c>
      <c r="S80"/>
    </row>
    <row r="81" spans="1:19" x14ac:dyDescent="0.3">
      <c r="A81" s="124" t="s">
        <v>125</v>
      </c>
      <c r="B81" s="125"/>
      <c r="C81" s="98">
        <f ca="1">J82</f>
        <v>32</v>
      </c>
      <c r="D81" s="99">
        <f ca="1">((100/H78)*C81)/100</f>
        <v>1</v>
      </c>
      <c r="E81" s="135">
        <f ca="1">(((C82/H78*10)+(40/(D78+F78+H78)*C83)+(7.5/(H78)*C84)+(7.5/(H78)*C85)+(10/H78*C86)+(10/H78*C87)+(5/H78*C88)+(5/H78*C89)+(5/H78*C90))/100)</f>
        <v>0.83982007575757578</v>
      </c>
      <c r="F81" s="136"/>
      <c r="G81" s="135">
        <f ca="1">((((C81/H78)*20)+((C82/H78)*25)+(30/(H78+F78+D78)*C83)+(5/H78*C84)+(5/H78*C85)+(5/H78*C86)+(5/H78*C87)+(0/H78*C88)+(0/H78*C89)+(5/H78*C90))/100)</f>
        <v>0.90525568181818183</v>
      </c>
      <c r="H81" s="151"/>
      <c r="I81" s="13" t="s">
        <v>96</v>
      </c>
      <c r="J81" s="29">
        <f ca="1">H78*50%</f>
        <v>16</v>
      </c>
    </row>
    <row r="82" spans="1:19" x14ac:dyDescent="0.3">
      <c r="A82" s="124" t="s">
        <v>48</v>
      </c>
      <c r="B82" s="125"/>
      <c r="C82" s="98">
        <f ca="1">J90</f>
        <v>32</v>
      </c>
      <c r="D82" s="99">
        <f ca="1">((100/H78)*C82)/100</f>
        <v>1</v>
      </c>
      <c r="E82" s="137"/>
      <c r="F82" s="138"/>
      <c r="G82" s="137"/>
      <c r="H82" s="152"/>
      <c r="I82" s="13" t="s">
        <v>97</v>
      </c>
      <c r="J82" s="29">
        <f ca="1">H78</f>
        <v>32</v>
      </c>
      <c r="L82" s="95"/>
      <c r="S82"/>
    </row>
    <row r="83" spans="1:19" ht="15.75" customHeight="1" x14ac:dyDescent="0.3">
      <c r="A83" s="124" t="s">
        <v>126</v>
      </c>
      <c r="B83" s="125"/>
      <c r="C83" s="98">
        <v>31</v>
      </c>
      <c r="D83" s="99">
        <f ca="1">((100/(D78+F78+H78))*C83)/100</f>
        <v>0.93939393939393934</v>
      </c>
      <c r="E83" s="137"/>
      <c r="F83" s="138"/>
      <c r="G83" s="137"/>
      <c r="H83" s="152"/>
      <c r="I83" s="13" t="s">
        <v>98</v>
      </c>
      <c r="J83" s="30">
        <f ca="1">(IF(B78&gt;1,(H78/(B78+2)),H78/4))</f>
        <v>8</v>
      </c>
      <c r="S83"/>
    </row>
    <row r="84" spans="1:19" ht="15.75" customHeight="1" x14ac:dyDescent="0.3">
      <c r="A84" s="124" t="s">
        <v>133</v>
      </c>
      <c r="B84" s="125" t="s">
        <v>127</v>
      </c>
      <c r="C84" s="98">
        <v>30</v>
      </c>
      <c r="D84" s="99">
        <f ca="1">((100/H78)*C84)/100</f>
        <v>0.9375</v>
      </c>
      <c r="E84" s="137"/>
      <c r="F84" s="138"/>
      <c r="G84" s="137"/>
      <c r="H84" s="152"/>
      <c r="I84" s="13" t="s">
        <v>99</v>
      </c>
      <c r="J84" s="30">
        <f ca="1">(IF(B78&gt;1,(H78/(B78+2)+J83),H78/4+J83))</f>
        <v>16</v>
      </c>
    </row>
    <row r="85" spans="1:19" ht="15.75" customHeight="1" x14ac:dyDescent="0.3">
      <c r="A85" s="124" t="s">
        <v>134</v>
      </c>
      <c r="B85" s="125" t="s">
        <v>127</v>
      </c>
      <c r="C85" s="98">
        <v>28</v>
      </c>
      <c r="D85" s="99">
        <f ca="1">((100/H78)*C85)/100</f>
        <v>0.875</v>
      </c>
      <c r="E85" s="137"/>
      <c r="F85" s="138"/>
      <c r="G85" s="137"/>
      <c r="H85" s="152"/>
      <c r="I85" s="13" t="s">
        <v>143</v>
      </c>
      <c r="J85" s="30">
        <f>(IF(B78&gt;1,(H78/(B78+2)+J84),0))</f>
        <v>0</v>
      </c>
    </row>
    <row r="86" spans="1:19" ht="15" customHeight="1" x14ac:dyDescent="0.3">
      <c r="A86" s="124" t="s">
        <v>132</v>
      </c>
      <c r="B86" s="125" t="s">
        <v>129</v>
      </c>
      <c r="C86" s="98">
        <v>28</v>
      </c>
      <c r="D86" s="99">
        <f ca="1">((100/(H78))*C86)/100</f>
        <v>0.875</v>
      </c>
      <c r="E86" s="137"/>
      <c r="F86" s="138"/>
      <c r="G86" s="137"/>
      <c r="H86" s="152"/>
      <c r="I86" s="13" t="s">
        <v>140</v>
      </c>
      <c r="J86" s="30">
        <f>(IF(B78&gt;2,(H78/(B78+2)+J85),0))</f>
        <v>0</v>
      </c>
    </row>
    <row r="87" spans="1:19" ht="15.75" customHeight="1" x14ac:dyDescent="0.3">
      <c r="A87" s="124" t="s">
        <v>128</v>
      </c>
      <c r="B87" s="125" t="s">
        <v>128</v>
      </c>
      <c r="C87" s="98">
        <v>25</v>
      </c>
      <c r="D87" s="99">
        <f ca="1">((100/H78)*C87)/100</f>
        <v>0.78125</v>
      </c>
      <c r="E87" s="137"/>
      <c r="F87" s="138"/>
      <c r="G87" s="137"/>
      <c r="H87" s="152"/>
      <c r="I87" s="13" t="s">
        <v>141</v>
      </c>
      <c r="J87" s="31">
        <f>(IF(B78&gt;3,(H78/(B78+2)+J86),0))</f>
        <v>0</v>
      </c>
    </row>
    <row r="88" spans="1:19" ht="15.75" customHeight="1" x14ac:dyDescent="0.3">
      <c r="A88" s="124" t="s">
        <v>135</v>
      </c>
      <c r="B88" s="125"/>
      <c r="C88" s="98">
        <v>25</v>
      </c>
      <c r="D88" s="99">
        <f ca="1">((100/H78)*C88)/100</f>
        <v>0.78125</v>
      </c>
      <c r="E88" s="137"/>
      <c r="F88" s="138"/>
      <c r="G88" s="137"/>
      <c r="H88" s="152"/>
      <c r="I88" s="13" t="s">
        <v>142</v>
      </c>
      <c r="J88" s="30">
        <f>(IF(B78&gt;4,(H78/(B78+2)+J87),0))</f>
        <v>0</v>
      </c>
    </row>
    <row r="89" spans="1:19" ht="15.75" customHeight="1" x14ac:dyDescent="0.3">
      <c r="A89" s="124" t="s">
        <v>130</v>
      </c>
      <c r="B89" s="125" t="s">
        <v>130</v>
      </c>
      <c r="C89" s="98">
        <v>15</v>
      </c>
      <c r="D89" s="99">
        <f ca="1">((100/(H78))*C89)/100</f>
        <v>0.46875</v>
      </c>
      <c r="E89" s="137"/>
      <c r="F89" s="138"/>
      <c r="G89" s="137"/>
      <c r="H89" s="152"/>
      <c r="I89" s="13" t="s">
        <v>144</v>
      </c>
      <c r="J89" s="30">
        <f ca="1">(IF(B78=1,(H78/(B78+3)+J84),IF(B78=0,(H78/4+J84),IF(B78&gt;1,0))))</f>
        <v>24</v>
      </c>
    </row>
    <row r="90" spans="1:19" ht="16.2" thickBot="1" x14ac:dyDescent="0.35">
      <c r="A90" s="129" t="s">
        <v>131</v>
      </c>
      <c r="B90" s="130"/>
      <c r="C90" s="100">
        <v>0</v>
      </c>
      <c r="D90" s="101">
        <f ca="1">((100/(H78))*C90)/100</f>
        <v>0</v>
      </c>
      <c r="E90" s="139"/>
      <c r="F90" s="140"/>
      <c r="G90" s="139"/>
      <c r="H90" s="153"/>
      <c r="I90" s="15" t="s">
        <v>100</v>
      </c>
      <c r="J90" s="32">
        <f ca="1">(IF(B78&gt;1.5,(H78/(B78+2)+J84+MAX(0,J85-J84)+MAX(0,J86-J85)+MAX(0,J87-J86)+MAX(0,J88-J87)+MAX(0,J89-J88)),IF(B78=1,(H78/(B78+3)+J89),IF(B78=0,H78/4+J89))))</f>
        <v>32</v>
      </c>
    </row>
    <row r="91" spans="1:19" ht="15.75" hidden="1" customHeight="1" x14ac:dyDescent="0.3">
      <c r="A91" s="141" t="s">
        <v>137</v>
      </c>
      <c r="B91" s="142"/>
      <c r="C91" s="143" t="str">
        <f>D68</f>
        <v xml:space="preserve">Type C4 Wing B = Gr + 1st to 32nd Floor </v>
      </c>
      <c r="D91" s="144"/>
      <c r="E91" s="144"/>
      <c r="F91" s="144"/>
      <c r="G91" s="144"/>
      <c r="H91" s="145"/>
      <c r="I91" s="49" t="str">
        <f ca="1">IF(D104=100%,"All work Completed. Possession granted to the Building.",IF(D103=100%,"All work Completed, Waiting for OC",I92&amp;""&amp;I93&amp;""&amp;J92&amp;""&amp;J91&amp;" "&amp;J93))</f>
        <v>Excavation, Plinth Completed, RCC upto 31 Slab, Brickwork upto 30 Floor, Internal Plaster upto 28 Floor, External Plaster upto 28 Floor, Flooring upto 25 Floor, Painting upto 25 Floor, Finishing upto 15 Floor Completed</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RCC upto 31 Slab, Brickwork upto 30 Floor, Internal Plaster upto 28 Floor, External Plaster upto 28 Floor, Flooring upto 25 Floor, Painting upto 25 Floor, Finishing upto 15 Floor</v>
      </c>
      <c r="S91"/>
    </row>
    <row r="92" spans="1:19" hidden="1" x14ac:dyDescent="0.3">
      <c r="A92" s="16" t="s">
        <v>139</v>
      </c>
      <c r="B92" s="47">
        <f>IF(AND(ISNUMBER(SEARCH("1B",C91))),1,IF(AND(ISNUMBER(SEARCH("2B",C91))),2,IF(AND(ISNUMBER(SEARCH("3B",C91))),3,IF(AND(ISNUMBER(SEARCH("4B",C91))),4,IF(ISNUMBER(SEARCH("5B",C91)),5,0)))))</f>
        <v>0</v>
      </c>
      <c r="C92" s="47" t="s">
        <v>68</v>
      </c>
      <c r="D92" s="47">
        <v>1</v>
      </c>
      <c r="E92" s="47" t="s">
        <v>67</v>
      </c>
      <c r="F92" s="47">
        <v>0</v>
      </c>
      <c r="G92" s="47" t="s">
        <v>76</v>
      </c>
      <c r="H92" s="17">
        <f ca="1">--TRIM(RIGHT(SUBSTITUTE(LEFT(C91,_xlfn.AGGREGATE(16,6,FIND({0,1,2,3,4,5,6,7,8,9},C91,ROW(INDIRECT("1:"&amp;LEN(C91)))),1))," ",REPT(" ",LEN(C91))),LEN(C91)))</f>
        <v>32</v>
      </c>
      <c r="I92" s="51" t="str">
        <f ca="1">IF(D95=100%,"Excavation","")&amp;IF(D96=100%,", Plinth","")&amp;IF(D97=100%,", RCC Slab","")&amp;IF(D98=100%,", Brickwork","")&amp;IF(D99=100%,", Internal Plaster","")&amp;IF(D100=100%,", External Plaster","")&amp;IF(D101=100%,", Flooring","")&amp;IF(D102=100%,", Painting","")&amp;IF(D103=100%,", Building common Amenities","")</f>
        <v>Excavation, Plinth</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51" hidden="1" customHeight="1" x14ac:dyDescent="0.3">
      <c r="A93" s="146" t="s">
        <v>86</v>
      </c>
      <c r="B93" s="147"/>
      <c r="C93" s="148" t="str">
        <f ca="1">I91</f>
        <v>Excavation, Plinth Completed, RCC upto 31 Slab, Brickwork upto 30 Floor, Internal Plaster upto 28 Floor, External Plaster upto 28 Floor, Flooring upto 25 Floor, Painting upto 25 Floor, Finishing upto 15 Floor Completed</v>
      </c>
      <c r="D93" s="148"/>
      <c r="E93" s="148"/>
      <c r="F93" s="148"/>
      <c r="G93" s="148"/>
      <c r="H93" s="149"/>
      <c r="I93" s="51" t="str">
        <f ca="1">IF(I92&lt;&gt;""," Completed","")</f>
        <v xml:space="preserve"> Completed</v>
      </c>
      <c r="J93" s="52" t="str">
        <f ca="1">IF(J91&lt;&gt;"","Completed","")</f>
        <v>Completed</v>
      </c>
      <c r="S93"/>
    </row>
    <row r="94" spans="1:19" ht="15.75" hidden="1" customHeight="1" x14ac:dyDescent="0.3">
      <c r="A94" s="124" t="s">
        <v>47</v>
      </c>
      <c r="B94" s="125"/>
      <c r="C94" s="98" t="s">
        <v>136</v>
      </c>
      <c r="D94" s="98" t="s">
        <v>79</v>
      </c>
      <c r="E94" s="125" t="s">
        <v>81</v>
      </c>
      <c r="F94" s="125"/>
      <c r="G94" s="125" t="s">
        <v>80</v>
      </c>
      <c r="H94" s="150"/>
      <c r="I94" s="13" t="s">
        <v>138</v>
      </c>
      <c r="J94" s="28">
        <f ca="1">H92*25%</f>
        <v>8</v>
      </c>
      <c r="S94"/>
    </row>
    <row r="95" spans="1:19" hidden="1" x14ac:dyDescent="0.3">
      <c r="A95" s="124" t="s">
        <v>125</v>
      </c>
      <c r="B95" s="125"/>
      <c r="C95" s="98">
        <f ca="1">J96</f>
        <v>32</v>
      </c>
      <c r="D95" s="99">
        <f ca="1">((100/H92)*C95)/100</f>
        <v>1</v>
      </c>
      <c r="E95" s="135">
        <f ca="1">(((C96/H92*10)+(40/(D92+F92+H92)*C97)+(7.5/(H92)*C98)+(7.5/(H92)*C99)+(10/H92*C100)+(10/H92*C101)+(5/H92*C102)+(5/H92*C103)+(5/H92*C104))/100)</f>
        <v>0.83982007575757578</v>
      </c>
      <c r="F95" s="136"/>
      <c r="G95" s="135">
        <f ca="1">((((C95/H92)*20)+((C96/H92)*25)+(30/(H92+F92+D92)*C97)+(5/H92*C98)+(5/H92*C99)+(5/H92*C100)+(5/H92*C101)+(0/H92*C102)+(0/H92*C103)+(5/H92*C104))/100)</f>
        <v>0.90525568181818183</v>
      </c>
      <c r="H95" s="151"/>
      <c r="I95" s="13" t="s">
        <v>96</v>
      </c>
      <c r="J95" s="29">
        <f ca="1">H92*50%</f>
        <v>16</v>
      </c>
    </row>
    <row r="96" spans="1:19" hidden="1" x14ac:dyDescent="0.3">
      <c r="A96" s="124" t="s">
        <v>48</v>
      </c>
      <c r="B96" s="125"/>
      <c r="C96" s="98">
        <f ca="1">J104</f>
        <v>32</v>
      </c>
      <c r="D96" s="99">
        <f ca="1">((100/H92)*C96)/100</f>
        <v>1</v>
      </c>
      <c r="E96" s="137"/>
      <c r="F96" s="138"/>
      <c r="G96" s="137"/>
      <c r="H96" s="152"/>
      <c r="I96" s="13" t="s">
        <v>97</v>
      </c>
      <c r="J96" s="29">
        <f ca="1">H92</f>
        <v>32</v>
      </c>
      <c r="S96"/>
    </row>
    <row r="97" spans="1:19" ht="15.75" hidden="1" customHeight="1" x14ac:dyDescent="0.3">
      <c r="A97" s="124" t="s">
        <v>126</v>
      </c>
      <c r="B97" s="125"/>
      <c r="C97" s="98">
        <v>31</v>
      </c>
      <c r="D97" s="99">
        <f ca="1">((100/(D92+F92+H92))*C97)/100</f>
        <v>0.93939393939393934</v>
      </c>
      <c r="E97" s="137"/>
      <c r="F97" s="138"/>
      <c r="G97" s="137"/>
      <c r="H97" s="152"/>
      <c r="I97" s="13" t="s">
        <v>98</v>
      </c>
      <c r="J97" s="30">
        <f ca="1">(IF(B92&gt;1,(H92/(B92+2)),H92/4))</f>
        <v>8</v>
      </c>
      <c r="S97"/>
    </row>
    <row r="98" spans="1:19" ht="15.75" hidden="1" customHeight="1" x14ac:dyDescent="0.3">
      <c r="A98" s="124" t="s">
        <v>133</v>
      </c>
      <c r="B98" s="125" t="s">
        <v>127</v>
      </c>
      <c r="C98" s="98">
        <v>30</v>
      </c>
      <c r="D98" s="99">
        <f ca="1">((100/H92)*C98)/100</f>
        <v>0.9375</v>
      </c>
      <c r="E98" s="137"/>
      <c r="F98" s="138"/>
      <c r="G98" s="137"/>
      <c r="H98" s="152"/>
      <c r="I98" s="13" t="s">
        <v>99</v>
      </c>
      <c r="J98" s="30">
        <f ca="1">(IF(B92&gt;1,(H92/(B92+2)+J97),H92/4+J97))</f>
        <v>16</v>
      </c>
    </row>
    <row r="99" spans="1:19" ht="15.75" hidden="1" customHeight="1" x14ac:dyDescent="0.3">
      <c r="A99" s="124" t="s">
        <v>134</v>
      </c>
      <c r="B99" s="125" t="s">
        <v>127</v>
      </c>
      <c r="C99" s="98">
        <v>28</v>
      </c>
      <c r="D99" s="99">
        <f ca="1">((100/H92)*C99)/100</f>
        <v>0.875</v>
      </c>
      <c r="E99" s="137"/>
      <c r="F99" s="138"/>
      <c r="G99" s="137"/>
      <c r="H99" s="152"/>
      <c r="I99" s="13" t="s">
        <v>143</v>
      </c>
      <c r="J99" s="30">
        <f>(IF(B92&gt;1,(H92/(B92+2)+J98),0))</f>
        <v>0</v>
      </c>
    </row>
    <row r="100" spans="1:19" ht="15" hidden="1" customHeight="1" x14ac:dyDescent="0.3">
      <c r="A100" s="124" t="s">
        <v>132</v>
      </c>
      <c r="B100" s="125" t="s">
        <v>129</v>
      </c>
      <c r="C100" s="98">
        <v>28</v>
      </c>
      <c r="D100" s="99">
        <f ca="1">((100/(H92))*C100)/100</f>
        <v>0.875</v>
      </c>
      <c r="E100" s="137"/>
      <c r="F100" s="138"/>
      <c r="G100" s="137"/>
      <c r="H100" s="152"/>
      <c r="I100" s="13" t="s">
        <v>140</v>
      </c>
      <c r="J100" s="30">
        <f>(IF(B92&gt;2,(H92/(B92+2)+J99),0))</f>
        <v>0</v>
      </c>
    </row>
    <row r="101" spans="1:19" ht="15.75" hidden="1" customHeight="1" x14ac:dyDescent="0.3">
      <c r="A101" s="124" t="s">
        <v>128</v>
      </c>
      <c r="B101" s="125" t="s">
        <v>128</v>
      </c>
      <c r="C101" s="98">
        <v>25</v>
      </c>
      <c r="D101" s="99">
        <f ca="1">((100/H92)*C101)/100</f>
        <v>0.78125</v>
      </c>
      <c r="E101" s="137"/>
      <c r="F101" s="138"/>
      <c r="G101" s="137"/>
      <c r="H101" s="152"/>
      <c r="I101" s="13" t="s">
        <v>141</v>
      </c>
      <c r="J101" s="31">
        <f>(IF(B92&gt;3,(H92/(B92+2)+J100),0))</f>
        <v>0</v>
      </c>
    </row>
    <row r="102" spans="1:19" ht="15.75" hidden="1" customHeight="1" x14ac:dyDescent="0.3">
      <c r="A102" s="124" t="s">
        <v>135</v>
      </c>
      <c r="B102" s="125"/>
      <c r="C102" s="98">
        <v>25</v>
      </c>
      <c r="D102" s="99">
        <f ca="1">((100/H92)*C102)/100</f>
        <v>0.78125</v>
      </c>
      <c r="E102" s="137"/>
      <c r="F102" s="138"/>
      <c r="G102" s="137"/>
      <c r="H102" s="152"/>
      <c r="I102" s="13" t="s">
        <v>142</v>
      </c>
      <c r="J102" s="30">
        <f>(IF(B92&gt;4,(H92/(B92+2)+J101),0))</f>
        <v>0</v>
      </c>
    </row>
    <row r="103" spans="1:19" ht="15.75" hidden="1" customHeight="1" x14ac:dyDescent="0.3">
      <c r="A103" s="124" t="s">
        <v>130</v>
      </c>
      <c r="B103" s="125" t="s">
        <v>130</v>
      </c>
      <c r="C103" s="98">
        <v>15</v>
      </c>
      <c r="D103" s="99">
        <f ca="1">((100/(H92))*C103)/100</f>
        <v>0.46875</v>
      </c>
      <c r="E103" s="137"/>
      <c r="F103" s="138"/>
      <c r="G103" s="137"/>
      <c r="H103" s="152"/>
      <c r="I103" s="13" t="s">
        <v>144</v>
      </c>
      <c r="J103" s="30">
        <f ca="1">(IF(B92=1,(H92/(B92+3)+J98),IF(B92=0,(H92/4+J98),IF(B92&gt;1,0))))</f>
        <v>24</v>
      </c>
    </row>
    <row r="104" spans="1:19" ht="16.2" hidden="1" thickBot="1" x14ac:dyDescent="0.35">
      <c r="A104" s="129" t="s">
        <v>131</v>
      </c>
      <c r="B104" s="130"/>
      <c r="C104" s="100">
        <v>0</v>
      </c>
      <c r="D104" s="101">
        <f ca="1">((100/(H92))*C104)/100</f>
        <v>0</v>
      </c>
      <c r="E104" s="139"/>
      <c r="F104" s="140"/>
      <c r="G104" s="139"/>
      <c r="H104" s="153"/>
      <c r="I104" s="15" t="s">
        <v>100</v>
      </c>
      <c r="J104" s="32">
        <f ca="1">(IF(B92&gt;1.5,(H92/(B92+2)+J98+MAX(0,J99-J98)+MAX(0,J100-J99)+MAX(0,J101-J100)+MAX(0,J102-J101)+MAX(0,J103-J102)),IF(B92=1,(H92/(B92+3)+J103),IF(B92=0,H92/4+J103))))</f>
        <v>32</v>
      </c>
    </row>
    <row r="105" spans="1:19" ht="15.75" hidden="1" customHeight="1" x14ac:dyDescent="0.3">
      <c r="A105" s="141" t="s">
        <v>137</v>
      </c>
      <c r="B105" s="142"/>
      <c r="C105" s="143" t="str">
        <f>D69</f>
        <v xml:space="preserve">Type C4 Wing C = Gr + 1st to 32nd Floor </v>
      </c>
      <c r="D105" s="144"/>
      <c r="E105" s="144"/>
      <c r="F105" s="144"/>
      <c r="G105" s="144"/>
      <c r="H105" s="145"/>
      <c r="I105" s="49" t="str">
        <f ca="1">IF(D118=100%,"All work Completed. Possession granted to the Building.",IF(D117=100%,"All work Completed, Waiting for OC",I106&amp;""&amp;I107&amp;""&amp;J106&amp;""&amp;J105&amp;" "&amp;J107))</f>
        <v>Excavation, Plinth Completed, RCC upto 31 Slab, Brickwork upto 30 Floor, Internal Plaster upto 28 Floor, External Plaster upto 28 Floor, Flooring upto 25 Floor, Painting upto 25 Floor, Finishing upto 15 Floor Completed</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RCC upto 31 Slab, Brickwork upto 30 Floor, Internal Plaster upto 28 Floor, External Plaster upto 28 Floor, Flooring upto 25 Floor, Painting upto 25 Floor, Finishing upto 15 Floor</v>
      </c>
      <c r="S105"/>
    </row>
    <row r="106" spans="1:19" hidden="1" x14ac:dyDescent="0.3">
      <c r="A106" s="16" t="s">
        <v>139</v>
      </c>
      <c r="B106" s="47">
        <f>IF(AND(ISNUMBER(SEARCH("1B",C105))),1,IF(AND(ISNUMBER(SEARCH("2B",C105))),2,IF(AND(ISNUMBER(SEARCH("3B",C105))),3,IF(AND(ISNUMBER(SEARCH("4B",C105))),4,IF(ISNUMBER(SEARCH("5B",C105)),5,0)))))</f>
        <v>0</v>
      </c>
      <c r="C106" s="47" t="s">
        <v>68</v>
      </c>
      <c r="D106" s="47">
        <v>1</v>
      </c>
      <c r="E106" s="47" t="s">
        <v>67</v>
      </c>
      <c r="F106" s="47">
        <v>0</v>
      </c>
      <c r="G106" s="47" t="s">
        <v>76</v>
      </c>
      <c r="H106" s="17">
        <f ca="1">--TRIM(RIGHT(SUBSTITUTE(LEFT(C105,_xlfn.AGGREGATE(16,6,FIND({0,1,2,3,4,5,6,7,8,9},C105,ROW(INDIRECT("1:"&amp;LEN(C105)))),1))," ",REPT(" ",LEN(C105))),LEN(C105)))</f>
        <v>32</v>
      </c>
      <c r="I106" s="51" t="str">
        <f ca="1">IF(D109=100%,"Excavation","")&amp;IF(D110=100%,", Plinth","")&amp;IF(D111=100%,", RCC Slab","")&amp;IF(D112=100%,", Brickwork","")&amp;IF(D113=100%,", Internal Plaster","")&amp;IF(D114=100%,", External Plaster","")&amp;IF(D115=100%,", Flooring","")&amp;IF(D116=100%,", Painting","")&amp;IF(D117=100%,", Building common Amenities","")</f>
        <v>Excavation, Plinth</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3">
      <c r="A107" s="146" t="s">
        <v>86</v>
      </c>
      <c r="B107" s="147"/>
      <c r="C107" s="148" t="str">
        <f ca="1">I105</f>
        <v>Excavation, Plinth Completed, RCC upto 31 Slab, Brickwork upto 30 Floor, Internal Plaster upto 28 Floor, External Plaster upto 28 Floor, Flooring upto 25 Floor, Painting upto 25 Floor, Finishing upto 15 Floor Completed</v>
      </c>
      <c r="D107" s="148"/>
      <c r="E107" s="148"/>
      <c r="F107" s="148"/>
      <c r="G107" s="148"/>
      <c r="H107" s="149"/>
      <c r="I107" s="51" t="str">
        <f ca="1">IF(I106&lt;&gt;""," Completed","")</f>
        <v xml:space="preserve"> Completed</v>
      </c>
      <c r="J107" s="52" t="str">
        <f ca="1">IF(J105&lt;&gt;"","Completed","")</f>
        <v>Completed</v>
      </c>
      <c r="S107"/>
    </row>
    <row r="108" spans="1:19" ht="15.75" hidden="1" customHeight="1" x14ac:dyDescent="0.3">
      <c r="A108" s="124" t="s">
        <v>47</v>
      </c>
      <c r="B108" s="125"/>
      <c r="C108" s="98" t="s">
        <v>136</v>
      </c>
      <c r="D108" s="98" t="s">
        <v>79</v>
      </c>
      <c r="E108" s="125" t="s">
        <v>81</v>
      </c>
      <c r="F108" s="125"/>
      <c r="G108" s="125" t="s">
        <v>80</v>
      </c>
      <c r="H108" s="150"/>
      <c r="I108" s="13" t="s">
        <v>138</v>
      </c>
      <c r="J108" s="28">
        <f ca="1">H106*25%</f>
        <v>8</v>
      </c>
      <c r="S108"/>
    </row>
    <row r="109" spans="1:19" hidden="1" x14ac:dyDescent="0.3">
      <c r="A109" s="124" t="s">
        <v>125</v>
      </c>
      <c r="B109" s="125"/>
      <c r="C109" s="98">
        <f ca="1">J110</f>
        <v>32</v>
      </c>
      <c r="D109" s="99">
        <f ca="1">((100/H106)*C109)/100</f>
        <v>1</v>
      </c>
      <c r="E109" s="135">
        <f ca="1">(((C110/H106*10)+(40/(D106+F106+H106)*C111)+(7.5/(H106)*C112)+(7.5/(H106)*C113)+(10/H106*C114)+(10/H106*C115)+(5/H106*C116)+(5/H106*C117)+(5/H106*C118))/100)</f>
        <v>0.83982007575757578</v>
      </c>
      <c r="F109" s="136"/>
      <c r="G109" s="135">
        <f ca="1">((((C109/H106)*20)+((C110/H106)*25)+(30/(H106+F106+D106)*C111)+(5/H106*C112)+(5/H106*C113)+(5/H106*C114)+(5/H106*C115)+(0/H106*C116)+(0/H106*C117)+(5/H106*C118))/100)</f>
        <v>0.90525568181818183</v>
      </c>
      <c r="H109" s="151"/>
      <c r="I109" s="13" t="s">
        <v>96</v>
      </c>
      <c r="J109" s="29">
        <f ca="1">H106*50%</f>
        <v>16</v>
      </c>
    </row>
    <row r="110" spans="1:19" hidden="1" x14ac:dyDescent="0.3">
      <c r="A110" s="124" t="s">
        <v>48</v>
      </c>
      <c r="B110" s="125"/>
      <c r="C110" s="98">
        <f ca="1">J118</f>
        <v>32</v>
      </c>
      <c r="D110" s="99">
        <f ca="1">((100/H106)*C110)/100</f>
        <v>1</v>
      </c>
      <c r="E110" s="137"/>
      <c r="F110" s="138"/>
      <c r="G110" s="137"/>
      <c r="H110" s="152"/>
      <c r="I110" s="13" t="s">
        <v>97</v>
      </c>
      <c r="J110" s="29">
        <f ca="1">H106</f>
        <v>32</v>
      </c>
      <c r="S110"/>
    </row>
    <row r="111" spans="1:19" ht="15.75" hidden="1" customHeight="1" x14ac:dyDescent="0.3">
      <c r="A111" s="124" t="s">
        <v>126</v>
      </c>
      <c r="B111" s="125"/>
      <c r="C111" s="98">
        <v>31</v>
      </c>
      <c r="D111" s="99">
        <f ca="1">((100/(D106+F106+H106))*C111)/100</f>
        <v>0.93939393939393934</v>
      </c>
      <c r="E111" s="137"/>
      <c r="F111" s="138"/>
      <c r="G111" s="137"/>
      <c r="H111" s="152"/>
      <c r="I111" s="13" t="s">
        <v>98</v>
      </c>
      <c r="J111" s="30">
        <f ca="1">(IF(B106&gt;1,(H106/(B106+2)),H106/4))</f>
        <v>8</v>
      </c>
      <c r="S111"/>
    </row>
    <row r="112" spans="1:19" ht="15.75" hidden="1" customHeight="1" x14ac:dyDescent="0.3">
      <c r="A112" s="124" t="s">
        <v>133</v>
      </c>
      <c r="B112" s="125" t="s">
        <v>127</v>
      </c>
      <c r="C112" s="98">
        <v>30</v>
      </c>
      <c r="D112" s="99">
        <f ca="1">((100/H106)*C112)/100</f>
        <v>0.9375</v>
      </c>
      <c r="E112" s="137"/>
      <c r="F112" s="138"/>
      <c r="G112" s="137"/>
      <c r="H112" s="152"/>
      <c r="I112" s="13" t="s">
        <v>99</v>
      </c>
      <c r="J112" s="30">
        <f ca="1">(IF(B106&gt;1,(H106/(B106+2)+J111),H106/4+J111))</f>
        <v>16</v>
      </c>
    </row>
    <row r="113" spans="1:22" ht="15.75" hidden="1" customHeight="1" x14ac:dyDescent="0.3">
      <c r="A113" s="124" t="s">
        <v>134</v>
      </c>
      <c r="B113" s="125" t="s">
        <v>127</v>
      </c>
      <c r="C113" s="98">
        <v>28</v>
      </c>
      <c r="D113" s="99">
        <f ca="1">((100/H106)*C113)/100</f>
        <v>0.875</v>
      </c>
      <c r="E113" s="137"/>
      <c r="F113" s="138"/>
      <c r="G113" s="137"/>
      <c r="H113" s="152"/>
      <c r="I113" s="13" t="s">
        <v>143</v>
      </c>
      <c r="J113" s="30">
        <f>(IF(B106&gt;1,(H106/(B106+2)+J112),0))</f>
        <v>0</v>
      </c>
    </row>
    <row r="114" spans="1:22" ht="15" hidden="1" customHeight="1" x14ac:dyDescent="0.3">
      <c r="A114" s="124" t="s">
        <v>132</v>
      </c>
      <c r="B114" s="125" t="s">
        <v>129</v>
      </c>
      <c r="C114" s="98">
        <v>28</v>
      </c>
      <c r="D114" s="99">
        <f ca="1">((100/(H106))*C114)/100</f>
        <v>0.875</v>
      </c>
      <c r="E114" s="137"/>
      <c r="F114" s="138"/>
      <c r="G114" s="137"/>
      <c r="H114" s="152"/>
      <c r="I114" s="13" t="s">
        <v>140</v>
      </c>
      <c r="J114" s="30">
        <f>(IF(B106&gt;2,(H106/(B106+2)+J113),0))</f>
        <v>0</v>
      </c>
    </row>
    <row r="115" spans="1:22" ht="15.75" hidden="1" customHeight="1" x14ac:dyDescent="0.3">
      <c r="A115" s="124" t="s">
        <v>128</v>
      </c>
      <c r="B115" s="125" t="s">
        <v>128</v>
      </c>
      <c r="C115" s="98">
        <v>25</v>
      </c>
      <c r="D115" s="99">
        <f ca="1">((100/H106)*C115)/100</f>
        <v>0.78125</v>
      </c>
      <c r="E115" s="137"/>
      <c r="F115" s="138"/>
      <c r="G115" s="137"/>
      <c r="H115" s="152"/>
      <c r="I115" s="13" t="s">
        <v>141</v>
      </c>
      <c r="J115" s="31">
        <f>(IF(B106&gt;3,(H106/(B106+2)+J114),0))</f>
        <v>0</v>
      </c>
    </row>
    <row r="116" spans="1:22" ht="15.75" hidden="1" customHeight="1" x14ac:dyDescent="0.3">
      <c r="A116" s="124" t="s">
        <v>135</v>
      </c>
      <c r="B116" s="125"/>
      <c r="C116" s="98">
        <v>25</v>
      </c>
      <c r="D116" s="99">
        <f ca="1">((100/H106)*C116)/100</f>
        <v>0.78125</v>
      </c>
      <c r="E116" s="137"/>
      <c r="F116" s="138"/>
      <c r="G116" s="137"/>
      <c r="H116" s="152"/>
      <c r="I116" s="13" t="s">
        <v>142</v>
      </c>
      <c r="J116" s="30">
        <f>(IF(B106&gt;4,(H106/(B106+2)+J115),0))</f>
        <v>0</v>
      </c>
    </row>
    <row r="117" spans="1:22" ht="15.75" hidden="1" customHeight="1" x14ac:dyDescent="0.3">
      <c r="A117" s="124" t="s">
        <v>130</v>
      </c>
      <c r="B117" s="125" t="s">
        <v>130</v>
      </c>
      <c r="C117" s="98">
        <v>15</v>
      </c>
      <c r="D117" s="99">
        <f ca="1">((100/(H106))*C117)/100</f>
        <v>0.46875</v>
      </c>
      <c r="E117" s="137"/>
      <c r="F117" s="138"/>
      <c r="G117" s="137"/>
      <c r="H117" s="152"/>
      <c r="I117" s="13" t="s">
        <v>144</v>
      </c>
      <c r="J117" s="30">
        <f ca="1">(IF(B106=1,(H106/(B106+3)+J112),IF(B106=0,(H106/4+J112),IF(B106&gt;1,0))))</f>
        <v>24</v>
      </c>
    </row>
    <row r="118" spans="1:22" ht="16.2" hidden="1" thickBot="1" x14ac:dyDescent="0.35">
      <c r="A118" s="129" t="s">
        <v>131</v>
      </c>
      <c r="B118" s="130"/>
      <c r="C118" s="100">
        <v>0</v>
      </c>
      <c r="D118" s="101">
        <f ca="1">((100/(H106))*C118)/100</f>
        <v>0</v>
      </c>
      <c r="E118" s="139"/>
      <c r="F118" s="140"/>
      <c r="G118" s="139"/>
      <c r="H118" s="153"/>
      <c r="I118" s="15" t="s">
        <v>100</v>
      </c>
      <c r="J118" s="32">
        <f ca="1">(IF(B106&gt;1.5,(H106/(B106+2)+J112+MAX(0,J113-J112)+MAX(0,J114-J113)+MAX(0,J115-J114)+MAX(0,J116-J115)+MAX(0,J117-J116)),IF(B106=1,(H106/(B106+3)+J117),IF(B106=0,H106/4+J117))))</f>
        <v>32</v>
      </c>
    </row>
    <row r="119" spans="1:22" x14ac:dyDescent="0.3">
      <c r="A119" s="254" t="s">
        <v>155</v>
      </c>
      <c r="B119" s="254"/>
      <c r="C119" s="254"/>
      <c r="D119" s="254"/>
      <c r="E119" s="254"/>
      <c r="F119" s="257" t="s">
        <v>159</v>
      </c>
      <c r="G119" s="257"/>
      <c r="H119" s="257"/>
      <c r="R119" t="s">
        <v>250</v>
      </c>
      <c r="S119" t="s">
        <v>170</v>
      </c>
      <c r="T119" t="s">
        <v>177</v>
      </c>
      <c r="U119" t="s">
        <v>191</v>
      </c>
      <c r="V119" t="s">
        <v>186</v>
      </c>
    </row>
    <row r="120" spans="1:22" x14ac:dyDescent="0.3">
      <c r="A120" s="154" t="s">
        <v>157</v>
      </c>
      <c r="B120" s="154"/>
      <c r="C120" s="154"/>
      <c r="D120" s="154"/>
      <c r="E120" s="154"/>
      <c r="F120" s="175">
        <v>6200</v>
      </c>
      <c r="G120" s="175"/>
      <c r="H120" s="175"/>
      <c r="J120" s="97" t="s">
        <v>443</v>
      </c>
      <c r="K120" s="97" t="s">
        <v>444</v>
      </c>
      <c r="L120" s="97" t="s">
        <v>445</v>
      </c>
      <c r="M120" s="97"/>
      <c r="R120"/>
      <c r="S120">
        <v>800000</v>
      </c>
      <c r="T120">
        <v>150000</v>
      </c>
      <c r="U120">
        <v>100000</v>
      </c>
      <c r="V120">
        <v>100000</v>
      </c>
    </row>
    <row r="121" spans="1:22" hidden="1" x14ac:dyDescent="0.3">
      <c r="A121" s="154" t="s">
        <v>156</v>
      </c>
      <c r="B121" s="154"/>
      <c r="C121" s="154"/>
      <c r="D121" s="154"/>
      <c r="E121" s="154"/>
      <c r="F121" s="175"/>
      <c r="G121" s="175"/>
      <c r="H121" s="175"/>
      <c r="J121" s="97"/>
      <c r="K121" s="97"/>
      <c r="L121" s="97"/>
      <c r="M121" s="97"/>
      <c r="R121"/>
      <c r="S121">
        <v>900000</v>
      </c>
      <c r="T121">
        <v>200000</v>
      </c>
      <c r="U121">
        <v>150000</v>
      </c>
      <c r="V121">
        <v>150000</v>
      </c>
    </row>
    <row r="122" spans="1:22" hidden="1" x14ac:dyDescent="0.3">
      <c r="A122" s="154" t="s">
        <v>158</v>
      </c>
      <c r="B122" s="154"/>
      <c r="C122" s="154"/>
      <c r="D122" s="154"/>
      <c r="E122" s="154"/>
      <c r="F122" s="175"/>
      <c r="G122" s="175"/>
      <c r="H122" s="175"/>
      <c r="J122" s="97"/>
      <c r="K122" s="97"/>
      <c r="L122" s="97"/>
      <c r="M122" s="97"/>
      <c r="R122"/>
      <c r="S122">
        <v>1000000</v>
      </c>
      <c r="T122">
        <v>250000</v>
      </c>
      <c r="U122">
        <v>200000</v>
      </c>
      <c r="V122">
        <v>200000</v>
      </c>
    </row>
    <row r="123" spans="1:22" s="33" customFormat="1" hidden="1" x14ac:dyDescent="0.3">
      <c r="A123" s="154" t="s">
        <v>172</v>
      </c>
      <c r="B123" s="154"/>
      <c r="C123" s="154"/>
      <c r="D123" s="154"/>
      <c r="E123" s="154"/>
      <c r="F123" s="175"/>
      <c r="G123" s="175"/>
      <c r="H123" s="175"/>
      <c r="J123" s="105"/>
      <c r="K123" s="105"/>
      <c r="L123" s="105"/>
      <c r="M123" s="105"/>
      <c r="R123"/>
      <c r="S123">
        <v>1100000</v>
      </c>
      <c r="T123">
        <v>300000</v>
      </c>
      <c r="U123">
        <v>250000</v>
      </c>
      <c r="V123" s="23">
        <v>250000</v>
      </c>
    </row>
    <row r="124" spans="1:22" s="33" customFormat="1" hidden="1" x14ac:dyDescent="0.3">
      <c r="A124" s="154" t="s">
        <v>90</v>
      </c>
      <c r="B124" s="154"/>
      <c r="C124" s="154"/>
      <c r="D124" s="154"/>
      <c r="E124" s="154"/>
      <c r="F124" s="175"/>
      <c r="G124" s="175"/>
      <c r="H124" s="175"/>
      <c r="J124" s="105"/>
      <c r="K124" s="105"/>
      <c r="L124" s="105"/>
      <c r="M124" s="105"/>
      <c r="R124"/>
      <c r="S124">
        <v>1200000</v>
      </c>
      <c r="T124">
        <v>350000</v>
      </c>
      <c r="U124">
        <v>300000</v>
      </c>
      <c r="V124">
        <v>300000</v>
      </c>
    </row>
    <row r="125" spans="1:22" s="33" customFormat="1" hidden="1" x14ac:dyDescent="0.3">
      <c r="A125" s="154" t="s">
        <v>91</v>
      </c>
      <c r="B125" s="154"/>
      <c r="C125" s="154"/>
      <c r="D125" s="154"/>
      <c r="E125" s="154"/>
      <c r="F125" s="175"/>
      <c r="G125" s="175"/>
      <c r="H125" s="175"/>
      <c r="J125" s="105"/>
      <c r="K125" s="105"/>
      <c r="L125" s="105"/>
      <c r="M125" s="105"/>
      <c r="R125"/>
      <c r="S125">
        <v>1300000</v>
      </c>
      <c r="T125">
        <v>400000</v>
      </c>
      <c r="U125">
        <v>350000</v>
      </c>
      <c r="V125" s="23">
        <v>400000</v>
      </c>
    </row>
    <row r="126" spans="1:22" s="33" customFormat="1" hidden="1" x14ac:dyDescent="0.3">
      <c r="A126" s="154" t="s">
        <v>92</v>
      </c>
      <c r="B126" s="154"/>
      <c r="C126" s="154"/>
      <c r="D126" s="154"/>
      <c r="E126" s="154"/>
      <c r="F126" s="175"/>
      <c r="G126" s="175"/>
      <c r="H126" s="175"/>
      <c r="J126" s="105"/>
      <c r="K126" s="105"/>
      <c r="L126" s="105"/>
      <c r="M126" s="105"/>
      <c r="R126"/>
      <c r="S126">
        <v>1400000</v>
      </c>
      <c r="T126">
        <v>500000</v>
      </c>
      <c r="U126">
        <v>400000</v>
      </c>
      <c r="V126"/>
    </row>
    <row r="127" spans="1:22" s="33" customFormat="1" hidden="1" x14ac:dyDescent="0.3">
      <c r="A127" s="154" t="s">
        <v>93</v>
      </c>
      <c r="B127" s="154"/>
      <c r="C127" s="154"/>
      <c r="D127" s="154"/>
      <c r="E127" s="154"/>
      <c r="F127" s="175"/>
      <c r="G127" s="175"/>
      <c r="H127" s="175"/>
      <c r="J127" s="105"/>
      <c r="K127" s="105"/>
      <c r="L127" s="105"/>
      <c r="M127" s="105"/>
      <c r="R127"/>
      <c r="S127">
        <v>1500000</v>
      </c>
      <c r="T127">
        <v>600000</v>
      </c>
      <c r="U127">
        <v>500000</v>
      </c>
      <c r="V127" s="23"/>
    </row>
    <row r="128" spans="1:22" s="33" customFormat="1" hidden="1" x14ac:dyDescent="0.3">
      <c r="A128" s="154" t="s">
        <v>94</v>
      </c>
      <c r="B128" s="154"/>
      <c r="C128" s="154"/>
      <c r="D128" s="154"/>
      <c r="E128" s="154"/>
      <c r="F128" s="175"/>
      <c r="G128" s="175"/>
      <c r="H128" s="175"/>
      <c r="J128" s="105"/>
      <c r="K128" s="105"/>
      <c r="L128" s="105"/>
      <c r="M128" s="105"/>
      <c r="R128"/>
      <c r="S128">
        <v>1600000</v>
      </c>
      <c r="T128">
        <v>700000</v>
      </c>
      <c r="U128">
        <v>600000</v>
      </c>
      <c r="V128"/>
    </row>
    <row r="129" spans="1:22" s="33" customFormat="1" hidden="1" x14ac:dyDescent="0.3">
      <c r="A129" s="154" t="s">
        <v>95</v>
      </c>
      <c r="B129" s="154"/>
      <c r="C129" s="154"/>
      <c r="D129" s="154"/>
      <c r="E129" s="154"/>
      <c r="F129" s="175"/>
      <c r="G129" s="175"/>
      <c r="H129" s="175"/>
      <c r="J129" s="105"/>
      <c r="K129" s="105"/>
      <c r="L129" s="105"/>
      <c r="M129" s="105"/>
      <c r="R129"/>
      <c r="S129">
        <v>1700000</v>
      </c>
      <c r="T129">
        <v>800000</v>
      </c>
      <c r="U129"/>
      <c r="V129" s="23"/>
    </row>
    <row r="130" spans="1:22" x14ac:dyDescent="0.3">
      <c r="A130" s="154" t="s">
        <v>49</v>
      </c>
      <c r="B130" s="154"/>
      <c r="C130" s="154"/>
      <c r="D130" s="154"/>
      <c r="E130" s="154"/>
      <c r="F130" s="175">
        <v>300000</v>
      </c>
      <c r="G130" s="175"/>
      <c r="H130" s="175"/>
      <c r="J130" s="97">
        <v>6500</v>
      </c>
      <c r="K130" s="97">
        <v>6600</v>
      </c>
      <c r="L130" s="97">
        <v>5500</v>
      </c>
      <c r="M130" s="97"/>
      <c r="R130"/>
      <c r="S130">
        <v>1800000</v>
      </c>
      <c r="T130">
        <v>900000</v>
      </c>
      <c r="U130"/>
    </row>
    <row r="131" spans="1:22" s="34" customFormat="1" x14ac:dyDescent="0.3">
      <c r="A131" s="186" t="s">
        <v>50</v>
      </c>
      <c r="B131" s="186"/>
      <c r="C131" s="186"/>
      <c r="D131" s="186"/>
      <c r="E131" s="186"/>
      <c r="F131" s="175">
        <f>F120*0.8</f>
        <v>4960</v>
      </c>
      <c r="G131" s="175"/>
      <c r="H131" s="175"/>
      <c r="R131" s="21"/>
      <c r="S131" s="21"/>
      <c r="T131">
        <v>1000000</v>
      </c>
      <c r="U131"/>
      <c r="V131" s="21"/>
    </row>
    <row r="132" spans="1:22" s="35" customFormat="1" ht="15.75" hidden="1" customHeight="1" x14ac:dyDescent="0.3">
      <c r="A132" s="160" t="s">
        <v>71</v>
      </c>
      <c r="B132" s="160"/>
      <c r="C132" s="160"/>
      <c r="D132" s="160"/>
      <c r="E132" s="160"/>
      <c r="F132" s="160"/>
      <c r="G132" s="160"/>
      <c r="H132" s="160"/>
      <c r="R132"/>
      <c r="S132" s="21"/>
      <c r="T132"/>
      <c r="U132"/>
      <c r="V132" s="21"/>
    </row>
    <row r="133" spans="1:22" s="35" customFormat="1" ht="15.75" hidden="1" customHeight="1" x14ac:dyDescent="0.3">
      <c r="A133" s="163" t="s">
        <v>51</v>
      </c>
      <c r="B133" s="163"/>
      <c r="C133" s="161" t="s">
        <v>74</v>
      </c>
      <c r="D133" s="161"/>
      <c r="E133" s="162" t="s">
        <v>52</v>
      </c>
      <c r="F133" s="162"/>
      <c r="G133" s="163" t="s">
        <v>53</v>
      </c>
      <c r="H133" s="163"/>
      <c r="R133"/>
      <c r="S133" s="21"/>
      <c r="T133"/>
      <c r="U133" s="21"/>
      <c r="V133" s="21"/>
    </row>
    <row r="134" spans="1:22" s="35" customFormat="1" hidden="1" x14ac:dyDescent="0.3">
      <c r="A134" s="106"/>
      <c r="B134" s="106"/>
      <c r="C134" s="157"/>
      <c r="D134" s="157"/>
      <c r="E134" s="158"/>
      <c r="F134" s="158"/>
      <c r="G134" s="159"/>
      <c r="H134" s="159"/>
      <c r="R134"/>
      <c r="S134" s="21"/>
      <c r="T134"/>
      <c r="U134" s="21"/>
      <c r="V134" s="21"/>
    </row>
    <row r="135" spans="1:22" s="35" customFormat="1" hidden="1" x14ac:dyDescent="0.3">
      <c r="A135" s="106"/>
      <c r="B135" s="106"/>
      <c r="C135" s="157"/>
      <c r="D135" s="157"/>
      <c r="E135" s="158"/>
      <c r="F135" s="158"/>
      <c r="G135" s="159"/>
      <c r="H135" s="159"/>
      <c r="R135"/>
      <c r="S135" s="21"/>
      <c r="T135"/>
      <c r="U135" s="21"/>
      <c r="V135" s="21"/>
    </row>
    <row r="136" spans="1:22" s="35" customFormat="1" hidden="1" x14ac:dyDescent="0.3">
      <c r="A136" s="160" t="s">
        <v>147</v>
      </c>
      <c r="B136" s="160"/>
      <c r="C136" s="161"/>
      <c r="D136" s="161"/>
      <c r="E136" s="162"/>
      <c r="F136" s="162"/>
      <c r="G136" s="163"/>
      <c r="H136" s="163"/>
      <c r="R136"/>
      <c r="S136" s="21"/>
      <c r="T136"/>
      <c r="U136" s="21"/>
      <c r="V136" s="21"/>
    </row>
    <row r="137" spans="1:22" s="35" customFormat="1" x14ac:dyDescent="0.3">
      <c r="A137" s="160" t="s">
        <v>66</v>
      </c>
      <c r="B137" s="160"/>
      <c r="C137" s="160"/>
      <c r="D137" s="160"/>
      <c r="E137" s="160"/>
      <c r="F137" s="160"/>
      <c r="G137" s="160"/>
      <c r="H137" s="160"/>
      <c r="T137"/>
    </row>
    <row r="138" spans="1:22" s="35" customFormat="1" ht="15.75" customHeight="1" x14ac:dyDescent="0.3">
      <c r="A138" s="163" t="s">
        <v>51</v>
      </c>
      <c r="B138" s="163"/>
      <c r="C138" s="161" t="s">
        <v>74</v>
      </c>
      <c r="D138" s="161"/>
      <c r="E138" s="162" t="s">
        <v>52</v>
      </c>
      <c r="F138" s="162"/>
      <c r="G138" s="163" t="s">
        <v>53</v>
      </c>
      <c r="H138" s="163"/>
      <c r="T138"/>
    </row>
    <row r="139" spans="1:22" s="35" customFormat="1" x14ac:dyDescent="0.3">
      <c r="A139" s="106" t="s">
        <v>424</v>
      </c>
      <c r="B139" s="106"/>
      <c r="C139" s="107">
        <f>COUNT(D159:D162)*26+COUNT(D164:D167)*6</f>
        <v>128</v>
      </c>
      <c r="D139" s="107"/>
      <c r="E139" s="107">
        <f t="shared" ref="E139" si="0">SUM(F159:F162)*26+SUM(F164:F167)*6</f>
        <v>111843.47116799999</v>
      </c>
      <c r="F139" s="107"/>
      <c r="G139" s="107">
        <f t="shared" ref="G139" si="1">SUM(H159:H162)*26+SUM(H164:H167)*6</f>
        <v>167765.20675199997</v>
      </c>
      <c r="H139" s="107"/>
      <c r="T139"/>
    </row>
    <row r="140" spans="1:22" s="35" customFormat="1" x14ac:dyDescent="0.3">
      <c r="A140" s="106" t="s">
        <v>431</v>
      </c>
      <c r="B140" s="106"/>
      <c r="C140" s="107">
        <f>COUNT(D171:D178)*26+COUNT(D180:D186)*6</f>
        <v>250</v>
      </c>
      <c r="D140" s="107"/>
      <c r="E140" s="107">
        <f t="shared" ref="E140" si="2">SUM(F171:F178)*26+SUM(F180:F186)*6</f>
        <v>158643.583254</v>
      </c>
      <c r="F140" s="107"/>
      <c r="G140" s="107">
        <f t="shared" ref="G140" si="3">SUM(H171:H178)*26+SUM(H180:H186)*6</f>
        <v>237965.374881</v>
      </c>
      <c r="H140" s="107"/>
      <c r="T140"/>
    </row>
    <row r="141" spans="1:22" s="35" customFormat="1" ht="16.2" thickBot="1" x14ac:dyDescent="0.35">
      <c r="A141" s="106" t="s">
        <v>432</v>
      </c>
      <c r="B141" s="106"/>
      <c r="C141" s="107">
        <f>COUNT(D191:D194)*26+COUNT(D196:D199)*6</f>
        <v>128</v>
      </c>
      <c r="D141" s="107"/>
      <c r="E141" s="107">
        <f t="shared" ref="E141" si="4">SUM(F191:F194)*26+SUM(F196:F199)*6</f>
        <v>111843.47116799999</v>
      </c>
      <c r="F141" s="107"/>
      <c r="G141" s="107">
        <f t="shared" ref="G141" si="5">SUM(H191:H194)*26+SUM(H196:H199)*6</f>
        <v>167765.20675199997</v>
      </c>
      <c r="H141" s="107"/>
      <c r="T141"/>
    </row>
    <row r="142" spans="1:22" s="35" customFormat="1" ht="16.2" thickBot="1" x14ac:dyDescent="0.35">
      <c r="A142" s="252" t="s">
        <v>164</v>
      </c>
      <c r="B142" s="253"/>
      <c r="C142" s="155">
        <f>SUM(C139:D141)</f>
        <v>506</v>
      </c>
      <c r="D142" s="156"/>
      <c r="E142" s="155">
        <f t="shared" ref="E142" si="6">SUM(E139:F141)</f>
        <v>382330.52558999998</v>
      </c>
      <c r="F142" s="156"/>
      <c r="G142" s="155">
        <f t="shared" ref="G142" si="7">SUM(G139:H141)</f>
        <v>573495.78838499985</v>
      </c>
      <c r="H142" s="156"/>
      <c r="T142"/>
    </row>
    <row r="143" spans="1:22" s="34" customFormat="1" x14ac:dyDescent="0.3">
      <c r="A143" s="271" t="s">
        <v>352</v>
      </c>
      <c r="B143" s="271"/>
      <c r="C143" s="271"/>
      <c r="D143" s="271"/>
      <c r="E143" s="271"/>
      <c r="F143" s="271"/>
      <c r="G143" s="271"/>
      <c r="H143" s="271"/>
      <c r="T143" s="35"/>
    </row>
    <row r="144" spans="1:22" x14ac:dyDescent="0.3">
      <c r="A144" s="261" t="s">
        <v>436</v>
      </c>
      <c r="B144" s="261"/>
      <c r="C144" s="261"/>
      <c r="D144" s="261"/>
      <c r="E144" s="261"/>
      <c r="F144" s="261"/>
      <c r="G144" s="261"/>
      <c r="H144" s="261"/>
      <c r="T144" s="35"/>
    </row>
    <row r="145" spans="1:20" ht="47.25" hidden="1" customHeight="1" x14ac:dyDescent="0.3">
      <c r="A145" s="131" t="s">
        <v>116</v>
      </c>
      <c r="B145" s="169" t="s">
        <v>173</v>
      </c>
      <c r="C145" s="131" t="s">
        <v>54</v>
      </c>
      <c r="D145" s="169" t="s">
        <v>229</v>
      </c>
      <c r="E145" s="173" t="s">
        <v>154</v>
      </c>
      <c r="F145" s="131" t="s">
        <v>55</v>
      </c>
      <c r="G145" s="255" t="s">
        <v>56</v>
      </c>
      <c r="H145" s="64" t="s">
        <v>146</v>
      </c>
      <c r="T145" s="35"/>
    </row>
    <row r="146" spans="1:20" s="37" customFormat="1" hidden="1" x14ac:dyDescent="0.3">
      <c r="A146" s="132"/>
      <c r="B146" s="170"/>
      <c r="C146" s="132"/>
      <c r="D146" s="170"/>
      <c r="E146" s="174"/>
      <c r="F146" s="132"/>
      <c r="G146" s="256"/>
      <c r="H146" s="55">
        <v>0.45</v>
      </c>
      <c r="T146" s="35"/>
    </row>
    <row r="147" spans="1:20" s="37" customFormat="1" hidden="1" x14ac:dyDescent="0.3">
      <c r="A147" s="115" t="s">
        <v>115</v>
      </c>
      <c r="B147" s="116"/>
      <c r="C147" s="116"/>
      <c r="D147" s="116"/>
      <c r="E147" s="116"/>
      <c r="F147" s="116"/>
      <c r="G147" s="116"/>
      <c r="H147" s="117"/>
      <c r="J147" s="36"/>
      <c r="T147" s="35"/>
    </row>
    <row r="148" spans="1:20" s="37" customFormat="1" ht="15.75" hidden="1" customHeight="1" x14ac:dyDescent="0.3">
      <c r="A148" s="111">
        <v>1</v>
      </c>
      <c r="B148" s="112"/>
      <c r="C148" s="42"/>
      <c r="D148" s="42">
        <v>0</v>
      </c>
      <c r="E148" s="42">
        <v>0</v>
      </c>
      <c r="F148" s="42">
        <f>D148+(IF(E148&lt;201,E148,IF(E148&lt;301,E148/2,E148/3)))</f>
        <v>0</v>
      </c>
      <c r="G148" s="42">
        <v>0</v>
      </c>
      <c r="H148" s="42">
        <f>(F148+(IF(G148&lt;101,G148,IF(G148&lt;201,G148/2,IF(G148&lt;=301,G148/3,G148/4)))))*(($H$146)+1)</f>
        <v>0</v>
      </c>
      <c r="I148" s="36"/>
      <c r="L148" s="113"/>
      <c r="M148" s="113"/>
      <c r="N148" s="36"/>
      <c r="T148" s="35"/>
    </row>
    <row r="149" spans="1:20" s="37" customFormat="1" ht="15.75" hidden="1" customHeight="1" x14ac:dyDescent="0.3">
      <c r="A149" s="111">
        <f>A148+1</f>
        <v>2</v>
      </c>
      <c r="B149" s="112"/>
      <c r="C149" s="42"/>
      <c r="D149" s="42"/>
      <c r="E149" s="42">
        <v>0</v>
      </c>
      <c r="F149" s="42">
        <f>D149+(IF(E149&lt;201,E149,IF(E149&lt;301,E149/2,E149/3)))</f>
        <v>0</v>
      </c>
      <c r="G149" s="42">
        <v>0</v>
      </c>
      <c r="H149" s="42">
        <f>(F149+(IF(G149&lt;101,G149,IF(G149&lt;201,G149/2,IF(G149&lt;=301,G149/3,G149/4)))))*(($H$146)+1)</f>
        <v>0</v>
      </c>
      <c r="I149" s="36"/>
      <c r="L149" s="113"/>
      <c r="M149" s="113"/>
      <c r="N149" s="36"/>
      <c r="T149" s="34"/>
    </row>
    <row r="150" spans="1:20" s="37" customFormat="1" ht="15.75" hidden="1" customHeight="1" x14ac:dyDescent="0.3">
      <c r="A150" s="111">
        <f>A149+1</f>
        <v>3</v>
      </c>
      <c r="B150" s="112"/>
      <c r="C150" s="42"/>
      <c r="D150" s="42"/>
      <c r="E150" s="42">
        <v>0</v>
      </c>
      <c r="F150" s="42">
        <f>D150+(IF(E150&lt;201,E150,IF(E150&lt;301,E150/2,E150/3)))</f>
        <v>0</v>
      </c>
      <c r="G150" s="42">
        <v>0</v>
      </c>
      <c r="H150" s="42">
        <f>(F150+(IF(G150&lt;101,G150,IF(G150&lt;201,G150/2,IF(G150&lt;=301,G150/3,G150/4)))))*(($H$146)+1)</f>
        <v>0</v>
      </c>
      <c r="I150" s="36"/>
      <c r="L150" s="113"/>
      <c r="M150" s="113"/>
      <c r="N150" s="36"/>
      <c r="T150" s="21"/>
    </row>
    <row r="151" spans="1:20" s="37" customFormat="1" ht="15.75" hidden="1" customHeight="1" x14ac:dyDescent="0.3">
      <c r="A151" s="111">
        <f>A150+1</f>
        <v>4</v>
      </c>
      <c r="B151" s="112"/>
      <c r="C151" s="42"/>
      <c r="D151" s="42"/>
      <c r="E151" s="42">
        <v>0</v>
      </c>
      <c r="F151" s="42">
        <f>D151+(IF(E151&lt;201,E151,IF(E151&lt;301,E151/2,E151/3)))</f>
        <v>0</v>
      </c>
      <c r="G151" s="42">
        <v>0</v>
      </c>
      <c r="H151" s="42">
        <f>(F151+(IF(G151&lt;101,G151,IF(G151&lt;201,G151/2,IF(G151&lt;=301,G151/3,G151/4)))))*(($H$146)+1)</f>
        <v>0</v>
      </c>
      <c r="I151" s="36"/>
      <c r="L151" s="113"/>
      <c r="M151" s="113"/>
      <c r="N151" s="36"/>
      <c r="T151" s="21"/>
    </row>
    <row r="152" spans="1:20" s="37" customFormat="1" hidden="1" x14ac:dyDescent="0.3">
      <c r="A152" s="111"/>
      <c r="B152" s="114"/>
      <c r="C152" s="114"/>
      <c r="D152" s="114"/>
      <c r="E152" s="114"/>
      <c r="F152" s="114"/>
      <c r="G152" s="114"/>
      <c r="H152" s="112"/>
      <c r="I152" s="36"/>
      <c r="N152" s="36"/>
    </row>
    <row r="153" spans="1:20" ht="71.400000000000006" customHeight="1" x14ac:dyDescent="0.3">
      <c r="A153" s="272" t="s">
        <v>117</v>
      </c>
      <c r="B153" s="133" t="s">
        <v>174</v>
      </c>
      <c r="C153" s="133" t="s">
        <v>54</v>
      </c>
      <c r="D153" s="133" t="s">
        <v>373</v>
      </c>
      <c r="E153" s="133" t="s">
        <v>429</v>
      </c>
      <c r="F153" s="133" t="s">
        <v>55</v>
      </c>
      <c r="G153" s="171" t="s">
        <v>56</v>
      </c>
      <c r="H153" s="102" t="s">
        <v>146</v>
      </c>
      <c r="I153" s="36"/>
      <c r="T153" s="37"/>
    </row>
    <row r="154" spans="1:20" s="37" customFormat="1" x14ac:dyDescent="0.3">
      <c r="A154" s="273"/>
      <c r="B154" s="134"/>
      <c r="C154" s="134"/>
      <c r="D154" s="134"/>
      <c r="E154" s="134"/>
      <c r="F154" s="134"/>
      <c r="G154" s="172"/>
      <c r="H154" s="103">
        <v>0.5</v>
      </c>
      <c r="I154" s="36"/>
    </row>
    <row r="155" spans="1:20" s="37" customFormat="1" x14ac:dyDescent="0.3">
      <c r="A155" s="121" t="s">
        <v>423</v>
      </c>
      <c r="B155" s="122"/>
      <c r="C155" s="122"/>
      <c r="D155" s="122"/>
      <c r="E155" s="122"/>
      <c r="F155" s="122"/>
      <c r="G155" s="122"/>
      <c r="H155" s="123"/>
      <c r="J155" s="36"/>
    </row>
    <row r="156" spans="1:20" s="37" customFormat="1" x14ac:dyDescent="0.3">
      <c r="A156" s="118" t="s">
        <v>424</v>
      </c>
      <c r="B156" s="119"/>
      <c r="C156" s="119"/>
      <c r="D156" s="119"/>
      <c r="E156" s="119"/>
      <c r="F156" s="119"/>
      <c r="G156" s="119"/>
      <c r="H156" s="120"/>
      <c r="J156" s="36"/>
    </row>
    <row r="157" spans="1:20" s="37" customFormat="1" x14ac:dyDescent="0.3">
      <c r="A157" s="115" t="s">
        <v>425</v>
      </c>
      <c r="B157" s="116"/>
      <c r="C157" s="116"/>
      <c r="D157" s="116"/>
      <c r="E157" s="116"/>
      <c r="F157" s="116"/>
      <c r="G157" s="116"/>
      <c r="H157" s="117"/>
      <c r="J157" s="36"/>
      <c r="L157" s="37">
        <v>65</v>
      </c>
    </row>
    <row r="158" spans="1:20" s="37" customFormat="1" x14ac:dyDescent="0.3">
      <c r="A158" s="115" t="s">
        <v>426</v>
      </c>
      <c r="B158" s="116"/>
      <c r="C158" s="116"/>
      <c r="D158" s="116"/>
      <c r="E158" s="116"/>
      <c r="F158" s="116"/>
      <c r="G158" s="116"/>
      <c r="H158" s="117"/>
      <c r="I158" s="37">
        <f>6+4+4+4+4+4</f>
        <v>26</v>
      </c>
      <c r="J158" s="36"/>
      <c r="K158" s="42">
        <v>10.763999999999999</v>
      </c>
      <c r="L158" s="37">
        <v>95</v>
      </c>
    </row>
    <row r="159" spans="1:20" s="37" customFormat="1" ht="15.75" customHeight="1" x14ac:dyDescent="0.3">
      <c r="A159" s="111">
        <v>1</v>
      </c>
      <c r="B159" s="112"/>
      <c r="C159" s="42" t="s">
        <v>427</v>
      </c>
      <c r="D159" s="42">
        <f>(3.05*4.88+2.45*2.75+2.9*3.35+3.05*3.05+1.1*1.23+1.35*2.25+1.3*0.5+2.29*1.36+2.16*0.6+4.6*0.9)*10.764</f>
        <v>583.73064360000001</v>
      </c>
      <c r="E159" s="42">
        <f>(1.26*3.05+1.05*2.45+0.75*2.9+0.75*3.05+1.32*1.79+2.51*0.84)*10.764</f>
        <v>165.21878879999997</v>
      </c>
      <c r="F159" s="42">
        <f>D159+E159</f>
        <v>748.94943239999998</v>
      </c>
      <c r="G159" s="42">
        <v>0</v>
      </c>
      <c r="H159" s="42">
        <f>F159*(($H$154)+1)+(IF(G159&lt;101,G159,IF(G159&lt;201,G159/2,IF(G159&lt;=301,G159/3,G159/4))))</f>
        <v>1123.4241486000001</v>
      </c>
      <c r="I159" s="36"/>
      <c r="L159" s="113">
        <v>1.35</v>
      </c>
      <c r="M159" s="113"/>
      <c r="N159" s="36"/>
    </row>
    <row r="160" spans="1:20" s="37" customFormat="1" ht="15.75" customHeight="1" x14ac:dyDescent="0.3">
      <c r="A160" s="111">
        <f>A159+1</f>
        <v>2</v>
      </c>
      <c r="B160" s="112"/>
      <c r="C160" s="42" t="s">
        <v>428</v>
      </c>
      <c r="D160" s="42">
        <f>(3.05*4.88+2.45*2.75+2.9*3.35+3.65*3.11+3.65*3.05+2.61*1.23+1.4*2.36+1.41*2.36+2.45*1.475+1.1*1.5+3.2*1.4)*10.764</f>
        <v>790.14379859999997</v>
      </c>
      <c r="E160" s="42">
        <f>(1.26*3.05+1.06*2.45+0.75*2.9+1*3.65+0.75*3.05+2.9*1.66)*10.764</f>
        <v>208.461006</v>
      </c>
      <c r="F160" s="42">
        <f>D160+E160</f>
        <v>998.60480459999997</v>
      </c>
      <c r="G160" s="42">
        <v>0</v>
      </c>
      <c r="H160" s="42">
        <f>F160*(($H$154)+1)+(IF(G160&lt;101,G160,IF(G160&lt;201,G160/2,IF(G160&lt;=301,G160/3,G160/4))))</f>
        <v>1497.9072068999999</v>
      </c>
      <c r="I160" s="36"/>
      <c r="L160" s="113"/>
      <c r="M160" s="113"/>
      <c r="N160" s="36"/>
    </row>
    <row r="161" spans="1:20" s="37" customFormat="1" ht="15.75" customHeight="1" x14ac:dyDescent="0.3">
      <c r="A161" s="111">
        <f>A160+1</f>
        <v>3</v>
      </c>
      <c r="B161" s="112"/>
      <c r="C161" s="42" t="s">
        <v>428</v>
      </c>
      <c r="D161" s="42">
        <f>(3.05*4.88+2.45*2.75+2.9*3.35+3.65*3.11+3.65*3.05+2.61*1.23+1.4*2.36+1.41*2.36+2.45*1.475+1.1*1.5+3.2*1.4)*10.764</f>
        <v>790.14379859999997</v>
      </c>
      <c r="E161" s="42">
        <f>(1.26*3.05+1.06*2.45+0.75*2.9+1*3.65+0.75*3.05+2.9*1.66)*10.764</f>
        <v>208.461006</v>
      </c>
      <c r="F161" s="42">
        <f>D161+E161</f>
        <v>998.60480459999997</v>
      </c>
      <c r="G161" s="42">
        <v>0</v>
      </c>
      <c r="H161" s="42">
        <f>F161*(($H$154)+1)+(IF(G161&lt;101,G161,IF(G161&lt;201,G161/2,IF(G161&lt;=301,G161/3,G161/4))))</f>
        <v>1497.9072068999999</v>
      </c>
      <c r="I161" s="36"/>
      <c r="L161" s="113"/>
      <c r="M161" s="113"/>
      <c r="N161" s="36"/>
    </row>
    <row r="162" spans="1:20" s="37" customFormat="1" ht="15.75" customHeight="1" x14ac:dyDescent="0.3">
      <c r="A162" s="111">
        <f>A161+1</f>
        <v>4</v>
      </c>
      <c r="B162" s="112"/>
      <c r="C162" s="42" t="s">
        <v>427</v>
      </c>
      <c r="D162" s="42">
        <f>(3.05*4.88+2.45*2.75+2.9*3.35+3.05*3.05+1.1*1.23+1.35*2.25+1.3*0.5+2.29*1.36+2.16*0.6+4.6*0.9)*10.764</f>
        <v>583.73064360000001</v>
      </c>
      <c r="E162" s="42">
        <f>(1.26*3.05+1.05*2.45+0.75*2.9+0.75*3.05+1.32*1.79+2.51*0.84)*10.764</f>
        <v>165.21878879999997</v>
      </c>
      <c r="F162" s="42">
        <f>D162+E162</f>
        <v>748.94943239999998</v>
      </c>
      <c r="G162" s="42">
        <v>0</v>
      </c>
      <c r="H162" s="42">
        <f>F162*(($H$154)+1)+(IF(G162&lt;101,G162,IF(G162&lt;201,G162/2,IF(G162&lt;=301,G162/3,G162/4))))</f>
        <v>1123.4241486000001</v>
      </c>
      <c r="I162" s="36"/>
      <c r="L162" s="113"/>
      <c r="M162" s="113"/>
      <c r="N162" s="36"/>
      <c r="T162" s="21"/>
    </row>
    <row r="163" spans="1:20" s="37" customFormat="1" x14ac:dyDescent="0.3">
      <c r="A163" s="115" t="s">
        <v>430</v>
      </c>
      <c r="B163" s="116"/>
      <c r="C163" s="116"/>
      <c r="D163" s="116"/>
      <c r="E163" s="116"/>
      <c r="F163" s="116"/>
      <c r="G163" s="116"/>
      <c r="H163" s="117"/>
      <c r="I163" s="37">
        <f>6</f>
        <v>6</v>
      </c>
      <c r="J163" s="36"/>
      <c r="K163" s="104"/>
    </row>
    <row r="164" spans="1:20" s="37" customFormat="1" ht="15.75" customHeight="1" x14ac:dyDescent="0.3">
      <c r="A164" s="111">
        <v>1</v>
      </c>
      <c r="B164" s="112"/>
      <c r="C164" s="42" t="s">
        <v>427</v>
      </c>
      <c r="D164" s="42">
        <f>(3.05*4.88+2.45*2.75+2.9*3.35+3.05*3.05+1.1*1.23+1.35*2.25+1.3*0.5+2.29*1.36+2.16*0.6+4.6*0.9)*10.764</f>
        <v>583.73064360000001</v>
      </c>
      <c r="E164" s="42">
        <f>(1.26*3.05+1.05*2.45+0.75*2.9+0.75*3.05+1.32*1.79+2.51*0.84)*10.764</f>
        <v>165.21878879999997</v>
      </c>
      <c r="F164" s="42">
        <f>D164+E164</f>
        <v>748.94943239999998</v>
      </c>
      <c r="G164" s="42">
        <v>0</v>
      </c>
      <c r="H164" s="42">
        <f>F164*(($H$154)+1)+(IF(G164&lt;101,G164,IF(G164&lt;201,G164/2,IF(G164&lt;=301,G164/3,G164/4))))</f>
        <v>1123.4241486000001</v>
      </c>
      <c r="I164" s="36"/>
      <c r="L164" s="113"/>
      <c r="M164" s="113"/>
      <c r="N164" s="36"/>
    </row>
    <row r="165" spans="1:20" s="37" customFormat="1" ht="15.75" customHeight="1" x14ac:dyDescent="0.3">
      <c r="A165" s="111">
        <f>A164+1</f>
        <v>2</v>
      </c>
      <c r="B165" s="112"/>
      <c r="C165" s="42" t="s">
        <v>428</v>
      </c>
      <c r="D165" s="42">
        <f>(3.05*4.88+2.45*2.75+2.9*3.35+3.65*3.11+3.65*3.05+2.61*1.23+1.4*2.36+1.41*2.36+2.45*1.475+1.1*1.5+3.2*1.4)*10.764</f>
        <v>790.14379859999997</v>
      </c>
      <c r="E165" s="42">
        <f>(1.26*3.05+1.06*2.45+0.75*2.9+1*3.65+0.75*3.05+2.9*1.66)*10.764</f>
        <v>208.461006</v>
      </c>
      <c r="F165" s="42">
        <f>D165+E165</f>
        <v>998.60480459999997</v>
      </c>
      <c r="G165" s="42">
        <v>0</v>
      </c>
      <c r="H165" s="42">
        <f>F165*(($H$154)+1)+(IF(G165&lt;101,G165,IF(G165&lt;201,G165/2,IF(G165&lt;=301,G165/3,G165/4))))</f>
        <v>1497.9072068999999</v>
      </c>
      <c r="I165" s="36"/>
      <c r="L165" s="113">
        <v>10000000</v>
      </c>
      <c r="M165" s="113"/>
      <c r="N165" s="36">
        <f>L165/H165</f>
        <v>6675.9809645989635</v>
      </c>
    </row>
    <row r="166" spans="1:20" s="37" customFormat="1" ht="15.75" customHeight="1" x14ac:dyDescent="0.3">
      <c r="A166" s="111">
        <f>A165+1</f>
        <v>3</v>
      </c>
      <c r="B166" s="112"/>
      <c r="C166" s="42" t="s">
        <v>428</v>
      </c>
      <c r="D166" s="42">
        <f>(3.05*4.88+2.45*2.75+2.9*3.35+3.65*3.11+3.65*3.05+2.61*1.23+1.4*2.36+1.41*2.36+2.45*1.475+1.1*1.5+3.2*1.4)*10.764</f>
        <v>790.14379859999997</v>
      </c>
      <c r="E166" s="42">
        <f>(1.26*3.05+1.06*2.45+0.75*2.9+1*3.65+0.75*3.05+2.9*1.66)*10.764</f>
        <v>208.461006</v>
      </c>
      <c r="F166" s="42">
        <f>D166+E166</f>
        <v>998.60480459999997</v>
      </c>
      <c r="G166" s="42">
        <v>0</v>
      </c>
      <c r="H166" s="42">
        <f>F166*(($H$154)+1)+(IF(G166&lt;101,G166,IF(G166&lt;201,G166/2,IF(G166&lt;=301,G166/3,G166/4))))</f>
        <v>1497.9072068999999</v>
      </c>
      <c r="I166" s="36"/>
      <c r="L166" s="113">
        <v>9350000</v>
      </c>
      <c r="M166" s="113"/>
      <c r="N166" s="36">
        <f>L166/H166</f>
        <v>6242.0422019000307</v>
      </c>
    </row>
    <row r="167" spans="1:20" s="37" customFormat="1" ht="15.75" customHeight="1" x14ac:dyDescent="0.3">
      <c r="A167" s="111">
        <f>A166+1</f>
        <v>4</v>
      </c>
      <c r="B167" s="112"/>
      <c r="C167" s="42" t="s">
        <v>427</v>
      </c>
      <c r="D167" s="42">
        <f>(3.05*4.88+2.45*2.75+2.9*3.35+3.05*3.05+1.1*1.23+1.35*2.25+1.3*0.5+2.29*1.36+2.16*0.6+4.6*0.9)*10.764</f>
        <v>583.73064360000001</v>
      </c>
      <c r="E167" s="42">
        <f>(1.26*3.05+1.05*2.45+0.75*2.9+0.75*3.05+1.32*1.79+2.51*0.84)*10.764</f>
        <v>165.21878879999997</v>
      </c>
      <c r="F167" s="42">
        <f>D167+E167</f>
        <v>748.94943239999998</v>
      </c>
      <c r="G167" s="42">
        <v>0</v>
      </c>
      <c r="H167" s="42">
        <f>F167*(($H$154)+1)+(IF(G167&lt;101,G167,IF(G167&lt;201,G167/2,IF(G167&lt;=301,G167/3,G167/4))))</f>
        <v>1123.4241486000001</v>
      </c>
      <c r="I167" s="36"/>
      <c r="L167" s="113"/>
      <c r="M167" s="113"/>
      <c r="N167" s="36"/>
      <c r="T167" s="21"/>
    </row>
    <row r="168" spans="1:20" s="37" customFormat="1" x14ac:dyDescent="0.3">
      <c r="A168" s="118" t="s">
        <v>431</v>
      </c>
      <c r="B168" s="119"/>
      <c r="C168" s="119"/>
      <c r="D168" s="119"/>
      <c r="E168" s="119"/>
      <c r="F168" s="119"/>
      <c r="G168" s="119"/>
      <c r="H168" s="120"/>
      <c r="J168" s="36"/>
    </row>
    <row r="169" spans="1:20" s="37" customFormat="1" x14ac:dyDescent="0.3">
      <c r="A169" s="115" t="s">
        <v>425</v>
      </c>
      <c r="B169" s="116"/>
      <c r="C169" s="116"/>
      <c r="D169" s="116"/>
      <c r="E169" s="116"/>
      <c r="F169" s="116"/>
      <c r="G169" s="116"/>
      <c r="H169" s="117"/>
      <c r="J169" s="36"/>
    </row>
    <row r="170" spans="1:20" s="37" customFormat="1" x14ac:dyDescent="0.3">
      <c r="A170" s="115" t="s">
        <v>426</v>
      </c>
      <c r="B170" s="116"/>
      <c r="C170" s="116"/>
      <c r="D170" s="116"/>
      <c r="E170" s="116"/>
      <c r="F170" s="116"/>
      <c r="G170" s="116"/>
      <c r="H170" s="117"/>
      <c r="J170" s="36"/>
      <c r="K170" s="42">
        <v>10.763999999999999</v>
      </c>
    </row>
    <row r="171" spans="1:20" s="37" customFormat="1" ht="15.75" customHeight="1" x14ac:dyDescent="0.3">
      <c r="A171" s="111">
        <v>1</v>
      </c>
      <c r="B171" s="112"/>
      <c r="C171" s="42" t="s">
        <v>433</v>
      </c>
      <c r="D171" s="42">
        <f>(2.9*4.75+2.45*2.45+2.755*2.9+2.15*1.3+1.3*2.15+0.9*2.6+1.5*0.6)*10.764</f>
        <v>393.93010800000008</v>
      </c>
      <c r="E171" s="42">
        <f>(1.04*2.9+1.06*2.45+0.75*2.755+1.3*1.1+2.15*1.5)*10.764</f>
        <v>132.76586700000001</v>
      </c>
      <c r="F171" s="42">
        <f>D171+E171</f>
        <v>526.69597500000009</v>
      </c>
      <c r="G171" s="42">
        <v>0</v>
      </c>
      <c r="H171" s="42">
        <f>F171*(($H$154)+1)+(IF(G171&lt;101,G171,IF(G171&lt;201,G171/2,IF(G171&lt;=301,G171/3,G171/4))))</f>
        <v>790.04396250000013</v>
      </c>
      <c r="I171" s="36"/>
      <c r="L171" s="113">
        <v>4900000</v>
      </c>
      <c r="M171" s="113"/>
      <c r="N171" s="36">
        <f>L171/H171</f>
        <v>6202.1865017416667</v>
      </c>
    </row>
    <row r="172" spans="1:20" s="37" customFormat="1" ht="15.75" customHeight="1" x14ac:dyDescent="0.3">
      <c r="A172" s="111">
        <f>A171+1</f>
        <v>2</v>
      </c>
      <c r="B172" s="112"/>
      <c r="C172" s="42" t="s">
        <v>427</v>
      </c>
      <c r="D172" s="42">
        <f>(3.05*4.75+2.45*2.45+2.9*3.36+3.05*3.05+2.25*1.35+1.36*2.25+1.1*2.1+1.33*0.5+2.1*0.6+4.8*0.9)*10.764</f>
        <v>583.29039599999999</v>
      </c>
      <c r="E172" s="42">
        <f>(1.04*3.05+1.06*2.45+0.75*2.9+0.75*3.05+1.33*1.6+0.75*2.25)*10.764</f>
        <v>151.201908</v>
      </c>
      <c r="F172" s="42">
        <f>D172+E172</f>
        <v>734.49230399999999</v>
      </c>
      <c r="G172" s="42">
        <v>0</v>
      </c>
      <c r="H172" s="42">
        <f>F172*(($H$154)+1)+(IF(G172&lt;101,G172,IF(G172&lt;201,G172/2,IF(G172&lt;=301,G172/3,G172/4))))</f>
        <v>1101.738456</v>
      </c>
      <c r="I172" s="36"/>
      <c r="L172" s="113">
        <f>6925000</f>
        <v>6925000</v>
      </c>
      <c r="M172" s="113"/>
      <c r="N172" s="36">
        <f>L172/H172</f>
        <v>6285.5208169297121</v>
      </c>
    </row>
    <row r="173" spans="1:20" s="37" customFormat="1" ht="15.75" customHeight="1" x14ac:dyDescent="0.3">
      <c r="A173" s="111">
        <f>A172+1</f>
        <v>3</v>
      </c>
      <c r="B173" s="112"/>
      <c r="C173" s="42" t="s">
        <v>427</v>
      </c>
      <c r="D173" s="42">
        <f>(3.05*4.75+2.45*2.45+2.9*3.36+3.05*3.05+2.25*1.35+1.36*2.25+1.1*2.1+1.33*0.5+2.1*0.6+4.8*0.9)*10.764</f>
        <v>583.29039599999999</v>
      </c>
      <c r="E173" s="42">
        <f>(1.04*3.05+1.06*2.45+0.75*2.9+0.75*3.05+1.33*1.6+0.75*2.25)*10.764</f>
        <v>151.201908</v>
      </c>
      <c r="F173" s="42">
        <f>D173+E173</f>
        <v>734.49230399999999</v>
      </c>
      <c r="G173" s="42">
        <v>0</v>
      </c>
      <c r="H173" s="42">
        <f>F173*(($H$154)+1)+(IF(G173&lt;101,G173,IF(G173&lt;201,G173/2,IF(G173&lt;=301,G173/3,G173/4))))</f>
        <v>1101.738456</v>
      </c>
      <c r="I173" s="36"/>
      <c r="L173" s="113"/>
      <c r="M173" s="113"/>
      <c r="N173" s="36"/>
    </row>
    <row r="174" spans="1:20" s="37" customFormat="1" ht="15.75" customHeight="1" x14ac:dyDescent="0.3">
      <c r="A174" s="111">
        <f>A173+1</f>
        <v>4</v>
      </c>
      <c r="B174" s="112"/>
      <c r="C174" s="42" t="s">
        <v>433</v>
      </c>
      <c r="D174" s="42">
        <f>(2.9*4.75+2.45*2.45+2.76*2.9+2.15*1.3+1.3*2.15+0.9*2.6+1.5*0.6)*10.764</f>
        <v>394.08618600000005</v>
      </c>
      <c r="E174" s="42">
        <f>(1.04*2.9+1.06*2.45+0.75*2.755+3.5*1+2.1*0.8)*10.764</f>
        <v>138.41696699999997</v>
      </c>
      <c r="F174" s="42">
        <f>D174+E174</f>
        <v>532.503153</v>
      </c>
      <c r="G174" s="42">
        <v>0</v>
      </c>
      <c r="H174" s="42">
        <f>F174*(($H$154)+1)+(IF(G174&lt;101,G174,IF(G174&lt;201,G174/2,IF(G174&lt;=301,G174/3,G174/4))))</f>
        <v>798.75472949999994</v>
      </c>
      <c r="I174" s="36"/>
      <c r="L174" s="113"/>
      <c r="M174" s="113"/>
      <c r="N174" s="36"/>
      <c r="T174" s="21"/>
    </row>
    <row r="175" spans="1:20" s="37" customFormat="1" ht="15.75" customHeight="1" x14ac:dyDescent="0.3">
      <c r="A175" s="111">
        <f t="shared" ref="A175:A178" si="8">A174+1</f>
        <v>5</v>
      </c>
      <c r="B175" s="112"/>
      <c r="C175" s="42" t="s">
        <v>433</v>
      </c>
      <c r="D175" s="42">
        <f>(2.9*4.75+2.45*2.45+2.76*2.9+2.15*1.3+1.3*2.15+0.9*2.6+1.5*0.6)*10.764</f>
        <v>394.08618600000005</v>
      </c>
      <c r="E175" s="42">
        <f>(1.04*2.9+1.06*2.45+0.75*2.755+3.5*1+2.1*0.8)*10.764</f>
        <v>138.41696699999997</v>
      </c>
      <c r="F175" s="42">
        <f t="shared" ref="F175:F178" si="9">D175+E175</f>
        <v>532.503153</v>
      </c>
      <c r="G175" s="42">
        <v>0</v>
      </c>
      <c r="H175" s="42">
        <f t="shared" ref="H175:H178" si="10">F175*(($H$154)+1)+(IF(G175&lt;101,G175,IF(G175&lt;201,G175/2,IF(G175&lt;=301,G175/3,G175/4))))</f>
        <v>798.75472949999994</v>
      </c>
      <c r="I175" s="36"/>
      <c r="L175" s="113"/>
      <c r="M175" s="113"/>
      <c r="N175" s="36"/>
      <c r="T175" s="21"/>
    </row>
    <row r="176" spans="1:20" s="37" customFormat="1" ht="15.75" customHeight="1" x14ac:dyDescent="0.3">
      <c r="A176" s="111">
        <f t="shared" si="8"/>
        <v>6</v>
      </c>
      <c r="B176" s="112"/>
      <c r="C176" s="42" t="s">
        <v>427</v>
      </c>
      <c r="D176" s="42">
        <f>(3.05*4.75+2.45*2.45+2.9*3.36+3.05*3.05+2.25*1.35+1.36*2.25+1.1*2.1+1.33*0.5+2.1*0.6+4.8*0.9)*10.764</f>
        <v>583.29039599999999</v>
      </c>
      <c r="E176" s="42">
        <f>(1.04*3.05+1.06*2.45+0.75*2.9+0.75*3.05+1.33*1.6+0.75*2.25)*10.764</f>
        <v>151.201908</v>
      </c>
      <c r="F176" s="42">
        <f t="shared" si="9"/>
        <v>734.49230399999999</v>
      </c>
      <c r="G176" s="42">
        <v>0</v>
      </c>
      <c r="H176" s="42">
        <f t="shared" si="10"/>
        <v>1101.738456</v>
      </c>
      <c r="I176" s="36"/>
      <c r="L176" s="113"/>
      <c r="M176" s="113"/>
      <c r="N176" s="36"/>
      <c r="T176" s="21"/>
    </row>
    <row r="177" spans="1:20" s="37" customFormat="1" ht="15.75" customHeight="1" x14ac:dyDescent="0.3">
      <c r="A177" s="111">
        <f t="shared" si="8"/>
        <v>7</v>
      </c>
      <c r="B177" s="112"/>
      <c r="C177" s="42" t="s">
        <v>427</v>
      </c>
      <c r="D177" s="42">
        <f>(3.05*4.75+2.45*2.45+2.9*3.36+3.05*3.05+2.25*1.35+1.36*2.25+1.1*2.1+1.33*0.5+2.1*0.6+4.8*0.9)*10.764</f>
        <v>583.29039599999999</v>
      </c>
      <c r="E177" s="42">
        <f>(1.04*3.05+1.06*2.45+0.75*2.9+0.75*3.05+1.33*1.6+0.75*2.25)*10.764</f>
        <v>151.201908</v>
      </c>
      <c r="F177" s="42">
        <f t="shared" si="9"/>
        <v>734.49230399999999</v>
      </c>
      <c r="G177" s="42">
        <v>0</v>
      </c>
      <c r="H177" s="42">
        <f t="shared" si="10"/>
        <v>1101.738456</v>
      </c>
      <c r="I177" s="36"/>
      <c r="L177" s="113">
        <v>7800000</v>
      </c>
      <c r="M177" s="113"/>
      <c r="N177" s="36">
        <f>L177/H177</f>
        <v>7079.7201981302169</v>
      </c>
      <c r="T177" s="21"/>
    </row>
    <row r="178" spans="1:20" s="37" customFormat="1" ht="15.75" customHeight="1" x14ac:dyDescent="0.3">
      <c r="A178" s="111">
        <f t="shared" si="8"/>
        <v>8</v>
      </c>
      <c r="B178" s="112"/>
      <c r="C178" s="42" t="s">
        <v>433</v>
      </c>
      <c r="D178" s="42">
        <f>(2.9*4.75+2.45*2.45+2.755*2.9+2.15*1.3+1.3*2.15+0.9*2.6+1.5*0.6)*10.764</f>
        <v>393.93010800000008</v>
      </c>
      <c r="E178" s="42">
        <f>(1.04*2.9+1.06*2.45+0.75*2.755+1.3*1.1+2.15*1.5)*10.764</f>
        <v>132.76586700000001</v>
      </c>
      <c r="F178" s="42">
        <f t="shared" si="9"/>
        <v>526.69597500000009</v>
      </c>
      <c r="G178" s="42">
        <v>0</v>
      </c>
      <c r="H178" s="42">
        <f t="shared" si="10"/>
        <v>790.04396250000013</v>
      </c>
      <c r="I178" s="36"/>
      <c r="L178" s="113">
        <v>6500000</v>
      </c>
      <c r="M178" s="113"/>
      <c r="N178" s="36">
        <f>L178/H178</f>
        <v>8227.3902574124149</v>
      </c>
      <c r="T178" s="21"/>
    </row>
    <row r="179" spans="1:20" s="37" customFormat="1" ht="17.399999999999999" customHeight="1" x14ac:dyDescent="0.3">
      <c r="A179" s="115" t="s">
        <v>434</v>
      </c>
      <c r="B179" s="116"/>
      <c r="C179" s="116"/>
      <c r="D179" s="116"/>
      <c r="E179" s="116"/>
      <c r="F179" s="116"/>
      <c r="G179" s="116"/>
      <c r="H179" s="117"/>
      <c r="J179" s="36"/>
      <c r="K179" s="104"/>
    </row>
    <row r="180" spans="1:20" s="37" customFormat="1" ht="15.75" customHeight="1" x14ac:dyDescent="0.3">
      <c r="A180" s="111">
        <v>1</v>
      </c>
      <c r="B180" s="112"/>
      <c r="C180" s="42" t="s">
        <v>433</v>
      </c>
      <c r="D180" s="42">
        <f>(2.9*4.75+2.45*2.45+2.755*2.9+2.15*1.3+1.3*2.15+0.9*2.6+1.5*0.6)*10.764</f>
        <v>393.93010800000008</v>
      </c>
      <c r="E180" s="42">
        <f>(1.04*2.9+1.06*2.45+0.75*2.755+1.3*1.1+2.15*1.5)*10.764</f>
        <v>132.76586700000001</v>
      </c>
      <c r="F180" s="42">
        <f>D180+E180</f>
        <v>526.69597500000009</v>
      </c>
      <c r="G180" s="42">
        <v>0</v>
      </c>
      <c r="H180" s="42">
        <f t="shared" ref="H180:H186" si="11">F180*(($H$154)+1)+(IF(G180&lt;101,G180,IF(G180&lt;201,G180/2,IF(G180&lt;=301,G180/3,G180/4))))</f>
        <v>790.04396250000013</v>
      </c>
      <c r="I180" s="36"/>
      <c r="L180" s="113"/>
      <c r="M180" s="113"/>
      <c r="N180" s="36"/>
    </row>
    <row r="181" spans="1:20" s="37" customFormat="1" ht="15.75" customHeight="1" x14ac:dyDescent="0.3">
      <c r="A181" s="111">
        <f>A180+1</f>
        <v>2</v>
      </c>
      <c r="B181" s="112"/>
      <c r="C181" s="42" t="s">
        <v>427</v>
      </c>
      <c r="D181" s="42">
        <f>(3.05*4.75+2.45*2.45+2.9*3.36+3.05*3.05+2.25*1.35+1.36*2.25+1.1*2.1+1.33*0.5+2.1*0.6+4.8*0.9)*10.764</f>
        <v>583.29039599999999</v>
      </c>
      <c r="E181" s="42">
        <f>(1.04*3.05+1.06*2.45+0.75*2.9+0.75*3.05+1.33*1.6+0.75*2.25)*10.764</f>
        <v>151.201908</v>
      </c>
      <c r="F181" s="42">
        <f>D181+E181</f>
        <v>734.49230399999999</v>
      </c>
      <c r="G181" s="42">
        <v>0</v>
      </c>
      <c r="H181" s="42">
        <f t="shared" si="11"/>
        <v>1101.738456</v>
      </c>
      <c r="I181" s="36"/>
      <c r="L181" s="113"/>
      <c r="M181" s="113"/>
      <c r="N181" s="36"/>
    </row>
    <row r="182" spans="1:20" s="37" customFormat="1" ht="15.75" customHeight="1" x14ac:dyDescent="0.3">
      <c r="A182" s="111">
        <f>A181+1</f>
        <v>3</v>
      </c>
      <c r="B182" s="112"/>
      <c r="C182" s="42" t="s">
        <v>427</v>
      </c>
      <c r="D182" s="42">
        <f>(3.05*4.75+2.45*2.45+2.9*3.36+3.05*3.05+2.25*1.35+1.36*2.25+1.1*2.1+1.33*0.5+2.1*0.6+4.8*0.9)*10.764</f>
        <v>583.29039599999999</v>
      </c>
      <c r="E182" s="42">
        <f>(1.04*3.05+1.06*2.45+0.75*2.9+0.75*3.05+1.33*1.6+0.75*2.25)*10.764</f>
        <v>151.201908</v>
      </c>
      <c r="F182" s="42">
        <f>D182+E182</f>
        <v>734.49230399999999</v>
      </c>
      <c r="G182" s="42">
        <v>0</v>
      </c>
      <c r="H182" s="42">
        <f t="shared" si="11"/>
        <v>1101.738456</v>
      </c>
      <c r="I182" s="36"/>
      <c r="L182" s="113"/>
      <c r="M182" s="113"/>
      <c r="N182" s="36"/>
    </row>
    <row r="183" spans="1:20" s="37" customFormat="1" ht="15.75" customHeight="1" x14ac:dyDescent="0.3">
      <c r="A183" s="111">
        <f>A182+1</f>
        <v>4</v>
      </c>
      <c r="B183" s="112"/>
      <c r="C183" s="42" t="s">
        <v>433</v>
      </c>
      <c r="D183" s="42">
        <f>(2.9*4.75+2.45*2.45+2.76*2.9+2.15*1.3+1.3*2.15+0.9*2.6+1.5*0.6)*10.764</f>
        <v>394.08618600000005</v>
      </c>
      <c r="E183" s="42">
        <f>(1.04*2.9+1.06*2.45+0.75*2.755+3.5*1+2.1*0.8)*10.764</f>
        <v>138.41696699999997</v>
      </c>
      <c r="F183" s="42">
        <f>D183+E183</f>
        <v>532.503153</v>
      </c>
      <c r="G183" s="42">
        <v>0</v>
      </c>
      <c r="H183" s="42">
        <f t="shared" si="11"/>
        <v>798.75472949999994</v>
      </c>
      <c r="I183" s="36"/>
      <c r="L183" s="113"/>
      <c r="M183" s="113"/>
      <c r="N183" s="36"/>
      <c r="T183" s="21"/>
    </row>
    <row r="184" spans="1:20" s="37" customFormat="1" ht="15.75" customHeight="1" x14ac:dyDescent="0.3">
      <c r="A184" s="111">
        <f t="shared" ref="A184:A187" si="12">A183+1</f>
        <v>5</v>
      </c>
      <c r="B184" s="112"/>
      <c r="C184" s="42" t="s">
        <v>433</v>
      </c>
      <c r="D184" s="42">
        <f>(2.9*4.75+2.45*2.45+2.76*2.9+2.15*1.3+1.3*2.15+0.9*2.6+1.5*0.6)*10.764</f>
        <v>394.08618600000005</v>
      </c>
      <c r="E184" s="42">
        <f>(1.04*2.9+1.06*2.45+0.75*2.755+3.5*1+2.1*0.8)*10.764</f>
        <v>138.41696699999997</v>
      </c>
      <c r="F184" s="42">
        <f t="shared" ref="F184:F186" si="13">D184+E184</f>
        <v>532.503153</v>
      </c>
      <c r="G184" s="42">
        <v>0</v>
      </c>
      <c r="H184" s="42">
        <f t="shared" si="11"/>
        <v>798.75472949999994</v>
      </c>
      <c r="I184" s="36"/>
      <c r="L184" s="113">
        <f>4885000+244250</f>
        <v>5129250</v>
      </c>
      <c r="M184" s="113"/>
      <c r="N184" s="36">
        <f>L184/H184</f>
        <v>6421.558221271227</v>
      </c>
      <c r="T184" s="21"/>
    </row>
    <row r="185" spans="1:20" s="37" customFormat="1" ht="15.75" customHeight="1" x14ac:dyDescent="0.3">
      <c r="A185" s="111">
        <f t="shared" si="12"/>
        <v>6</v>
      </c>
      <c r="B185" s="112"/>
      <c r="C185" s="42" t="s">
        <v>427</v>
      </c>
      <c r="D185" s="42">
        <f>(3.05*4.75+2.45*2.45+2.9*3.36+3.05*3.05+2.25*1.35+1.36*2.25+1.1*2.1+1.33*0.5+2.1*0.6+4.8*0.9)*10.764</f>
        <v>583.29039599999999</v>
      </c>
      <c r="E185" s="42">
        <f>(1.04*3.05+1.06*2.45+0.75*2.9+0.75*3.05+1.33*1.6+0.75*2.25)*10.764</f>
        <v>151.201908</v>
      </c>
      <c r="F185" s="42">
        <f t="shared" si="13"/>
        <v>734.49230399999999</v>
      </c>
      <c r="G185" s="42">
        <v>0</v>
      </c>
      <c r="H185" s="42">
        <f t="shared" si="11"/>
        <v>1101.738456</v>
      </c>
      <c r="I185" s="36"/>
      <c r="L185" s="113"/>
      <c r="M185" s="113"/>
      <c r="N185" s="36"/>
      <c r="T185" s="21"/>
    </row>
    <row r="186" spans="1:20" s="37" customFormat="1" ht="15.75" customHeight="1" x14ac:dyDescent="0.3">
      <c r="A186" s="111">
        <f t="shared" si="12"/>
        <v>7</v>
      </c>
      <c r="B186" s="112"/>
      <c r="C186" s="42" t="s">
        <v>427</v>
      </c>
      <c r="D186" s="42">
        <f>(3.05*4.75+2.45*2.45+2.9*3.36+3.05*3.05+2.25*1.35+1.36*2.25+1.1*2.1+1.33*0.5+2.1*0.6+4.8*0.9)*10.764</f>
        <v>583.29039599999999</v>
      </c>
      <c r="E186" s="42">
        <f>(1.04*3.05+1.06*2.45+0.75*2.9+0.75*3.05+1.33*1.6+0.75*2.25)*10.764</f>
        <v>151.201908</v>
      </c>
      <c r="F186" s="42">
        <f t="shared" si="13"/>
        <v>734.49230399999999</v>
      </c>
      <c r="G186" s="42">
        <v>0</v>
      </c>
      <c r="H186" s="42">
        <f t="shared" si="11"/>
        <v>1101.738456</v>
      </c>
      <c r="I186" s="36"/>
      <c r="L186" s="113"/>
      <c r="M186" s="113"/>
      <c r="N186" s="36"/>
      <c r="T186" s="21"/>
    </row>
    <row r="187" spans="1:20" s="37" customFormat="1" ht="15.75" customHeight="1" x14ac:dyDescent="0.3">
      <c r="A187" s="111">
        <f t="shared" si="12"/>
        <v>8</v>
      </c>
      <c r="B187" s="112"/>
      <c r="C187" s="111" t="s">
        <v>435</v>
      </c>
      <c r="D187" s="114"/>
      <c r="E187" s="114"/>
      <c r="F187" s="114"/>
      <c r="G187" s="114"/>
      <c r="H187" s="112"/>
      <c r="I187" s="36"/>
      <c r="L187" s="113"/>
      <c r="M187" s="113"/>
      <c r="N187" s="36"/>
      <c r="T187" s="21"/>
    </row>
    <row r="188" spans="1:20" s="37" customFormat="1" x14ac:dyDescent="0.3">
      <c r="A188" s="118" t="s">
        <v>432</v>
      </c>
      <c r="B188" s="119"/>
      <c r="C188" s="119"/>
      <c r="D188" s="119"/>
      <c r="E188" s="119"/>
      <c r="F188" s="119"/>
      <c r="G188" s="119"/>
      <c r="H188" s="120"/>
      <c r="J188" s="36"/>
    </row>
    <row r="189" spans="1:20" s="37" customFormat="1" x14ac:dyDescent="0.3">
      <c r="A189" s="115" t="s">
        <v>425</v>
      </c>
      <c r="B189" s="116"/>
      <c r="C189" s="116"/>
      <c r="D189" s="116"/>
      <c r="E189" s="116"/>
      <c r="F189" s="116"/>
      <c r="G189" s="116"/>
      <c r="H189" s="117"/>
      <c r="J189" s="36"/>
    </row>
    <row r="190" spans="1:20" s="37" customFormat="1" x14ac:dyDescent="0.3">
      <c r="A190" s="115" t="s">
        <v>426</v>
      </c>
      <c r="B190" s="116"/>
      <c r="C190" s="116"/>
      <c r="D190" s="116"/>
      <c r="E190" s="116"/>
      <c r="F190" s="116"/>
      <c r="G190" s="116"/>
      <c r="H190" s="117"/>
      <c r="J190" s="36"/>
      <c r="K190" s="42">
        <v>10.763999999999999</v>
      </c>
    </row>
    <row r="191" spans="1:20" s="37" customFormat="1" ht="15.75" customHeight="1" x14ac:dyDescent="0.3">
      <c r="A191" s="111">
        <v>1</v>
      </c>
      <c r="B191" s="112"/>
      <c r="C191" s="42" t="s">
        <v>427</v>
      </c>
      <c r="D191" s="42">
        <f>(3.05*4.88+2.45*2.75+2.9*3.35+3.05*3.05+1.1*1.23+1.35*2.25+1.3*0.5+2.29*1.36+2.16*0.6+4.6*0.9)*10.764</f>
        <v>583.73064360000001</v>
      </c>
      <c r="E191" s="42">
        <f>(1.26*3.05+1.05*2.45+0.75*2.9+0.75*3.05+1.32*1.79+2.51*0.84)*10.764</f>
        <v>165.21878879999997</v>
      </c>
      <c r="F191" s="42">
        <f>D191+E191</f>
        <v>748.94943239999998</v>
      </c>
      <c r="G191" s="42">
        <v>0</v>
      </c>
      <c r="H191" s="42">
        <f>F191*(($H$154)+1)+(IF(G191&lt;101,G191,IF(G191&lt;201,G191/2,IF(G191&lt;=301,G191/3,G191/4))))</f>
        <v>1123.4241486000001</v>
      </c>
      <c r="I191" s="36"/>
      <c r="L191" s="113"/>
      <c r="M191" s="113"/>
      <c r="N191" s="36"/>
    </row>
    <row r="192" spans="1:20" s="37" customFormat="1" ht="15.75" customHeight="1" x14ac:dyDescent="0.3">
      <c r="A192" s="111">
        <f>A191+1</f>
        <v>2</v>
      </c>
      <c r="B192" s="112"/>
      <c r="C192" s="42" t="s">
        <v>428</v>
      </c>
      <c r="D192" s="42">
        <f>(3.05*4.88+2.45*2.75+2.9*3.35+3.65*3.11+3.65*3.05+2.61*1.23+1.4*2.36+1.41*2.36+2.45*1.475+1.1*1.5+3.2*1.4)*10.764</f>
        <v>790.14379859999997</v>
      </c>
      <c r="E192" s="42">
        <f>(1.26*3.05+1.06*2.45+0.75*2.9+1*3.65+0.75*3.05+2.9*1.66)*10.764</f>
        <v>208.461006</v>
      </c>
      <c r="F192" s="42">
        <f>D192+E192</f>
        <v>998.60480459999997</v>
      </c>
      <c r="G192" s="42">
        <v>0</v>
      </c>
      <c r="H192" s="42">
        <f>F192*(($H$154)+1)+(IF(G192&lt;101,G192,IF(G192&lt;201,G192/2,IF(G192&lt;=301,G192/3,G192/4))))</f>
        <v>1497.9072068999999</v>
      </c>
      <c r="I192" s="36"/>
      <c r="L192" s="113"/>
      <c r="M192" s="113"/>
      <c r="N192" s="36"/>
    </row>
    <row r="193" spans="1:20" s="37" customFormat="1" ht="15.75" customHeight="1" x14ac:dyDescent="0.3">
      <c r="A193" s="111">
        <f>A192+1</f>
        <v>3</v>
      </c>
      <c r="B193" s="112"/>
      <c r="C193" s="42" t="s">
        <v>428</v>
      </c>
      <c r="D193" s="42">
        <f>(3.05*4.88+2.45*2.75+2.9*3.35+3.65*3.11+3.65*3.05+2.61*1.23+1.4*2.36+1.41*2.36+2.45*1.475+1.1*1.5+3.2*1.4)*10.764</f>
        <v>790.14379859999997</v>
      </c>
      <c r="E193" s="42">
        <f>(1.26*3.05+1.06*2.45+0.75*2.9+1*3.65+0.75*3.05+2.9*1.66)*10.764</f>
        <v>208.461006</v>
      </c>
      <c r="F193" s="42">
        <f>D193+E193</f>
        <v>998.60480459999997</v>
      </c>
      <c r="G193" s="42">
        <v>0</v>
      </c>
      <c r="H193" s="42">
        <f>F193*(($H$154)+1)+(IF(G193&lt;101,G193,IF(G193&lt;201,G193/2,IF(G193&lt;=301,G193/3,G193/4))))</f>
        <v>1497.9072068999999</v>
      </c>
      <c r="I193" s="36"/>
      <c r="L193" s="113"/>
      <c r="M193" s="113"/>
      <c r="N193" s="36"/>
    </row>
    <row r="194" spans="1:20" s="37" customFormat="1" ht="15.75" customHeight="1" x14ac:dyDescent="0.3">
      <c r="A194" s="111">
        <f>A193+1</f>
        <v>4</v>
      </c>
      <c r="B194" s="112"/>
      <c r="C194" s="42" t="s">
        <v>427</v>
      </c>
      <c r="D194" s="42">
        <f>(3.05*4.88+2.45*2.75+2.9*3.35+3.05*3.05+1.1*1.23+1.35*2.25+1.3*0.5+2.29*1.36+2.16*0.6+4.6*0.9)*10.764</f>
        <v>583.73064360000001</v>
      </c>
      <c r="E194" s="42">
        <f>(1.26*3.05+1.05*2.45+0.75*2.9+0.75*3.05+1.32*1.79+2.51*0.84)*10.764</f>
        <v>165.21878879999997</v>
      </c>
      <c r="F194" s="42">
        <f>D194+E194</f>
        <v>748.94943239999998</v>
      </c>
      <c r="G194" s="42">
        <v>0</v>
      </c>
      <c r="H194" s="42">
        <f>F194*(($H$154)+1)+(IF(G194&lt;101,G194,IF(G194&lt;201,G194/2,IF(G194&lt;=301,G194/3,G194/4))))</f>
        <v>1123.4241486000001</v>
      </c>
      <c r="I194" s="36"/>
      <c r="L194" s="113"/>
      <c r="M194" s="113"/>
      <c r="N194" s="36"/>
      <c r="T194" s="21"/>
    </row>
    <row r="195" spans="1:20" s="37" customFormat="1" x14ac:dyDescent="0.3">
      <c r="A195" s="115" t="s">
        <v>430</v>
      </c>
      <c r="B195" s="116"/>
      <c r="C195" s="116"/>
      <c r="D195" s="116"/>
      <c r="E195" s="116"/>
      <c r="F195" s="116"/>
      <c r="G195" s="116"/>
      <c r="H195" s="117"/>
      <c r="J195" s="36"/>
      <c r="K195" s="104"/>
    </row>
    <row r="196" spans="1:20" s="37" customFormat="1" ht="15.75" customHeight="1" x14ac:dyDescent="0.3">
      <c r="A196" s="111">
        <v>1</v>
      </c>
      <c r="B196" s="112"/>
      <c r="C196" s="42" t="s">
        <v>427</v>
      </c>
      <c r="D196" s="42">
        <f>(3.05*4.88+2.45*2.75+2.9*3.35+3.05*3.05+1.1*1.23+1.35*2.25+1.3*0.5+2.29*1.36+2.16*0.6+4.6*0.9)*10.764</f>
        <v>583.73064360000001</v>
      </c>
      <c r="E196" s="42">
        <f>(1.26*3.05+1.05*2.45+0.75*2.9+0.75*3.05+1.32*1.79+2.51*0.84)*10.764</f>
        <v>165.21878879999997</v>
      </c>
      <c r="F196" s="42">
        <f>D196+E196</f>
        <v>748.94943239999998</v>
      </c>
      <c r="G196" s="42">
        <v>0</v>
      </c>
      <c r="H196" s="42">
        <f>F196*(($H$154)+1)+(IF(G196&lt;101,G196,IF(G196&lt;201,G196/2,IF(G196&lt;=301,G196/3,G196/4))))</f>
        <v>1123.4241486000001</v>
      </c>
      <c r="I196" s="36"/>
      <c r="L196" s="113"/>
      <c r="M196" s="113"/>
      <c r="N196" s="36"/>
    </row>
    <row r="197" spans="1:20" s="37" customFormat="1" ht="15.75" customHeight="1" x14ac:dyDescent="0.3">
      <c r="A197" s="111">
        <f>A196+1</f>
        <v>2</v>
      </c>
      <c r="B197" s="112"/>
      <c r="C197" s="42" t="s">
        <v>428</v>
      </c>
      <c r="D197" s="42">
        <f>(3.05*4.88+2.45*2.75+2.9*3.35+3.65*3.11+3.65*3.05+2.61*1.23+1.4*2.36+1.41*2.36+2.45*1.475+1.1*1.5+3.2*1.4)*10.764</f>
        <v>790.14379859999997</v>
      </c>
      <c r="E197" s="42">
        <f>(1.26*3.05+1.06*2.45+0.75*2.9+1*3.65+0.75*3.05+2.9*1.66)*10.764</f>
        <v>208.461006</v>
      </c>
      <c r="F197" s="42">
        <f>D197+E197</f>
        <v>998.60480459999997</v>
      </c>
      <c r="G197" s="42">
        <v>0</v>
      </c>
      <c r="H197" s="42">
        <f>F197*(($H$154)+1)+(IF(G197&lt;101,G197,IF(G197&lt;201,G197/2,IF(G197&lt;=301,G197/3,G197/4))))</f>
        <v>1497.9072068999999</v>
      </c>
      <c r="I197" s="36"/>
      <c r="L197" s="113"/>
      <c r="M197" s="113"/>
      <c r="N197" s="36"/>
    </row>
    <row r="198" spans="1:20" s="37" customFormat="1" ht="15.75" customHeight="1" x14ac:dyDescent="0.3">
      <c r="A198" s="111">
        <f>A197+1</f>
        <v>3</v>
      </c>
      <c r="B198" s="112"/>
      <c r="C198" s="42" t="s">
        <v>428</v>
      </c>
      <c r="D198" s="42">
        <f>(3.05*4.88+2.45*2.75+2.9*3.35+3.65*3.11+3.65*3.05+2.61*1.23+1.4*2.36+1.41*2.36+2.45*1.475+1.1*1.5+3.2*1.4)*10.764</f>
        <v>790.14379859999997</v>
      </c>
      <c r="E198" s="42">
        <f>(1.26*3.05+1.06*2.45+0.75*2.9+1*3.65+0.75*3.05+2.9*1.66)*10.764</f>
        <v>208.461006</v>
      </c>
      <c r="F198" s="42">
        <f>D198+E198</f>
        <v>998.60480459999997</v>
      </c>
      <c r="G198" s="42">
        <v>0</v>
      </c>
      <c r="H198" s="42">
        <f>F198*(($H$154)+1)+(IF(G198&lt;101,G198,IF(G198&lt;201,G198/2,IF(G198&lt;=301,G198/3,G198/4))))</f>
        <v>1497.9072068999999</v>
      </c>
      <c r="I198" s="36"/>
      <c r="L198" s="113"/>
      <c r="M198" s="113"/>
      <c r="N198" s="36"/>
    </row>
    <row r="199" spans="1:20" s="37" customFormat="1" ht="15.75" customHeight="1" x14ac:dyDescent="0.3">
      <c r="A199" s="111">
        <f>A198+1</f>
        <v>4</v>
      </c>
      <c r="B199" s="112"/>
      <c r="C199" s="42" t="s">
        <v>427</v>
      </c>
      <c r="D199" s="42">
        <f>(3.05*4.88+2.45*2.75+2.9*3.35+3.05*3.05+1.1*1.23+1.35*2.25+1.3*0.5+2.29*1.36+2.16*0.6+4.6*0.9)*10.764</f>
        <v>583.73064360000001</v>
      </c>
      <c r="E199" s="42">
        <f>(1.26*3.05+1.05*2.45+0.75*2.9+0.75*3.05+1.32*1.79+2.51*0.84)*10.764</f>
        <v>165.21878879999997</v>
      </c>
      <c r="F199" s="42">
        <f>D199+E199</f>
        <v>748.94943239999998</v>
      </c>
      <c r="G199" s="42">
        <v>0</v>
      </c>
      <c r="H199" s="42">
        <f>F199*(($H$154)+1)+(IF(G199&lt;101,G199,IF(G199&lt;201,G199/2,IF(G199&lt;=301,G199/3,G199/4))))</f>
        <v>1123.4241486000001</v>
      </c>
      <c r="I199" s="36"/>
      <c r="L199" s="113"/>
      <c r="M199" s="113"/>
      <c r="N199" s="36"/>
      <c r="T199" s="21"/>
    </row>
    <row r="200" spans="1:20" s="35" customFormat="1" x14ac:dyDescent="0.3">
      <c r="A200" s="270" t="s">
        <v>64</v>
      </c>
      <c r="B200" s="270"/>
      <c r="C200" s="270"/>
      <c r="D200" s="270"/>
      <c r="E200" s="270"/>
      <c r="F200" s="270"/>
      <c r="G200" s="270"/>
      <c r="H200" s="270"/>
      <c r="T200" s="37"/>
    </row>
    <row r="201" spans="1:20" s="35" customFormat="1" x14ac:dyDescent="0.3">
      <c r="A201" s="46" t="s">
        <v>151</v>
      </c>
      <c r="B201" s="108" t="s">
        <v>438</v>
      </c>
      <c r="C201" s="109"/>
      <c r="D201" s="109"/>
      <c r="E201" s="109"/>
      <c r="F201" s="109"/>
      <c r="G201" s="109"/>
      <c r="H201" s="110"/>
      <c r="T201" s="37"/>
    </row>
    <row r="202" spans="1:20" s="35" customFormat="1" x14ac:dyDescent="0.3">
      <c r="A202" s="46" t="s">
        <v>151</v>
      </c>
      <c r="B202" s="108" t="str">
        <f>(IF(H153="Saleable area Loading :","We have considered Saleable area of Flats as per our Calculation.","We considered Saleable area of Flat as per Builder area Sheet."))</f>
        <v>We have considered Saleable area of Flats as per our Calculation.</v>
      </c>
      <c r="C202" s="109"/>
      <c r="D202" s="109"/>
      <c r="E202" s="109"/>
      <c r="F202" s="109"/>
      <c r="G202" s="109"/>
      <c r="H202" s="110"/>
      <c r="T202" s="37"/>
    </row>
    <row r="203" spans="1:20" s="35" customFormat="1" hidden="1" x14ac:dyDescent="0.3">
      <c r="A203" s="46" t="s">
        <v>151</v>
      </c>
      <c r="B203" s="126" t="str">
        <f>(IF(H145="Saleable area Loading :","We have considered Saleable area of Commercial as per our Calculation.","We considered Saleable area of Commercial as per Builder area Sheet."))</f>
        <v>We have considered Saleable area of Commercial as per our Calculation.</v>
      </c>
      <c r="C203" s="127"/>
      <c r="D203" s="127"/>
      <c r="E203" s="127"/>
      <c r="F203" s="127"/>
      <c r="G203" s="127"/>
      <c r="H203" s="128"/>
      <c r="T203" s="37"/>
    </row>
    <row r="204" spans="1:20" s="35" customFormat="1" x14ac:dyDescent="0.3">
      <c r="A204" s="46" t="s">
        <v>151</v>
      </c>
      <c r="B204" s="164" t="s">
        <v>120</v>
      </c>
      <c r="C204" s="165"/>
      <c r="D204" s="165"/>
      <c r="E204" s="165"/>
      <c r="F204" s="165"/>
      <c r="G204" s="165"/>
      <c r="H204" s="166"/>
      <c r="T204" s="37"/>
    </row>
    <row r="205" spans="1:20" s="35" customFormat="1" x14ac:dyDescent="0.3">
      <c r="A205" s="46" t="s">
        <v>151</v>
      </c>
      <c r="B205" s="108" t="s">
        <v>439</v>
      </c>
      <c r="C205" s="109"/>
      <c r="D205" s="109"/>
      <c r="E205" s="109"/>
      <c r="F205" s="109"/>
      <c r="G205" s="109"/>
      <c r="H205" s="110"/>
      <c r="T205" s="37"/>
    </row>
    <row r="206" spans="1:20" s="35" customFormat="1" x14ac:dyDescent="0.3">
      <c r="A206" s="46" t="s">
        <v>151</v>
      </c>
      <c r="B206" s="164" t="s">
        <v>150</v>
      </c>
      <c r="C206" s="165"/>
      <c r="D206" s="165"/>
      <c r="E206" s="165"/>
      <c r="F206" s="165"/>
      <c r="G206" s="165"/>
      <c r="H206" s="166"/>
    </row>
    <row r="207" spans="1:20" s="35" customFormat="1" x14ac:dyDescent="0.3">
      <c r="A207" s="46" t="s">
        <v>151</v>
      </c>
      <c r="B207" s="164" t="s">
        <v>121</v>
      </c>
      <c r="C207" s="165"/>
      <c r="D207" s="165"/>
      <c r="E207" s="165"/>
      <c r="F207" s="165"/>
      <c r="G207" s="165"/>
      <c r="H207" s="166"/>
    </row>
    <row r="208" spans="1:20" s="35" customFormat="1" ht="34.5" customHeight="1" x14ac:dyDescent="0.3">
      <c r="A208" s="46" t="s">
        <v>151</v>
      </c>
      <c r="B208" s="108" t="s">
        <v>152</v>
      </c>
      <c r="C208" s="109"/>
      <c r="D208" s="109"/>
      <c r="E208" s="109"/>
      <c r="F208" s="109"/>
      <c r="G208" s="109"/>
      <c r="H208" s="110"/>
    </row>
    <row r="209" spans="1:20" s="35" customFormat="1" x14ac:dyDescent="0.3">
      <c r="A209" s="46" t="s">
        <v>151</v>
      </c>
      <c r="B209" s="164" t="s">
        <v>122</v>
      </c>
      <c r="C209" s="165"/>
      <c r="D209" s="165"/>
      <c r="E209" s="165"/>
      <c r="F209" s="165"/>
      <c r="G209" s="165"/>
      <c r="H209" s="166"/>
    </row>
    <row r="210" spans="1:20" s="35" customFormat="1" ht="32.25" hidden="1" customHeight="1" x14ac:dyDescent="0.3">
      <c r="A210" s="46" t="s">
        <v>151</v>
      </c>
      <c r="B210" s="126" t="s">
        <v>175</v>
      </c>
      <c r="C210" s="127"/>
      <c r="D210" s="127"/>
      <c r="E210" s="127"/>
      <c r="F210" s="127"/>
      <c r="G210" s="127"/>
      <c r="H210" s="128"/>
    </row>
    <row r="211" spans="1:20" s="35" customFormat="1" x14ac:dyDescent="0.3">
      <c r="A211" s="46" t="s">
        <v>151</v>
      </c>
      <c r="B211" s="108" t="s">
        <v>446</v>
      </c>
      <c r="C211" s="109"/>
      <c r="D211" s="109"/>
      <c r="E211" s="109"/>
      <c r="F211" s="109"/>
      <c r="G211" s="109"/>
      <c r="H211" s="110"/>
    </row>
    <row r="212" spans="1:20" s="35" customFormat="1" hidden="1" x14ac:dyDescent="0.3">
      <c r="A212" s="46" t="s">
        <v>151</v>
      </c>
      <c r="B212" s="126" t="s">
        <v>347</v>
      </c>
      <c r="C212" s="127"/>
      <c r="D212" s="127"/>
      <c r="E212" s="127"/>
      <c r="F212" s="127"/>
      <c r="G212" s="127"/>
      <c r="H212" s="128"/>
    </row>
    <row r="213" spans="1:20" s="35" customFormat="1" hidden="1" x14ac:dyDescent="0.3">
      <c r="A213" s="46" t="s">
        <v>151</v>
      </c>
      <c r="B213" s="126" t="str">
        <f ca="1">IF(G52&gt;EDATE(E3,-48),"NO REMARK FOR CC","REMARK FOR CC")</f>
        <v>NO REMARK FOR CC</v>
      </c>
      <c r="C213" s="127"/>
      <c r="D213" s="127"/>
      <c r="E213" s="127"/>
      <c r="F213" s="127"/>
      <c r="G213" s="127"/>
      <c r="H213" s="128"/>
    </row>
    <row r="214" spans="1:20" s="35" customFormat="1" ht="81.75" hidden="1" customHeight="1" x14ac:dyDescent="0.3">
      <c r="A214" s="46" t="s">
        <v>151</v>
      </c>
      <c r="B214" s="126" t="s">
        <v>348</v>
      </c>
      <c r="C214" s="127"/>
      <c r="D214" s="127"/>
      <c r="E214" s="127"/>
      <c r="F214" s="127"/>
      <c r="G214" s="127"/>
      <c r="H214" s="128"/>
    </row>
    <row r="215" spans="1:20" s="35" customFormat="1" ht="96.6" customHeight="1" x14ac:dyDescent="0.3">
      <c r="A215" s="46" t="s">
        <v>151</v>
      </c>
      <c r="B215" s="108" t="s">
        <v>448</v>
      </c>
      <c r="C215" s="109"/>
      <c r="D215" s="109"/>
      <c r="E215" s="109"/>
      <c r="F215" s="109"/>
      <c r="G215" s="109"/>
      <c r="H215" s="110"/>
    </row>
    <row r="216" spans="1:20" x14ac:dyDescent="0.3">
      <c r="A216" s="225" t="s">
        <v>57</v>
      </c>
      <c r="B216" s="225"/>
      <c r="C216" s="225"/>
      <c r="D216" s="225"/>
      <c r="E216" s="225"/>
      <c r="F216" s="225"/>
      <c r="G216" s="225"/>
      <c r="H216" s="225"/>
      <c r="T216" s="35"/>
    </row>
    <row r="217" spans="1:20" x14ac:dyDescent="0.3">
      <c r="A217" s="154" t="s">
        <v>58</v>
      </c>
      <c r="B217" s="154"/>
      <c r="C217" s="154"/>
      <c r="D217" s="154"/>
      <c r="E217" s="154"/>
      <c r="F217" s="154"/>
      <c r="G217" s="154"/>
      <c r="H217" s="154"/>
      <c r="T217" s="35"/>
    </row>
    <row r="218" spans="1:20" ht="15.75" customHeight="1" x14ac:dyDescent="0.3">
      <c r="A218" s="258" t="s">
        <v>59</v>
      </c>
      <c r="B218" s="258"/>
      <c r="C218" s="258"/>
      <c r="D218" s="258"/>
      <c r="E218" s="258"/>
      <c r="F218" s="258"/>
      <c r="G218" s="258"/>
      <c r="H218" s="258"/>
      <c r="T218" s="35"/>
    </row>
    <row r="219" spans="1:20" x14ac:dyDescent="0.3">
      <c r="A219" s="154" t="s">
        <v>60</v>
      </c>
      <c r="B219" s="154"/>
      <c r="C219" s="154"/>
      <c r="D219" s="154"/>
      <c r="E219" s="154"/>
      <c r="F219" s="154"/>
      <c r="G219" s="154"/>
      <c r="H219" s="154"/>
      <c r="T219" s="35"/>
    </row>
    <row r="220" spans="1:20" x14ac:dyDescent="0.3">
      <c r="A220" s="154" t="s">
        <v>61</v>
      </c>
      <c r="B220" s="154"/>
      <c r="C220" s="154"/>
      <c r="D220" s="154"/>
      <c r="E220" s="154"/>
      <c r="F220" s="154"/>
      <c r="G220" s="154"/>
      <c r="H220" s="154"/>
      <c r="T220" s="35"/>
    </row>
    <row r="221" spans="1:20" x14ac:dyDescent="0.3">
      <c r="A221" s="154" t="s">
        <v>123</v>
      </c>
      <c r="B221" s="154"/>
      <c r="C221" s="154"/>
      <c r="D221" s="154"/>
      <c r="E221" s="154"/>
      <c r="F221" s="154"/>
      <c r="G221" s="154"/>
      <c r="H221" s="154"/>
      <c r="T221" s="35"/>
    </row>
    <row r="222" spans="1:20" ht="33.9" customHeight="1" x14ac:dyDescent="0.3">
      <c r="A222" s="179" t="s">
        <v>124</v>
      </c>
      <c r="B222" s="179"/>
      <c r="C222" s="179"/>
      <c r="D222" s="179"/>
      <c r="E222" s="179"/>
      <c r="F222" s="179"/>
      <c r="G222" s="179"/>
      <c r="H222" s="179"/>
    </row>
    <row r="223" spans="1:20" x14ac:dyDescent="0.3">
      <c r="A223" s="251" t="s">
        <v>73</v>
      </c>
      <c r="B223" s="251"/>
      <c r="C223" s="251" t="s">
        <v>441</v>
      </c>
      <c r="D223" s="251"/>
      <c r="E223" s="251" t="s">
        <v>102</v>
      </c>
      <c r="F223" s="251"/>
      <c r="G223" s="251" t="s">
        <v>440</v>
      </c>
      <c r="H223" s="251"/>
    </row>
    <row r="224" spans="1:20" x14ac:dyDescent="0.3">
      <c r="A224" s="250" t="s">
        <v>75</v>
      </c>
      <c r="B224" s="250"/>
      <c r="C224" s="250"/>
      <c r="D224" s="250"/>
      <c r="E224" s="250"/>
      <c r="F224" s="250"/>
      <c r="G224" s="250"/>
      <c r="H224" s="250"/>
    </row>
    <row r="225" spans="1:8" x14ac:dyDescent="0.3">
      <c r="A225" s="250"/>
      <c r="B225" s="250"/>
      <c r="C225" s="250"/>
      <c r="D225" s="250"/>
      <c r="E225" s="250"/>
      <c r="F225" s="250"/>
      <c r="G225" s="250"/>
      <c r="H225" s="250"/>
    </row>
    <row r="226" spans="1:8" x14ac:dyDescent="0.3">
      <c r="A226" s="250"/>
      <c r="B226" s="250"/>
      <c r="C226" s="250"/>
      <c r="D226" s="250"/>
      <c r="E226" s="250"/>
      <c r="F226" s="250"/>
      <c r="G226" s="250"/>
      <c r="H226" s="250"/>
    </row>
    <row r="227" spans="1:8" x14ac:dyDescent="0.3">
      <c r="A227" s="250"/>
      <c r="B227" s="250"/>
      <c r="C227" s="250"/>
      <c r="D227" s="250"/>
      <c r="E227" s="250"/>
      <c r="F227" s="250"/>
      <c r="G227" s="250"/>
      <c r="H227" s="250"/>
    </row>
    <row r="228" spans="1:8" x14ac:dyDescent="0.3">
      <c r="A228" s="38" t="s">
        <v>62</v>
      </c>
      <c r="B228" s="39"/>
      <c r="C228" s="39"/>
      <c r="D228" s="38" t="str">
        <f>E9</f>
        <v xml:space="preserve">Regency Antilia Phase VIII Avana </v>
      </c>
      <c r="F228" s="39"/>
      <c r="G228" s="39"/>
      <c r="H228" s="39"/>
    </row>
    <row r="229" spans="1:8" x14ac:dyDescent="0.3">
      <c r="A229" s="39"/>
      <c r="B229" s="39"/>
      <c r="C229" s="39"/>
      <c r="D229" s="39"/>
      <c r="E229" s="39"/>
      <c r="F229" s="39"/>
      <c r="G229" s="39"/>
      <c r="H229" s="39"/>
    </row>
    <row r="230" spans="1:8" x14ac:dyDescent="0.3">
      <c r="A230" s="39"/>
      <c r="B230" s="39"/>
      <c r="C230" s="39"/>
      <c r="D230" s="39"/>
      <c r="E230" s="39"/>
      <c r="F230" s="39"/>
      <c r="G230" s="39"/>
      <c r="H230" s="39"/>
    </row>
    <row r="231" spans="1:8" ht="15" customHeight="1" x14ac:dyDescent="0.3"/>
    <row r="270" spans="1:1" x14ac:dyDescent="0.3">
      <c r="A270" s="41" t="s">
        <v>162</v>
      </c>
    </row>
    <row r="312" spans="1:1" x14ac:dyDescent="0.3">
      <c r="A312" s="41" t="s">
        <v>63</v>
      </c>
    </row>
  </sheetData>
  <mergeCells count="410">
    <mergeCell ref="A81:B81"/>
    <mergeCell ref="G80:H80"/>
    <mergeCell ref="A89:B89"/>
    <mergeCell ref="A90:B90"/>
    <mergeCell ref="A85:B85"/>
    <mergeCell ref="A84:B84"/>
    <mergeCell ref="E80:F80"/>
    <mergeCell ref="A82:B82"/>
    <mergeCell ref="E138:F138"/>
    <mergeCell ref="A87:B87"/>
    <mergeCell ref="I15:P15"/>
    <mergeCell ref="F129:H129"/>
    <mergeCell ref="F127:H127"/>
    <mergeCell ref="A144:H144"/>
    <mergeCell ref="G133:H133"/>
    <mergeCell ref="A128:E128"/>
    <mergeCell ref="A149:B149"/>
    <mergeCell ref="A62:B62"/>
    <mergeCell ref="C62:E62"/>
    <mergeCell ref="D64:H64"/>
    <mergeCell ref="F128:H128"/>
    <mergeCell ref="E133:F133"/>
    <mergeCell ref="A133:B133"/>
    <mergeCell ref="A135:B135"/>
    <mergeCell ref="C138:D138"/>
    <mergeCell ref="D74:H74"/>
    <mergeCell ref="D65:H65"/>
    <mergeCell ref="G62:H62"/>
    <mergeCell ref="A55:B56"/>
    <mergeCell ref="A86:B86"/>
    <mergeCell ref="A50:B50"/>
    <mergeCell ref="D69:H69"/>
    <mergeCell ref="A74:C74"/>
    <mergeCell ref="A221:H221"/>
    <mergeCell ref="A218:H218"/>
    <mergeCell ref="A138:B138"/>
    <mergeCell ref="D153:D154"/>
    <mergeCell ref="E153:E154"/>
    <mergeCell ref="A99:B99"/>
    <mergeCell ref="A101:B101"/>
    <mergeCell ref="F120:H120"/>
    <mergeCell ref="G134:H134"/>
    <mergeCell ref="A104:B104"/>
    <mergeCell ref="F126:H126"/>
    <mergeCell ref="C133:D133"/>
    <mergeCell ref="A158:H158"/>
    <mergeCell ref="B205:H205"/>
    <mergeCell ref="B213:H213"/>
    <mergeCell ref="B212:H212"/>
    <mergeCell ref="F122:H122"/>
    <mergeCell ref="A126:E126"/>
    <mergeCell ref="A217:H217"/>
    <mergeCell ref="A125:E125"/>
    <mergeCell ref="A152:H152"/>
    <mergeCell ref="A200:H200"/>
    <mergeCell ref="A143:H143"/>
    <mergeCell ref="A153:A154"/>
    <mergeCell ref="A103:B103"/>
    <mergeCell ref="A122:E122"/>
    <mergeCell ref="A119:E119"/>
    <mergeCell ref="F123:H123"/>
    <mergeCell ref="A123:E123"/>
    <mergeCell ref="A162:B162"/>
    <mergeCell ref="B208:H208"/>
    <mergeCell ref="G145:G146"/>
    <mergeCell ref="B201:H201"/>
    <mergeCell ref="B202:H202"/>
    <mergeCell ref="B204:H204"/>
    <mergeCell ref="F119:H119"/>
    <mergeCell ref="F124:H124"/>
    <mergeCell ref="A159:B159"/>
    <mergeCell ref="A151:B151"/>
    <mergeCell ref="A150:B150"/>
    <mergeCell ref="F125:H125"/>
    <mergeCell ref="F153:F154"/>
    <mergeCell ref="A127:E127"/>
    <mergeCell ref="A224:H227"/>
    <mergeCell ref="A223:B223"/>
    <mergeCell ref="E223:F223"/>
    <mergeCell ref="C223:D223"/>
    <mergeCell ref="G223:H223"/>
    <mergeCell ref="A132:H132"/>
    <mergeCell ref="A130:E130"/>
    <mergeCell ref="F130:H130"/>
    <mergeCell ref="A131:E131"/>
    <mergeCell ref="F131:H131"/>
    <mergeCell ref="A139:B139"/>
    <mergeCell ref="A134:B134"/>
    <mergeCell ref="A219:H219"/>
    <mergeCell ref="A137:H137"/>
    <mergeCell ref="A222:H222"/>
    <mergeCell ref="A220:H220"/>
    <mergeCell ref="A216:H216"/>
    <mergeCell ref="G138:H138"/>
    <mergeCell ref="B206:H206"/>
    <mergeCell ref="D145:D146"/>
    <mergeCell ref="G140:H140"/>
    <mergeCell ref="B210:H210"/>
    <mergeCell ref="A142:B142"/>
    <mergeCell ref="C142:D14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79:B79"/>
    <mergeCell ref="A77:B77"/>
    <mergeCell ref="C77:H77"/>
    <mergeCell ref="A72:C72"/>
    <mergeCell ref="D72:H72"/>
    <mergeCell ref="C79:H79"/>
    <mergeCell ref="A73:C73"/>
    <mergeCell ref="D73:H73"/>
    <mergeCell ref="A76:C76"/>
    <mergeCell ref="D76:H76"/>
    <mergeCell ref="A75:C75"/>
    <mergeCell ref="D75:H75"/>
    <mergeCell ref="A66:C66"/>
    <mergeCell ref="A45:D45"/>
    <mergeCell ref="A49:B49"/>
    <mergeCell ref="C49:H49"/>
    <mergeCell ref="A67:C69"/>
    <mergeCell ref="D67:H67"/>
    <mergeCell ref="D68:H68"/>
    <mergeCell ref="G53:H53"/>
    <mergeCell ref="G52:H52"/>
    <mergeCell ref="A63:H63"/>
    <mergeCell ref="A59:B61"/>
    <mergeCell ref="C61:H61"/>
    <mergeCell ref="C59:E60"/>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E42:H42"/>
    <mergeCell ref="A41:H41"/>
    <mergeCell ref="A46:D46"/>
    <mergeCell ref="A47:D47"/>
    <mergeCell ref="A44:D44"/>
    <mergeCell ref="E44:H44"/>
    <mergeCell ref="E45:H45"/>
    <mergeCell ref="A38:H38"/>
    <mergeCell ref="L151:M151"/>
    <mergeCell ref="L150:M150"/>
    <mergeCell ref="L149:M149"/>
    <mergeCell ref="L148:M148"/>
    <mergeCell ref="A88:B88"/>
    <mergeCell ref="C139:D139"/>
    <mergeCell ref="E139:F139"/>
    <mergeCell ref="G139:H139"/>
    <mergeCell ref="A120:E120"/>
    <mergeCell ref="A91:B91"/>
    <mergeCell ref="C91:H91"/>
    <mergeCell ref="A147:H147"/>
    <mergeCell ref="E145:E146"/>
    <mergeCell ref="A95:B95"/>
    <mergeCell ref="C93:H93"/>
    <mergeCell ref="A96:B96"/>
    <mergeCell ref="A97:B97"/>
    <mergeCell ref="G95:H104"/>
    <mergeCell ref="A98:B98"/>
    <mergeCell ref="F121:H121"/>
    <mergeCell ref="A121:E121"/>
    <mergeCell ref="A93:B93"/>
    <mergeCell ref="C54:H54"/>
    <mergeCell ref="A40:B40"/>
    <mergeCell ref="C40:H40"/>
    <mergeCell ref="F145:F146"/>
    <mergeCell ref="C134:D134"/>
    <mergeCell ref="E134:F134"/>
    <mergeCell ref="B145:B146"/>
    <mergeCell ref="A145:A146"/>
    <mergeCell ref="C153:C154"/>
    <mergeCell ref="G153:G154"/>
    <mergeCell ref="A113:B113"/>
    <mergeCell ref="A116:B116"/>
    <mergeCell ref="A64:C64"/>
    <mergeCell ref="A70:C70"/>
    <mergeCell ref="A71:C71"/>
    <mergeCell ref="D70:H70"/>
    <mergeCell ref="A65:C65"/>
    <mergeCell ref="G60:H60"/>
    <mergeCell ref="A80:B80"/>
    <mergeCell ref="D71:H71"/>
    <mergeCell ref="E46:H46"/>
    <mergeCell ref="E47:H47"/>
    <mergeCell ref="C58:H58"/>
    <mergeCell ref="A48:H48"/>
    <mergeCell ref="D66:H66"/>
    <mergeCell ref="A117:B117"/>
    <mergeCell ref="A83:B83"/>
    <mergeCell ref="E81:F90"/>
    <mergeCell ref="G81:H90"/>
    <mergeCell ref="B211:H211"/>
    <mergeCell ref="A124:E124"/>
    <mergeCell ref="E142:F142"/>
    <mergeCell ref="A129:E129"/>
    <mergeCell ref="G142:H142"/>
    <mergeCell ref="C135:D135"/>
    <mergeCell ref="E135:F135"/>
    <mergeCell ref="G135:H135"/>
    <mergeCell ref="A136:B136"/>
    <mergeCell ref="C136:D136"/>
    <mergeCell ref="E136:F136"/>
    <mergeCell ref="G136:H136"/>
    <mergeCell ref="A140:B140"/>
    <mergeCell ref="C140:D140"/>
    <mergeCell ref="E140:F140"/>
    <mergeCell ref="A100:B100"/>
    <mergeCell ref="G94:H94"/>
    <mergeCell ref="B209:H209"/>
    <mergeCell ref="B207:H207"/>
    <mergeCell ref="A148:B148"/>
    <mergeCell ref="A102:B102"/>
    <mergeCell ref="B214:H214"/>
    <mergeCell ref="A118:B118"/>
    <mergeCell ref="C145:C146"/>
    <mergeCell ref="B153:B154"/>
    <mergeCell ref="B203:H203"/>
    <mergeCell ref="A94:B94"/>
    <mergeCell ref="E94:F94"/>
    <mergeCell ref="E95:F104"/>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A114:B114"/>
    <mergeCell ref="A115:B115"/>
    <mergeCell ref="A155:H155"/>
    <mergeCell ref="A156:H156"/>
    <mergeCell ref="A157:H157"/>
    <mergeCell ref="A163:H163"/>
    <mergeCell ref="A164:B164"/>
    <mergeCell ref="L164:M164"/>
    <mergeCell ref="A165:B165"/>
    <mergeCell ref="L165:M165"/>
    <mergeCell ref="A166:B166"/>
    <mergeCell ref="L166:M166"/>
    <mergeCell ref="L162:M162"/>
    <mergeCell ref="L159:M159"/>
    <mergeCell ref="A160:B160"/>
    <mergeCell ref="L160:M160"/>
    <mergeCell ref="A161:B161"/>
    <mergeCell ref="L161:M161"/>
    <mergeCell ref="A167:B167"/>
    <mergeCell ref="L167:M167"/>
    <mergeCell ref="A168:H168"/>
    <mergeCell ref="A169:H169"/>
    <mergeCell ref="A170:H170"/>
    <mergeCell ref="A171:B171"/>
    <mergeCell ref="L171:M171"/>
    <mergeCell ref="A172:B172"/>
    <mergeCell ref="L172:M172"/>
    <mergeCell ref="A173:B173"/>
    <mergeCell ref="L173:M173"/>
    <mergeCell ref="A174:B174"/>
    <mergeCell ref="L174:M174"/>
    <mergeCell ref="A179:H179"/>
    <mergeCell ref="A180:B180"/>
    <mergeCell ref="L180:M180"/>
    <mergeCell ref="A181:B181"/>
    <mergeCell ref="L181:M181"/>
    <mergeCell ref="A195:H195"/>
    <mergeCell ref="A196:B196"/>
    <mergeCell ref="L196:M196"/>
    <mergeCell ref="A182:B182"/>
    <mergeCell ref="L182:M182"/>
    <mergeCell ref="A183:B183"/>
    <mergeCell ref="L183:M183"/>
    <mergeCell ref="A188:H188"/>
    <mergeCell ref="A189:H189"/>
    <mergeCell ref="A190:H190"/>
    <mergeCell ref="A191:B191"/>
    <mergeCell ref="L191:M191"/>
    <mergeCell ref="L186:M186"/>
    <mergeCell ref="A187:B187"/>
    <mergeCell ref="L187:M187"/>
    <mergeCell ref="C187:H187"/>
    <mergeCell ref="A192:B192"/>
    <mergeCell ref="L192:M192"/>
    <mergeCell ref="A193:B193"/>
    <mergeCell ref="L193:M193"/>
    <mergeCell ref="A194:B194"/>
    <mergeCell ref="L194:M194"/>
    <mergeCell ref="A141:B141"/>
    <mergeCell ref="C141:D141"/>
    <mergeCell ref="E141:F141"/>
    <mergeCell ref="G141:H141"/>
    <mergeCell ref="B215:H215"/>
    <mergeCell ref="A197:B197"/>
    <mergeCell ref="L197:M197"/>
    <mergeCell ref="A198:B198"/>
    <mergeCell ref="L198:M198"/>
    <mergeCell ref="A199:B199"/>
    <mergeCell ref="L199:M199"/>
    <mergeCell ref="A175:B175"/>
    <mergeCell ref="L175:M175"/>
    <mergeCell ref="A176:B176"/>
    <mergeCell ref="L176:M176"/>
    <mergeCell ref="A177:B177"/>
    <mergeCell ref="L177:M177"/>
    <mergeCell ref="A178:B178"/>
    <mergeCell ref="L178:M178"/>
    <mergeCell ref="A184:B184"/>
    <mergeCell ref="L184:M184"/>
    <mergeCell ref="A185:B185"/>
    <mergeCell ref="L185:M185"/>
    <mergeCell ref="A186:B186"/>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5:E146" xr:uid="{00000000-0002-0000-0000-000003000000}">
      <formula1>"Attached Loft area,Attached Otla area,Attached Mezzanine area"</formula1>
    </dataValidation>
    <dataValidation type="list" allowBlank="1" showInputMessage="1" showErrorMessage="1" sqref="G223:H223" xr:uid="{00000000-0002-0000-0000-000004000000}">
      <formula1>"Kunal Kadam,Pranita Mhatre,Shruti Fule,Pooja Kawale,Gaurav Panchal,Shruti Tathare, Dipti Gothawade,Saurav Panse,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F130:H130" xr:uid="{00000000-0002-0000-0000-000006000000}">
      <formula1>OFFSET($S$119,1,MATCH($G20,$S$119:$W$119,0)-1,15,1)</formula1>
    </dataValidation>
    <dataValidation type="list" allowBlank="1" showInputMessage="1" showErrorMessage="1" sqref="B145:B146" xr:uid="{00000000-0002-0000-0000-000007000000}">
      <formula1>"Shop No. (Sale Plan),Sale / Rehab,Sale / Mhada"</formula1>
    </dataValidation>
    <dataValidation type="list" allowBlank="1" showInputMessage="1" showErrorMessage="1" sqref="B153:B15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3:E154" xr:uid="{00000000-0002-0000-0000-00000B000000}">
      <formula1>"Fungible area,Balcony Area + FB Area + Service Slab,Chajja Area,Cornice Area,AP Area,WS Area"</formula1>
    </dataValidation>
    <dataValidation type="list" allowBlank="1" showInputMessage="1" showErrorMessage="1" sqref="H146 H15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5 H153" xr:uid="{00000000-0002-0000-0000-00000F000000}">
      <formula1>"Saleable area Loading :,Builder Saleable Area"</formula1>
    </dataValidation>
    <dataValidation type="list" allowBlank="1" showInputMessage="1" showErrorMessage="1" sqref="D145:D146" xr:uid="{00000000-0002-0000-0000-000010000000}">
      <formula1>"Carpet area,RERA Carpet area"</formula1>
    </dataValidation>
    <dataValidation type="list" allowBlank="1" showInputMessage="1" showErrorMessage="1" sqref="D153:D154" xr:uid="{00000000-0002-0000-0000-000011000000}">
      <formula1>"Carpet Area,Carpet + Encl Balcony Area,RERA Carpet area"</formula1>
    </dataValidation>
  </dataValidations>
  <hyperlinks>
    <hyperlink ref="C40" r:id="rId1" xr:uid="{CAEBB68B-1154-4A58-9147-8BD6CC4783CE}"/>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&amp;F&amp;R&amp;"Times New Roman,Bold"&amp;12&amp;P</oddFooter>
  </headerFooter>
  <rowBreaks count="4" manualBreakCount="4">
    <brk id="76" max="7" man="1"/>
    <brk id="227" max="16383" man="1"/>
    <brk id="269" max="16383" man="1"/>
    <brk id="31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74" t="s">
        <v>103</v>
      </c>
      <c r="C3" s="274"/>
      <c r="D3" s="274"/>
      <c r="E3" s="274"/>
      <c r="F3" s="274"/>
      <c r="G3" s="274"/>
      <c r="H3" s="274"/>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3"/>
      <c r="C4" s="53" t="s">
        <v>11</v>
      </c>
      <c r="D4" s="54" t="s">
        <v>176</v>
      </c>
      <c r="E4" s="54" t="s">
        <v>186</v>
      </c>
      <c r="F4" s="54" t="s">
        <v>170</v>
      </c>
      <c r="G4" s="54" t="s">
        <v>191</v>
      </c>
      <c r="H4" s="54" t="s">
        <v>209</v>
      </c>
      <c r="J4" t="s">
        <v>191</v>
      </c>
      <c r="K4" t="s">
        <v>207</v>
      </c>
    </row>
    <row r="5" spans="2:11" x14ac:dyDescent="0.3">
      <c r="B5" s="53"/>
      <c r="C5" s="53"/>
      <c r="D5" s="54" t="s">
        <v>177</v>
      </c>
      <c r="E5" s="54" t="s">
        <v>184</v>
      </c>
      <c r="F5" s="54" t="s">
        <v>206</v>
      </c>
      <c r="G5" s="54" t="s">
        <v>192</v>
      </c>
      <c r="H5" s="54" t="s">
        <v>210</v>
      </c>
    </row>
    <row r="6" spans="2:11" x14ac:dyDescent="0.3">
      <c r="B6" s="53"/>
      <c r="C6" s="53"/>
      <c r="D6" s="54" t="s">
        <v>178</v>
      </c>
      <c r="E6" s="54" t="s">
        <v>185</v>
      </c>
      <c r="F6" s="54" t="s">
        <v>207</v>
      </c>
      <c r="G6" s="54" t="s">
        <v>193</v>
      </c>
      <c r="H6" s="54" t="s">
        <v>223</v>
      </c>
    </row>
    <row r="7" spans="2:11" x14ac:dyDescent="0.3">
      <c r="B7" s="53"/>
      <c r="C7" s="53"/>
      <c r="D7" s="54" t="s">
        <v>179</v>
      </c>
      <c r="E7" s="54" t="s">
        <v>187</v>
      </c>
      <c r="F7" s="54" t="s">
        <v>208</v>
      </c>
      <c r="G7" s="54" t="s">
        <v>194</v>
      </c>
      <c r="H7" s="54" t="s">
        <v>211</v>
      </c>
    </row>
    <row r="8" spans="2:11" x14ac:dyDescent="0.3">
      <c r="B8" s="53"/>
      <c r="C8" s="53"/>
      <c r="D8" s="54" t="s">
        <v>180</v>
      </c>
      <c r="E8" s="54" t="s">
        <v>188</v>
      </c>
      <c r="F8" s="54"/>
      <c r="G8" s="54" t="s">
        <v>195</v>
      </c>
      <c r="H8" s="54" t="s">
        <v>212</v>
      </c>
    </row>
    <row r="9" spans="2:11" x14ac:dyDescent="0.3">
      <c r="B9" s="53"/>
      <c r="C9" s="53"/>
      <c r="D9" s="54" t="s">
        <v>181</v>
      </c>
      <c r="E9" s="54" t="s">
        <v>186</v>
      </c>
      <c r="F9" s="54"/>
      <c r="G9" s="54" t="s">
        <v>196</v>
      </c>
      <c r="H9" s="54" t="s">
        <v>213</v>
      </c>
    </row>
    <row r="10" spans="2:11" x14ac:dyDescent="0.3">
      <c r="B10" s="53"/>
      <c r="C10" s="53"/>
      <c r="D10" s="54" t="s">
        <v>182</v>
      </c>
      <c r="E10" s="54" t="s">
        <v>189</v>
      </c>
      <c r="F10" s="54"/>
      <c r="G10" s="54" t="s">
        <v>197</v>
      </c>
      <c r="H10" s="54" t="s">
        <v>214</v>
      </c>
    </row>
    <row r="11" spans="2:11" x14ac:dyDescent="0.3">
      <c r="B11" s="53"/>
      <c r="C11" s="53"/>
      <c r="D11" s="54" t="s">
        <v>183</v>
      </c>
      <c r="E11" s="54" t="s">
        <v>190</v>
      </c>
      <c r="F11" s="54"/>
      <c r="G11" s="54" t="s">
        <v>198</v>
      </c>
      <c r="H11" s="54" t="s">
        <v>215</v>
      </c>
    </row>
    <row r="12" spans="2:11" x14ac:dyDescent="0.3">
      <c r="B12" s="53"/>
      <c r="C12" s="53"/>
      <c r="D12" s="54"/>
      <c r="E12" s="54"/>
      <c r="F12" s="54"/>
      <c r="G12" s="54" t="s">
        <v>199</v>
      </c>
      <c r="H12" s="54" t="s">
        <v>216</v>
      </c>
    </row>
    <row r="13" spans="2:11" x14ac:dyDescent="0.3">
      <c r="B13" s="53"/>
      <c r="C13" s="53"/>
      <c r="D13" s="54"/>
      <c r="E13" s="54"/>
      <c r="F13" s="54"/>
      <c r="G13" s="54" t="s">
        <v>200</v>
      </c>
      <c r="H13" s="54" t="s">
        <v>217</v>
      </c>
    </row>
    <row r="14" spans="2:11" x14ac:dyDescent="0.3">
      <c r="B14" s="53"/>
      <c r="C14" s="53"/>
      <c r="D14" s="54"/>
      <c r="E14" s="54"/>
      <c r="F14" s="54"/>
      <c r="G14" s="54" t="s">
        <v>201</v>
      </c>
      <c r="H14" s="54" t="s">
        <v>218</v>
      </c>
    </row>
    <row r="15" spans="2:11" x14ac:dyDescent="0.3">
      <c r="B15" s="53"/>
      <c r="C15" s="53"/>
      <c r="D15" s="54"/>
      <c r="E15" s="54"/>
      <c r="F15" s="54"/>
      <c r="G15" s="54" t="s">
        <v>202</v>
      </c>
      <c r="H15" s="54" t="s">
        <v>219</v>
      </c>
    </row>
    <row r="16" spans="2:11" x14ac:dyDescent="0.3">
      <c r="B16" s="53"/>
      <c r="C16" s="53"/>
      <c r="D16" s="54"/>
      <c r="E16" s="54"/>
      <c r="F16" s="54"/>
      <c r="G16" s="54" t="s">
        <v>203</v>
      </c>
      <c r="H16" s="54" t="s">
        <v>220</v>
      </c>
    </row>
    <row r="17" spans="2:8" x14ac:dyDescent="0.3">
      <c r="B17" s="53"/>
      <c r="C17" s="53"/>
      <c r="D17" s="54"/>
      <c r="E17" s="54"/>
      <c r="F17" s="54"/>
      <c r="G17" s="54" t="s">
        <v>204</v>
      </c>
      <c r="H17" s="54" t="s">
        <v>221</v>
      </c>
    </row>
    <row r="18" spans="2:8" x14ac:dyDescent="0.3">
      <c r="B18" s="53"/>
      <c r="C18" s="53"/>
      <c r="D18" s="54"/>
      <c r="E18" s="54"/>
      <c r="F18" s="54"/>
      <c r="G18" s="54" t="s">
        <v>205</v>
      </c>
      <c r="H18" s="54" t="s">
        <v>222</v>
      </c>
    </row>
    <row r="24" spans="2:8" x14ac:dyDescent="0.3">
      <c r="C24" t="s">
        <v>167</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167</v>
      </c>
    </row>
    <row r="33" spans="3:11" x14ac:dyDescent="0.3">
      <c r="J33">
        <v>1</v>
      </c>
      <c r="K33">
        <v>2</v>
      </c>
    </row>
    <row r="34" spans="3:11" x14ac:dyDescent="0.3">
      <c r="C34" s="56" t="s">
        <v>233</v>
      </c>
      <c r="D34" s="54" t="s">
        <v>231</v>
      </c>
      <c r="E34" s="54" t="s">
        <v>236</v>
      </c>
      <c r="F34" s="54" t="s">
        <v>234</v>
      </c>
      <c r="G34" s="54" t="s">
        <v>235</v>
      </c>
      <c r="H34" s="54" t="s">
        <v>237</v>
      </c>
      <c r="J34" t="s">
        <v>191</v>
      </c>
      <c r="K34" t="s">
        <v>207</v>
      </c>
    </row>
    <row r="35" spans="3:11" x14ac:dyDescent="0.3">
      <c r="C35" s="53" t="s">
        <v>232</v>
      </c>
      <c r="D35" s="54" t="s">
        <v>168</v>
      </c>
      <c r="E35" s="54" t="s">
        <v>241</v>
      </c>
      <c r="F35" s="54" t="s">
        <v>243</v>
      </c>
      <c r="G35" s="54" t="s">
        <v>245</v>
      </c>
      <c r="H35" s="54"/>
    </row>
    <row r="36" spans="3:11" x14ac:dyDescent="0.3">
      <c r="C36" s="53"/>
      <c r="D36" s="54" t="s">
        <v>238</v>
      </c>
      <c r="E36" s="54" t="s">
        <v>242</v>
      </c>
      <c r="F36" s="54" t="s">
        <v>244</v>
      </c>
      <c r="G36" s="54" t="s">
        <v>246</v>
      </c>
      <c r="H36" s="54"/>
    </row>
    <row r="37" spans="3:11" x14ac:dyDescent="0.3">
      <c r="C37" s="53"/>
      <c r="D37" s="54" t="s">
        <v>239</v>
      </c>
      <c r="E37" s="54"/>
      <c r="F37" s="54"/>
      <c r="G37" s="54" t="s">
        <v>247</v>
      </c>
      <c r="H37" s="54"/>
    </row>
    <row r="38" spans="3:11" x14ac:dyDescent="0.3">
      <c r="C38" s="53"/>
      <c r="D38" s="54" t="s">
        <v>240</v>
      </c>
      <c r="E38" s="54"/>
      <c r="F38" s="54"/>
      <c r="G38" s="54" t="s">
        <v>247</v>
      </c>
      <c r="H38" s="54"/>
    </row>
    <row r="39" spans="3:11" x14ac:dyDescent="0.3">
      <c r="C39" s="53"/>
      <c r="D39" s="54"/>
      <c r="E39" s="54"/>
      <c r="F39" s="54"/>
      <c r="G39" s="54" t="s">
        <v>248</v>
      </c>
      <c r="H39" s="54"/>
    </row>
    <row r="40" spans="3:11" x14ac:dyDescent="0.3">
      <c r="C40" s="53"/>
      <c r="D40" s="54"/>
      <c r="E40" s="54"/>
      <c r="F40" s="54"/>
      <c r="G40" s="54" t="s">
        <v>249</v>
      </c>
      <c r="H40" s="54"/>
    </row>
    <row r="41" spans="3:11" x14ac:dyDescent="0.3">
      <c r="C41" s="53"/>
      <c r="D41" s="54"/>
      <c r="E41" s="54"/>
      <c r="F41" s="54"/>
      <c r="G41" s="54"/>
      <c r="H41" s="54"/>
    </row>
    <row r="43" spans="3:11" x14ac:dyDescent="0.3">
      <c r="C43" t="s">
        <v>250</v>
      </c>
    </row>
    <row r="44" spans="3:11" x14ac:dyDescent="0.3">
      <c r="C44" t="s">
        <v>170</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176</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191</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186</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52" zoomScaleNormal="100" workbookViewId="0">
      <selection activeCell="C40" sqref="C40"/>
    </sheetView>
  </sheetViews>
  <sheetFormatPr defaultRowHeight="14.4" x14ac:dyDescent="0.3"/>
  <cols>
    <col min="2" max="2" width="3" bestFit="1" customWidth="1"/>
    <col min="3" max="3" width="155.33203125" customWidth="1"/>
  </cols>
  <sheetData>
    <row r="2" spans="2:3" ht="15" customHeight="1" x14ac:dyDescent="0.3">
      <c r="B2" s="57">
        <v>1</v>
      </c>
      <c r="C2" s="59" t="s">
        <v>280</v>
      </c>
    </row>
    <row r="3" spans="2:3" x14ac:dyDescent="0.3">
      <c r="B3" s="57">
        <v>2</v>
      </c>
      <c r="C3" s="58" t="s">
        <v>281</v>
      </c>
    </row>
    <row r="4" spans="2:3" x14ac:dyDescent="0.3">
      <c r="B4" s="57">
        <v>3</v>
      </c>
      <c r="C4" s="57" t="s">
        <v>282</v>
      </c>
    </row>
    <row r="5" spans="2:3" x14ac:dyDescent="0.3">
      <c r="B5" s="57">
        <v>4</v>
      </c>
      <c r="C5" s="58" t="s">
        <v>283</v>
      </c>
    </row>
    <row r="6" spans="2:3" x14ac:dyDescent="0.3">
      <c r="B6" s="57">
        <v>5</v>
      </c>
      <c r="C6" s="57" t="s">
        <v>284</v>
      </c>
    </row>
    <row r="7" spans="2:3" x14ac:dyDescent="0.3">
      <c r="B7" s="57">
        <v>6</v>
      </c>
      <c r="C7" s="58" t="s">
        <v>285</v>
      </c>
    </row>
    <row r="8" spans="2:3" ht="72" x14ac:dyDescent="0.3">
      <c r="B8" s="57">
        <v>7</v>
      </c>
      <c r="C8" s="58" t="s">
        <v>286</v>
      </c>
    </row>
    <row r="9" spans="2:3" x14ac:dyDescent="0.3">
      <c r="B9" s="57">
        <v>8</v>
      </c>
      <c r="C9" s="57" t="s">
        <v>287</v>
      </c>
    </row>
    <row r="10" spans="2:3" x14ac:dyDescent="0.3">
      <c r="B10" s="57">
        <v>9</v>
      </c>
      <c r="C10" s="57" t="s">
        <v>288</v>
      </c>
    </row>
    <row r="11" spans="2:3" x14ac:dyDescent="0.3">
      <c r="B11" s="57">
        <v>10</v>
      </c>
      <c r="C11" s="57" t="s">
        <v>289</v>
      </c>
    </row>
    <row r="12" spans="2:3" x14ac:dyDescent="0.3">
      <c r="B12" s="57">
        <v>11</v>
      </c>
      <c r="C12" s="57" t="s">
        <v>290</v>
      </c>
    </row>
    <row r="13" spans="2:3" x14ac:dyDescent="0.3">
      <c r="B13" s="57">
        <v>12</v>
      </c>
      <c r="C13" s="57" t="s">
        <v>291</v>
      </c>
    </row>
    <row r="14" spans="2:3" x14ac:dyDescent="0.3">
      <c r="B14" s="57">
        <v>13</v>
      </c>
      <c r="C14" s="57" t="s">
        <v>292</v>
      </c>
    </row>
    <row r="15" spans="2:3" x14ac:dyDescent="0.3">
      <c r="B15" s="57">
        <v>14</v>
      </c>
      <c r="C15" s="57" t="s">
        <v>282</v>
      </c>
    </row>
    <row r="16" spans="2:3" x14ac:dyDescent="0.3">
      <c r="B16" s="57">
        <v>15</v>
      </c>
      <c r="C16" s="57" t="s">
        <v>294</v>
      </c>
    </row>
    <row r="17" spans="2:3" x14ac:dyDescent="0.3">
      <c r="B17" s="77">
        <v>16</v>
      </c>
      <c r="C17" s="63" t="s">
        <v>295</v>
      </c>
    </row>
    <row r="18" spans="2:3" x14ac:dyDescent="0.3">
      <c r="B18" s="62">
        <v>17</v>
      </c>
      <c r="C18" s="63" t="s">
        <v>296</v>
      </c>
    </row>
    <row r="19" spans="2:3" x14ac:dyDescent="0.3">
      <c r="B19" s="61">
        <v>18</v>
      </c>
      <c r="C19" s="57" t="s">
        <v>297</v>
      </c>
    </row>
    <row r="20" spans="2:3" x14ac:dyDescent="0.3">
      <c r="B20" s="62">
        <v>19</v>
      </c>
      <c r="C20" s="57" t="s">
        <v>333</v>
      </c>
    </row>
    <row r="21" spans="2:3" x14ac:dyDescent="0.3">
      <c r="B21" s="57">
        <v>20</v>
      </c>
      <c r="C21" s="57" t="s">
        <v>298</v>
      </c>
    </row>
    <row r="22" spans="2:3" x14ac:dyDescent="0.3">
      <c r="B22" s="62">
        <v>21</v>
      </c>
      <c r="C22" s="57" t="s">
        <v>297</v>
      </c>
    </row>
    <row r="23" spans="2:3" s="72" customFormat="1" ht="29.25" customHeight="1" x14ac:dyDescent="0.3">
      <c r="B23" s="71">
        <v>22</v>
      </c>
      <c r="C23" s="59" t="s">
        <v>325</v>
      </c>
    </row>
    <row r="24" spans="2:3" s="72" customFormat="1" ht="30.75" customHeight="1" x14ac:dyDescent="0.3">
      <c r="B24" s="73">
        <v>23</v>
      </c>
      <c r="C24" s="59" t="s">
        <v>326</v>
      </c>
    </row>
    <row r="25" spans="2:3" x14ac:dyDescent="0.3">
      <c r="B25" s="57">
        <v>24</v>
      </c>
      <c r="C25" s="57" t="s">
        <v>329</v>
      </c>
    </row>
    <row r="26" spans="2:3" x14ac:dyDescent="0.3">
      <c r="B26" s="62">
        <v>25</v>
      </c>
      <c r="C26" s="57" t="s">
        <v>327</v>
      </c>
    </row>
    <row r="27" spans="2:3" x14ac:dyDescent="0.3">
      <c r="B27" s="73">
        <v>26</v>
      </c>
      <c r="C27" s="57" t="s">
        <v>328</v>
      </c>
    </row>
    <row r="28" spans="2:3" x14ac:dyDescent="0.3">
      <c r="B28" s="62">
        <v>27</v>
      </c>
      <c r="C28" s="57" t="s">
        <v>330</v>
      </c>
    </row>
    <row r="29" spans="2:3" ht="43.2" x14ac:dyDescent="0.3">
      <c r="B29" s="76">
        <v>28</v>
      </c>
      <c r="C29" s="58" t="s">
        <v>331</v>
      </c>
    </row>
    <row r="30" spans="2:3" x14ac:dyDescent="0.3">
      <c r="B30" s="73">
        <v>29</v>
      </c>
      <c r="C30" s="57" t="s">
        <v>332</v>
      </c>
    </row>
    <row r="31" spans="2:3" ht="28.8" x14ac:dyDescent="0.3">
      <c r="B31" s="73">
        <v>30</v>
      </c>
      <c r="C31" s="58" t="s">
        <v>334</v>
      </c>
    </row>
    <row r="32" spans="2:3" x14ac:dyDescent="0.3">
      <c r="B32" s="73">
        <v>31</v>
      </c>
      <c r="C32" s="57" t="s">
        <v>335</v>
      </c>
    </row>
    <row r="33" spans="2:4" x14ac:dyDescent="0.3">
      <c r="B33" s="73">
        <v>32</v>
      </c>
      <c r="C33" s="57" t="s">
        <v>336</v>
      </c>
    </row>
    <row r="34" spans="2:4" ht="36.75" customHeight="1" x14ac:dyDescent="0.3">
      <c r="B34" s="73">
        <v>33</v>
      </c>
      <c r="C34" s="63" t="s">
        <v>337</v>
      </c>
    </row>
    <row r="35" spans="2:4" x14ac:dyDescent="0.3">
      <c r="B35" s="71">
        <v>34</v>
      </c>
      <c r="C35" s="57" t="s">
        <v>345</v>
      </c>
    </row>
    <row r="36" spans="2:4" ht="57.6" x14ac:dyDescent="0.3">
      <c r="B36" s="71">
        <v>35</v>
      </c>
      <c r="C36" s="58" t="s">
        <v>348</v>
      </c>
    </row>
    <row r="37" spans="2:4" x14ac:dyDescent="0.3">
      <c r="B37" s="57">
        <v>36</v>
      </c>
      <c r="C37" s="58" t="s">
        <v>359</v>
      </c>
    </row>
    <row r="38" spans="2:4" x14ac:dyDescent="0.3">
      <c r="B38" s="57">
        <f t="shared" ref="B38:B44" si="0">B37+1</f>
        <v>37</v>
      </c>
      <c r="C38" s="57" t="s">
        <v>355</v>
      </c>
    </row>
    <row r="39" spans="2:4" x14ac:dyDescent="0.3">
      <c r="B39" s="57">
        <f t="shared" si="0"/>
        <v>38</v>
      </c>
      <c r="C39" s="57" t="s">
        <v>356</v>
      </c>
    </row>
    <row r="40" spans="2:4" x14ac:dyDescent="0.3">
      <c r="B40" s="57">
        <f t="shared" si="0"/>
        <v>39</v>
      </c>
      <c r="C40" s="57" t="s">
        <v>357</v>
      </c>
    </row>
    <row r="41" spans="2:4" x14ac:dyDescent="0.3">
      <c r="B41" s="57">
        <f t="shared" si="0"/>
        <v>40</v>
      </c>
      <c r="C41" s="57" t="s">
        <v>358</v>
      </c>
    </row>
    <row r="42" spans="2:4" ht="29.4" thickBot="1" x14ac:dyDescent="0.35">
      <c r="B42" s="80">
        <f t="shared" si="0"/>
        <v>41</v>
      </c>
      <c r="C42" s="81" t="s">
        <v>360</v>
      </c>
    </row>
    <row r="43" spans="2:4" ht="28.8" x14ac:dyDescent="0.3">
      <c r="B43" s="84">
        <f t="shared" si="0"/>
        <v>42</v>
      </c>
      <c r="C43" s="89" t="s">
        <v>365</v>
      </c>
      <c r="D43" t="s">
        <v>366</v>
      </c>
    </row>
    <row r="44" spans="2:4" ht="15" thickBot="1" x14ac:dyDescent="0.35">
      <c r="B44" s="86">
        <f t="shared" si="0"/>
        <v>43</v>
      </c>
      <c r="C44" s="88" t="s">
        <v>361</v>
      </c>
    </row>
    <row r="45" spans="2:4" ht="15" thickBot="1" x14ac:dyDescent="0.35">
      <c r="B45" s="82">
        <f t="shared" ref="B45:B54" si="1">B44+1</f>
        <v>44</v>
      </c>
      <c r="C45" s="83" t="s">
        <v>362</v>
      </c>
    </row>
    <row r="46" spans="2:4" ht="28.8" x14ac:dyDescent="0.3">
      <c r="B46" s="84">
        <f t="shared" si="1"/>
        <v>45</v>
      </c>
      <c r="C46" s="85" t="s">
        <v>363</v>
      </c>
    </row>
    <row r="47" spans="2:4" ht="15" thickBot="1" x14ac:dyDescent="0.35">
      <c r="B47" s="86">
        <f t="shared" si="1"/>
        <v>46</v>
      </c>
      <c r="C47" s="87" t="s">
        <v>364</v>
      </c>
    </row>
    <row r="48" spans="2:4" x14ac:dyDescent="0.3">
      <c r="B48" s="90">
        <f t="shared" si="1"/>
        <v>47</v>
      </c>
      <c r="C48" s="91" t="s">
        <v>367</v>
      </c>
    </row>
    <row r="49" spans="2:6" x14ac:dyDescent="0.3">
      <c r="B49" s="90">
        <f t="shared" si="1"/>
        <v>48</v>
      </c>
      <c r="C49" s="91" t="s">
        <v>368</v>
      </c>
    </row>
    <row r="50" spans="2:6" x14ac:dyDescent="0.3">
      <c r="B50" s="90">
        <f t="shared" si="1"/>
        <v>49</v>
      </c>
      <c r="C50" s="91" t="s">
        <v>370</v>
      </c>
      <c r="D50" t="s">
        <v>369</v>
      </c>
    </row>
    <row r="51" spans="2:6" ht="28.8" x14ac:dyDescent="0.3">
      <c r="B51" s="92">
        <f t="shared" si="1"/>
        <v>50</v>
      </c>
      <c r="C51" s="93" t="s">
        <v>371</v>
      </c>
    </row>
    <row r="52" spans="2:6" x14ac:dyDescent="0.3">
      <c r="B52" s="92">
        <f t="shared" si="1"/>
        <v>51</v>
      </c>
      <c r="C52" s="94" t="s">
        <v>374</v>
      </c>
      <c r="D52" t="s">
        <v>375</v>
      </c>
    </row>
    <row r="53" spans="2:6" x14ac:dyDescent="0.3">
      <c r="B53" s="92">
        <f t="shared" si="1"/>
        <v>52</v>
      </c>
      <c r="C53" s="94" t="s">
        <v>377</v>
      </c>
      <c r="D53" t="s">
        <v>378</v>
      </c>
    </row>
    <row r="54" spans="2:6" ht="28.8" x14ac:dyDescent="0.3">
      <c r="B54" s="92">
        <f t="shared" si="1"/>
        <v>53</v>
      </c>
      <c r="C54" s="63" t="s">
        <v>382</v>
      </c>
      <c r="D54" t="s">
        <v>381</v>
      </c>
    </row>
    <row r="55" spans="2:6" ht="28.8" x14ac:dyDescent="0.3">
      <c r="B55">
        <v>54</v>
      </c>
      <c r="C55" s="96" t="s">
        <v>383</v>
      </c>
      <c r="D55" s="275" t="s">
        <v>384</v>
      </c>
      <c r="E55" s="276"/>
      <c r="F55" s="276"/>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3"/>
    <col min="2" max="2" width="12.33203125" style="53" customWidth="1"/>
    <col min="3" max="16384" width="9.109375" style="53"/>
  </cols>
  <sheetData>
    <row r="2" spans="1:12" x14ac:dyDescent="0.3">
      <c r="B2" s="65" t="s">
        <v>299</v>
      </c>
      <c r="C2" s="277"/>
      <c r="D2" s="277"/>
    </row>
    <row r="3" spans="1:12" x14ac:dyDescent="0.3">
      <c r="D3" s="66"/>
      <c r="E3" s="66"/>
      <c r="F3" s="66"/>
      <c r="G3" s="66"/>
      <c r="H3" s="66"/>
      <c r="I3" s="66"/>
    </row>
    <row r="4" spans="1:12" x14ac:dyDescent="0.3">
      <c r="A4" s="65" t="s">
        <v>65</v>
      </c>
      <c r="B4" s="67" t="s">
        <v>300</v>
      </c>
      <c r="C4" s="278" t="s">
        <v>301</v>
      </c>
      <c r="D4" s="278"/>
      <c r="E4" s="278"/>
      <c r="F4" s="67"/>
      <c r="G4" s="279" t="s">
        <v>302</v>
      </c>
      <c r="H4" s="279"/>
      <c r="I4" s="279"/>
      <c r="J4" s="280" t="s">
        <v>303</v>
      </c>
      <c r="K4" s="280"/>
      <c r="L4" s="280"/>
    </row>
    <row r="5" spans="1:12" x14ac:dyDescent="0.3">
      <c r="A5" s="65"/>
      <c r="B5" s="67"/>
      <c r="C5" s="67" t="s">
        <v>304</v>
      </c>
      <c r="D5" s="67" t="s">
        <v>305</v>
      </c>
      <c r="E5" s="67" t="s">
        <v>306</v>
      </c>
      <c r="F5" s="67"/>
      <c r="G5" s="67" t="s">
        <v>304</v>
      </c>
      <c r="H5" s="67" t="s">
        <v>305</v>
      </c>
      <c r="I5" s="67" t="s">
        <v>306</v>
      </c>
      <c r="J5" s="67" t="s">
        <v>304</v>
      </c>
      <c r="K5" s="67" t="s">
        <v>305</v>
      </c>
      <c r="L5" s="67" t="s">
        <v>306</v>
      </c>
    </row>
    <row r="6" spans="1:12" x14ac:dyDescent="0.3">
      <c r="B6" s="54" t="s">
        <v>307</v>
      </c>
      <c r="C6" s="54"/>
      <c r="D6" s="54"/>
      <c r="E6" s="54">
        <f>C6*D6</f>
        <v>0</v>
      </c>
      <c r="F6" s="54" t="s">
        <v>324</v>
      </c>
      <c r="G6" s="54"/>
      <c r="H6" s="54"/>
      <c r="I6" s="54">
        <f>G6*H6</f>
        <v>0</v>
      </c>
      <c r="J6" s="54"/>
      <c r="K6" s="54"/>
      <c r="L6" s="54">
        <f>J6*K6</f>
        <v>0</v>
      </c>
    </row>
    <row r="7" spans="1:12" x14ac:dyDescent="0.3">
      <c r="B7" s="54"/>
      <c r="C7" s="54"/>
      <c r="D7" s="54"/>
      <c r="E7" s="54">
        <f t="shared" ref="E7:E41" si="0">C7*D7</f>
        <v>0</v>
      </c>
      <c r="F7" s="54" t="s">
        <v>324</v>
      </c>
      <c r="G7" s="54"/>
      <c r="H7" s="54"/>
      <c r="I7" s="54">
        <f t="shared" ref="I7:I35" si="1">G7*H7</f>
        <v>0</v>
      </c>
      <c r="J7" s="54"/>
      <c r="K7" s="54"/>
      <c r="L7" s="54">
        <f t="shared" ref="L7:L35" si="2">J7*K7</f>
        <v>0</v>
      </c>
    </row>
    <row r="8" spans="1:12" x14ac:dyDescent="0.3">
      <c r="B8" s="54"/>
      <c r="C8" s="54"/>
      <c r="D8" s="54"/>
      <c r="E8" s="54">
        <f t="shared" si="0"/>
        <v>0</v>
      </c>
      <c r="F8" s="54"/>
      <c r="G8" s="54"/>
      <c r="H8" s="54"/>
      <c r="I8" s="54">
        <f t="shared" si="1"/>
        <v>0</v>
      </c>
      <c r="J8" s="54"/>
      <c r="K8" s="54"/>
      <c r="L8" s="54">
        <f t="shared" si="2"/>
        <v>0</v>
      </c>
    </row>
    <row r="9" spans="1:12" x14ac:dyDescent="0.3">
      <c r="B9" s="54"/>
      <c r="C9" s="54"/>
      <c r="D9" s="54"/>
      <c r="E9" s="54">
        <f t="shared" si="0"/>
        <v>0</v>
      </c>
      <c r="F9" s="54" t="s">
        <v>308</v>
      </c>
      <c r="G9" s="54"/>
      <c r="H9" s="54"/>
      <c r="I9" s="54">
        <f t="shared" si="1"/>
        <v>0</v>
      </c>
      <c r="J9" s="54"/>
      <c r="K9" s="54"/>
      <c r="L9" s="54">
        <f t="shared" si="2"/>
        <v>0</v>
      </c>
    </row>
    <row r="10" spans="1:12" x14ac:dyDescent="0.3">
      <c r="B10" s="54" t="s">
        <v>309</v>
      </c>
      <c r="C10" s="54"/>
      <c r="D10" s="54"/>
      <c r="E10" s="54">
        <f t="shared" si="0"/>
        <v>0</v>
      </c>
      <c r="F10" s="54" t="s">
        <v>308</v>
      </c>
      <c r="G10" s="54"/>
      <c r="H10" s="54"/>
      <c r="I10" s="54">
        <f t="shared" si="1"/>
        <v>0</v>
      </c>
      <c r="J10" s="54"/>
      <c r="K10" s="54"/>
      <c r="L10" s="54">
        <f t="shared" si="2"/>
        <v>0</v>
      </c>
    </row>
    <row r="11" spans="1:12" x14ac:dyDescent="0.3">
      <c r="B11" s="54"/>
      <c r="C11" s="54"/>
      <c r="D11" s="54"/>
      <c r="E11" s="54">
        <f t="shared" si="0"/>
        <v>0</v>
      </c>
      <c r="F11" s="54" t="s">
        <v>310</v>
      </c>
      <c r="G11" s="54"/>
      <c r="H11" s="54"/>
      <c r="I11" s="54">
        <f t="shared" si="1"/>
        <v>0</v>
      </c>
      <c r="J11" s="54"/>
      <c r="K11" s="54"/>
      <c r="L11" s="54">
        <f t="shared" si="2"/>
        <v>0</v>
      </c>
    </row>
    <row r="12" spans="1:12" x14ac:dyDescent="0.3">
      <c r="B12" s="54"/>
      <c r="C12" s="54"/>
      <c r="D12" s="54"/>
      <c r="E12" s="54">
        <f t="shared" si="0"/>
        <v>0</v>
      </c>
      <c r="F12" s="54"/>
      <c r="G12" s="54"/>
      <c r="H12" s="54"/>
      <c r="I12" s="54">
        <f t="shared" si="1"/>
        <v>0</v>
      </c>
      <c r="J12" s="54"/>
      <c r="K12" s="54"/>
      <c r="L12" s="54">
        <f t="shared" si="2"/>
        <v>0</v>
      </c>
    </row>
    <row r="13" spans="1:12" x14ac:dyDescent="0.3">
      <c r="B13" s="54"/>
      <c r="C13" s="54"/>
      <c r="D13" s="54"/>
      <c r="E13" s="54">
        <f t="shared" si="0"/>
        <v>0</v>
      </c>
      <c r="F13" s="54"/>
      <c r="G13" s="54"/>
      <c r="H13" s="54"/>
      <c r="I13" s="54">
        <f t="shared" si="1"/>
        <v>0</v>
      </c>
      <c r="J13" s="54"/>
      <c r="K13" s="54"/>
      <c r="L13" s="54">
        <f t="shared" si="2"/>
        <v>0</v>
      </c>
    </row>
    <row r="14" spans="1:12" x14ac:dyDescent="0.3">
      <c r="B14" s="54" t="s">
        <v>311</v>
      </c>
      <c r="C14" s="54"/>
      <c r="D14" s="54"/>
      <c r="E14" s="54">
        <f t="shared" si="0"/>
        <v>0</v>
      </c>
      <c r="F14" s="54" t="s">
        <v>308</v>
      </c>
      <c r="G14" s="54"/>
      <c r="H14" s="54"/>
      <c r="I14" s="54">
        <f t="shared" si="1"/>
        <v>0</v>
      </c>
      <c r="J14" s="54"/>
      <c r="K14" s="54"/>
      <c r="L14" s="54">
        <f t="shared" si="2"/>
        <v>0</v>
      </c>
    </row>
    <row r="15" spans="1:12" x14ac:dyDescent="0.3">
      <c r="B15" s="54"/>
      <c r="C15" s="54"/>
      <c r="D15" s="54"/>
      <c r="E15" s="54">
        <f t="shared" si="0"/>
        <v>0</v>
      </c>
      <c r="F15" s="54" t="s">
        <v>310</v>
      </c>
      <c r="G15" s="54"/>
      <c r="H15" s="54"/>
      <c r="I15" s="54">
        <f t="shared" si="1"/>
        <v>0</v>
      </c>
      <c r="J15" s="54"/>
      <c r="K15" s="54"/>
      <c r="L15" s="54">
        <f t="shared" si="2"/>
        <v>0</v>
      </c>
    </row>
    <row r="16" spans="1:12" x14ac:dyDescent="0.3">
      <c r="B16" s="54"/>
      <c r="C16" s="54"/>
      <c r="D16" s="54"/>
      <c r="E16" s="54">
        <f t="shared" si="0"/>
        <v>0</v>
      </c>
      <c r="F16" s="54"/>
      <c r="G16" s="54"/>
      <c r="H16" s="54"/>
      <c r="I16" s="54">
        <f t="shared" si="1"/>
        <v>0</v>
      </c>
      <c r="J16" s="54"/>
      <c r="K16" s="54"/>
      <c r="L16" s="54">
        <f t="shared" si="2"/>
        <v>0</v>
      </c>
    </row>
    <row r="17" spans="2:12" x14ac:dyDescent="0.3">
      <c r="B17" s="54"/>
      <c r="C17" s="54"/>
      <c r="D17" s="54"/>
      <c r="E17" s="54">
        <f t="shared" si="0"/>
        <v>0</v>
      </c>
      <c r="F17" s="54"/>
      <c r="G17" s="54"/>
      <c r="H17" s="54"/>
      <c r="I17" s="54">
        <f t="shared" si="1"/>
        <v>0</v>
      </c>
      <c r="J17" s="54"/>
      <c r="K17" s="54"/>
      <c r="L17" s="54">
        <f t="shared" si="2"/>
        <v>0</v>
      </c>
    </row>
    <row r="18" spans="2:12" x14ac:dyDescent="0.3">
      <c r="B18" s="54" t="s">
        <v>312</v>
      </c>
      <c r="C18" s="54"/>
      <c r="D18" s="54"/>
      <c r="E18" s="54">
        <f t="shared" si="0"/>
        <v>0</v>
      </c>
      <c r="F18" s="54" t="s">
        <v>308</v>
      </c>
      <c r="G18" s="54"/>
      <c r="H18" s="54"/>
      <c r="I18" s="54">
        <f t="shared" si="1"/>
        <v>0</v>
      </c>
      <c r="J18" s="54"/>
      <c r="K18" s="54"/>
      <c r="L18" s="54">
        <f t="shared" si="2"/>
        <v>0</v>
      </c>
    </row>
    <row r="19" spans="2:12" x14ac:dyDescent="0.3">
      <c r="B19" s="54"/>
      <c r="C19" s="54"/>
      <c r="D19" s="54"/>
      <c r="E19" s="54">
        <f t="shared" si="0"/>
        <v>0</v>
      </c>
      <c r="F19" s="54" t="s">
        <v>310</v>
      </c>
      <c r="G19" s="54"/>
      <c r="H19" s="54"/>
      <c r="I19" s="54">
        <f t="shared" si="1"/>
        <v>0</v>
      </c>
      <c r="J19" s="54"/>
      <c r="K19" s="54"/>
      <c r="L19" s="54">
        <f t="shared" si="2"/>
        <v>0</v>
      </c>
    </row>
    <row r="20" spans="2:12" x14ac:dyDescent="0.3">
      <c r="B20" s="54"/>
      <c r="C20" s="54"/>
      <c r="D20" s="54"/>
      <c r="E20" s="54">
        <f t="shared" si="0"/>
        <v>0</v>
      </c>
      <c r="F20" s="54"/>
      <c r="G20" s="54"/>
      <c r="H20" s="54"/>
      <c r="I20" s="54">
        <f t="shared" si="1"/>
        <v>0</v>
      </c>
      <c r="J20" s="54"/>
      <c r="K20" s="54"/>
      <c r="L20" s="54">
        <f t="shared" si="2"/>
        <v>0</v>
      </c>
    </row>
    <row r="21" spans="2:12" x14ac:dyDescent="0.3">
      <c r="B21" s="54" t="s">
        <v>313</v>
      </c>
      <c r="C21" s="54"/>
      <c r="D21" s="54"/>
      <c r="E21" s="54">
        <f t="shared" si="0"/>
        <v>0</v>
      </c>
      <c r="F21" s="54" t="s">
        <v>308</v>
      </c>
      <c r="G21" s="54"/>
      <c r="H21" s="54"/>
      <c r="I21" s="54">
        <f t="shared" si="1"/>
        <v>0</v>
      </c>
      <c r="J21" s="54"/>
      <c r="K21" s="54"/>
      <c r="L21" s="54">
        <f t="shared" si="2"/>
        <v>0</v>
      </c>
    </row>
    <row r="22" spans="2:12" x14ac:dyDescent="0.3">
      <c r="B22" s="54"/>
      <c r="C22" s="54"/>
      <c r="D22" s="54"/>
      <c r="E22" s="54">
        <f t="shared" si="0"/>
        <v>0</v>
      </c>
      <c r="F22" s="54" t="s">
        <v>310</v>
      </c>
      <c r="G22" s="54"/>
      <c r="H22" s="54"/>
      <c r="I22" s="54">
        <f t="shared" si="1"/>
        <v>0</v>
      </c>
      <c r="J22" s="54"/>
      <c r="K22" s="54"/>
      <c r="L22" s="54">
        <f t="shared" si="2"/>
        <v>0</v>
      </c>
    </row>
    <row r="23" spans="2:12" x14ac:dyDescent="0.3">
      <c r="B23" s="54"/>
      <c r="C23" s="54"/>
      <c r="D23" s="54"/>
      <c r="E23" s="54">
        <f t="shared" si="0"/>
        <v>0</v>
      </c>
      <c r="F23" s="54"/>
      <c r="G23" s="54"/>
      <c r="H23" s="54"/>
      <c r="I23" s="54">
        <f t="shared" si="1"/>
        <v>0</v>
      </c>
      <c r="J23" s="54"/>
      <c r="K23" s="54"/>
      <c r="L23" s="54">
        <f t="shared" si="2"/>
        <v>0</v>
      </c>
    </row>
    <row r="24" spans="2:12" x14ac:dyDescent="0.3">
      <c r="B24" s="54" t="s">
        <v>314</v>
      </c>
      <c r="C24" s="54"/>
      <c r="D24" s="54"/>
      <c r="E24" s="54">
        <f t="shared" si="0"/>
        <v>0</v>
      </c>
      <c r="F24" s="54" t="s">
        <v>315</v>
      </c>
      <c r="G24" s="54"/>
      <c r="H24" s="54"/>
      <c r="I24" s="54">
        <f t="shared" si="1"/>
        <v>0</v>
      </c>
      <c r="J24" s="54"/>
      <c r="K24" s="54"/>
      <c r="L24" s="54">
        <f t="shared" si="2"/>
        <v>0</v>
      </c>
    </row>
    <row r="25" spans="2:12" x14ac:dyDescent="0.3">
      <c r="B25" s="54"/>
      <c r="C25" s="54"/>
      <c r="D25" s="54"/>
      <c r="E25" s="54">
        <f>C25*D25</f>
        <v>0</v>
      </c>
      <c r="F25" s="54" t="s">
        <v>315</v>
      </c>
      <c r="G25" s="54"/>
      <c r="H25" s="54"/>
      <c r="I25" s="54">
        <f>G25*H25</f>
        <v>0</v>
      </c>
      <c r="J25" s="54"/>
      <c r="K25" s="54"/>
      <c r="L25" s="54">
        <f>J25*K25</f>
        <v>0</v>
      </c>
    </row>
    <row r="26" spans="2:12" x14ac:dyDescent="0.3">
      <c r="B26" s="54"/>
      <c r="C26" s="54"/>
      <c r="D26" s="54"/>
      <c r="E26" s="54">
        <f>C26*D26</f>
        <v>0</v>
      </c>
      <c r="F26" s="54" t="s">
        <v>315</v>
      </c>
      <c r="G26" s="54"/>
      <c r="H26" s="54"/>
      <c r="I26" s="54">
        <f>G26*H26</f>
        <v>0</v>
      </c>
      <c r="J26" s="54"/>
      <c r="K26" s="54"/>
      <c r="L26" s="54">
        <f>J26*K26</f>
        <v>0</v>
      </c>
    </row>
    <row r="27" spans="2:12" x14ac:dyDescent="0.3">
      <c r="B27" s="54"/>
      <c r="C27" s="54"/>
      <c r="D27" s="54"/>
      <c r="E27" s="54">
        <f>C27*D27</f>
        <v>0</v>
      </c>
      <c r="F27" s="54" t="s">
        <v>315</v>
      </c>
      <c r="G27" s="54"/>
      <c r="H27" s="54"/>
      <c r="I27" s="54">
        <f>G27*H27</f>
        <v>0</v>
      </c>
      <c r="J27" s="54"/>
      <c r="K27" s="54"/>
      <c r="L27" s="54">
        <f>J27*K27</f>
        <v>0</v>
      </c>
    </row>
    <row r="28" spans="2:12" x14ac:dyDescent="0.3">
      <c r="B28" s="54" t="s">
        <v>316</v>
      </c>
      <c r="C28" s="54"/>
      <c r="D28" s="54"/>
      <c r="E28" s="54">
        <f t="shared" si="0"/>
        <v>0</v>
      </c>
      <c r="F28" s="54" t="s">
        <v>315</v>
      </c>
      <c r="G28" s="54"/>
      <c r="H28" s="54"/>
      <c r="I28" s="54">
        <f t="shared" si="1"/>
        <v>0</v>
      </c>
      <c r="J28" s="54"/>
      <c r="K28" s="54"/>
      <c r="L28" s="54">
        <f t="shared" si="2"/>
        <v>0</v>
      </c>
    </row>
    <row r="29" spans="2:12" x14ac:dyDescent="0.3">
      <c r="B29" s="54" t="s">
        <v>317</v>
      </c>
      <c r="C29" s="54"/>
      <c r="D29" s="54"/>
      <c r="E29" s="54">
        <f t="shared" si="0"/>
        <v>0</v>
      </c>
      <c r="F29" s="54" t="s">
        <v>315</v>
      </c>
      <c r="G29" s="54"/>
      <c r="H29" s="54"/>
      <c r="I29" s="54">
        <f t="shared" si="1"/>
        <v>0</v>
      </c>
      <c r="J29" s="54"/>
      <c r="K29" s="54"/>
      <c r="L29" s="54">
        <f t="shared" si="2"/>
        <v>0</v>
      </c>
    </row>
    <row r="30" spans="2:12" x14ac:dyDescent="0.3">
      <c r="B30" s="54" t="s">
        <v>321</v>
      </c>
      <c r="C30" s="54"/>
      <c r="D30" s="54"/>
      <c r="E30" s="54">
        <f t="shared" si="0"/>
        <v>0</v>
      </c>
      <c r="F30" s="54"/>
      <c r="G30" s="54"/>
      <c r="H30" s="54"/>
      <c r="I30" s="54">
        <f t="shared" si="1"/>
        <v>0</v>
      </c>
      <c r="J30" s="54"/>
      <c r="K30" s="54"/>
      <c r="L30" s="54">
        <f t="shared" si="2"/>
        <v>0</v>
      </c>
    </row>
    <row r="31" spans="2:12" x14ac:dyDescent="0.3">
      <c r="B31" s="54"/>
      <c r="C31" s="54"/>
      <c r="D31" s="54"/>
      <c r="E31" s="54">
        <f>C31*D31</f>
        <v>0</v>
      </c>
      <c r="F31" s="54"/>
      <c r="G31" s="54"/>
      <c r="H31" s="54"/>
      <c r="I31" s="54">
        <f>G31*H31</f>
        <v>0</v>
      </c>
      <c r="J31" s="54"/>
      <c r="K31" s="54"/>
      <c r="L31" s="54">
        <f>J31*K31</f>
        <v>0</v>
      </c>
    </row>
    <row r="32" spans="2:12" x14ac:dyDescent="0.3">
      <c r="B32" s="54"/>
      <c r="C32" s="54"/>
      <c r="D32" s="54"/>
      <c r="E32" s="54">
        <f>C32*D32</f>
        <v>0</v>
      </c>
      <c r="F32" s="54"/>
      <c r="G32" s="54"/>
      <c r="H32" s="54"/>
      <c r="I32" s="54">
        <f>G32*H32</f>
        <v>0</v>
      </c>
      <c r="J32" s="54"/>
      <c r="K32" s="54"/>
      <c r="L32" s="54">
        <f>J32*K32</f>
        <v>0</v>
      </c>
    </row>
    <row r="33" spans="2:12" x14ac:dyDescent="0.3">
      <c r="B33" s="54" t="s">
        <v>318</v>
      </c>
      <c r="C33" s="54"/>
      <c r="D33" s="54"/>
      <c r="E33" s="54">
        <f t="shared" si="0"/>
        <v>0</v>
      </c>
      <c r="F33" s="54"/>
      <c r="G33" s="54"/>
      <c r="H33" s="54"/>
      <c r="I33" s="54">
        <f t="shared" si="1"/>
        <v>0</v>
      </c>
      <c r="J33" s="54"/>
      <c r="K33" s="54"/>
      <c r="L33" s="54">
        <f t="shared" si="2"/>
        <v>0</v>
      </c>
    </row>
    <row r="34" spans="2:12" x14ac:dyDescent="0.3">
      <c r="B34" s="54" t="s">
        <v>322</v>
      </c>
      <c r="C34" s="54"/>
      <c r="D34" s="54"/>
      <c r="E34" s="54">
        <f t="shared" si="0"/>
        <v>0</v>
      </c>
      <c r="F34" s="54"/>
      <c r="G34" s="54"/>
      <c r="H34" s="54"/>
      <c r="I34" s="54">
        <f t="shared" si="1"/>
        <v>0</v>
      </c>
      <c r="J34" s="54"/>
      <c r="K34" s="54"/>
      <c r="L34" s="54">
        <f t="shared" si="2"/>
        <v>0</v>
      </c>
    </row>
    <row r="35" spans="2:12" x14ac:dyDescent="0.3">
      <c r="B35" s="54" t="s">
        <v>319</v>
      </c>
      <c r="C35" s="54"/>
      <c r="D35" s="54"/>
      <c r="E35" s="54">
        <f t="shared" si="0"/>
        <v>0</v>
      </c>
      <c r="F35" s="54"/>
      <c r="G35" s="54"/>
      <c r="H35" s="54"/>
      <c r="I35" s="54">
        <f t="shared" si="1"/>
        <v>0</v>
      </c>
      <c r="J35" s="54"/>
      <c r="K35" s="54"/>
      <c r="L35" s="54">
        <f t="shared" si="2"/>
        <v>0</v>
      </c>
    </row>
    <row r="36" spans="2:12" x14ac:dyDescent="0.3">
      <c r="B36" s="54" t="s">
        <v>320</v>
      </c>
      <c r="C36" s="54"/>
      <c r="D36" s="54"/>
      <c r="E36" s="54">
        <f t="shared" si="0"/>
        <v>0</v>
      </c>
      <c r="F36" s="54"/>
      <c r="G36" s="54"/>
      <c r="H36" s="54"/>
      <c r="I36" s="54">
        <f t="shared" ref="I36:I41" si="3">G36*H36</f>
        <v>0</v>
      </c>
      <c r="J36" s="54"/>
      <c r="K36" s="54"/>
      <c r="L36" s="54">
        <f t="shared" ref="L36:L41" si="4">J36*K36</f>
        <v>0</v>
      </c>
    </row>
    <row r="37" spans="2:12" x14ac:dyDescent="0.3">
      <c r="B37" s="54"/>
      <c r="C37" s="54"/>
      <c r="D37" s="54"/>
      <c r="E37" s="54">
        <f>C37*D37</f>
        <v>0</v>
      </c>
      <c r="F37" s="54"/>
      <c r="G37" s="54"/>
      <c r="H37" s="54"/>
      <c r="I37" s="54">
        <f t="shared" si="3"/>
        <v>0</v>
      </c>
      <c r="J37" s="54"/>
      <c r="K37" s="54"/>
      <c r="L37" s="54">
        <f t="shared" si="4"/>
        <v>0</v>
      </c>
    </row>
    <row r="38" spans="2:12" x14ac:dyDescent="0.3">
      <c r="B38" s="54" t="s">
        <v>323</v>
      </c>
      <c r="C38" s="54"/>
      <c r="D38" s="54"/>
      <c r="E38" s="54">
        <f>C38*D38</f>
        <v>0</v>
      </c>
      <c r="F38" s="54"/>
      <c r="G38" s="54"/>
      <c r="H38" s="54"/>
      <c r="I38" s="54">
        <f t="shared" si="3"/>
        <v>0</v>
      </c>
      <c r="J38" s="54"/>
      <c r="K38" s="54"/>
      <c r="L38" s="54">
        <f t="shared" si="4"/>
        <v>0</v>
      </c>
    </row>
    <row r="39" spans="2:12" x14ac:dyDescent="0.3">
      <c r="B39" s="54"/>
      <c r="C39" s="54"/>
      <c r="D39" s="54"/>
      <c r="E39" s="54">
        <f t="shared" si="0"/>
        <v>0</v>
      </c>
      <c r="F39" s="54"/>
      <c r="G39" s="54"/>
      <c r="H39" s="54"/>
      <c r="I39" s="54">
        <f t="shared" si="3"/>
        <v>0</v>
      </c>
      <c r="J39" s="54"/>
      <c r="K39" s="54"/>
      <c r="L39" s="54">
        <f t="shared" si="4"/>
        <v>0</v>
      </c>
    </row>
    <row r="40" spans="2:12" x14ac:dyDescent="0.3">
      <c r="B40" s="54"/>
      <c r="C40" s="54"/>
      <c r="D40" s="54"/>
      <c r="E40" s="54">
        <f t="shared" si="0"/>
        <v>0</v>
      </c>
      <c r="F40" s="54"/>
      <c r="G40" s="54"/>
      <c r="H40" s="54"/>
      <c r="I40" s="54">
        <f t="shared" si="3"/>
        <v>0</v>
      </c>
      <c r="J40" s="54"/>
      <c r="K40" s="54"/>
      <c r="L40" s="54">
        <f t="shared" si="4"/>
        <v>0</v>
      </c>
    </row>
    <row r="41" spans="2:12" x14ac:dyDescent="0.3">
      <c r="B41" s="54"/>
      <c r="C41" s="54"/>
      <c r="D41" s="54"/>
      <c r="E41" s="54">
        <f t="shared" si="0"/>
        <v>0</v>
      </c>
      <c r="F41" s="54"/>
      <c r="G41" s="54"/>
      <c r="H41" s="54"/>
      <c r="I41" s="54">
        <f t="shared" si="3"/>
        <v>0</v>
      </c>
      <c r="J41" s="54"/>
      <c r="K41" s="54"/>
      <c r="L41" s="54">
        <f t="shared" si="4"/>
        <v>0</v>
      </c>
    </row>
    <row r="42" spans="2:12" x14ac:dyDescent="0.3">
      <c r="B42" s="54" t="s">
        <v>147</v>
      </c>
      <c r="C42" s="54"/>
      <c r="D42" s="54">
        <f>E42*10.764</f>
        <v>0</v>
      </c>
      <c r="E42" s="70">
        <f>SUM(E6:E41)</f>
        <v>0</v>
      </c>
      <c r="F42" s="54"/>
      <c r="G42" s="54"/>
      <c r="H42" s="54">
        <f>I42*10.764</f>
        <v>0</v>
      </c>
      <c r="I42" s="69">
        <f>SUM(I6:I41)</f>
        <v>0</v>
      </c>
      <c r="J42" s="54"/>
      <c r="K42" s="54">
        <f>L42*10.764</f>
        <v>0</v>
      </c>
      <c r="L42" s="68">
        <f>SUM(L6:L41)</f>
        <v>0</v>
      </c>
    </row>
    <row r="44" spans="2:12" x14ac:dyDescent="0.3">
      <c r="D44" s="53">
        <f>D42+H42</f>
        <v>0</v>
      </c>
      <c r="E44" s="53">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6"/>
  <sheetViews>
    <sheetView workbookViewId="0">
      <selection activeCell="A3" sqref="A3:XFD16"/>
    </sheetView>
  </sheetViews>
  <sheetFormatPr defaultRowHeight="14.4" x14ac:dyDescent="0.3"/>
  <cols>
    <col min="1" max="8" width="11.5546875" customWidth="1"/>
    <col min="9" max="10" width="21.33203125" customWidth="1"/>
  </cols>
  <sheetData>
    <row r="2" spans="1:10" ht="15" thickBot="1" x14ac:dyDescent="0.35">
      <c r="A2" s="281" t="s">
        <v>388</v>
      </c>
      <c r="B2" s="281"/>
      <c r="C2" s="281"/>
      <c r="D2" s="281"/>
      <c r="E2" s="281"/>
      <c r="F2" s="281"/>
      <c r="G2" s="281"/>
      <c r="H2" s="281"/>
    </row>
    <row r="3" spans="1:10" ht="15.6" x14ac:dyDescent="0.3">
      <c r="A3" s="226" t="s">
        <v>137</v>
      </c>
      <c r="B3" s="227"/>
      <c r="C3" s="228" t="s">
        <v>387</v>
      </c>
      <c r="D3" s="229"/>
      <c r="E3" s="229"/>
      <c r="F3" s="229"/>
      <c r="G3" s="229"/>
      <c r="H3" s="230"/>
      <c r="I3" s="49" t="str">
        <f ca="1">IF(D16=100%,"All work Completed. Possession granted to the Building.",IF(D15=100%,"All work Completed, Waiting for OC",I4&amp;""&amp;I5&amp;""&amp;J4&amp;""&amp;J3&amp;" "&amp;J5))</f>
        <v xml:space="preserve">Excavation, Plinth, RCC Slab, Brickwork Completed </v>
      </c>
      <c r="J3" s="50"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6" x14ac:dyDescent="0.3">
      <c r="A4" s="16" t="s">
        <v>139</v>
      </c>
      <c r="B4" s="47">
        <f>IF(AND(ISNUMBER(SEARCH("1B",C3))),1,IF(AND(ISNUMBER(SEARCH("2B",C3))),2,IF(AND(ISNUMBER(SEARCH("3B",C3))),3,IF(AND(ISNUMBER(SEARCH("4B",C3))),4,IF(ISNUMBER(SEARCH("5B",C3)),5,0)))))</f>
        <v>0</v>
      </c>
      <c r="C4" s="47" t="s">
        <v>68</v>
      </c>
      <c r="D4" s="47">
        <v>1</v>
      </c>
      <c r="E4" s="47" t="s">
        <v>67</v>
      </c>
      <c r="F4" s="14">
        <v>0</v>
      </c>
      <c r="G4" s="48" t="s">
        <v>76</v>
      </c>
      <c r="H4" s="17">
        <f ca="1">--TRIM(RIGHT(SUBSTITUTE(LEFT(C3,_xlfn.AGGREGATE(16,6,FIND({0,1,2,3,4,5,6,7,8,9},C3,ROW(INDIRECT("1:"&amp;LEN(C3)))),1))," ",REPT(" ",LEN(C3))),LEN(C3)))</f>
        <v>20</v>
      </c>
      <c r="I4" s="51" t="str">
        <f ca="1">IF(D7=100%,"Excavation","")&amp;IF(D8=100%,", Plinth","")&amp;IF(D9=100%,", RCC Slab","")&amp;IF(D10=100%,", Brickwork","")&amp;IF(D11=100%,", Internal Plaster","")&amp;IF(D12=100%,", External Plaster","")&amp;IF(D13=100%,", Flooring","")&amp;IF(D14=100%,", Painting","")&amp;IF(D15=100%,", Building common Amenities","")</f>
        <v>Excavation, Plinth, RCC Slab, Brickwork</v>
      </c>
      <c r="J4" s="52"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6" x14ac:dyDescent="0.3">
      <c r="A5" s="146" t="s">
        <v>86</v>
      </c>
      <c r="B5" s="147"/>
      <c r="C5" s="148" t="str">
        <f ca="1">I3</f>
        <v xml:space="preserve">Excavation, Plinth, RCC Slab, Brickwork Completed </v>
      </c>
      <c r="D5" s="148"/>
      <c r="E5" s="148"/>
      <c r="F5" s="148"/>
      <c r="G5" s="148"/>
      <c r="H5" s="149"/>
      <c r="I5" s="51" t="str">
        <f ca="1">IF(I4&lt;&gt;""," Completed","")</f>
        <v xml:space="preserve"> Completed</v>
      </c>
      <c r="J5" s="52" t="str">
        <f ca="1">IF(J3&lt;&gt;"","Completed","")</f>
        <v/>
      </c>
    </row>
    <row r="6" spans="1:10" ht="31.2" x14ac:dyDescent="0.3">
      <c r="A6" s="282" t="s">
        <v>47</v>
      </c>
      <c r="B6" s="283"/>
      <c r="C6" s="43" t="s">
        <v>136</v>
      </c>
      <c r="D6" s="43" t="s">
        <v>79</v>
      </c>
      <c r="E6" s="283" t="s">
        <v>81</v>
      </c>
      <c r="F6" s="283"/>
      <c r="G6" s="283" t="s">
        <v>80</v>
      </c>
      <c r="H6" s="293"/>
      <c r="I6" s="13" t="s">
        <v>138</v>
      </c>
      <c r="J6" s="28">
        <f ca="1">H4*25%</f>
        <v>5</v>
      </c>
    </row>
    <row r="7" spans="1:10" ht="15.6" x14ac:dyDescent="0.3">
      <c r="A7" s="282" t="s">
        <v>125</v>
      </c>
      <c r="B7" s="283"/>
      <c r="C7" s="60">
        <f ca="1">J8</f>
        <v>20</v>
      </c>
      <c r="D7" s="19">
        <f ca="1">((100/H4)*C7)/100</f>
        <v>1</v>
      </c>
      <c r="E7" s="284">
        <f ca="1">(((C8/H4*20)+(30/(D4+F4+H4)*C9)+(15/(H4)*C10)+(5/(H4)*C11)+(5/H4*C12)+(10/H4*C13)+(5/H4*C14)+(5/H4*C15)+(5/H4*C16))/100)</f>
        <v>0.65</v>
      </c>
      <c r="F7" s="285"/>
      <c r="G7" s="284">
        <f ca="1">((((C7/H4)*10)+((C8/H4)*30)+(25/(H4+F4+D4)*C9)+(15/H4*C10)+(5/H4*C11)+(5/H4*C12)+(5/H4*C13)+(0/H4*C14)+(0/H4*C15)+(5/H4*C16))/100)</f>
        <v>0.8</v>
      </c>
      <c r="H7" s="290"/>
      <c r="I7" s="13" t="s">
        <v>96</v>
      </c>
      <c r="J7" s="29">
        <f ca="1">H4*50%</f>
        <v>10</v>
      </c>
    </row>
    <row r="8" spans="1:10" ht="15.6" x14ac:dyDescent="0.3">
      <c r="A8" s="282" t="s">
        <v>48</v>
      </c>
      <c r="B8" s="283"/>
      <c r="C8" s="43">
        <v>20</v>
      </c>
      <c r="D8" s="19">
        <f ca="1">((100/H4)*C8)/100</f>
        <v>1</v>
      </c>
      <c r="E8" s="286"/>
      <c r="F8" s="287"/>
      <c r="G8" s="286"/>
      <c r="H8" s="291"/>
      <c r="I8" s="13" t="s">
        <v>97</v>
      </c>
      <c r="J8" s="29">
        <f ca="1">H4</f>
        <v>20</v>
      </c>
    </row>
    <row r="9" spans="1:10" ht="15.6" x14ac:dyDescent="0.3">
      <c r="A9" s="282" t="s">
        <v>126</v>
      </c>
      <c r="B9" s="283"/>
      <c r="C9" s="43">
        <v>21</v>
      </c>
      <c r="D9" s="19">
        <f ca="1">((100/(D4+F4+H4))*C9)/100</f>
        <v>1</v>
      </c>
      <c r="E9" s="286"/>
      <c r="F9" s="287"/>
      <c r="G9" s="286"/>
      <c r="H9" s="291"/>
      <c r="I9" s="13" t="s">
        <v>98</v>
      </c>
      <c r="J9" s="30">
        <f ca="1">(IF(B4&gt;1,(H4/(B4+2)),H4/4))</f>
        <v>5</v>
      </c>
    </row>
    <row r="10" spans="1:10" ht="15.6" x14ac:dyDescent="0.3">
      <c r="A10" s="282" t="s">
        <v>133</v>
      </c>
      <c r="B10" s="283" t="s">
        <v>127</v>
      </c>
      <c r="C10" s="43">
        <v>20</v>
      </c>
      <c r="D10" s="19">
        <f ca="1">((100/H4)*C10)/100</f>
        <v>1</v>
      </c>
      <c r="E10" s="286"/>
      <c r="F10" s="287"/>
      <c r="G10" s="286"/>
      <c r="H10" s="291"/>
      <c r="I10" s="13" t="s">
        <v>99</v>
      </c>
      <c r="J10" s="30">
        <f ca="1">(IF(B4&gt;1,(H4/(B4+2)+J9),H4/4+J9))</f>
        <v>10</v>
      </c>
    </row>
    <row r="11" spans="1:10" ht="15.6" x14ac:dyDescent="0.3">
      <c r="A11" s="282" t="s">
        <v>134</v>
      </c>
      <c r="B11" s="283" t="s">
        <v>127</v>
      </c>
      <c r="C11" s="43">
        <v>0</v>
      </c>
      <c r="D11" s="19">
        <f ca="1">((100/H4)*C11)/100</f>
        <v>0</v>
      </c>
      <c r="E11" s="286"/>
      <c r="F11" s="287"/>
      <c r="G11" s="286"/>
      <c r="H11" s="291"/>
      <c r="I11" s="13" t="s">
        <v>143</v>
      </c>
      <c r="J11" s="30">
        <f>(IF(B4&gt;1,(H4/(B4+2)+J10),0))</f>
        <v>0</v>
      </c>
    </row>
    <row r="12" spans="1:10" ht="15.6" x14ac:dyDescent="0.3">
      <c r="A12" s="282" t="s">
        <v>132</v>
      </c>
      <c r="B12" s="283" t="s">
        <v>129</v>
      </c>
      <c r="C12" s="43">
        <v>0</v>
      </c>
      <c r="D12" s="19">
        <f ca="1">((100/(H4))*C12)/100</f>
        <v>0</v>
      </c>
      <c r="E12" s="286"/>
      <c r="F12" s="287"/>
      <c r="G12" s="286"/>
      <c r="H12" s="291"/>
      <c r="I12" s="13" t="s">
        <v>140</v>
      </c>
      <c r="J12" s="30">
        <f>(IF(B4&gt;2,(H4/(B4+2)+J11),0))</f>
        <v>0</v>
      </c>
    </row>
    <row r="13" spans="1:10" ht="15.6" x14ac:dyDescent="0.3">
      <c r="A13" s="282" t="s">
        <v>128</v>
      </c>
      <c r="B13" s="283" t="s">
        <v>128</v>
      </c>
      <c r="C13" s="43">
        <v>0</v>
      </c>
      <c r="D13" s="19">
        <f ca="1">((100/H4)*C13)/100</f>
        <v>0</v>
      </c>
      <c r="E13" s="286"/>
      <c r="F13" s="287"/>
      <c r="G13" s="286"/>
      <c r="H13" s="291"/>
      <c r="I13" s="13" t="s">
        <v>141</v>
      </c>
      <c r="J13" s="31">
        <f>(IF(B4&gt;3,(H4/(B4+2)+J12),0))</f>
        <v>0</v>
      </c>
    </row>
    <row r="14" spans="1:10" ht="15.6" x14ac:dyDescent="0.3">
      <c r="A14" s="282" t="s">
        <v>135</v>
      </c>
      <c r="B14" s="283"/>
      <c r="C14" s="43">
        <v>0</v>
      </c>
      <c r="D14" s="19">
        <f ca="1">((100/H4)*C14)/100</f>
        <v>0</v>
      </c>
      <c r="E14" s="286"/>
      <c r="F14" s="287"/>
      <c r="G14" s="286"/>
      <c r="H14" s="291"/>
      <c r="I14" s="13" t="s">
        <v>142</v>
      </c>
      <c r="J14" s="30">
        <f>(IF(B4&gt;4,(H4/(B4+2)+J13),0))</f>
        <v>0</v>
      </c>
    </row>
    <row r="15" spans="1:10" ht="15.6" x14ac:dyDescent="0.3">
      <c r="A15" s="282" t="s">
        <v>130</v>
      </c>
      <c r="B15" s="283" t="s">
        <v>130</v>
      </c>
      <c r="C15" s="43">
        <v>0</v>
      </c>
      <c r="D15" s="19">
        <f ca="1">((100/(H4))*C15)/100</f>
        <v>0</v>
      </c>
      <c r="E15" s="286"/>
      <c r="F15" s="287"/>
      <c r="G15" s="286"/>
      <c r="H15" s="291"/>
      <c r="I15" s="13" t="s">
        <v>144</v>
      </c>
      <c r="J15" s="30">
        <f ca="1">(IF(B4=1,(H4/(B4+3)+J10),IF(B4=0,(H4/4+J10),IF(B4&gt;1,0))))</f>
        <v>15</v>
      </c>
    </row>
    <row r="16" spans="1:10" ht="16.2" thickBot="1" x14ac:dyDescent="0.35">
      <c r="A16" s="294" t="s">
        <v>131</v>
      </c>
      <c r="B16" s="295"/>
      <c r="C16" s="44">
        <v>0</v>
      </c>
      <c r="D16" s="20">
        <f ca="1">((100/(H4))*C16)/100</f>
        <v>0</v>
      </c>
      <c r="E16" s="288"/>
      <c r="F16" s="289"/>
      <c r="G16" s="288"/>
      <c r="H16" s="292"/>
      <c r="I16" s="15" t="s">
        <v>100</v>
      </c>
      <c r="J16" s="32">
        <f ca="1">(IF(B4&gt;1.5,(H4/(B4+2)+J10+MAX(0,J11-J10)+MAX(0,J12-J11)+MAX(0,J13-J12)+MAX(0,J14-J13)+MAX(0,J15-J14)),IF(B4=1,(H4/(B4+3)+J15),IF(B4=0,H4/4+J15))))</f>
        <v>20</v>
      </c>
    </row>
  </sheetData>
  <mergeCells count="20">
    <mergeCell ref="E6:F6"/>
    <mergeCell ref="G6:H6"/>
    <mergeCell ref="A15:B15"/>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2025-09-22T13:03:23Z</cp:lastPrinted>
  <dcterms:created xsi:type="dcterms:W3CDTF">2019-07-16T09:29:46Z</dcterms:created>
  <dcterms:modified xsi:type="dcterms:W3CDTF">2025-09-23T05:08:02Z</dcterms:modified>
</cp:coreProperties>
</file>