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1" l="1"/>
  <c r="H84" i="1"/>
  <c r="J88" i="1" l="1"/>
  <c r="C87" i="1" s="1"/>
  <c r="D87" i="1" s="1"/>
  <c r="J86" i="1"/>
  <c r="J83" i="1"/>
  <c r="J85" i="1" s="1"/>
  <c r="D96" i="1"/>
  <c r="D92" i="1"/>
  <c r="D91" i="1"/>
  <c r="D90" i="1"/>
  <c r="D89" i="1"/>
  <c r="J87" i="1"/>
  <c r="D95" i="1"/>
  <c r="D94" i="1"/>
  <c r="D93" i="1"/>
  <c r="J89" i="1"/>
  <c r="J94" i="1"/>
  <c r="J93" i="1"/>
  <c r="J91" i="1"/>
  <c r="J92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194" i="1"/>
  <c r="D258" i="1"/>
  <c r="E238" i="1"/>
  <c r="D237" i="1"/>
  <c r="D235" i="1"/>
  <c r="D178" i="1"/>
  <c r="J90" i="1" l="1"/>
  <c r="J95" i="1" s="1"/>
  <c r="J96" i="1" s="1"/>
  <c r="C88" i="1" s="1"/>
  <c r="E87" i="1" s="1"/>
  <c r="D230" i="1"/>
  <c r="J230" i="1"/>
  <c r="I230" i="1"/>
  <c r="I231" i="1"/>
  <c r="D184" i="1"/>
  <c r="D183" i="1"/>
  <c r="D182" i="1"/>
  <c r="D181" i="1"/>
  <c r="D180" i="1"/>
  <c r="D179" i="1"/>
  <c r="D177" i="1"/>
  <c r="D176" i="1"/>
  <c r="D175" i="1"/>
  <c r="D174" i="1"/>
  <c r="D173" i="1"/>
  <c r="D172" i="1"/>
  <c r="D171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E289" i="1"/>
  <c r="E288" i="1"/>
  <c r="D291" i="1"/>
  <c r="D290" i="1"/>
  <c r="D289" i="1"/>
  <c r="D288" i="1"/>
  <c r="F288" i="1" s="1"/>
  <c r="L288" i="1" s="1"/>
  <c r="D287" i="1"/>
  <c r="F287" i="1" s="1"/>
  <c r="L287" i="1" s="1"/>
  <c r="E284" i="1"/>
  <c r="E283" i="1"/>
  <c r="E280" i="1"/>
  <c r="E279" i="1"/>
  <c r="D284" i="1"/>
  <c r="D283" i="1"/>
  <c r="D282" i="1"/>
  <c r="F282" i="1" s="1"/>
  <c r="L282" i="1" s="1"/>
  <c r="D281" i="1"/>
  <c r="F281" i="1" s="1"/>
  <c r="L281" i="1" s="1"/>
  <c r="D280" i="1"/>
  <c r="D279" i="1"/>
  <c r="E277" i="1"/>
  <c r="E276" i="1"/>
  <c r="E273" i="1"/>
  <c r="D277" i="1"/>
  <c r="D276" i="1"/>
  <c r="D275" i="1"/>
  <c r="F275" i="1" s="1"/>
  <c r="L275" i="1" s="1"/>
  <c r="D274" i="1"/>
  <c r="F274" i="1" s="1"/>
  <c r="L274" i="1" s="1"/>
  <c r="D273" i="1"/>
  <c r="E268" i="1"/>
  <c r="E267" i="1"/>
  <c r="D270" i="1"/>
  <c r="F270" i="1" s="1"/>
  <c r="L270" i="1" s="1"/>
  <c r="D269" i="1"/>
  <c r="F269" i="1" s="1"/>
  <c r="L269" i="1" s="1"/>
  <c r="D268" i="1"/>
  <c r="D267" i="1"/>
  <c r="D266" i="1"/>
  <c r="F266" i="1" s="1"/>
  <c r="L266" i="1" s="1"/>
  <c r="D265" i="1"/>
  <c r="F265" i="1" s="1"/>
  <c r="L265" i="1" s="1"/>
  <c r="E258" i="1"/>
  <c r="E259" i="1"/>
  <c r="D260" i="1"/>
  <c r="F260" i="1" s="1"/>
  <c r="L260" i="1" s="1"/>
  <c r="D259" i="1"/>
  <c r="E252" i="1"/>
  <c r="E250" i="1"/>
  <c r="D252" i="1"/>
  <c r="D251" i="1"/>
  <c r="F251" i="1" s="1"/>
  <c r="L251" i="1" s="1"/>
  <c r="D250" i="1"/>
  <c r="D248" i="1"/>
  <c r="F248" i="1" s="1"/>
  <c r="L248" i="1" s="1"/>
  <c r="D247" i="1"/>
  <c r="E244" i="1"/>
  <c r="D245" i="1"/>
  <c r="F245" i="1" s="1"/>
  <c r="L245" i="1" s="1"/>
  <c r="D244" i="1"/>
  <c r="D243" i="1"/>
  <c r="F243" i="1" s="1"/>
  <c r="L243" i="1" s="1"/>
  <c r="E241" i="1"/>
  <c r="D241" i="1"/>
  <c r="E240" i="1"/>
  <c r="D240" i="1"/>
  <c r="E236" i="1"/>
  <c r="E235" i="1"/>
  <c r="F235" i="1" s="1"/>
  <c r="L235" i="1" s="1"/>
  <c r="D238" i="1"/>
  <c r="D236" i="1"/>
  <c r="D234" i="1"/>
  <c r="F234" i="1" s="1"/>
  <c r="L234" i="1" s="1"/>
  <c r="D233" i="1"/>
  <c r="F233" i="1" s="1"/>
  <c r="L233" i="1" s="1"/>
  <c r="E230" i="1"/>
  <c r="E227" i="1"/>
  <c r="E226" i="1"/>
  <c r="D231" i="1"/>
  <c r="F231" i="1" s="1"/>
  <c r="L231" i="1" s="1"/>
  <c r="D229" i="1"/>
  <c r="F229" i="1" s="1"/>
  <c r="L229" i="1" s="1"/>
  <c r="D228" i="1"/>
  <c r="D227" i="1"/>
  <c r="D226" i="1"/>
  <c r="D220" i="1"/>
  <c r="F220" i="1" s="1"/>
  <c r="L220" i="1" s="1"/>
  <c r="D219" i="1"/>
  <c r="F219" i="1" s="1"/>
  <c r="L219" i="1" s="1"/>
  <c r="E217" i="1"/>
  <c r="E215" i="1"/>
  <c r="D217" i="1"/>
  <c r="D216" i="1"/>
  <c r="D215" i="1"/>
  <c r="E213" i="1"/>
  <c r="D213" i="1"/>
  <c r="E212" i="1"/>
  <c r="D212" i="1"/>
  <c r="E209" i="1"/>
  <c r="D210" i="1"/>
  <c r="F210" i="1" s="1"/>
  <c r="L210" i="1" s="1"/>
  <c r="D209" i="1"/>
  <c r="D208" i="1"/>
  <c r="F208" i="1" s="1"/>
  <c r="L208" i="1" s="1"/>
  <c r="E204" i="1"/>
  <c r="E203" i="1"/>
  <c r="E201" i="1"/>
  <c r="D206" i="1"/>
  <c r="F206" i="1" s="1"/>
  <c r="M206" i="1" s="1"/>
  <c r="D205" i="1"/>
  <c r="D204" i="1"/>
  <c r="D203" i="1"/>
  <c r="D202" i="1"/>
  <c r="D201" i="1"/>
  <c r="D195" i="1"/>
  <c r="D196" i="1"/>
  <c r="D197" i="1"/>
  <c r="D198" i="1"/>
  <c r="D199" i="1"/>
  <c r="E195" i="1"/>
  <c r="E198" i="1"/>
  <c r="E199" i="1"/>
  <c r="D194" i="1"/>
  <c r="I173" i="1"/>
  <c r="I160" i="1"/>
  <c r="I156" i="1"/>
  <c r="I157" i="1"/>
  <c r="I155" i="1"/>
  <c r="F290" i="1"/>
  <c r="L290" i="1" s="1"/>
  <c r="I259" i="1"/>
  <c r="A259" i="1"/>
  <c r="A260" i="1" s="1"/>
  <c r="A261" i="1" s="1"/>
  <c r="A262" i="1" s="1"/>
  <c r="A263" i="1" s="1"/>
  <c r="I258" i="1"/>
  <c r="A287" i="1"/>
  <c r="A288" i="1" s="1"/>
  <c r="A289" i="1" s="1"/>
  <c r="A290" i="1" s="1"/>
  <c r="A291" i="1" s="1"/>
  <c r="A273" i="1"/>
  <c r="A274" i="1" s="1"/>
  <c r="A275" i="1" s="1"/>
  <c r="A276" i="1" s="1"/>
  <c r="A277" i="1" s="1"/>
  <c r="A266" i="1"/>
  <c r="A267" i="1" s="1"/>
  <c r="A268" i="1" s="1"/>
  <c r="A269" i="1" s="1"/>
  <c r="A270" i="1" s="1"/>
  <c r="I280" i="1"/>
  <c r="A280" i="1"/>
  <c r="A281" i="1" s="1"/>
  <c r="A282" i="1" s="1"/>
  <c r="A283" i="1" s="1"/>
  <c r="A284" i="1" s="1"/>
  <c r="I279" i="1"/>
  <c r="F247" i="1"/>
  <c r="L247" i="1" s="1"/>
  <c r="F237" i="1"/>
  <c r="L237" i="1" s="1"/>
  <c r="F228" i="1"/>
  <c r="L228" i="1" s="1"/>
  <c r="A248" i="1"/>
  <c r="A249" i="1" s="1"/>
  <c r="A250" i="1" s="1"/>
  <c r="A251" i="1" s="1"/>
  <c r="A252" i="1" s="1"/>
  <c r="A241" i="1"/>
  <c r="A242" i="1" s="1"/>
  <c r="A243" i="1" s="1"/>
  <c r="A244" i="1" s="1"/>
  <c r="A245" i="1" s="1"/>
  <c r="A234" i="1"/>
  <c r="A235" i="1" s="1"/>
  <c r="A236" i="1" s="1"/>
  <c r="A237" i="1" s="1"/>
  <c r="A238" i="1" s="1"/>
  <c r="A227" i="1"/>
  <c r="A228" i="1" s="1"/>
  <c r="A229" i="1" s="1"/>
  <c r="A230" i="1" s="1"/>
  <c r="A231" i="1" s="1"/>
  <c r="F216" i="1"/>
  <c r="L216" i="1" s="1"/>
  <c r="A216" i="1"/>
  <c r="A217" i="1" s="1"/>
  <c r="A218" i="1" s="1"/>
  <c r="A219" i="1" s="1"/>
  <c r="A220" i="1" s="1"/>
  <c r="A209" i="1"/>
  <c r="A210" i="1" s="1"/>
  <c r="A211" i="1" s="1"/>
  <c r="A212" i="1" s="1"/>
  <c r="A213" i="1" s="1"/>
  <c r="I195" i="1"/>
  <c r="I194" i="1"/>
  <c r="F280" i="1" l="1"/>
  <c r="L280" i="1" s="1"/>
  <c r="D88" i="1"/>
  <c r="I84" i="1" s="1"/>
  <c r="I85" i="1" s="1"/>
  <c r="J84" i="1"/>
  <c r="G87" i="1"/>
  <c r="F227" i="1"/>
  <c r="L227" i="1" s="1"/>
  <c r="F236" i="1"/>
  <c r="L236" i="1" s="1"/>
  <c r="F240" i="1"/>
  <c r="L240" i="1" s="1"/>
  <c r="F284" i="1"/>
  <c r="L284" i="1" s="1"/>
  <c r="F276" i="1"/>
  <c r="L276" i="1" s="1"/>
  <c r="F241" i="1"/>
  <c r="L241" i="1" s="1"/>
  <c r="F277" i="1"/>
  <c r="L277" i="1" s="1"/>
  <c r="F215" i="1"/>
  <c r="L215" i="1" s="1"/>
  <c r="F217" i="1"/>
  <c r="L217" i="1" s="1"/>
  <c r="F267" i="1"/>
  <c r="L267" i="1" s="1"/>
  <c r="F244" i="1"/>
  <c r="L244" i="1" s="1"/>
  <c r="F283" i="1"/>
  <c r="L283" i="1" s="1"/>
  <c r="F268" i="1"/>
  <c r="L268" i="1" s="1"/>
  <c r="F289" i="1"/>
  <c r="L289" i="1" s="1"/>
  <c r="F252" i="1"/>
  <c r="L252" i="1" s="1"/>
  <c r="F209" i="1"/>
  <c r="L209" i="1" s="1"/>
  <c r="F226" i="1"/>
  <c r="L226" i="1" s="1"/>
  <c r="F230" i="1"/>
  <c r="L230" i="1" s="1"/>
  <c r="F212" i="1"/>
  <c r="L212" i="1" s="1"/>
  <c r="F213" i="1"/>
  <c r="L213" i="1" s="1"/>
  <c r="F291" i="1"/>
  <c r="L291" i="1" s="1"/>
  <c r="F279" i="1"/>
  <c r="L279" i="1" s="1"/>
  <c r="F250" i="1"/>
  <c r="L250" i="1" s="1"/>
  <c r="F259" i="1"/>
  <c r="L259" i="1" s="1"/>
  <c r="F238" i="1"/>
  <c r="L238" i="1" s="1"/>
  <c r="F273" i="1"/>
  <c r="L273" i="1" s="1"/>
  <c r="F258" i="1"/>
  <c r="L258" i="1" s="1"/>
  <c r="F199" i="1"/>
  <c r="F198" i="1"/>
  <c r="F182" i="1"/>
  <c r="L182" i="1" s="1"/>
  <c r="F178" i="1"/>
  <c r="L178" i="1" s="1"/>
  <c r="F175" i="1"/>
  <c r="L175" i="1" s="1"/>
  <c r="F174" i="1"/>
  <c r="L174" i="1" s="1"/>
  <c r="F172" i="1"/>
  <c r="L172" i="1" s="1"/>
  <c r="F180" i="1"/>
  <c r="L180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F168" i="1"/>
  <c r="L168" i="1" s="1"/>
  <c r="F161" i="1"/>
  <c r="L161" i="1" s="1"/>
  <c r="E42" i="1"/>
  <c r="I83" i="1" l="1"/>
  <c r="C85" i="1" s="1"/>
  <c r="M198" i="1"/>
  <c r="M199" i="1"/>
  <c r="G144" i="1"/>
  <c r="E144" i="1"/>
  <c r="C144" i="1"/>
  <c r="F184" i="1"/>
  <c r="L184" i="1" s="1"/>
  <c r="G145" i="1"/>
  <c r="C145" i="1"/>
  <c r="E145" i="1"/>
  <c r="F166" i="1"/>
  <c r="L166" i="1" s="1"/>
  <c r="F177" i="1"/>
  <c r="L177" i="1" s="1"/>
  <c r="F176" i="1"/>
  <c r="L176" i="1" s="1"/>
  <c r="F167" i="1"/>
  <c r="L167" i="1" s="1"/>
  <c r="F181" i="1"/>
  <c r="L181" i="1" s="1"/>
  <c r="F173" i="1"/>
  <c r="L173" i="1" s="1"/>
  <c r="F160" i="1"/>
  <c r="L160" i="1" s="1"/>
  <c r="F183" i="1"/>
  <c r="L183" i="1" s="1"/>
  <c r="F179" i="1"/>
  <c r="L179" i="1" s="1"/>
  <c r="F171" i="1"/>
  <c r="L171" i="1" s="1"/>
  <c r="F162" i="1"/>
  <c r="L162" i="1" s="1"/>
  <c r="F169" i="1"/>
  <c r="L169" i="1" s="1"/>
  <c r="F165" i="1"/>
  <c r="L165" i="1" s="1"/>
  <c r="F164" i="1"/>
  <c r="L164" i="1" s="1"/>
  <c r="F163" i="1"/>
  <c r="L163" i="1" s="1"/>
  <c r="F159" i="1"/>
  <c r="L159" i="1" s="1"/>
  <c r="F156" i="1"/>
  <c r="L156" i="1" s="1"/>
  <c r="F157" i="1"/>
  <c r="L157" i="1" s="1"/>
  <c r="F158" i="1"/>
  <c r="L158" i="1" s="1"/>
  <c r="F155" i="1"/>
  <c r="L155" i="1" s="1"/>
  <c r="F205" i="1"/>
  <c r="M205" i="1" s="1"/>
  <c r="F204" i="1"/>
  <c r="M204" i="1" s="1"/>
  <c r="F203" i="1"/>
  <c r="M203" i="1" s="1"/>
  <c r="F202" i="1"/>
  <c r="M202" i="1" s="1"/>
  <c r="F201" i="1"/>
  <c r="M201" i="1" s="1"/>
  <c r="B295" i="1"/>
  <c r="B294" i="1"/>
  <c r="F195" i="1"/>
  <c r="M195" i="1" s="1"/>
  <c r="F196" i="1"/>
  <c r="M196" i="1" s="1"/>
  <c r="F197" i="1"/>
  <c r="M197" i="1" s="1"/>
  <c r="F194" i="1"/>
  <c r="M194" i="1" s="1"/>
  <c r="G140" i="1" l="1"/>
  <c r="E143" i="1"/>
  <c r="E146" i="1" s="1"/>
  <c r="C143" i="1"/>
  <c r="C146" i="1" s="1"/>
  <c r="C140" i="1"/>
  <c r="E140" i="1"/>
  <c r="C15" i="1"/>
  <c r="E147" i="1" l="1"/>
  <c r="C147" i="1"/>
  <c r="Z12" i="1"/>
  <c r="I14" i="1"/>
  <c r="E43" i="1" l="1"/>
  <c r="E44" i="1" s="1"/>
  <c r="E30" i="1" l="1"/>
  <c r="A195" i="1" l="1"/>
  <c r="A196" i="1" s="1"/>
  <c r="A197" i="1" s="1"/>
  <c r="A198" i="1" s="1"/>
  <c r="A199" i="1" s="1"/>
  <c r="G143" i="1" l="1"/>
  <c r="G146" i="1" s="1"/>
  <c r="G147" i="1" s="1"/>
  <c r="F13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7" i="1"/>
  <c r="A202" i="1"/>
  <c r="A203" i="1" s="1"/>
  <c r="A204" i="1" s="1"/>
  <c r="A205" i="1" s="1"/>
  <c r="A206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C111" i="1"/>
  <c r="B112" i="1" s="1"/>
  <c r="B70" i="1"/>
  <c r="D57" i="1"/>
  <c r="G50" i="1"/>
  <c r="G51" i="1" s="1"/>
  <c r="C50" i="1"/>
  <c r="C51" i="1" s="1"/>
  <c r="E27" i="1"/>
  <c r="E25" i="1"/>
  <c r="E7" i="1"/>
  <c r="E3" i="1"/>
  <c r="D63" i="1" l="1"/>
  <c r="H70" i="1"/>
  <c r="H112" i="1"/>
  <c r="J116" i="1" l="1"/>
  <c r="C115" i="1" s="1"/>
  <c r="J114" i="1"/>
  <c r="J117" i="1"/>
  <c r="J118" i="1" s="1"/>
  <c r="J123" i="1" s="1"/>
  <c r="J111" i="1"/>
  <c r="J113" i="1" s="1"/>
  <c r="D119" i="1"/>
  <c r="D121" i="1"/>
  <c r="D124" i="1"/>
  <c r="D118" i="1"/>
  <c r="D122" i="1"/>
  <c r="D123" i="1"/>
  <c r="D120" i="1"/>
  <c r="J115" i="1"/>
  <c r="D82" i="1"/>
  <c r="D80" i="1"/>
  <c r="D79" i="1"/>
  <c r="D76" i="1"/>
  <c r="D78" i="1"/>
  <c r="J75" i="1"/>
  <c r="D81" i="1"/>
  <c r="J69" i="1"/>
  <c r="J71" i="1" s="1"/>
  <c r="D77" i="1"/>
  <c r="J73" i="1"/>
  <c r="J74" i="1"/>
  <c r="C73" i="1" s="1"/>
  <c r="J72" i="1"/>
  <c r="J119" i="1"/>
  <c r="J120" i="1" s="1"/>
  <c r="J121" i="1" s="1"/>
  <c r="J122" i="1" s="1"/>
  <c r="J77" i="1"/>
  <c r="J78" i="1" s="1"/>
  <c r="J79" i="1" s="1"/>
  <c r="J80" i="1" s="1"/>
  <c r="D117" i="1"/>
  <c r="D75" i="1"/>
  <c r="J76" i="1" l="1"/>
  <c r="J81" i="1" s="1"/>
  <c r="D115" i="1"/>
  <c r="D73" i="1"/>
  <c r="J124" i="1"/>
  <c r="C116" i="1" s="1"/>
  <c r="J82" i="1" l="1"/>
  <c r="C74" i="1" s="1"/>
  <c r="G73" i="1" s="1"/>
  <c r="D67" i="1" s="1"/>
  <c r="D68" i="1" s="1"/>
  <c r="J112" i="1"/>
  <c r="E115" i="1"/>
  <c r="G115" i="1"/>
  <c r="D116" i="1"/>
  <c r="I112" i="1" s="1"/>
  <c r="I113" i="1" s="1"/>
  <c r="E73" i="1" l="1"/>
  <c r="D74" i="1"/>
  <c r="I70" i="1" s="1"/>
  <c r="I71" i="1" s="1"/>
  <c r="J70" i="1"/>
  <c r="F68" i="1"/>
  <c r="I111" i="1"/>
  <c r="C113" i="1" s="1"/>
  <c r="I69" i="1" l="1"/>
  <c r="C71" i="1" s="1"/>
  <c r="B98" i="1"/>
  <c r="H98" i="1"/>
  <c r="J102" i="1" l="1"/>
  <c r="C101" i="1" s="1"/>
  <c r="D110" i="1"/>
  <c r="D106" i="1"/>
  <c r="J97" i="1"/>
  <c r="J99" i="1" s="1"/>
  <c r="J101" i="1"/>
  <c r="D107" i="1"/>
  <c r="D109" i="1"/>
  <c r="D105" i="1"/>
  <c r="D103" i="1"/>
  <c r="D108" i="1"/>
  <c r="D104" i="1"/>
  <c r="J100" i="1"/>
  <c r="J106" i="1"/>
  <c r="J105" i="1"/>
  <c r="J108" i="1"/>
  <c r="J107" i="1"/>
  <c r="J103" i="1"/>
  <c r="J104" i="1" s="1"/>
  <c r="D101" i="1" l="1"/>
  <c r="J109" i="1"/>
  <c r="J110" i="1" s="1"/>
  <c r="C102" i="1" s="1"/>
  <c r="G101" i="1" s="1"/>
  <c r="J98" i="1" l="1"/>
  <c r="D102" i="1"/>
  <c r="I98" i="1" s="1"/>
  <c r="I99" i="1" s="1"/>
  <c r="E101" i="1"/>
  <c r="I97" i="1" l="1"/>
  <c r="C9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<sst xmlns="http://schemas.openxmlformats.org/spreadsheetml/2006/main" count="634" uniqueCount="309">
  <si>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</si>
  <si>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</si>
  <si>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</si>
  <si>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</si>
  <si>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</si>
  <si>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</si>
  <si>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</si>
  <si>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</si>
  <si>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</si>
  <si>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</si>
  <si>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</si>
  <si>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</si>
  <si>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</si>
  <si>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</si>
  <si>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</si>
  <si>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</si>
  <si>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</si>
  <si>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</si>
  <si>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</si>
  <si>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</si>
  <si>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</si>
  <si>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</si>
  <si>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</si>
  <si>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</si>
  <si>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</si>
  <si>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</si>
  <si>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</si>
  <si>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</si>
  <si>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</si>
  <si>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</si>
  <si>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</si>
  <si>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</si>
  <si>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</si>
  <si>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</si>
  <si>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</si>
  <si>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</si>
  <si>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</si>
  <si>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</si>
  <si>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</si>
  <si>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</si>
  <si>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</si>
  <si>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</si>
  <si>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</si>
  <si>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</si>
  <si>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</si>
  <si>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</si>
  <si>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</si>
  <si>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</si>
  <si>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</si>
  <si>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</si>
  <si>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</si>
  <si>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</si>
  <si>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</si>
  <si>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</si>
  <si>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</si>
  <si>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</si>
  <si>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</si>
  <si>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</si>
  <si>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</si>
  <si>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</si>
  <si>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</si>
  <si>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</si>
  <si>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</si>
  <si>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</si>
  <si>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</si>
  <si>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</si>
  <si>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</si>
  <si>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</si>
  <si>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</si>
  <si>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</si>
  <si>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</si>
  <si>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</si>
  <si>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</si>
  <si>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</si>
  <si>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</si>
  <si>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</si>
  <si>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</si>
  <si>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</si>
  <si>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</si>
  <si>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</si>
  <si>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</si>
  <si>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</si>
  <si>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</si>
  <si>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</si>
  <si>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</si>
  <si>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</si>
  <si>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</si>
  <si>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</si>
  <si>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</si>
  <si>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</si>
  <si>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</si>
  <si>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</si>
  <si>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</si>
  <si>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</si>
  <si>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</si>
  <si>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</si>
  <si>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</si>
  <si>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</si>
  <si>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</si>
  <si>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</si>
  <si>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</si>
  <si>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</si>
  <si>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</si>
  <si>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</si>
  <si>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</si>
  <si>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</si>
  <si>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</si>
  <si>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</si>
  <si>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</si>
  <si>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</si>
  <si>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</si>
  <si>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</si>
  <si>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</si>
  <si>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</si>
  <si>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</si>
  <si>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</si>
  <si>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</si>
  <si>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</si>
  <si>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</si>
  <si>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</si>
  <si>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</si>
  <si>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</si>
  <si>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</si>
  <si>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</si>
  <si>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</si>
  <si>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</si>
  <si>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</si>
  <si>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</si>
  <si>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</si>
  <si>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</si>
  <si>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</si>
  <si>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</si>
  <si>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</si>
  <si>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</si>
  <si>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</si>
  <si>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</si>
  <si>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</si>
  <si>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</si>
  <si>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</si>
  <si>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</si>
  <si>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</si>
  <si>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</si>
  <si>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</si>
  <si>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</si>
  <si>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</si>
  <si>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</si>
  <si>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</si>
  <si>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</si>
  <si>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</si>
  <si>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</si>
  <si>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</si>
  <si>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</si>
  <si>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</si>
  <si>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</si>
  <si>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</si>
  <si>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</si>
  <si>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</si>
  <si>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</si>
  <si>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</si>
  <si>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</si>
  <si>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</si>
  <si>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</si>
  <si>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</si>
  <si>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</si>
  <si>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</si>
  <si>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</si>
  <si>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</si>
  <si>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</si>
  <si>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</si>
  <si>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</si>
  <si>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</si>
  <si>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</si>
  <si>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</si>
  <si>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</si>
  <si>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</si>
  <si>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</si>
  <si>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</si>
  <si>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</si>
  <si>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</si>
  <si>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</si>
  <si>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</si>
  <si>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</si>
  <si>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</si>
  <si>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</si>
  <si>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</si>
  <si>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</si>
  <si>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</si>
  <si>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</si>
  <si>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</si>
  <si>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</si>
  <si>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</si>
  <si>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</si>
  <si>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</si>
  <si>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</si>
  <si>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</si>
  <si>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</si>
  <si>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</si>
  <si>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</si>
  <si>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</si>
  <si>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</si>
  <si>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</si>
  <si>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</si>
  <si>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</si>
  <si>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</si>
  <si>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</si>
  <si>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</si>
  <si>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</si>
  <si>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</si>
  <si>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</si>
  <si>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</si>
  <si>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</si>
  <si>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</si>
  <si>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</si>
  <si>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</si>
  <si>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</si>
  <si>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</si>
  <si>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</si>
  <si>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</si>
  <si>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</si>
  <si>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</si>
  <si>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</si>
  <si>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</si>
  <si>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</si>
  <si>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</si>
  <si>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</si>
  <si>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</si>
  <si>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</si>
  <si>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</si>
  <si>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>Mantram Venture LLP</t>
  </si>
  <si>
    <t>Mantram</t>
  </si>
  <si>
    <t>Mr. Bhimesh Mehta 9819538134</t>
  </si>
  <si>
    <t>P52000052044</t>
  </si>
  <si>
    <t>118/2/A</t>
  </si>
  <si>
    <t>Khanavale</t>
  </si>
  <si>
    <t>18.941783,73.183002</t>
  </si>
  <si>
    <t>Thombare Vadi</t>
  </si>
  <si>
    <t>National Highway 4</t>
  </si>
  <si>
    <t>5.70KM from Somatne Railway Station</t>
  </si>
  <si>
    <t>Shedung</t>
  </si>
  <si>
    <t>Shree Mahaganpati  Ashtavinyak Mandir</t>
  </si>
  <si>
    <t>Survey No. 124</t>
  </si>
  <si>
    <t>Survey No. 120</t>
  </si>
  <si>
    <t>NH-4 Pune Road</t>
  </si>
  <si>
    <t>Other Plot</t>
  </si>
  <si>
    <t>Open Plot</t>
  </si>
  <si>
    <t>Houses</t>
  </si>
  <si>
    <t>https://maps.app.goo.gl/LKEUUQSniQMsAi1cA</t>
  </si>
  <si>
    <t>Maharashtra State Road Development Corporation Limited (MSRDC)</t>
  </si>
  <si>
    <t>MSRDC/SPA/Khanavale/BP-440/
CC/2023/867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</si>
  <si>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</si>
  <si>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Granite Kitchen Platform, Decorative
Entrance &amp; Landscape Garden, etc.</t>
  </si>
  <si>
    <t>Commercial Wing = LG + UG + 1st &amp; 2nd Floor</t>
  </si>
  <si>
    <t>Tower A, B &amp; C = Gr + 1st to 5th Podium + 1st to 21st Floor</t>
  </si>
  <si>
    <t>Lower Ground Floor For Meter Room &amp; Parking</t>
  </si>
  <si>
    <t>Commercial Building</t>
  </si>
  <si>
    <t>Upper Ground Floor For Commercial &amp; Entrance Lobby</t>
  </si>
  <si>
    <t>Shop</t>
  </si>
  <si>
    <t>1st Floor</t>
  </si>
  <si>
    <t>2nd Floorn For Resturant</t>
  </si>
  <si>
    <t>Tower A</t>
  </si>
  <si>
    <t>1st to 4th Podium Floor For Parking</t>
  </si>
  <si>
    <t>5th Podium Floor For Lobby &amp; Part Terrace Area</t>
  </si>
  <si>
    <t>1st, 5th, 7th, 9th, 11th, 15th, 17th &amp; 19th Floor For Residential</t>
  </si>
  <si>
    <t>2BHK</t>
  </si>
  <si>
    <t>1BHK</t>
  </si>
  <si>
    <t>2nd, 4th, 6th, 10th, 12th, 14th, 16th &amp; 20th Floor</t>
  </si>
  <si>
    <t>3rd &amp; 13th Floor (Part Refuge Area)</t>
  </si>
  <si>
    <t>Refuge Area</t>
  </si>
  <si>
    <t>8th &amp; 18th Floor (Part Refuge Area)</t>
  </si>
  <si>
    <t>Tower B</t>
  </si>
  <si>
    <t>Tower C</t>
  </si>
  <si>
    <t>1st Floor For Residential (Part Void Area)</t>
  </si>
  <si>
    <t>Void</t>
  </si>
  <si>
    <t>5th, 7th, 9th, 11th, 15th, 17th &amp; 19th Floor For Residential</t>
  </si>
  <si>
    <t>Flats - 345, Shops - 29, Restaurant - 01</t>
  </si>
  <si>
    <t>As per RERA - 31/12/2028</t>
  </si>
  <si>
    <t>Tower A, B &amp; C = Gr + 1st to 5th Podium + 1st to 20th Floor
Commercial Wing = LG + UG + 1st &amp; 2nd Floor</t>
  </si>
  <si>
    <t>04 Buildings</t>
  </si>
  <si>
    <t>W</t>
  </si>
  <si>
    <t>We considered Gross carpet area = Net carpet + Sit out Area.</t>
  </si>
  <si>
    <t>As per CC dated 22/05/2023 Tower A, B &amp; C = Upto 21st Floor + Commercial Building = G + 2nd Floor (Built up area 25582.713).
As per approved plans dated 22/05/2023 Tower A, B &amp; C = Gr + 1st to 5th Podium + 1st to 20th Floor + Commercial Buildind = Gr + 1st &amp; 2nd Floor (Builtup area 25582.713).
Please provide revised approved C.C.</t>
  </si>
  <si>
    <t>Builder Saleable Area :</t>
  </si>
  <si>
    <t>Approved Plans, CC, Builder Saleable Area &amp; Cost Sheet.</t>
  </si>
  <si>
    <t xml:space="preserve">Tower A, B, C &amp; Commercial Building, </t>
  </si>
  <si>
    <t>Ground Floor For Entrance Lobby, Drivers Room, Meter Room, Fire Control Room &amp; Parking</t>
  </si>
  <si>
    <t>Axis Sanpada</t>
  </si>
  <si>
    <t>Gut No</t>
  </si>
  <si>
    <t>National Highway 4/wadwa Wise City</t>
  </si>
  <si>
    <t>Ganesh Mandir</t>
  </si>
  <si>
    <t xml:space="preserve">Builtup Area = 25582.713 Sq.M.
Tower A = Gr + 1st to 21st Floor
Tower B = Gr + 1st to 21st Floor
Tower C = Gr + 1st to 21st Floor
Commercial Wing = Gr + 1st to 2nd Floor
</t>
  </si>
  <si>
    <t>Ground Floor For Entrance Lobby, Meter Room, Fire Control Room &amp; Parking</t>
  </si>
  <si>
    <t>Development &amp; Society Formation Charges</t>
  </si>
  <si>
    <t>Recommended rate of the Shop (Ground Floor) Per Sq. Ft.</t>
  </si>
  <si>
    <t>Recommended rate of the Shop (1st Floor) Per Sq. Ft.</t>
  </si>
  <si>
    <t>Tower C = Gr + 1st to 5th Podium + 1st to 21st Floor</t>
  </si>
  <si>
    <t>Environmental Clearance
Certificate (EC) No
Valid Up for:</t>
  </si>
  <si>
    <t xml:space="preserve">SIA/MH/INFRA2/424965/2023
</t>
  </si>
  <si>
    <t xml:space="preserve">Plot Area = 10500.00 Sqmt
Built up Area = 45000.00 Sqmt
Tower A, B &amp; C = Gr + 5P + 1st to 20th Floor
Commercial Wing = LG + UG + G + 1st to 2nd Floor
</t>
  </si>
  <si>
    <t>We have updated approved EC from State Environment Impact Assessment Authority Maharashtra on 23/01/2024.</t>
  </si>
  <si>
    <t>5800 to 6100</t>
  </si>
  <si>
    <t>smith</t>
  </si>
  <si>
    <t>Nitesh patil</t>
  </si>
  <si>
    <t>Tower B = Gr + 1st to 5th Podium + 1st to 21st Floor</t>
  </si>
  <si>
    <t>Tower A  = Gr + 1st to 5th Podium + 1st to 21st Floor</t>
  </si>
  <si>
    <t>2L to 3.5L on 09/10/2024 by smith verbal</t>
  </si>
  <si>
    <t>Recommended Rates/Other Charges of the Property have been revised on 24/09/2024 &amp; 09/10/2024.</t>
  </si>
  <si>
    <t>Tower A &amp; C = Construction work is in the process at the time of visit.
Commercial Building = Construction work is in process at the time of Visit
Tower B = Construction work is same as last the visit dtd. 12/12/2024.</t>
  </si>
  <si>
    <t>Pooja</t>
  </si>
  <si>
    <t>Mr. Satyanarayan : 8828245068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</si>
</sst>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168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0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6.png"/><Relationship Id="rId26" Type="http://schemas.openxmlformats.org/officeDocument/2006/relationships/image" Target="../media/image22.png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microsoft.com/office/2007/relationships/hdphoto" Target="../media/hdphoto2.wdp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microsoft.com/office/2007/relationships/hdphoto" Target="../media/hdphoto3.wdp"/><Relationship Id="rId29" Type="http://schemas.microsoft.com/office/2007/relationships/hdphoto" Target="../media/hdphoto6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microsoft.com/office/2007/relationships/hdphoto" Target="../media/hdphoto1.wdp"/><Relationship Id="rId23" Type="http://schemas.microsoft.com/office/2007/relationships/hdphoto" Target="../media/hdphoto4.wdp"/><Relationship Id="rId28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19.png"/><Relationship Id="rId27" Type="http://schemas.microsoft.com/office/2007/relationships/hdphoto" Target="../media/hdphoto5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693398</xdr:colOff>
      <xdr:row>379</xdr:row>
      <xdr:rowOff>64212</xdr:rowOff>
    </xdr:from>
    <xdr:to>
      <xdr:col>7</xdr:col>
      <xdr:colOff>52626</xdr:colOff>
      <xdr:row>398</xdr:row>
      <xdr:rowOff>78290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398" y="73887103"/>
          <a:ext cx="5524500" cy="3790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107675</xdr:colOff>
      <xdr:row>362</xdr:row>
      <xdr:rowOff>24849</xdr:rowOff>
    </xdr:from>
    <xdr:to>
      <xdr:col>7</xdr:col>
      <xdr:colOff>638349</xdr:colOff>
      <xdr:row>378</xdr:row>
      <xdr:rowOff>53625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32" r="5832"/>
        <a:stretch/>
      </xdr:blipFill>
      <xdr:spPr>
        <a:xfrm>
          <a:off x="107675" y="70662249"/>
          <a:ext cx="6695946" cy="32291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472107</xdr:colOff>
      <xdr:row>406</xdr:row>
      <xdr:rowOff>16566</xdr:rowOff>
    </xdr:from>
    <xdr:to>
      <xdr:col>7</xdr:col>
      <xdr:colOff>333733</xdr:colOff>
      <xdr:row>425</xdr:row>
      <xdr:rowOff>190501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2107" y="79206588"/>
          <a:ext cx="6026898" cy="39508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70815</xdr:colOff>
      <xdr:row>152</xdr:row>
      <xdr:rowOff>49695</xdr:rowOff>
    </xdr:from>
    <xdr:to>
      <xdr:col>11</xdr:col>
      <xdr:colOff>242975</xdr:colOff>
      <xdr:row>184</xdr:row>
      <xdr:rowOff>168652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14540" y="26929245"/>
          <a:ext cx="2991561" cy="6519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771524</xdr:colOff>
      <xdr:row>366</xdr:row>
      <xdr:rowOff>171450</xdr:rowOff>
    </xdr:from>
    <xdr:to>
      <xdr:col>3</xdr:col>
      <xdr:colOff>114299</xdr:colOff>
      <xdr:row>370</xdr:row>
      <xdr:rowOff>133350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90674" y="71608950"/>
          <a:ext cx="1114425" cy="762000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123824</xdr:colOff>
      <xdr:row>366</xdr:row>
      <xdr:rowOff>171450</xdr:rowOff>
    </xdr:from>
    <xdr:to>
      <xdr:col>4</xdr:col>
      <xdr:colOff>228599</xdr:colOff>
      <xdr:row>370</xdr:row>
      <xdr:rowOff>133350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714624" y="71608950"/>
          <a:ext cx="1114425" cy="762000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61286</xdr:colOff>
      <xdr:row>370</xdr:row>
      <xdr:rowOff>198613</xdr:rowOff>
    </xdr:from>
    <xdr:to>
      <xdr:col>5</xdr:col>
      <xdr:colOff>337511</xdr:colOff>
      <xdr:row>373</xdr:row>
      <xdr:rowOff>10795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671207">
          <a:off x="3661736" y="72436213"/>
          <a:ext cx="1114425" cy="412257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523875</xdr:colOff>
      <xdr:row>366</xdr:row>
      <xdr:rowOff>66675</xdr:rowOff>
    </xdr:from>
    <xdr:to>
      <xdr:col>6</xdr:col>
      <xdr:colOff>590550</xdr:colOff>
      <xdr:row>373</xdr:row>
      <xdr:rowOff>66675</xdr:rowOff>
    </xdr:to>
    <xdr:sp macro="" textlink="">
      <xdr:nvSpPr>
        <xdr:cNvPr id="22" name="Freefor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24325" y="71504175"/>
          <a:ext cx="1743075" cy="1400175"/>
        </a:xfrm>
        <a:custGeom>
          <a:avLst/>
          <a:gdLst>
            <a:gd name="connsiteX0" fmla="*/ 514350 w 1743075"/>
            <a:gd name="connsiteY0" fmla="*/ 0 h 1400175"/>
            <a:gd name="connsiteX1" fmla="*/ 504825 w 1743075"/>
            <a:gd name="connsiteY1" fmla="*/ 609600 h 1400175"/>
            <a:gd name="connsiteX2" fmla="*/ 895350 w 1743075"/>
            <a:gd name="connsiteY2" fmla="*/ 981075 h 1400175"/>
            <a:gd name="connsiteX3" fmla="*/ 1409700 w 1743075"/>
            <a:gd name="connsiteY3" fmla="*/ 895350 h 1400175"/>
            <a:gd name="connsiteX4" fmla="*/ 1743075 w 1743075"/>
            <a:gd name="connsiteY4" fmla="*/ 1228725 h 1400175"/>
            <a:gd name="connsiteX5" fmla="*/ 704850 w 1743075"/>
            <a:gd name="connsiteY5" fmla="*/ 1400175 h 1400175"/>
            <a:gd name="connsiteX6" fmla="*/ 0 w 1743075"/>
            <a:gd name="connsiteY6" fmla="*/ 704850 h 1400175"/>
            <a:gd name="connsiteX7" fmla="*/ 28575 w 1743075"/>
            <a:gd name="connsiteY7" fmla="*/ 0 h 1400175"/>
            <a:gd name="connsiteX8" fmla="*/ 514350 w 1743075"/>
            <a:gd name="connsiteY8" fmla="*/ 0 h 1400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743075" h="1400175">
              <a:moveTo>
                <a:pt x="514350" y="0"/>
              </a:moveTo>
              <a:lnTo>
                <a:pt x="504825" y="609600"/>
              </a:lnTo>
              <a:lnTo>
                <a:pt x="895350" y="981075"/>
              </a:lnTo>
              <a:lnTo>
                <a:pt x="1409700" y="895350"/>
              </a:lnTo>
              <a:lnTo>
                <a:pt x="1743075" y="1228725"/>
              </a:lnTo>
              <a:lnTo>
                <a:pt x="704850" y="1400175"/>
              </a:lnTo>
              <a:lnTo>
                <a:pt x="0" y="704850"/>
              </a:lnTo>
              <a:lnTo>
                <a:pt x="28575" y="0"/>
              </a:lnTo>
              <a:lnTo>
                <a:pt x="514350" y="0"/>
              </a:lnTo>
              <a:close/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28575</xdr:colOff>
      <xdr:row>366</xdr:row>
      <xdr:rowOff>95250</xdr:rowOff>
    </xdr:from>
    <xdr:to>
      <xdr:col>9</xdr:col>
      <xdr:colOff>514350</xdr:colOff>
      <xdr:row>371</xdr:row>
      <xdr:rowOff>142875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972300" y="71532750"/>
          <a:ext cx="17335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Tower A</a:t>
          </a:r>
        </a:p>
      </xdr:txBody>
    </xdr:sp>
    <xdr:clientData/>
  </xdr:twoCellAnchor>
  <xdr:twoCellAnchor>
    <xdr:from>
      <xdr:col>1</xdr:col>
      <xdr:colOff>800100</xdr:colOff>
      <xdr:row>365</xdr:row>
      <xdr:rowOff>0</xdr:rowOff>
    </xdr:from>
    <xdr:to>
      <xdr:col>3</xdr:col>
      <xdr:colOff>762000</xdr:colOff>
      <xdr:row>370</xdr:row>
      <xdr:rowOff>47625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19250" y="71237475"/>
          <a:ext cx="17335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Tower A</a:t>
          </a:r>
        </a:p>
      </xdr:txBody>
    </xdr:sp>
    <xdr:clientData/>
  </xdr:twoCellAnchor>
  <xdr:twoCellAnchor>
    <xdr:from>
      <xdr:col>3</xdr:col>
      <xdr:colOff>209550</xdr:colOff>
      <xdr:row>365</xdr:row>
      <xdr:rowOff>9525</xdr:rowOff>
    </xdr:from>
    <xdr:to>
      <xdr:col>5</xdr:col>
      <xdr:colOff>95250</xdr:colOff>
      <xdr:row>370</xdr:row>
      <xdr:rowOff>57150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00350" y="71247000"/>
          <a:ext cx="17335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Tower B</a:t>
          </a:r>
        </a:p>
      </xdr:txBody>
    </xdr:sp>
    <xdr:clientData/>
  </xdr:twoCellAnchor>
  <xdr:twoCellAnchor>
    <xdr:from>
      <xdr:col>3</xdr:col>
      <xdr:colOff>514350</xdr:colOff>
      <xdr:row>373</xdr:row>
      <xdr:rowOff>38100</xdr:rowOff>
    </xdr:from>
    <xdr:to>
      <xdr:col>5</xdr:col>
      <xdr:colOff>400050</xdr:colOff>
      <xdr:row>378</xdr:row>
      <xdr:rowOff>85725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2694695">
          <a:off x="3105150" y="72875775"/>
          <a:ext cx="17335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Tower C</a:t>
          </a:r>
        </a:p>
      </xdr:txBody>
    </xdr:sp>
    <xdr:clientData/>
  </xdr:twoCellAnchor>
  <xdr:twoCellAnchor>
    <xdr:from>
      <xdr:col>4</xdr:col>
      <xdr:colOff>609600</xdr:colOff>
      <xdr:row>367</xdr:row>
      <xdr:rowOff>161925</xdr:rowOff>
    </xdr:from>
    <xdr:to>
      <xdr:col>6</xdr:col>
      <xdr:colOff>666750</xdr:colOff>
      <xdr:row>373</xdr:row>
      <xdr:rowOff>9525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2412119">
          <a:off x="4210050" y="71799450"/>
          <a:ext cx="17335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Commercial </a:t>
          </a:r>
        </a:p>
      </xdr:txBody>
    </xdr:sp>
    <xdr:clientData/>
  </xdr:twoCellAnchor>
  <xdr:twoCellAnchor editAs="oneCell">
    <xdr:from>
      <xdr:col>0</xdr:col>
      <xdr:colOff>590550</xdr:colOff>
      <xdr:row>426</xdr:row>
      <xdr:rowOff>85725</xdr:rowOff>
    </xdr:from>
    <xdr:to>
      <xdr:col>7</xdr:col>
      <xdr:colOff>220792</xdr:colOff>
      <xdr:row>444</xdr:row>
      <xdr:rowOff>85274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0550" y="83524725"/>
          <a:ext cx="579551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354928</xdr:colOff>
      <xdr:row>433</xdr:row>
      <xdr:rowOff>147453</xdr:rowOff>
    </xdr:from>
    <xdr:to>
      <xdr:col>4</xdr:col>
      <xdr:colOff>656494</xdr:colOff>
      <xdr:row>439</xdr:row>
      <xdr:rowOff>191335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310808">
          <a:off x="2031328" y="84986628"/>
          <a:ext cx="2225616" cy="1244032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632114</xdr:colOff>
      <xdr:row>310</xdr:row>
      <xdr:rowOff>164523</xdr:rowOff>
    </xdr:from>
    <xdr:to>
      <xdr:col>10</xdr:col>
      <xdr:colOff>199159</xdr:colOff>
      <xdr:row>312</xdr:row>
      <xdr:rowOff>155864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80614" y="66787568"/>
          <a:ext cx="1489363" cy="6234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>
    <xdr:from>
      <xdr:col>9</xdr:col>
      <xdr:colOff>564470</xdr:colOff>
      <xdr:row>318</xdr:row>
      <xdr:rowOff>61734</xdr:rowOff>
    </xdr:from>
    <xdr:to>
      <xdr:col>11</xdr:col>
      <xdr:colOff>585863</xdr:colOff>
      <xdr:row>321</xdr:row>
      <xdr:rowOff>96371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8778382" y="69224440"/>
          <a:ext cx="1489363" cy="628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>
    <xdr:from>
      <xdr:col>14</xdr:col>
      <xdr:colOff>263848</xdr:colOff>
      <xdr:row>319</xdr:row>
      <xdr:rowOff>47879</xdr:rowOff>
    </xdr:from>
    <xdr:to>
      <xdr:col>16</xdr:col>
      <xdr:colOff>307652</xdr:colOff>
      <xdr:row>322</xdr:row>
      <xdr:rowOff>82516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2287760" y="69412291"/>
          <a:ext cx="1489363" cy="628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Wing B</a:t>
          </a:r>
        </a:p>
      </xdr:txBody>
    </xdr:sp>
    <xdr:clientData/>
  </xdr:twoCellAnchor>
  <xdr:twoCellAnchor>
    <xdr:from>
      <xdr:col>9</xdr:col>
      <xdr:colOff>495198</xdr:colOff>
      <xdr:row>331</xdr:row>
      <xdr:rowOff>113688</xdr:rowOff>
    </xdr:from>
    <xdr:to>
      <xdr:col>11</xdr:col>
      <xdr:colOff>516591</xdr:colOff>
      <xdr:row>334</xdr:row>
      <xdr:rowOff>139666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8709110" y="71887364"/>
          <a:ext cx="1489363" cy="63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Wing C</a:t>
          </a:r>
        </a:p>
      </xdr:txBody>
    </xdr:sp>
    <xdr:clientData/>
  </xdr:twoCellAnchor>
  <xdr:twoCellAnchor>
    <xdr:from>
      <xdr:col>12</xdr:col>
      <xdr:colOff>609906</xdr:colOff>
      <xdr:row>331</xdr:row>
      <xdr:rowOff>49611</xdr:rowOff>
    </xdr:from>
    <xdr:to>
      <xdr:col>14</xdr:col>
      <xdr:colOff>473398</xdr:colOff>
      <xdr:row>334</xdr:row>
      <xdr:rowOff>75589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0997759" y="71823287"/>
          <a:ext cx="1499551" cy="63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Wing C</a:t>
          </a:r>
        </a:p>
      </xdr:txBody>
    </xdr:sp>
    <xdr:clientData/>
  </xdr:twoCellAnchor>
  <xdr:twoCellAnchor>
    <xdr:from>
      <xdr:col>15</xdr:col>
      <xdr:colOff>120515</xdr:colOff>
      <xdr:row>331</xdr:row>
      <xdr:rowOff>46147</xdr:rowOff>
    </xdr:from>
    <xdr:to>
      <xdr:col>17</xdr:col>
      <xdr:colOff>220349</xdr:colOff>
      <xdr:row>334</xdr:row>
      <xdr:rowOff>72125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2805574" y="71819823"/>
          <a:ext cx="1489363" cy="63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Commercial</a:t>
          </a:r>
        </a:p>
        <a:p>
          <a:pPr algn="l"/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580413</xdr:colOff>
      <xdr:row>319</xdr:row>
      <xdr:rowOff>105997</xdr:rowOff>
    </xdr:from>
    <xdr:to>
      <xdr:col>16</xdr:col>
      <xdr:colOff>50458</xdr:colOff>
      <xdr:row>359</xdr:row>
      <xdr:rowOff>181632</xdr:rowOff>
    </xdr:to>
    <xdr:grpSp>
      <xdr:nvGrpSpPr>
        <xdr:cNvPr id="2" name="Group 1"/>
        <xdr:cNvGrpSpPr/>
      </xdr:nvGrpSpPr>
      <xdr:grpSpPr>
        <a:xfrm>
          <a:off x="7971813" y="68501847"/>
          <a:ext cx="6169295" cy="7943285"/>
          <a:chOff x="428625" y="71085075"/>
          <a:chExt cx="5882866" cy="8377156"/>
        </a:xfrm>
      </xdr:grpSpPr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385630E4-E244-445F-AC05-F089A7F38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625" y="71085075"/>
            <a:ext cx="2877333" cy="22301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837432F6-896B-4EC8-BB34-8FC21F9F41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7622" y="71085075"/>
            <a:ext cx="2873869" cy="22301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354A38AE-65A2-4D06-B462-6263497CA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625" y="73494081"/>
            <a:ext cx="2877333" cy="22457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1D075F65-8FB2-486F-AD8A-FB0689AD6C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7622" y="73494081"/>
            <a:ext cx="2873869" cy="22457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3931C6BE-782C-49CB-80EA-B5E1235854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7623" y="75918673"/>
            <a:ext cx="2394314" cy="18701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A875CE77-C020-4C91-99B9-235CA77B1F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8180" y="75918673"/>
            <a:ext cx="2397778" cy="187013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>
            <a:extLst>
              <a:ext uri="{FF2B5EF4-FFF2-40B4-BE49-F238E27FC236}">
                <a16:creationId xmlns:a16="http://schemas.microsoft.com/office/drawing/2014/main" id="{0619FCEF-3106-4412-B0FD-1213E31C96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495" y="77967679"/>
            <a:ext cx="1079741" cy="14945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D94E8E48-457D-43F5-AB63-9329ABBB96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99248" y="77967679"/>
            <a:ext cx="1906965" cy="14945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4" name="TextBox 118">
            <a:extLst>
              <a:ext uri="{FF2B5EF4-FFF2-40B4-BE49-F238E27FC236}">
                <a16:creationId xmlns:a16="http://schemas.microsoft.com/office/drawing/2014/main" id="{4288B637-4CFD-4A43-9212-4C465E3161F0}"/>
              </a:ext>
            </a:extLst>
          </xdr:cNvPr>
          <xdr:cNvSpPr txBox="1"/>
        </xdr:nvSpPr>
        <xdr:spPr>
          <a:xfrm>
            <a:off x="995179" y="71436306"/>
            <a:ext cx="874695" cy="37712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5" name="TextBox 119">
            <a:extLst>
              <a:ext uri="{FF2B5EF4-FFF2-40B4-BE49-F238E27FC236}">
                <a16:creationId xmlns:a16="http://schemas.microsoft.com/office/drawing/2014/main" id="{8B13C870-BB49-4F9C-93CC-E306ACE75708}"/>
              </a:ext>
            </a:extLst>
          </xdr:cNvPr>
          <xdr:cNvSpPr txBox="1"/>
        </xdr:nvSpPr>
        <xdr:spPr>
          <a:xfrm>
            <a:off x="4436775" y="72935760"/>
            <a:ext cx="864211" cy="37712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6" name="TextBox 120">
            <a:extLst>
              <a:ext uri="{FF2B5EF4-FFF2-40B4-BE49-F238E27FC236}">
                <a16:creationId xmlns:a16="http://schemas.microsoft.com/office/drawing/2014/main" id="{02C85940-152D-46B4-B8CB-26D2A3D4CA4E}"/>
              </a:ext>
            </a:extLst>
          </xdr:cNvPr>
          <xdr:cNvSpPr txBox="1"/>
        </xdr:nvSpPr>
        <xdr:spPr>
          <a:xfrm>
            <a:off x="1261877" y="75302308"/>
            <a:ext cx="857061" cy="38491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7" name="TextBox 121">
            <a:extLst>
              <a:ext uri="{FF2B5EF4-FFF2-40B4-BE49-F238E27FC236}">
                <a16:creationId xmlns:a16="http://schemas.microsoft.com/office/drawing/2014/main" id="{BE0D03D5-504B-4A7B-BD42-C2EB03C0603F}"/>
              </a:ext>
            </a:extLst>
          </xdr:cNvPr>
          <xdr:cNvSpPr txBox="1"/>
        </xdr:nvSpPr>
        <xdr:spPr>
          <a:xfrm>
            <a:off x="3550347" y="73581898"/>
            <a:ext cx="1319399" cy="3849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Commercial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508000</xdr:colOff>
      <xdr:row>317</xdr:row>
      <xdr:rowOff>88900</xdr:rowOff>
    </xdr:from>
    <xdr:to>
      <xdr:col>7</xdr:col>
      <xdr:colOff>914262</xdr:colOff>
      <xdr:row>359</xdr:row>
      <xdr:rowOff>12700</xdr:rowOff>
    </xdr:to>
    <xdr:grpSp>
      <xdr:nvGrpSpPr>
        <xdr:cNvPr id="5" name="Group 4"/>
        <xdr:cNvGrpSpPr/>
      </xdr:nvGrpSpPr>
      <xdr:grpSpPr>
        <a:xfrm>
          <a:off x="508000" y="68091050"/>
          <a:ext cx="6432412" cy="8185150"/>
          <a:chOff x="508000" y="68091050"/>
          <a:chExt cx="6432412" cy="8185150"/>
        </a:xfrm>
      </xdr:grpSpPr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22662" y="7094463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526" y="680910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2572" y="75152508"/>
            <a:ext cx="1917334" cy="11236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78736" y="680910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37490" y="7322222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9631" y="680910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22745" y="73222222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206" y="70944636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0" y="7094463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BEBA8EAE-BF5A-486C-A8C5-ECC9F3942E4B}">
                <a14:imgProps xmlns:a14="http://schemas.microsoft.com/office/drawing/2010/main">
                  <a14:imgLayer r:embed="rId29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00" y="73222222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9" name="TextBox 118">
            <a:extLst>
              <a:ext uri="{FF2B5EF4-FFF2-40B4-BE49-F238E27FC236}">
                <a16:creationId xmlns:a16="http://schemas.microsoft.com/office/drawing/2014/main" id="{4288B637-4CFD-4A43-9212-4C465E3161F0}"/>
              </a:ext>
            </a:extLst>
          </xdr:cNvPr>
          <xdr:cNvSpPr txBox="1"/>
        </xdr:nvSpPr>
        <xdr:spPr>
          <a:xfrm>
            <a:off x="977726" y="68700650"/>
            <a:ext cx="917283" cy="35759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0" name="TextBox 118">
            <a:extLst>
              <a:ext uri="{FF2B5EF4-FFF2-40B4-BE49-F238E27FC236}">
                <a16:creationId xmlns:a16="http://schemas.microsoft.com/office/drawing/2014/main" id="{4288B637-4CFD-4A43-9212-4C465E3161F0}"/>
              </a:ext>
            </a:extLst>
          </xdr:cNvPr>
          <xdr:cNvSpPr txBox="1"/>
        </xdr:nvSpPr>
        <xdr:spPr>
          <a:xfrm>
            <a:off x="3163181" y="68732400"/>
            <a:ext cx="917283" cy="35759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1" name="TextBox 118">
            <a:extLst>
              <a:ext uri="{FF2B5EF4-FFF2-40B4-BE49-F238E27FC236}">
                <a16:creationId xmlns:a16="http://schemas.microsoft.com/office/drawing/2014/main" id="{4288B637-4CFD-4A43-9212-4C465E3161F0}"/>
              </a:ext>
            </a:extLst>
          </xdr:cNvPr>
          <xdr:cNvSpPr txBox="1"/>
        </xdr:nvSpPr>
        <xdr:spPr>
          <a:xfrm>
            <a:off x="5335936" y="68357750"/>
            <a:ext cx="917283" cy="35759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2" name="TextBox 118">
            <a:extLst>
              <a:ext uri="{FF2B5EF4-FFF2-40B4-BE49-F238E27FC236}">
                <a16:creationId xmlns:a16="http://schemas.microsoft.com/office/drawing/2014/main" id="{4288B637-4CFD-4A43-9212-4C465E3161F0}"/>
              </a:ext>
            </a:extLst>
          </xdr:cNvPr>
          <xdr:cNvSpPr txBox="1"/>
        </xdr:nvSpPr>
        <xdr:spPr>
          <a:xfrm>
            <a:off x="1174750" y="71116086"/>
            <a:ext cx="917283" cy="35759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Commercial</a:t>
            </a:r>
            <a:endParaRPr lang="en-IN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LKEUUQSniQMsAi1c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05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3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9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208" t="s">
        <v>160</v>
      </c>
      <c r="B1" s="208"/>
      <c r="C1" s="208"/>
      <c r="D1" s="208"/>
      <c r="E1" s="208"/>
      <c r="F1" s="208"/>
      <c r="G1" s="208"/>
      <c r="H1" s="208"/>
    </row>
    <row r="2" spans="1:26" ht="16.5" customHeight="1" x14ac:dyDescent="0.35">
      <c r="A2" s="209" t="s">
        <v>0</v>
      </c>
      <c r="B2" s="209"/>
      <c r="C2" s="209"/>
      <c r="D2" s="209"/>
      <c r="E2" s="209"/>
      <c r="F2" s="209"/>
      <c r="G2" s="209"/>
      <c r="H2" s="209"/>
    </row>
    <row r="3" spans="1:26" x14ac:dyDescent="0.35">
      <c r="A3" s="113" t="s">
        <v>1</v>
      </c>
      <c r="B3" s="113"/>
      <c r="C3" s="113"/>
      <c r="D3" s="113"/>
      <c r="E3" s="113" t="str">
        <f ca="1">TEXT(TODAY(),"DD/MM/YYYY")</f>
        <v>21/09/2025</v>
      </c>
      <c r="F3" s="113"/>
      <c r="G3" s="113"/>
      <c r="H3" s="113"/>
    </row>
    <row r="4" spans="1:26" ht="15" customHeight="1" x14ac:dyDescent="0.35">
      <c r="A4" s="113" t="s">
        <v>2</v>
      </c>
      <c r="B4" s="113"/>
      <c r="C4" s="113"/>
      <c r="D4" s="113"/>
      <c r="E4" s="113" t="s">
        <v>285</v>
      </c>
      <c r="F4" s="113"/>
      <c r="G4" s="113"/>
      <c r="H4" s="113"/>
    </row>
    <row r="5" spans="1:26" x14ac:dyDescent="0.35">
      <c r="A5" s="113" t="s">
        <v>3</v>
      </c>
      <c r="B5" s="113"/>
      <c r="C5" s="113"/>
      <c r="D5" s="113"/>
      <c r="E5" s="210">
        <v>45920</v>
      </c>
      <c r="F5" s="113"/>
      <c r="G5" s="113"/>
      <c r="H5" s="113"/>
    </row>
    <row r="6" spans="1:26" ht="16.5" customHeight="1" x14ac:dyDescent="0.35">
      <c r="A6" s="113" t="s">
        <v>4</v>
      </c>
      <c r="B6" s="113"/>
      <c r="C6" s="113"/>
      <c r="D6" s="113"/>
      <c r="E6" s="113" t="s">
        <v>228</v>
      </c>
      <c r="F6" s="113"/>
      <c r="G6" s="113"/>
      <c r="H6" s="113"/>
    </row>
    <row r="7" spans="1:26" ht="15" customHeight="1" x14ac:dyDescent="0.35">
      <c r="A7" s="113" t="s">
        <v>5</v>
      </c>
      <c r="B7" s="113"/>
      <c r="C7" s="113"/>
      <c r="D7" s="113"/>
      <c r="E7" s="113" t="str">
        <f>E6</f>
        <v>Mantram Venture LLP</v>
      </c>
      <c r="F7" s="113"/>
      <c r="G7" s="113"/>
      <c r="H7" s="113"/>
    </row>
    <row r="8" spans="1:26" x14ac:dyDescent="0.35">
      <c r="A8" s="113" t="s">
        <v>6</v>
      </c>
      <c r="B8" s="113"/>
      <c r="C8" s="113"/>
      <c r="D8" s="113"/>
      <c r="E8" s="88" t="s">
        <v>229</v>
      </c>
      <c r="F8" s="88"/>
      <c r="G8" s="88"/>
      <c r="H8" s="88"/>
    </row>
    <row r="9" spans="1:26" x14ac:dyDescent="0.35">
      <c r="A9" s="113" t="s">
        <v>163</v>
      </c>
      <c r="B9" s="113"/>
      <c r="C9" s="113"/>
      <c r="D9" s="113"/>
      <c r="E9" s="113" t="s">
        <v>230</v>
      </c>
      <c r="F9" s="113"/>
      <c r="G9" s="113"/>
      <c r="H9" s="113"/>
    </row>
    <row r="10" spans="1:26" x14ac:dyDescent="0.35">
      <c r="A10" s="113" t="s">
        <v>164</v>
      </c>
      <c r="B10" s="113"/>
      <c r="C10" s="113"/>
      <c r="D10" s="113"/>
      <c r="E10" s="113" t="s">
        <v>308</v>
      </c>
      <c r="F10" s="113"/>
      <c r="G10" s="113"/>
      <c r="H10" s="113"/>
    </row>
    <row r="11" spans="1:26" x14ac:dyDescent="0.35">
      <c r="A11" s="113" t="s">
        <v>7</v>
      </c>
      <c r="B11" s="113"/>
      <c r="C11" s="113"/>
      <c r="D11" s="113"/>
      <c r="E11" s="113" t="s">
        <v>283</v>
      </c>
      <c r="F11" s="113"/>
      <c r="G11" s="113"/>
      <c r="H11" s="113"/>
    </row>
    <row r="12" spans="1:26" x14ac:dyDescent="0.35">
      <c r="A12" s="113" t="s">
        <v>166</v>
      </c>
      <c r="B12" s="113"/>
      <c r="C12" s="113"/>
      <c r="D12" s="113"/>
      <c r="E12" s="113" t="s">
        <v>29</v>
      </c>
      <c r="F12" s="113"/>
      <c r="G12" s="113"/>
      <c r="H12" s="113"/>
      <c r="S12" s="56" t="s">
        <v>173</v>
      </c>
      <c r="T12" s="56" t="s">
        <v>183</v>
      </c>
      <c r="U12" s="56" t="s">
        <v>167</v>
      </c>
      <c r="V12" s="56" t="s">
        <v>188</v>
      </c>
      <c r="W12" s="56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35">
      <c r="A13" s="151" t="s">
        <v>8</v>
      </c>
      <c r="B13" s="151"/>
      <c r="C13" s="151"/>
      <c r="D13" s="151"/>
      <c r="E13" s="117" t="s">
        <v>282</v>
      </c>
      <c r="F13" s="117"/>
      <c r="G13" s="117"/>
      <c r="H13" s="117"/>
      <c r="S13" s="56" t="s">
        <v>174</v>
      </c>
      <c r="T13" s="56" t="s">
        <v>181</v>
      </c>
      <c r="U13" s="56" t="s">
        <v>203</v>
      </c>
      <c r="V13" s="56" t="s">
        <v>189</v>
      </c>
      <c r="W13" s="56" t="s">
        <v>207</v>
      </c>
      <c r="X13"/>
      <c r="Y13"/>
      <c r="Z13"/>
    </row>
    <row r="14" spans="1:26" x14ac:dyDescent="0.35">
      <c r="A14" s="151" t="s">
        <v>9</v>
      </c>
      <c r="B14" s="151"/>
      <c r="C14" s="151"/>
      <c r="D14" s="151"/>
      <c r="E14" s="117" t="s">
        <v>231</v>
      </c>
      <c r="F14" s="113"/>
      <c r="G14" s="113"/>
      <c r="H14" s="113"/>
      <c r="I14" s="146" t="e">
        <f ca="1">OFFSET($D$4,1,MATCH($J12,$D$4:$H$4,0)-1,15,1)</f>
        <v>#N/A</v>
      </c>
      <c r="J14" s="147"/>
      <c r="K14" s="147"/>
      <c r="L14" s="147"/>
      <c r="M14" s="147"/>
      <c r="N14" s="147"/>
      <c r="O14" s="147"/>
      <c r="P14" s="147"/>
      <c r="S14" s="56" t="s">
        <v>175</v>
      </c>
      <c r="T14" s="56" t="s">
        <v>182</v>
      </c>
      <c r="U14" s="56" t="s">
        <v>204</v>
      </c>
      <c r="V14" s="56" t="s">
        <v>190</v>
      </c>
      <c r="W14" s="56" t="s">
        <v>220</v>
      </c>
      <c r="X14"/>
      <c r="Y14"/>
      <c r="Z14"/>
    </row>
    <row r="15" spans="1:26" ht="33.75" customHeight="1" x14ac:dyDescent="0.35">
      <c r="A15" s="116" t="s">
        <v>10</v>
      </c>
      <c r="B15" s="116"/>
      <c r="C15" s="11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Mantram, Gut No.118/2/A, near Shree Mahaganpati  Ashtavinyak Mandir, National Highway 4, Thombare Vadi, Khanavale, Shedung, Panvel, Raigad - 410221.</v>
      </c>
      <c r="D15" s="116"/>
      <c r="E15" s="116"/>
      <c r="F15" s="116"/>
      <c r="G15" s="116"/>
      <c r="H15" s="116"/>
      <c r="S15" s="56" t="s">
        <v>176</v>
      </c>
      <c r="T15" s="56" t="s">
        <v>184</v>
      </c>
      <c r="U15" s="56" t="s">
        <v>205</v>
      </c>
      <c r="V15" s="56" t="s">
        <v>191</v>
      </c>
      <c r="W15" s="56" t="s">
        <v>208</v>
      </c>
      <c r="X15"/>
      <c r="Y15"/>
      <c r="Z15"/>
    </row>
    <row r="16" spans="1:26" x14ac:dyDescent="0.35">
      <c r="A16" s="117" t="s">
        <v>286</v>
      </c>
      <c r="B16" s="117"/>
      <c r="C16" s="117" t="s">
        <v>232</v>
      </c>
      <c r="D16" s="117"/>
      <c r="E16" s="117"/>
      <c r="F16" s="117"/>
      <c r="G16" s="117"/>
      <c r="H16" s="117"/>
      <c r="S16" s="56" t="s">
        <v>177</v>
      </c>
      <c r="T16" s="56" t="s">
        <v>185</v>
      </c>
      <c r="U16" s="56" t="s">
        <v>167</v>
      </c>
      <c r="V16" s="56" t="s">
        <v>192</v>
      </c>
      <c r="W16" s="56" t="s">
        <v>209</v>
      </c>
      <c r="X16"/>
      <c r="Y16"/>
      <c r="Z16"/>
    </row>
    <row r="17" spans="1:26" ht="15.75" customHeight="1" x14ac:dyDescent="0.35">
      <c r="A17" s="117" t="s">
        <v>158</v>
      </c>
      <c r="B17" s="117"/>
      <c r="C17" s="117" t="s">
        <v>235</v>
      </c>
      <c r="D17" s="117"/>
      <c r="E17" s="117"/>
      <c r="F17" s="117"/>
      <c r="G17" s="117"/>
      <c r="H17" s="117"/>
      <c r="S17" s="56" t="s">
        <v>178</v>
      </c>
      <c r="T17" s="56" t="s">
        <v>183</v>
      </c>
      <c r="U17" s="56"/>
      <c r="V17" s="56" t="s">
        <v>193</v>
      </c>
      <c r="W17" s="56" t="s">
        <v>210</v>
      </c>
      <c r="X17"/>
      <c r="Y17"/>
      <c r="Z17"/>
    </row>
    <row r="18" spans="1:26" ht="15.75" customHeight="1" x14ac:dyDescent="0.35">
      <c r="A18" s="116" t="s">
        <v>11</v>
      </c>
      <c r="B18" s="116"/>
      <c r="C18" s="113" t="s">
        <v>236</v>
      </c>
      <c r="D18" s="113"/>
      <c r="E18" s="117" t="s">
        <v>72</v>
      </c>
      <c r="F18" s="117"/>
      <c r="G18" s="117" t="s">
        <v>233</v>
      </c>
      <c r="H18" s="117"/>
      <c r="S18" s="56" t="s">
        <v>179</v>
      </c>
      <c r="T18" s="56" t="s">
        <v>186</v>
      </c>
      <c r="U18" s="56"/>
      <c r="V18" s="56" t="s">
        <v>194</v>
      </c>
      <c r="W18" s="56" t="s">
        <v>211</v>
      </c>
      <c r="X18"/>
      <c r="Y18"/>
      <c r="Z18"/>
    </row>
    <row r="19" spans="1:26" x14ac:dyDescent="0.35">
      <c r="A19" s="151" t="s">
        <v>13</v>
      </c>
      <c r="B19" s="151"/>
      <c r="C19" s="117" t="s">
        <v>238</v>
      </c>
      <c r="D19" s="117"/>
      <c r="E19" s="117" t="s">
        <v>12</v>
      </c>
      <c r="F19" s="117"/>
      <c r="G19" s="211" t="s">
        <v>188</v>
      </c>
      <c r="H19" s="211"/>
      <c r="S19" s="56" t="s">
        <v>180</v>
      </c>
      <c r="T19" s="56" t="s">
        <v>187</v>
      </c>
      <c r="U19" s="56"/>
      <c r="V19" s="56" t="s">
        <v>195</v>
      </c>
      <c r="W19" s="56" t="s">
        <v>212</v>
      </c>
      <c r="X19"/>
      <c r="Y19"/>
      <c r="Z19"/>
    </row>
    <row r="20" spans="1:26" x14ac:dyDescent="0.35">
      <c r="A20" s="151" t="s">
        <v>73</v>
      </c>
      <c r="B20" s="151"/>
      <c r="C20" s="117" t="s">
        <v>190</v>
      </c>
      <c r="D20" s="117"/>
      <c r="E20" s="117" t="s">
        <v>14</v>
      </c>
      <c r="F20" s="117"/>
      <c r="G20" s="117">
        <v>410221</v>
      </c>
      <c r="H20" s="117"/>
      <c r="S20" s="56"/>
      <c r="T20" s="56"/>
      <c r="U20" s="56"/>
      <c r="V20" s="56" t="s">
        <v>196</v>
      </c>
      <c r="W20" s="56" t="s">
        <v>213</v>
      </c>
      <c r="X20"/>
      <c r="Y20"/>
      <c r="Z20"/>
    </row>
    <row r="21" spans="1:26" ht="32.25" customHeight="1" x14ac:dyDescent="0.35">
      <c r="A21" s="151" t="s">
        <v>120</v>
      </c>
      <c r="B21" s="151"/>
      <c r="C21" s="117" t="s">
        <v>239</v>
      </c>
      <c r="D21" s="117"/>
      <c r="E21" s="116" t="s">
        <v>15</v>
      </c>
      <c r="F21" s="116"/>
      <c r="G21" s="117" t="s">
        <v>237</v>
      </c>
      <c r="H21" s="117"/>
      <c r="S21" s="56"/>
      <c r="T21" s="56"/>
      <c r="U21" s="56"/>
      <c r="V21" s="56" t="s">
        <v>197</v>
      </c>
      <c r="W21" s="56" t="s">
        <v>214</v>
      </c>
      <c r="X21"/>
      <c r="Y21"/>
      <c r="Z21"/>
    </row>
    <row r="22" spans="1:26" ht="15" customHeight="1" x14ac:dyDescent="0.35">
      <c r="A22" s="116" t="s">
        <v>75</v>
      </c>
      <c r="B22" s="116"/>
      <c r="C22" s="116"/>
      <c r="D22" s="116"/>
      <c r="E22" s="113" t="s">
        <v>16</v>
      </c>
      <c r="F22" s="113"/>
      <c r="G22" s="113"/>
      <c r="H22" s="113"/>
      <c r="S22" s="56"/>
      <c r="T22" s="56"/>
      <c r="U22" s="56"/>
      <c r="V22" s="56" t="s">
        <v>198</v>
      </c>
      <c r="W22" s="56" t="s">
        <v>215</v>
      </c>
      <c r="X22"/>
      <c r="Y22"/>
      <c r="Z22"/>
    </row>
    <row r="23" spans="1:26" ht="18.75" customHeight="1" x14ac:dyDescent="0.35">
      <c r="A23" s="116"/>
      <c r="B23" s="116"/>
      <c r="C23" s="116"/>
      <c r="D23" s="116"/>
      <c r="E23" s="113"/>
      <c r="F23" s="113"/>
      <c r="G23" s="113"/>
      <c r="H23" s="113"/>
      <c r="S23" s="56"/>
      <c r="T23" s="56"/>
      <c r="U23" s="56"/>
      <c r="V23" s="56" t="s">
        <v>199</v>
      </c>
      <c r="W23" s="56" t="s">
        <v>216</v>
      </c>
      <c r="X23"/>
      <c r="Y23"/>
      <c r="Z23"/>
    </row>
    <row r="24" spans="1:26" ht="15" customHeight="1" x14ac:dyDescent="0.35">
      <c r="A24" s="116" t="s">
        <v>17</v>
      </c>
      <c r="B24" s="116"/>
      <c r="C24" s="116"/>
      <c r="D24" s="116"/>
      <c r="E24" s="117" t="s">
        <v>18</v>
      </c>
      <c r="F24" s="117"/>
      <c r="G24" s="117"/>
      <c r="H24" s="117"/>
      <c r="S24" s="56"/>
      <c r="T24" s="56"/>
      <c r="U24" s="56"/>
      <c r="V24" s="56" t="s">
        <v>200</v>
      </c>
      <c r="W24" s="56" t="s">
        <v>217</v>
      </c>
      <c r="X24"/>
      <c r="Y24"/>
      <c r="Z24"/>
    </row>
    <row r="25" spans="1:26" ht="15" customHeight="1" x14ac:dyDescent="0.35">
      <c r="A25" s="151" t="s">
        <v>19</v>
      </c>
      <c r="B25" s="151"/>
      <c r="C25" s="151"/>
      <c r="D25" s="151"/>
      <c r="E25" s="117" t="str">
        <f>IF(AND(G19="Mumbai"),"Upper Class","Middle Class")</f>
        <v>Middle Class</v>
      </c>
      <c r="F25" s="117"/>
      <c r="G25" s="117"/>
      <c r="H25" s="117"/>
      <c r="S25" s="56"/>
      <c r="T25" s="56"/>
      <c r="U25" s="56"/>
      <c r="V25" s="56" t="s">
        <v>201</v>
      </c>
      <c r="W25" s="56" t="s">
        <v>218</v>
      </c>
      <c r="X25"/>
      <c r="Y25"/>
      <c r="Z25"/>
    </row>
    <row r="26" spans="1:26" x14ac:dyDescent="0.35">
      <c r="A26" s="151" t="s">
        <v>20</v>
      </c>
      <c r="B26" s="151"/>
      <c r="C26" s="151"/>
      <c r="D26" s="151"/>
      <c r="E26" s="117" t="s">
        <v>21</v>
      </c>
      <c r="F26" s="117"/>
      <c r="G26" s="117"/>
      <c r="H26" s="117"/>
      <c r="S26" s="56"/>
      <c r="T26" s="56"/>
      <c r="U26" s="56"/>
      <c r="V26" s="56" t="s">
        <v>202</v>
      </c>
      <c r="W26" s="56" t="s">
        <v>219</v>
      </c>
      <c r="X26"/>
      <c r="Y26"/>
      <c r="Z26"/>
    </row>
    <row r="27" spans="1:26" ht="15.75" customHeight="1" x14ac:dyDescent="0.35">
      <c r="A27" s="151" t="s">
        <v>22</v>
      </c>
      <c r="B27" s="151"/>
      <c r="C27" s="151"/>
      <c r="D27" s="151"/>
      <c r="E27" s="117" t="str">
        <f>IF(AND(G19="Mumbai"),"Developed","Developing")</f>
        <v>Developing</v>
      </c>
      <c r="F27" s="117"/>
      <c r="G27" s="117"/>
      <c r="H27" s="117"/>
    </row>
    <row r="28" spans="1:26" x14ac:dyDescent="0.35">
      <c r="A28" s="151" t="s">
        <v>23</v>
      </c>
      <c r="B28" s="151"/>
      <c r="C28" s="151"/>
      <c r="D28" s="151"/>
      <c r="E28" s="117" t="s">
        <v>24</v>
      </c>
      <c r="F28" s="117"/>
      <c r="G28" s="117"/>
      <c r="H28" s="117"/>
    </row>
    <row r="29" spans="1:26" ht="15.75" customHeight="1" x14ac:dyDescent="0.35">
      <c r="A29" s="151" t="s">
        <v>80</v>
      </c>
      <c r="B29" s="151"/>
      <c r="C29" s="151"/>
      <c r="D29" s="151"/>
      <c r="E29" s="117" t="s">
        <v>81</v>
      </c>
      <c r="F29" s="117"/>
      <c r="G29" s="117"/>
      <c r="H29" s="117"/>
    </row>
    <row r="30" spans="1:26" ht="15" customHeight="1" x14ac:dyDescent="0.35">
      <c r="A30" s="151" t="s">
        <v>32</v>
      </c>
      <c r="B30" s="151"/>
      <c r="C30" s="151"/>
      <c r="D30" s="151"/>
      <c r="E30" s="117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17"/>
      <c r="G30" s="117"/>
      <c r="H30" s="117"/>
    </row>
    <row r="31" spans="1:26" ht="15.75" customHeight="1" x14ac:dyDescent="0.35">
      <c r="A31" s="151" t="s">
        <v>92</v>
      </c>
      <c r="B31" s="151"/>
      <c r="C31" s="151"/>
      <c r="D31" s="151"/>
      <c r="E31" s="117" t="s">
        <v>33</v>
      </c>
      <c r="F31" s="117"/>
      <c r="G31" s="117"/>
      <c r="H31" s="117"/>
    </row>
    <row r="32" spans="1:26" s="22" customFormat="1" x14ac:dyDescent="0.35">
      <c r="A32" s="219" t="s">
        <v>93</v>
      </c>
      <c r="B32" s="219"/>
      <c r="C32" s="216" t="s">
        <v>168</v>
      </c>
      <c r="D32" s="217"/>
      <c r="E32" s="218"/>
      <c r="F32" s="216" t="s">
        <v>30</v>
      </c>
      <c r="G32" s="217"/>
      <c r="H32" s="218"/>
    </row>
    <row r="33" spans="1:12" s="22" customFormat="1" x14ac:dyDescent="0.35">
      <c r="A33" s="212" t="s">
        <v>25</v>
      </c>
      <c r="B33" s="212" t="s">
        <v>29</v>
      </c>
      <c r="C33" s="213" t="s">
        <v>242</v>
      </c>
      <c r="D33" s="214"/>
      <c r="E33" s="215"/>
      <c r="F33" s="213" t="s">
        <v>287</v>
      </c>
      <c r="G33" s="214"/>
      <c r="H33" s="215"/>
    </row>
    <row r="34" spans="1:12" x14ac:dyDescent="0.35">
      <c r="A34" s="212" t="s">
        <v>26</v>
      </c>
      <c r="B34" s="212" t="s">
        <v>29</v>
      </c>
      <c r="C34" s="213" t="s">
        <v>243</v>
      </c>
      <c r="D34" s="214"/>
      <c r="E34" s="215"/>
      <c r="F34" s="213" t="s">
        <v>244</v>
      </c>
      <c r="G34" s="214"/>
      <c r="H34" s="215"/>
    </row>
    <row r="35" spans="1:12" s="22" customFormat="1" x14ac:dyDescent="0.35">
      <c r="A35" s="212" t="s">
        <v>28</v>
      </c>
      <c r="B35" s="212" t="s">
        <v>29</v>
      </c>
      <c r="C35" s="213" t="s">
        <v>240</v>
      </c>
      <c r="D35" s="214"/>
      <c r="E35" s="215"/>
      <c r="F35" s="213" t="s">
        <v>288</v>
      </c>
      <c r="G35" s="214"/>
      <c r="H35" s="215"/>
    </row>
    <row r="36" spans="1:12" x14ac:dyDescent="0.35">
      <c r="A36" s="212" t="s">
        <v>27</v>
      </c>
      <c r="B36" s="212" t="s">
        <v>29</v>
      </c>
      <c r="C36" s="213" t="s">
        <v>241</v>
      </c>
      <c r="D36" s="214"/>
      <c r="E36" s="215"/>
      <c r="F36" s="213" t="s">
        <v>245</v>
      </c>
      <c r="G36" s="214"/>
      <c r="H36" s="215"/>
    </row>
    <row r="37" spans="1:12" x14ac:dyDescent="0.35">
      <c r="A37" s="151" t="s">
        <v>31</v>
      </c>
      <c r="B37" s="151"/>
      <c r="C37" s="151"/>
      <c r="D37" s="151"/>
      <c r="E37" s="151"/>
      <c r="F37" s="151"/>
      <c r="G37" s="151"/>
      <c r="H37" s="151"/>
    </row>
    <row r="38" spans="1:12" ht="15.75" customHeight="1" x14ac:dyDescent="0.35">
      <c r="A38" s="151" t="s">
        <v>161</v>
      </c>
      <c r="B38" s="151"/>
      <c r="C38" s="151" t="s">
        <v>234</v>
      </c>
      <c r="D38" s="151"/>
      <c r="E38" s="151"/>
      <c r="F38" s="151"/>
      <c r="G38" s="151"/>
      <c r="H38" s="151"/>
    </row>
    <row r="39" spans="1:12" x14ac:dyDescent="0.35">
      <c r="A39" s="151" t="s">
        <v>157</v>
      </c>
      <c r="B39" s="151"/>
      <c r="C39" s="235" t="s">
        <v>246</v>
      </c>
      <c r="D39" s="117"/>
      <c r="E39" s="117"/>
      <c r="F39" s="117"/>
      <c r="G39" s="117"/>
      <c r="H39" s="117"/>
    </row>
    <row r="40" spans="1:12" x14ac:dyDescent="0.35">
      <c r="A40" s="207" t="s">
        <v>34</v>
      </c>
      <c r="B40" s="207"/>
      <c r="C40" s="207"/>
      <c r="D40" s="207"/>
      <c r="E40" s="207"/>
      <c r="F40" s="207"/>
      <c r="G40" s="207"/>
      <c r="H40" s="207"/>
    </row>
    <row r="41" spans="1:12" x14ac:dyDescent="0.35">
      <c r="A41" s="151" t="s">
        <v>35</v>
      </c>
      <c r="B41" s="151"/>
      <c r="C41" s="151"/>
      <c r="D41" s="151"/>
      <c r="E41" s="220">
        <v>9284.723</v>
      </c>
      <c r="F41" s="220"/>
      <c r="G41" s="220"/>
      <c r="H41" s="220"/>
    </row>
    <row r="42" spans="1:12" x14ac:dyDescent="0.35">
      <c r="A42" s="151" t="s">
        <v>36</v>
      </c>
      <c r="B42" s="151"/>
      <c r="C42" s="151"/>
      <c r="D42" s="151"/>
      <c r="E42" s="157">
        <f>10213.195/E41</f>
        <v>1.0999999676888583</v>
      </c>
      <c r="F42" s="157"/>
      <c r="G42" s="157"/>
      <c r="H42" s="157"/>
    </row>
    <row r="43" spans="1:12" x14ac:dyDescent="0.35">
      <c r="A43" s="151" t="s">
        <v>37</v>
      </c>
      <c r="B43" s="151"/>
      <c r="C43" s="151"/>
      <c r="D43" s="151"/>
      <c r="E43" s="157">
        <f>E45/E41-E42</f>
        <v>1.6553555771130708</v>
      </c>
      <c r="F43" s="157"/>
      <c r="G43" s="157"/>
      <c r="H43" s="157"/>
    </row>
    <row r="44" spans="1:12" x14ac:dyDescent="0.35">
      <c r="A44" s="151" t="s">
        <v>38</v>
      </c>
      <c r="B44" s="151"/>
      <c r="C44" s="151"/>
      <c r="D44" s="151"/>
      <c r="E44" s="157">
        <f>E42+E43</f>
        <v>2.7553555448019291</v>
      </c>
      <c r="F44" s="157"/>
      <c r="G44" s="157"/>
      <c r="H44" s="157"/>
    </row>
    <row r="45" spans="1:12" x14ac:dyDescent="0.35">
      <c r="A45" s="151" t="s">
        <v>91</v>
      </c>
      <c r="B45" s="151"/>
      <c r="C45" s="151"/>
      <c r="D45" s="151"/>
      <c r="E45" s="223">
        <v>25582.713</v>
      </c>
      <c r="F45" s="223"/>
      <c r="G45" s="223"/>
      <c r="H45" s="223"/>
    </row>
    <row r="46" spans="1:12" x14ac:dyDescent="0.35">
      <c r="A46" s="113" t="s">
        <v>39</v>
      </c>
      <c r="B46" s="113"/>
      <c r="C46" s="113"/>
      <c r="D46" s="113"/>
      <c r="E46" s="113" t="s">
        <v>277</v>
      </c>
      <c r="F46" s="113"/>
      <c r="G46" s="113"/>
      <c r="H46" s="113"/>
    </row>
    <row r="47" spans="1:12" x14ac:dyDescent="0.35">
      <c r="A47" s="207" t="s">
        <v>40</v>
      </c>
      <c r="B47" s="207"/>
      <c r="C47" s="207"/>
      <c r="D47" s="207"/>
      <c r="E47" s="207"/>
      <c r="F47" s="207"/>
      <c r="G47" s="207"/>
      <c r="H47" s="207"/>
    </row>
    <row r="48" spans="1:12" ht="33.75" customHeight="1" x14ac:dyDescent="0.35">
      <c r="A48" s="168" t="s">
        <v>148</v>
      </c>
      <c r="B48" s="169"/>
      <c r="C48" s="224" t="s">
        <v>247</v>
      </c>
      <c r="D48" s="225"/>
      <c r="E48" s="225"/>
      <c r="F48" s="225"/>
      <c r="G48" s="225"/>
      <c r="H48" s="226"/>
      <c r="L48" s="21" t="s">
        <v>278</v>
      </c>
    </row>
    <row r="49" spans="1:14" ht="32.25" customHeight="1" x14ac:dyDescent="0.35">
      <c r="A49" s="168" t="s">
        <v>41</v>
      </c>
      <c r="B49" s="169"/>
      <c r="C49" s="168" t="s">
        <v>248</v>
      </c>
      <c r="D49" s="170"/>
      <c r="E49" s="171"/>
      <c r="F49" s="18" t="s">
        <v>42</v>
      </c>
      <c r="G49" s="172">
        <v>45068</v>
      </c>
      <c r="H49" s="169"/>
    </row>
    <row r="50" spans="1:14" ht="33" customHeight="1" x14ac:dyDescent="0.35">
      <c r="A50" s="168" t="s">
        <v>43</v>
      </c>
      <c r="B50" s="169"/>
      <c r="C50" s="168" t="str">
        <f>C49</f>
        <v>MSRDC/SPA/Khanavale/BP-440/
CC/2023/867</v>
      </c>
      <c r="D50" s="178"/>
      <c r="E50" s="169"/>
      <c r="F50" s="18" t="s">
        <v>42</v>
      </c>
      <c r="G50" s="172">
        <f>G49</f>
        <v>45068</v>
      </c>
      <c r="H50" s="173"/>
    </row>
    <row r="51" spans="1:14" s="23" customFormat="1" ht="30.75" customHeight="1" x14ac:dyDescent="0.35">
      <c r="A51" s="228" t="s">
        <v>152</v>
      </c>
      <c r="B51" s="229"/>
      <c r="C51" s="168" t="str">
        <f>C50</f>
        <v>MSRDC/SPA/Khanavale/BP-440/
CC/2023/867</v>
      </c>
      <c r="D51" s="178"/>
      <c r="E51" s="169"/>
      <c r="F51" s="18" t="s">
        <v>42</v>
      </c>
      <c r="G51" s="172">
        <f>G50</f>
        <v>45068</v>
      </c>
      <c r="H51" s="173"/>
    </row>
    <row r="52" spans="1:14" s="23" customFormat="1" ht="81.75" customHeight="1" x14ac:dyDescent="0.35">
      <c r="A52" s="230"/>
      <c r="B52" s="231"/>
      <c r="C52" s="168" t="s">
        <v>289</v>
      </c>
      <c r="D52" s="178"/>
      <c r="E52" s="178"/>
      <c r="F52" s="178"/>
      <c r="G52" s="178"/>
      <c r="H52" s="169"/>
    </row>
    <row r="53" spans="1:14" ht="18.75" customHeight="1" x14ac:dyDescent="0.35">
      <c r="A53" s="228" t="s">
        <v>295</v>
      </c>
      <c r="B53" s="229"/>
      <c r="C53" s="168" t="s">
        <v>296</v>
      </c>
      <c r="D53" s="178"/>
      <c r="E53" s="169"/>
      <c r="F53" s="72" t="s">
        <v>42</v>
      </c>
      <c r="G53" s="227">
        <v>45196</v>
      </c>
      <c r="H53" s="171"/>
    </row>
    <row r="54" spans="1:14" ht="61.5" customHeight="1" x14ac:dyDescent="0.35">
      <c r="A54" s="230"/>
      <c r="B54" s="231"/>
      <c r="C54" s="168" t="s">
        <v>297</v>
      </c>
      <c r="D54" s="178"/>
      <c r="E54" s="178"/>
      <c r="F54" s="178"/>
      <c r="G54" s="178"/>
      <c r="H54" s="169"/>
    </row>
    <row r="55" spans="1:14" x14ac:dyDescent="0.35">
      <c r="A55" s="152" t="s">
        <v>44</v>
      </c>
      <c r="B55" s="153"/>
      <c r="C55" s="152" t="s">
        <v>104</v>
      </c>
      <c r="D55" s="154"/>
      <c r="E55" s="153"/>
      <c r="F55" s="45" t="s">
        <v>42</v>
      </c>
      <c r="G55" s="176" t="s">
        <v>29</v>
      </c>
      <c r="H55" s="177"/>
    </row>
    <row r="56" spans="1:14" x14ac:dyDescent="0.35">
      <c r="A56" s="174" t="s">
        <v>46</v>
      </c>
      <c r="B56" s="174"/>
      <c r="C56" s="174"/>
      <c r="D56" s="174"/>
      <c r="E56" s="174"/>
      <c r="F56" s="174"/>
      <c r="G56" s="174"/>
      <c r="H56" s="174"/>
    </row>
    <row r="57" spans="1:14" x14ac:dyDescent="0.35">
      <c r="A57" s="116" t="s">
        <v>90</v>
      </c>
      <c r="B57" s="116"/>
      <c r="C57" s="116"/>
      <c r="D57" s="151">
        <f>E45</f>
        <v>25582.713</v>
      </c>
      <c r="E57" s="151"/>
      <c r="F57" s="151"/>
      <c r="G57" s="151"/>
      <c r="H57" s="151"/>
    </row>
    <row r="58" spans="1:14" x14ac:dyDescent="0.35">
      <c r="A58" s="117" t="s">
        <v>47</v>
      </c>
      <c r="B58" s="113"/>
      <c r="C58" s="113"/>
      <c r="D58" s="175" t="s">
        <v>274</v>
      </c>
      <c r="E58" s="175"/>
      <c r="F58" s="175"/>
      <c r="G58" s="175"/>
      <c r="H58" s="175"/>
      <c r="I58" s="24"/>
    </row>
    <row r="59" spans="1:14" ht="33.75" customHeight="1" x14ac:dyDescent="0.35">
      <c r="A59" s="179" t="s">
        <v>48</v>
      </c>
      <c r="B59" s="180"/>
      <c r="C59" s="234"/>
      <c r="D59" s="232" t="s">
        <v>276</v>
      </c>
      <c r="E59" s="233"/>
      <c r="F59" s="233"/>
      <c r="G59" s="233"/>
      <c r="H59" s="233"/>
    </row>
    <row r="60" spans="1:14" ht="15.75" customHeight="1" x14ac:dyDescent="0.35">
      <c r="A60" s="179" t="s">
        <v>88</v>
      </c>
      <c r="B60" s="180"/>
      <c r="C60" s="180"/>
      <c r="D60" s="183" t="s">
        <v>252</v>
      </c>
      <c r="E60" s="184"/>
      <c r="F60" s="184"/>
      <c r="G60" s="184"/>
      <c r="H60" s="185"/>
    </row>
    <row r="61" spans="1:14" ht="15.75" customHeight="1" x14ac:dyDescent="0.35">
      <c r="A61" s="181"/>
      <c r="B61" s="182"/>
      <c r="C61" s="182"/>
      <c r="D61" s="186" t="s">
        <v>251</v>
      </c>
      <c r="E61" s="187"/>
      <c r="F61" s="187"/>
      <c r="G61" s="187"/>
      <c r="H61" s="188"/>
    </row>
    <row r="62" spans="1:14" ht="15.75" customHeight="1" x14ac:dyDescent="0.35">
      <c r="A62" s="151" t="s">
        <v>45</v>
      </c>
      <c r="B62" s="151"/>
      <c r="C62" s="151"/>
      <c r="D62" s="221" t="s">
        <v>275</v>
      </c>
      <c r="E62" s="221"/>
      <c r="F62" s="221"/>
      <c r="G62" s="221"/>
      <c r="H62" s="221"/>
      <c r="J62" s="25"/>
      <c r="K62" s="24"/>
      <c r="N62" s="24"/>
    </row>
    <row r="63" spans="1:14" ht="15.75" customHeight="1" x14ac:dyDescent="0.35">
      <c r="A63" s="151" t="s">
        <v>86</v>
      </c>
      <c r="B63" s="151"/>
      <c r="C63" s="151"/>
      <c r="D63" s="222" t="str">
        <f>(IF(G55="NA","60 Years After Completion",IF(G55&lt;&gt;"NA",""&amp;60-ROUNDDOWN((E3-G55)/360,0)&amp;" Years"," ")))</f>
        <v>60 Years After Completion</v>
      </c>
      <c r="E63" s="222"/>
      <c r="F63" s="222"/>
      <c r="G63" s="222"/>
      <c r="H63" s="222"/>
      <c r="N63" s="24"/>
    </row>
    <row r="64" spans="1:14" ht="15.75" customHeight="1" x14ac:dyDescent="0.35">
      <c r="A64" s="151" t="s">
        <v>87</v>
      </c>
      <c r="B64" s="151"/>
      <c r="C64" s="151"/>
      <c r="D64" s="116" t="s">
        <v>24</v>
      </c>
      <c r="E64" s="116"/>
      <c r="F64" s="116"/>
      <c r="G64" s="116"/>
      <c r="H64" s="116"/>
      <c r="J64" s="26"/>
      <c r="K64" s="26"/>
    </row>
    <row r="65" spans="1:14" ht="35.25" customHeight="1" x14ac:dyDescent="0.35">
      <c r="A65" s="113" t="s">
        <v>249</v>
      </c>
      <c r="B65" s="113"/>
      <c r="C65" s="113"/>
      <c r="D65" s="114" t="s">
        <v>250</v>
      </c>
      <c r="E65" s="115"/>
      <c r="F65" s="115"/>
      <c r="G65" s="115"/>
      <c r="H65" s="115"/>
    </row>
    <row r="66" spans="1:14" x14ac:dyDescent="0.35">
      <c r="A66" s="116" t="s">
        <v>146</v>
      </c>
      <c r="B66" s="116"/>
      <c r="C66" s="116"/>
      <c r="D66" s="116" t="s">
        <v>29</v>
      </c>
      <c r="E66" s="116"/>
      <c r="F66" s="116"/>
      <c r="G66" s="116"/>
      <c r="H66" s="116"/>
      <c r="I66" s="27"/>
      <c r="J66" s="27"/>
      <c r="K66" s="27"/>
      <c r="L66" s="27"/>
      <c r="M66" s="27"/>
      <c r="N66" s="27"/>
    </row>
    <row r="67" spans="1:14" ht="15.75" customHeight="1" x14ac:dyDescent="0.35">
      <c r="A67" s="151" t="s">
        <v>85</v>
      </c>
      <c r="B67" s="151"/>
      <c r="C67" s="151"/>
      <c r="D67" s="117" t="str">
        <f ca="1">(IF(G73&gt;95%,"Nothing",IF(G73&gt;0%,"Cement, Aggregate, Steel, etc",IF(G73=0%,"Work not yet Started"))))</f>
        <v>Cement, Aggregate, Steel, etc</v>
      </c>
      <c r="E67" s="117"/>
      <c r="F67" s="117"/>
      <c r="G67" s="117"/>
      <c r="H67" s="117"/>
      <c r="J67" s="26"/>
    </row>
    <row r="68" spans="1:14" ht="33.75" customHeight="1" thickBot="1" x14ac:dyDescent="0.4">
      <c r="A68" s="116" t="s">
        <v>117</v>
      </c>
      <c r="B68" s="116"/>
      <c r="C68" s="116"/>
      <c r="D68" s="117" t="str">
        <f ca="1">(IF(D67="Nothing","Yes",IF(D67="Cement, Aggregate, Steel, etc","Under Construction",IF(D67="Work not yet Started","Work not yet Started"))))</f>
        <v>Under Construction</v>
      </c>
      <c r="E68" s="117"/>
      <c r="F68" s="117" t="str">
        <f ca="1">(IF(D67="Nothing","Yes",IF(D67="Cement, Aggregate, Steel, etc","Under Construction",IF(D67="Work not yet Started","Work not yet Started"))))</f>
        <v>Under Construction</v>
      </c>
      <c r="G68" s="117"/>
      <c r="H68" s="117"/>
    </row>
    <row r="69" spans="1:14" ht="15.75" customHeight="1" x14ac:dyDescent="0.35">
      <c r="A69" s="189" t="s">
        <v>138</v>
      </c>
      <c r="B69" s="189"/>
      <c r="C69" s="189" t="s">
        <v>303</v>
      </c>
      <c r="D69" s="189"/>
      <c r="E69" s="189"/>
      <c r="F69" s="189"/>
      <c r="G69" s="189"/>
      <c r="H69" s="189"/>
      <c r="I69" s="79" t="str">
        <f ca="1">IF(D82=100%,"All work Completed. Possession granted to the Building.",IF(D81=100%,"All work Completed, Waiting for OC",I70&amp;""&amp;I71&amp;""&amp;J70&amp;""&amp;J69&amp;" "&amp;J71))</f>
        <v>Excavation, Plinth Completed, RCC upto 3 Slab Completed</v>
      </c>
      <c r="J69" s="50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3 Slab</v>
      </c>
    </row>
    <row r="70" spans="1:14" x14ac:dyDescent="0.35">
      <c r="A70" s="53" t="s">
        <v>140</v>
      </c>
      <c r="B70" s="53">
        <f>IF(AND(ISNUMBER(SEARCH("1B",C69))),1,IF(AND(ISNUMBER(SEARCH("2B",C69))),2,IF(AND(ISNUMBER(SEARCH("3B",C69))),3,IF(AND(ISNUMBER(SEARCH("4B",C69))),4,IF(ISNUMBER(SEARCH("5B",C69)),5,0)))))</f>
        <v>0</v>
      </c>
      <c r="C70" s="53" t="s">
        <v>71</v>
      </c>
      <c r="D70" s="53">
        <v>1</v>
      </c>
      <c r="E70" s="53" t="s">
        <v>70</v>
      </c>
      <c r="F70" s="53">
        <v>5</v>
      </c>
      <c r="G70" s="48" t="s">
        <v>79</v>
      </c>
      <c r="H70" s="53">
        <f ca="1">--TRIM(RIGHT(SUBSTITUTE(LEFT(C69,_xlfn.AGGREGATE(16,6,FIND({0,1,2,3,4,5,6,7,8,9},C69,ROW(INDIRECT("1:"&amp;LEN(C69)))),1))," ",REPT(" ",LEN(C69))),LEN(C69)))</f>
        <v>21</v>
      </c>
      <c r="I70" s="8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52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18" customHeight="1" x14ac:dyDescent="0.35">
      <c r="A71" s="88" t="s">
        <v>89</v>
      </c>
      <c r="B71" s="88"/>
      <c r="C71" s="89" t="str">
        <f ca="1">I69</f>
        <v>Excavation, Plinth Completed, RCC upto 3 Slab Completed</v>
      </c>
      <c r="D71" s="89"/>
      <c r="E71" s="89"/>
      <c r="F71" s="89"/>
      <c r="G71" s="89"/>
      <c r="H71" s="89"/>
      <c r="I71" s="80" t="str">
        <f ca="1">IF(I70&lt;&gt;""," Completed","")</f>
        <v xml:space="preserve"> Completed</v>
      </c>
      <c r="J71" s="52" t="str">
        <f ca="1">IF(J69&lt;&gt;"","Completed","")</f>
        <v>Completed</v>
      </c>
    </row>
    <row r="72" spans="1:14" ht="15.75" customHeight="1" x14ac:dyDescent="0.35">
      <c r="A72" s="92" t="s">
        <v>49</v>
      </c>
      <c r="B72" s="92"/>
      <c r="C72" s="78" t="s">
        <v>137</v>
      </c>
      <c r="D72" s="78" t="s">
        <v>82</v>
      </c>
      <c r="E72" s="92" t="s">
        <v>84</v>
      </c>
      <c r="F72" s="92"/>
      <c r="G72" s="92" t="s">
        <v>83</v>
      </c>
      <c r="H72" s="92"/>
      <c r="I72" s="14" t="s">
        <v>139</v>
      </c>
      <c r="J72" s="28">
        <f ca="1">H70*25%</f>
        <v>5.25</v>
      </c>
    </row>
    <row r="73" spans="1:14" x14ac:dyDescent="0.35">
      <c r="A73" s="92" t="s">
        <v>126</v>
      </c>
      <c r="B73" s="92"/>
      <c r="C73" s="78">
        <f ca="1">J74</f>
        <v>21</v>
      </c>
      <c r="D73" s="19">
        <f ca="1">((100/H70)*C73)/100</f>
        <v>1</v>
      </c>
      <c r="E73" s="118">
        <f ca="1">(((C74/H70*10)+(40/(D70+F70+H70)*C75)+(7.5/(H70)*C76)+(7.5/(H70)*C77)+(10/H70*C78)+(10/H70*C79)+(5/H70*C80)+(5/H70*C81)+(5/H70*C82))/100)</f>
        <v>0.14444444444444446</v>
      </c>
      <c r="F73" s="118"/>
      <c r="G73" s="118">
        <f ca="1">((((C73/H70)*20)+((C74/H70)*25)+(30/(H70+F70+D70)*C75)+(5/H70*C76)+(5/H70*C77)+(5/H70*C78)+(5/H70*C79)+(0/H70*C80)+(0/H70*C81)+(5/H70*C82))/100)</f>
        <v>0.48333333333333334</v>
      </c>
      <c r="H73" s="118"/>
      <c r="I73" s="14" t="s">
        <v>99</v>
      </c>
      <c r="J73" s="29">
        <f ca="1">H70*50%</f>
        <v>10.5</v>
      </c>
    </row>
    <row r="74" spans="1:14" x14ac:dyDescent="0.35">
      <c r="A74" s="92" t="s">
        <v>50</v>
      </c>
      <c r="B74" s="92"/>
      <c r="C74" s="54">
        <f ca="1">J82</f>
        <v>21</v>
      </c>
      <c r="D74" s="19">
        <f ca="1">((100/H70)*C74)/100</f>
        <v>1</v>
      </c>
      <c r="E74" s="118"/>
      <c r="F74" s="118"/>
      <c r="G74" s="118"/>
      <c r="H74" s="118"/>
      <c r="I74" s="14" t="s">
        <v>100</v>
      </c>
      <c r="J74" s="29">
        <f ca="1">H70</f>
        <v>21</v>
      </c>
    </row>
    <row r="75" spans="1:14" ht="15.75" customHeight="1" x14ac:dyDescent="0.35">
      <c r="A75" s="92" t="s">
        <v>127</v>
      </c>
      <c r="B75" s="92"/>
      <c r="C75" s="78">
        <v>3</v>
      </c>
      <c r="D75" s="19">
        <f ca="1">((100/(D70+F70+H70))*C75)/100</f>
        <v>0.1111111111111111</v>
      </c>
      <c r="E75" s="118"/>
      <c r="F75" s="118"/>
      <c r="G75" s="118"/>
      <c r="H75" s="118"/>
      <c r="I75" s="14" t="s">
        <v>101</v>
      </c>
      <c r="J75" s="30">
        <f ca="1">(IF(B70&gt;1,(H70/(B70+2)),H70/4))</f>
        <v>5.25</v>
      </c>
    </row>
    <row r="76" spans="1:14" ht="15.75" customHeight="1" x14ac:dyDescent="0.35">
      <c r="A76" s="92" t="s">
        <v>134</v>
      </c>
      <c r="B76" s="92" t="s">
        <v>128</v>
      </c>
      <c r="C76" s="78">
        <v>0</v>
      </c>
      <c r="D76" s="19">
        <f ca="1">((100/H70)*C76)/100</f>
        <v>0</v>
      </c>
      <c r="E76" s="118"/>
      <c r="F76" s="118"/>
      <c r="G76" s="118"/>
      <c r="H76" s="118"/>
      <c r="I76" s="14" t="s">
        <v>102</v>
      </c>
      <c r="J76" s="30">
        <f ca="1">(IF(B70&gt;1,(H70/(B70+2)+J75),H70/4+J75))</f>
        <v>10.5</v>
      </c>
    </row>
    <row r="77" spans="1:14" ht="15.75" customHeight="1" x14ac:dyDescent="0.35">
      <c r="A77" s="92" t="s">
        <v>135</v>
      </c>
      <c r="B77" s="92" t="s">
        <v>128</v>
      </c>
      <c r="C77" s="78">
        <v>0</v>
      </c>
      <c r="D77" s="19">
        <f ca="1">((100/H70)*C77)/100</f>
        <v>0</v>
      </c>
      <c r="E77" s="118"/>
      <c r="F77" s="118"/>
      <c r="G77" s="118"/>
      <c r="H77" s="118"/>
      <c r="I77" s="14" t="s">
        <v>144</v>
      </c>
      <c r="J77" s="30">
        <f>(IF(B70&gt;1,(H70/(B70+2)+J76),0))</f>
        <v>0</v>
      </c>
    </row>
    <row r="78" spans="1:14" ht="15" customHeight="1" x14ac:dyDescent="0.35">
      <c r="A78" s="92" t="s">
        <v>133</v>
      </c>
      <c r="B78" s="92" t="s">
        <v>130</v>
      </c>
      <c r="C78" s="78">
        <v>0</v>
      </c>
      <c r="D78" s="19">
        <f ca="1">((100/(H70))*C78)/100</f>
        <v>0</v>
      </c>
      <c r="E78" s="118"/>
      <c r="F78" s="118"/>
      <c r="G78" s="118"/>
      <c r="H78" s="118"/>
      <c r="I78" s="14" t="s">
        <v>141</v>
      </c>
      <c r="J78" s="30">
        <f>(IF(B70&gt;2,(H70/(B70+2)+J77),0))</f>
        <v>0</v>
      </c>
    </row>
    <row r="79" spans="1:14" ht="15.75" customHeight="1" x14ac:dyDescent="0.35">
      <c r="A79" s="92" t="s">
        <v>129</v>
      </c>
      <c r="B79" s="92" t="s">
        <v>129</v>
      </c>
      <c r="C79" s="78">
        <v>0</v>
      </c>
      <c r="D79" s="19">
        <f ca="1">((100/H70)*C79)/100</f>
        <v>0</v>
      </c>
      <c r="E79" s="118"/>
      <c r="F79" s="118"/>
      <c r="G79" s="118"/>
      <c r="H79" s="118"/>
      <c r="I79" s="14" t="s">
        <v>142</v>
      </c>
      <c r="J79" s="31">
        <f>(IF(B70&gt;3,(H70/(B70+2)+J78),0))</f>
        <v>0</v>
      </c>
    </row>
    <row r="80" spans="1:14" ht="15.75" customHeight="1" x14ac:dyDescent="0.35">
      <c r="A80" s="92" t="s">
        <v>136</v>
      </c>
      <c r="B80" s="92"/>
      <c r="C80" s="78">
        <v>0</v>
      </c>
      <c r="D80" s="19">
        <f ca="1">((100/H70)*C80)/100</f>
        <v>0</v>
      </c>
      <c r="E80" s="118"/>
      <c r="F80" s="118"/>
      <c r="G80" s="118"/>
      <c r="H80" s="118"/>
      <c r="I80" s="14" t="s">
        <v>143</v>
      </c>
      <c r="J80" s="30">
        <f>(IF(B70&gt;4,(H70/(B70+2)+J79),0))</f>
        <v>0</v>
      </c>
    </row>
    <row r="81" spans="1:10" ht="15.75" customHeight="1" x14ac:dyDescent="0.35">
      <c r="A81" s="92" t="s">
        <v>131</v>
      </c>
      <c r="B81" s="92" t="s">
        <v>131</v>
      </c>
      <c r="C81" s="78">
        <v>0</v>
      </c>
      <c r="D81" s="19">
        <f ca="1">((100/(H70))*C81)/100</f>
        <v>0</v>
      </c>
      <c r="E81" s="118"/>
      <c r="F81" s="118"/>
      <c r="G81" s="118"/>
      <c r="H81" s="118"/>
      <c r="I81" s="14" t="s">
        <v>145</v>
      </c>
      <c r="J81" s="30">
        <f ca="1">(IF(B70=1,(H70/(B70+3)+J76),IF(B70=0,(H70/4+J76),IF(B70&gt;1,0))))</f>
        <v>15.75</v>
      </c>
    </row>
    <row r="82" spans="1:10" ht="16" thickBot="1" x14ac:dyDescent="0.4">
      <c r="A82" s="92" t="s">
        <v>132</v>
      </c>
      <c r="B82" s="92"/>
      <c r="C82" s="78">
        <v>0</v>
      </c>
      <c r="D82" s="19">
        <f ca="1">((100/(H70))*C82)/100</f>
        <v>0</v>
      </c>
      <c r="E82" s="118"/>
      <c r="F82" s="118"/>
      <c r="G82" s="118"/>
      <c r="H82" s="118"/>
      <c r="I82" s="15" t="s">
        <v>103</v>
      </c>
      <c r="J82" s="32">
        <f ca="1">(IF(B70&gt;1.5,(H70/(B70+2)+J76+MAX(0,J77-J76)+MAX(0,J78-J77)+MAX(0,J79-J78)+MAX(0,J80-J79)+MAX(0,J81-J80)),IF(B70=1,(H70/(B70+3)+J81),IF(B70=0,H70/4+J81))))</f>
        <v>21</v>
      </c>
    </row>
    <row r="83" spans="1:10" ht="15.75" customHeight="1" x14ac:dyDescent="0.35">
      <c r="A83" s="158" t="s">
        <v>138</v>
      </c>
      <c r="B83" s="159"/>
      <c r="C83" s="165" t="s">
        <v>302</v>
      </c>
      <c r="D83" s="166"/>
      <c r="E83" s="166"/>
      <c r="F83" s="166"/>
      <c r="G83" s="166"/>
      <c r="H83" s="167"/>
      <c r="I83" s="49" t="str">
        <f ca="1">IF(D96=100%,"All work Completed. Possession granted to the Building.",IF(D95=100%,"All work Completed, Waiting for OC",I84&amp;""&amp;I85&amp;""&amp;J84&amp;""&amp;J83&amp;" "&amp;J85))</f>
        <v>Excavation, Plinth Completed, RCC upto 2 Slab Completed</v>
      </c>
      <c r="J83" s="50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 Slab</v>
      </c>
    </row>
    <row r="84" spans="1:10" x14ac:dyDescent="0.35">
      <c r="A84" s="16" t="s">
        <v>140</v>
      </c>
      <c r="B84" s="53">
        <f>IF(AND(ISNUMBER(SEARCH("1B",C83))),1,IF(AND(ISNUMBER(SEARCH("2B",C83))),2,IF(AND(ISNUMBER(SEARCH("3B",C83))),3,IF(AND(ISNUMBER(SEARCH("4B",C83))),4,IF(ISNUMBER(SEARCH("5B",C83)),5,0)))))</f>
        <v>0</v>
      </c>
      <c r="C84" s="53" t="s">
        <v>71</v>
      </c>
      <c r="D84" s="53">
        <v>1</v>
      </c>
      <c r="E84" s="53" t="s">
        <v>70</v>
      </c>
      <c r="F84" s="53">
        <v>5</v>
      </c>
      <c r="G84" s="48" t="s">
        <v>79</v>
      </c>
      <c r="H84" s="17">
        <f ca="1">--TRIM(RIGHT(SUBSTITUTE(LEFT(C83,_xlfn.AGGREGATE(16,6,FIND({0,1,2,3,4,5,6,7,8,9},C83,ROW(INDIRECT("1:"&amp;LEN(C83)))),1))," ",REPT(" ",LEN(C83))),LEN(C83)))</f>
        <v>21</v>
      </c>
      <c r="I84" s="51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2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18" customHeight="1" x14ac:dyDescent="0.35">
      <c r="A85" s="87" t="s">
        <v>89</v>
      </c>
      <c r="B85" s="88"/>
      <c r="C85" s="89" t="str">
        <f ca="1">I83</f>
        <v>Excavation, Plinth Completed, RCC upto 2 Slab Completed</v>
      </c>
      <c r="D85" s="89"/>
      <c r="E85" s="89"/>
      <c r="F85" s="89"/>
      <c r="G85" s="89"/>
      <c r="H85" s="90"/>
      <c r="I85" s="51" t="str">
        <f ca="1">IF(I84&lt;&gt;""," Completed","")</f>
        <v xml:space="preserve"> Completed</v>
      </c>
      <c r="J85" s="52" t="str">
        <f ca="1">IF(J83&lt;&gt;"","Completed","")</f>
        <v>Completed</v>
      </c>
    </row>
    <row r="86" spans="1:10" ht="15.75" customHeight="1" x14ac:dyDescent="0.35">
      <c r="A86" s="91" t="s">
        <v>49</v>
      </c>
      <c r="B86" s="92"/>
      <c r="C86" s="77" t="s">
        <v>137</v>
      </c>
      <c r="D86" s="77" t="s">
        <v>82</v>
      </c>
      <c r="E86" s="92" t="s">
        <v>84</v>
      </c>
      <c r="F86" s="92"/>
      <c r="G86" s="92" t="s">
        <v>83</v>
      </c>
      <c r="H86" s="93"/>
      <c r="I86" s="14" t="s">
        <v>139</v>
      </c>
      <c r="J86" s="28">
        <f ca="1">H84*25%</f>
        <v>5.25</v>
      </c>
    </row>
    <row r="87" spans="1:10" x14ac:dyDescent="0.35">
      <c r="A87" s="91" t="s">
        <v>126</v>
      </c>
      <c r="B87" s="92"/>
      <c r="C87" s="77">
        <f ca="1">J88</f>
        <v>21</v>
      </c>
      <c r="D87" s="19">
        <f ca="1">((100/H84)*C87)/100</f>
        <v>1</v>
      </c>
      <c r="E87" s="94">
        <f ca="1">(((C88/H84*10)+(40/(D84+F84+H84)*C89)+(7.5/(H84)*C90)+(7.5/(H84)*C91)+(10/H84*C92)+(10/H84*C93)+(5/H84*C94)+(5/H84*C95)+(5/H84*C96))/100)</f>
        <v>0.12962962962962962</v>
      </c>
      <c r="F87" s="95"/>
      <c r="G87" s="94">
        <f ca="1">((((C87/H84)*20)+((C88/H84)*25)+(30/(H84+F84+D84)*C89)+(5/H84*C90)+(5/H84*C91)+(5/H84*C92)+(5/H84*C93)+(0/H84*C94)+(0/H84*C95)+(5/H84*C96))/100)</f>
        <v>0.47222222222222221</v>
      </c>
      <c r="H87" s="100"/>
      <c r="I87" s="14" t="s">
        <v>99</v>
      </c>
      <c r="J87" s="29">
        <f ca="1">H84*50%</f>
        <v>10.5</v>
      </c>
    </row>
    <row r="88" spans="1:10" x14ac:dyDescent="0.35">
      <c r="A88" s="91" t="s">
        <v>50</v>
      </c>
      <c r="B88" s="92"/>
      <c r="C88" s="54">
        <f ca="1">J96</f>
        <v>21</v>
      </c>
      <c r="D88" s="19">
        <f ca="1">((100/H84)*C88)/100</f>
        <v>1</v>
      </c>
      <c r="E88" s="96"/>
      <c r="F88" s="97"/>
      <c r="G88" s="96"/>
      <c r="H88" s="101"/>
      <c r="I88" s="14" t="s">
        <v>100</v>
      </c>
      <c r="J88" s="29">
        <f ca="1">H84</f>
        <v>21</v>
      </c>
    </row>
    <row r="89" spans="1:10" ht="15.75" customHeight="1" x14ac:dyDescent="0.35">
      <c r="A89" s="91" t="s">
        <v>127</v>
      </c>
      <c r="B89" s="92"/>
      <c r="C89" s="77">
        <v>2</v>
      </c>
      <c r="D89" s="19">
        <f ca="1">((100/(D84+F84+H84))*C89)/100</f>
        <v>7.407407407407407E-2</v>
      </c>
      <c r="E89" s="96"/>
      <c r="F89" s="97"/>
      <c r="G89" s="96"/>
      <c r="H89" s="101"/>
      <c r="I89" s="14" t="s">
        <v>101</v>
      </c>
      <c r="J89" s="30">
        <f ca="1">(IF(B84&gt;1,(H84/(B84+2)),H84/4))</f>
        <v>5.25</v>
      </c>
    </row>
    <row r="90" spans="1:10" ht="15.75" customHeight="1" x14ac:dyDescent="0.35">
      <c r="A90" s="91" t="s">
        <v>134</v>
      </c>
      <c r="B90" s="92" t="s">
        <v>128</v>
      </c>
      <c r="C90" s="77">
        <v>0</v>
      </c>
      <c r="D90" s="19">
        <f ca="1">((100/H84)*C90)/100</f>
        <v>0</v>
      </c>
      <c r="E90" s="96"/>
      <c r="F90" s="97"/>
      <c r="G90" s="96"/>
      <c r="H90" s="101"/>
      <c r="I90" s="14" t="s">
        <v>102</v>
      </c>
      <c r="J90" s="30">
        <f ca="1">(IF(B84&gt;1,(H84/(B84+2)+J89),H84/4+J89))</f>
        <v>10.5</v>
      </c>
    </row>
    <row r="91" spans="1:10" ht="15.75" customHeight="1" x14ac:dyDescent="0.35">
      <c r="A91" s="91" t="s">
        <v>135</v>
      </c>
      <c r="B91" s="92" t="s">
        <v>128</v>
      </c>
      <c r="C91" s="77">
        <v>0</v>
      </c>
      <c r="D91" s="19">
        <f ca="1">((100/H84)*C91)/100</f>
        <v>0</v>
      </c>
      <c r="E91" s="96"/>
      <c r="F91" s="97"/>
      <c r="G91" s="96"/>
      <c r="H91" s="101"/>
      <c r="I91" s="14" t="s">
        <v>144</v>
      </c>
      <c r="J91" s="30">
        <f>(IF(B84&gt;1,(H84/(B84+2)+J90),0))</f>
        <v>0</v>
      </c>
    </row>
    <row r="92" spans="1:10" ht="15" customHeight="1" x14ac:dyDescent="0.35">
      <c r="A92" s="91" t="s">
        <v>133</v>
      </c>
      <c r="B92" s="92" t="s">
        <v>130</v>
      </c>
      <c r="C92" s="77">
        <v>0</v>
      </c>
      <c r="D92" s="19">
        <f ca="1">((100/(H84))*C92)/100</f>
        <v>0</v>
      </c>
      <c r="E92" s="96"/>
      <c r="F92" s="97"/>
      <c r="G92" s="96"/>
      <c r="H92" s="101"/>
      <c r="I92" s="14" t="s">
        <v>141</v>
      </c>
      <c r="J92" s="30">
        <f>(IF(B84&gt;2,(H84/(B84+2)+J91),0))</f>
        <v>0</v>
      </c>
    </row>
    <row r="93" spans="1:10" ht="15.75" customHeight="1" x14ac:dyDescent="0.35">
      <c r="A93" s="91" t="s">
        <v>129</v>
      </c>
      <c r="B93" s="92" t="s">
        <v>129</v>
      </c>
      <c r="C93" s="77">
        <v>0</v>
      </c>
      <c r="D93" s="19">
        <f ca="1">((100/H84)*C93)/100</f>
        <v>0</v>
      </c>
      <c r="E93" s="96"/>
      <c r="F93" s="97"/>
      <c r="G93" s="96"/>
      <c r="H93" s="101"/>
      <c r="I93" s="14" t="s">
        <v>142</v>
      </c>
      <c r="J93" s="31">
        <f>(IF(B84&gt;3,(H84/(B84+2)+J92),0))</f>
        <v>0</v>
      </c>
    </row>
    <row r="94" spans="1:10" ht="15.75" customHeight="1" x14ac:dyDescent="0.35">
      <c r="A94" s="91" t="s">
        <v>136</v>
      </c>
      <c r="B94" s="92"/>
      <c r="C94" s="77">
        <v>0</v>
      </c>
      <c r="D94" s="19">
        <f ca="1">((100/H84)*C94)/100</f>
        <v>0</v>
      </c>
      <c r="E94" s="96"/>
      <c r="F94" s="97"/>
      <c r="G94" s="96"/>
      <c r="H94" s="101"/>
      <c r="I94" s="14" t="s">
        <v>143</v>
      </c>
      <c r="J94" s="30">
        <f>(IF(B84&gt;4,(H84/(B84+2)+J93),0))</f>
        <v>0</v>
      </c>
    </row>
    <row r="95" spans="1:10" ht="15.75" customHeight="1" x14ac:dyDescent="0.35">
      <c r="A95" s="91" t="s">
        <v>131</v>
      </c>
      <c r="B95" s="92" t="s">
        <v>131</v>
      </c>
      <c r="C95" s="77">
        <v>0</v>
      </c>
      <c r="D95" s="19">
        <f ca="1">((100/(H84))*C95)/100</f>
        <v>0</v>
      </c>
      <c r="E95" s="96"/>
      <c r="F95" s="97"/>
      <c r="G95" s="96"/>
      <c r="H95" s="101"/>
      <c r="I95" s="14" t="s">
        <v>145</v>
      </c>
      <c r="J95" s="30">
        <f ca="1">(IF(B84=1,(H84/(B84+3)+J90),IF(B84=0,(H84/4+J90),IF(B84&gt;1,0))))</f>
        <v>15.75</v>
      </c>
    </row>
    <row r="96" spans="1:10" ht="16" thickBot="1" x14ac:dyDescent="0.4">
      <c r="A96" s="103" t="s">
        <v>132</v>
      </c>
      <c r="B96" s="104"/>
      <c r="C96" s="76">
        <v>0</v>
      </c>
      <c r="D96" s="20">
        <f ca="1">((100/(H84))*C96)/100</f>
        <v>0</v>
      </c>
      <c r="E96" s="98"/>
      <c r="F96" s="99"/>
      <c r="G96" s="98"/>
      <c r="H96" s="102"/>
      <c r="I96" s="15" t="s">
        <v>103</v>
      </c>
      <c r="J96" s="32">
        <f ca="1">(IF(B84&gt;1.5,(H84/(B84+2)+J90+MAX(0,J91-J90)+MAX(0,J92-J91)+MAX(0,J93-J92)+MAX(0,J94-J93)+MAX(0,J95-J94)),IF(B84=1,(H84/(B84+3)+J95),IF(B84=0,H84/4+J95))))</f>
        <v>21</v>
      </c>
    </row>
    <row r="97" spans="1:10" ht="15.75" customHeight="1" x14ac:dyDescent="0.35">
      <c r="A97" s="163" t="s">
        <v>138</v>
      </c>
      <c r="B97" s="164"/>
      <c r="C97" s="84" t="s">
        <v>294</v>
      </c>
      <c r="D97" s="85"/>
      <c r="E97" s="85"/>
      <c r="F97" s="85"/>
      <c r="G97" s="85"/>
      <c r="H97" s="86"/>
      <c r="I97" s="49" t="str">
        <f ca="1">IF(D110=100%,"All work Completed. Possession granted to the Building.",IF(D109=100%,"All work Completed, Waiting for OC",I98&amp;""&amp;I99&amp;""&amp;J98&amp;""&amp;J97&amp;" "&amp;J99))</f>
        <v>Excavation, Plinth Completed, RCC upto 6 Slab Completed</v>
      </c>
      <c r="J97" s="50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6 Slab</v>
      </c>
    </row>
    <row r="98" spans="1:10" x14ac:dyDescent="0.35">
      <c r="A98" s="16" t="s">
        <v>140</v>
      </c>
      <c r="B98" s="53">
        <f>IF(AND(ISNUMBER(SEARCH("1B",C97))),1,IF(AND(ISNUMBER(SEARCH("2B",C97))),2,IF(AND(ISNUMBER(SEARCH("3B",C97))),3,IF(AND(ISNUMBER(SEARCH("4B",C97))),4,IF(ISNUMBER(SEARCH("5B",C97)),5,0)))))</f>
        <v>0</v>
      </c>
      <c r="C98" s="53" t="s">
        <v>71</v>
      </c>
      <c r="D98" s="53">
        <v>1</v>
      </c>
      <c r="E98" s="53" t="s">
        <v>70</v>
      </c>
      <c r="F98" s="53">
        <v>5</v>
      </c>
      <c r="G98" s="48" t="s">
        <v>79</v>
      </c>
      <c r="H98" s="17">
        <f ca="1">--TRIM(RIGHT(SUBSTITUTE(LEFT(C97,_xlfn.AGGREGATE(16,6,FIND({0,1,2,3,4,5,6,7,8,9},C97,ROW(INDIRECT("1:"&amp;LEN(C97)))),1))," ",REPT(" ",LEN(C97))),LEN(C97)))</f>
        <v>21</v>
      </c>
      <c r="I98" s="51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52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18" customHeight="1" x14ac:dyDescent="0.35">
      <c r="A99" s="87" t="s">
        <v>89</v>
      </c>
      <c r="B99" s="88"/>
      <c r="C99" s="89" t="str">
        <f ca="1">I97</f>
        <v>Excavation, Plinth Completed, RCC upto 6 Slab Completed</v>
      </c>
      <c r="D99" s="89"/>
      <c r="E99" s="89"/>
      <c r="F99" s="89"/>
      <c r="G99" s="89"/>
      <c r="H99" s="90"/>
      <c r="I99" s="51" t="str">
        <f ca="1">IF(I98&lt;&gt;""," Completed","")</f>
        <v xml:space="preserve"> Completed</v>
      </c>
      <c r="J99" s="52" t="str">
        <f ca="1">IF(J97&lt;&gt;"","Completed","")</f>
        <v>Completed</v>
      </c>
    </row>
    <row r="100" spans="1:10" ht="15.75" customHeight="1" x14ac:dyDescent="0.35">
      <c r="A100" s="91" t="s">
        <v>49</v>
      </c>
      <c r="B100" s="92"/>
      <c r="C100" s="71" t="s">
        <v>137</v>
      </c>
      <c r="D100" s="71" t="s">
        <v>82</v>
      </c>
      <c r="E100" s="92" t="s">
        <v>84</v>
      </c>
      <c r="F100" s="92"/>
      <c r="G100" s="92" t="s">
        <v>83</v>
      </c>
      <c r="H100" s="93"/>
      <c r="I100" s="14" t="s">
        <v>139</v>
      </c>
      <c r="J100" s="28">
        <f ca="1">H98*25%</f>
        <v>5.25</v>
      </c>
    </row>
    <row r="101" spans="1:10" x14ac:dyDescent="0.35">
      <c r="A101" s="91" t="s">
        <v>126</v>
      </c>
      <c r="B101" s="92"/>
      <c r="C101" s="71">
        <f ca="1">J102</f>
        <v>21</v>
      </c>
      <c r="D101" s="19">
        <f ca="1">((100/H98)*C101)/100</f>
        <v>1</v>
      </c>
      <c r="E101" s="94">
        <f ca="1">(((C102/H98*10)+(40/(D98+F98+H98)*C103)+(7.5/(H98)*C104)+(7.5/(H98)*C105)+(10/H98*C106)+(10/H98*C107)+(5/H98*C108)+(5/H98*C109)+(5/H98*C110))/100)</f>
        <v>0.18888888888888888</v>
      </c>
      <c r="F101" s="95"/>
      <c r="G101" s="94">
        <f ca="1">((((C101/H98)*20)+((C102/H98)*25)+(30/(H98+F98+D98)*C103)+(5/H98*C104)+(5/H98*C105)+(5/H98*C106)+(5/H98*C107)+(0/H98*C108)+(0/H98*C109)+(5/H98*C110))/100)</f>
        <v>0.51666666666666661</v>
      </c>
      <c r="H101" s="100"/>
      <c r="I101" s="14" t="s">
        <v>99</v>
      </c>
      <c r="J101" s="29">
        <f ca="1">H98*50%</f>
        <v>10.5</v>
      </c>
    </row>
    <row r="102" spans="1:10" x14ac:dyDescent="0.35">
      <c r="A102" s="91" t="s">
        <v>50</v>
      </c>
      <c r="B102" s="92"/>
      <c r="C102" s="54">
        <f ca="1">J110</f>
        <v>21</v>
      </c>
      <c r="D102" s="19">
        <f ca="1">((100/H98)*C102)/100</f>
        <v>1</v>
      </c>
      <c r="E102" s="96"/>
      <c r="F102" s="97"/>
      <c r="G102" s="96"/>
      <c r="H102" s="101"/>
      <c r="I102" s="14" t="s">
        <v>100</v>
      </c>
      <c r="J102" s="29">
        <f ca="1">H98</f>
        <v>21</v>
      </c>
    </row>
    <row r="103" spans="1:10" ht="15.75" customHeight="1" x14ac:dyDescent="0.35">
      <c r="A103" s="91" t="s">
        <v>127</v>
      </c>
      <c r="B103" s="92"/>
      <c r="C103" s="71">
        <v>6</v>
      </c>
      <c r="D103" s="19">
        <f ca="1">((100/(D98+F98+H98))*C103)/100</f>
        <v>0.22222222222222221</v>
      </c>
      <c r="E103" s="96"/>
      <c r="F103" s="97"/>
      <c r="G103" s="96"/>
      <c r="H103" s="101"/>
      <c r="I103" s="14" t="s">
        <v>101</v>
      </c>
      <c r="J103" s="30">
        <f ca="1">(IF(B98&gt;1,(H98/(B98+2)),H98/4))</f>
        <v>5.25</v>
      </c>
    </row>
    <row r="104" spans="1:10" ht="15.75" customHeight="1" x14ac:dyDescent="0.35">
      <c r="A104" s="91" t="s">
        <v>134</v>
      </c>
      <c r="B104" s="92" t="s">
        <v>128</v>
      </c>
      <c r="C104" s="71">
        <v>0</v>
      </c>
      <c r="D104" s="19">
        <f ca="1">((100/H98)*C104)/100</f>
        <v>0</v>
      </c>
      <c r="E104" s="96"/>
      <c r="F104" s="97"/>
      <c r="G104" s="96"/>
      <c r="H104" s="101"/>
      <c r="I104" s="14" t="s">
        <v>102</v>
      </c>
      <c r="J104" s="30">
        <f ca="1">(IF(B98&gt;1,(H98/(B98+2)+J103),H98/4+J103))</f>
        <v>10.5</v>
      </c>
    </row>
    <row r="105" spans="1:10" ht="15.75" customHeight="1" x14ac:dyDescent="0.35">
      <c r="A105" s="91" t="s">
        <v>135</v>
      </c>
      <c r="B105" s="92" t="s">
        <v>128</v>
      </c>
      <c r="C105" s="71">
        <v>0</v>
      </c>
      <c r="D105" s="19">
        <f ca="1">((100/H98)*C105)/100</f>
        <v>0</v>
      </c>
      <c r="E105" s="96"/>
      <c r="F105" s="97"/>
      <c r="G105" s="96"/>
      <c r="H105" s="101"/>
      <c r="I105" s="14" t="s">
        <v>144</v>
      </c>
      <c r="J105" s="30">
        <f>(IF(B98&gt;1,(H98/(B98+2)+J104),0))</f>
        <v>0</v>
      </c>
    </row>
    <row r="106" spans="1:10" ht="15" customHeight="1" x14ac:dyDescent="0.35">
      <c r="A106" s="91" t="s">
        <v>133</v>
      </c>
      <c r="B106" s="92" t="s">
        <v>130</v>
      </c>
      <c r="C106" s="71">
        <v>0</v>
      </c>
      <c r="D106" s="19">
        <f ca="1">((100/(H98))*C106)/100</f>
        <v>0</v>
      </c>
      <c r="E106" s="96"/>
      <c r="F106" s="97"/>
      <c r="G106" s="96"/>
      <c r="H106" s="101"/>
      <c r="I106" s="14" t="s">
        <v>141</v>
      </c>
      <c r="J106" s="30">
        <f>(IF(B98&gt;2,(H98/(B98+2)+J105),0))</f>
        <v>0</v>
      </c>
    </row>
    <row r="107" spans="1:10" ht="15.75" customHeight="1" x14ac:dyDescent="0.35">
      <c r="A107" s="91" t="s">
        <v>129</v>
      </c>
      <c r="B107" s="92" t="s">
        <v>129</v>
      </c>
      <c r="C107" s="71">
        <v>0</v>
      </c>
      <c r="D107" s="19">
        <f ca="1">((100/H98)*C107)/100</f>
        <v>0</v>
      </c>
      <c r="E107" s="96"/>
      <c r="F107" s="97"/>
      <c r="G107" s="96"/>
      <c r="H107" s="101"/>
      <c r="I107" s="14" t="s">
        <v>142</v>
      </c>
      <c r="J107" s="31">
        <f>(IF(B98&gt;3,(H98/(B98+2)+J106),0))</f>
        <v>0</v>
      </c>
    </row>
    <row r="108" spans="1:10" ht="15.75" customHeight="1" x14ac:dyDescent="0.35">
      <c r="A108" s="91" t="s">
        <v>136</v>
      </c>
      <c r="B108" s="92"/>
      <c r="C108" s="71">
        <v>0</v>
      </c>
      <c r="D108" s="19">
        <f ca="1">((100/H98)*C108)/100</f>
        <v>0</v>
      </c>
      <c r="E108" s="96"/>
      <c r="F108" s="97"/>
      <c r="G108" s="96"/>
      <c r="H108" s="101"/>
      <c r="I108" s="14" t="s">
        <v>143</v>
      </c>
      <c r="J108" s="30">
        <f>(IF(B98&gt;4,(H98/(B98+2)+J107),0))</f>
        <v>0</v>
      </c>
    </row>
    <row r="109" spans="1:10" ht="15.75" customHeight="1" x14ac:dyDescent="0.35">
      <c r="A109" s="91" t="s">
        <v>131</v>
      </c>
      <c r="B109" s="92" t="s">
        <v>131</v>
      </c>
      <c r="C109" s="71">
        <v>0</v>
      </c>
      <c r="D109" s="19">
        <f ca="1">((100/(H98))*C109)/100</f>
        <v>0</v>
      </c>
      <c r="E109" s="96"/>
      <c r="F109" s="97"/>
      <c r="G109" s="96"/>
      <c r="H109" s="101"/>
      <c r="I109" s="14" t="s">
        <v>145</v>
      </c>
      <c r="J109" s="30">
        <f ca="1">(IF(B98=1,(H98/(B98+3)+J104),IF(B98=0,(H98/4+J104),IF(B98&gt;1,0))))</f>
        <v>15.75</v>
      </c>
    </row>
    <row r="110" spans="1:10" ht="16" thickBot="1" x14ac:dyDescent="0.4">
      <c r="A110" s="103" t="s">
        <v>132</v>
      </c>
      <c r="B110" s="104"/>
      <c r="C110" s="73">
        <v>0</v>
      </c>
      <c r="D110" s="20">
        <f ca="1">((100/(H98))*C110)/100</f>
        <v>0</v>
      </c>
      <c r="E110" s="98"/>
      <c r="F110" s="99"/>
      <c r="G110" s="98"/>
      <c r="H110" s="102"/>
      <c r="I110" s="15" t="s">
        <v>103</v>
      </c>
      <c r="J110" s="32">
        <f ca="1">(IF(B98&gt;1.5,(H98/(B98+2)+J104+MAX(0,J105-J104)+MAX(0,J106-J105)+MAX(0,J107-J106)+MAX(0,J108-J107)+MAX(0,J109-J108)),IF(B98=1,(H98/(B98+3)+J109),IF(B98=0,H98/4+J109))))</f>
        <v>21</v>
      </c>
    </row>
    <row r="111" spans="1:10" ht="15.75" customHeight="1" x14ac:dyDescent="0.35">
      <c r="A111" s="158" t="s">
        <v>138</v>
      </c>
      <c r="B111" s="159"/>
      <c r="C111" s="165" t="str">
        <f>D61</f>
        <v>Commercial Wing = LG + UG + 1st &amp; 2nd Floor</v>
      </c>
      <c r="D111" s="166"/>
      <c r="E111" s="166"/>
      <c r="F111" s="166"/>
      <c r="G111" s="166"/>
      <c r="H111" s="167"/>
      <c r="I111" s="49" t="str">
        <f ca="1">IF(D124=100%,"All work Completed. Possession granted to the Building.",IF(D123=100%,"All work Completed, Waiting for OC",I112&amp;""&amp;I113&amp;""&amp;J112&amp;""&amp;J111&amp;" "&amp;J113))</f>
        <v xml:space="preserve">Excavation, Plinth, RCC Slab, Brickwork, Internal Plaster, External Plaster Completed </v>
      </c>
      <c r="J111" s="50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/>
      </c>
    </row>
    <row r="112" spans="1:10" x14ac:dyDescent="0.35">
      <c r="A112" s="16" t="s">
        <v>140</v>
      </c>
      <c r="B112" s="53">
        <f>IF(AND(ISNUMBER(SEARCH("1B",C111))),1,IF(AND(ISNUMBER(SEARCH("2B",C111))),2,IF(AND(ISNUMBER(SEARCH("3B",C111))),3,IF(AND(ISNUMBER(SEARCH("4B",C111))),4,IF(ISNUMBER(SEARCH("5B",C111)),5,0)))))</f>
        <v>0</v>
      </c>
      <c r="C112" s="47" t="s">
        <v>71</v>
      </c>
      <c r="D112" s="47">
        <v>2</v>
      </c>
      <c r="E112" s="47" t="s">
        <v>70</v>
      </c>
      <c r="F112" s="53">
        <v>0</v>
      </c>
      <c r="G112" s="48" t="s">
        <v>79</v>
      </c>
      <c r="H112" s="17">
        <f ca="1">--TRIM(RIGHT(SUBSTITUTE(LEFT(C111,_xlfn.AGGREGATE(16,6,FIND({0,1,2,3,4,5,6,7,8,9},C111,ROW(INDIRECT("1:"&amp;LEN(C111)))),1))," ",REPT(" ",LEN(C111))),LEN(C111)))</f>
        <v>2</v>
      </c>
      <c r="I112" s="51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Brickwork, Internal Plaster, External Plaster</v>
      </c>
      <c r="J112" s="52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1" ht="31.5" customHeight="1" x14ac:dyDescent="0.35">
      <c r="A113" s="87" t="s">
        <v>89</v>
      </c>
      <c r="B113" s="88"/>
      <c r="C113" s="89" t="str">
        <f ca="1">(IF($G$55="NA",I111,"All work Completed. OC Received."))</f>
        <v xml:space="preserve">Excavation, Plinth, RCC Slab, Brickwork, Internal Plaster, External Plaster Completed </v>
      </c>
      <c r="D113" s="89"/>
      <c r="E113" s="89"/>
      <c r="F113" s="89"/>
      <c r="G113" s="89"/>
      <c r="H113" s="90"/>
      <c r="I113" s="51" t="str">
        <f ca="1">IF(I112&lt;&gt;""," Completed","")</f>
        <v xml:space="preserve"> Completed</v>
      </c>
      <c r="J113" s="52" t="str">
        <f ca="1">IF(J111&lt;&gt;"","Completed","")</f>
        <v/>
      </c>
    </row>
    <row r="114" spans="1:11" ht="15.75" customHeight="1" x14ac:dyDescent="0.35">
      <c r="A114" s="91" t="s">
        <v>49</v>
      </c>
      <c r="B114" s="92"/>
      <c r="C114" s="43" t="s">
        <v>137</v>
      </c>
      <c r="D114" s="43" t="s">
        <v>82</v>
      </c>
      <c r="E114" s="92" t="s">
        <v>84</v>
      </c>
      <c r="F114" s="92"/>
      <c r="G114" s="92" t="s">
        <v>83</v>
      </c>
      <c r="H114" s="93"/>
      <c r="I114" s="14" t="s">
        <v>139</v>
      </c>
      <c r="J114" s="28">
        <f ca="1">H112*25%</f>
        <v>0.5</v>
      </c>
    </row>
    <row r="115" spans="1:11" x14ac:dyDescent="0.35">
      <c r="A115" s="91" t="s">
        <v>126</v>
      </c>
      <c r="B115" s="92"/>
      <c r="C115" s="63">
        <f ca="1">J116</f>
        <v>2</v>
      </c>
      <c r="D115" s="19">
        <f ca="1">((100/H112)*C115)/100</f>
        <v>1</v>
      </c>
      <c r="E115" s="94">
        <f ca="1">(((C116/H112*10)+(40/(D112+F112+H112)*C117)+(7.5/(H112)*C118)+(7.5/(H112)*C119)+(10/H112*C120)+(10/H112*C121)+(5/H112*C122)+(5/H112*C123)+(5/H112*C124))/100)</f>
        <v>0.75</v>
      </c>
      <c r="F115" s="95"/>
      <c r="G115" s="94">
        <f ca="1">((((C115/H112)*20)+((C116/H112)*25)+(30/(H112+F112+D112)*C117)+(5/H112*C118)+(5/H112*C119)+(5/H112*C120)+(5/H112*C121)+(0/H112*C122)+(0/H112*C123)+(5/H112*C124))/100)</f>
        <v>0.9</v>
      </c>
      <c r="H115" s="100"/>
      <c r="I115" s="14" t="s">
        <v>99</v>
      </c>
      <c r="J115" s="29">
        <f ca="1">H112*50%</f>
        <v>1</v>
      </c>
    </row>
    <row r="116" spans="1:11" x14ac:dyDescent="0.35">
      <c r="A116" s="91" t="s">
        <v>50</v>
      </c>
      <c r="B116" s="92"/>
      <c r="C116" s="54">
        <f ca="1">J124</f>
        <v>2</v>
      </c>
      <c r="D116" s="19">
        <f ca="1">((100/H112)*C116)/100</f>
        <v>1</v>
      </c>
      <c r="E116" s="96"/>
      <c r="F116" s="97"/>
      <c r="G116" s="96"/>
      <c r="H116" s="101"/>
      <c r="I116" s="14" t="s">
        <v>100</v>
      </c>
      <c r="J116" s="29">
        <f ca="1">H112</f>
        <v>2</v>
      </c>
    </row>
    <row r="117" spans="1:11" ht="15.75" customHeight="1" x14ac:dyDescent="0.35">
      <c r="A117" s="91" t="s">
        <v>127</v>
      </c>
      <c r="B117" s="92"/>
      <c r="C117" s="43">
        <v>4</v>
      </c>
      <c r="D117" s="19">
        <f ca="1">((100/(D112+F112+H112))*C117)/100</f>
        <v>1</v>
      </c>
      <c r="E117" s="96"/>
      <c r="F117" s="97"/>
      <c r="G117" s="96"/>
      <c r="H117" s="101"/>
      <c r="I117" s="14" t="s">
        <v>101</v>
      </c>
      <c r="J117" s="30">
        <f ca="1">(IF(B112&gt;1,(H112/(B112+2)),H112/4))</f>
        <v>0.5</v>
      </c>
    </row>
    <row r="118" spans="1:11" ht="15.75" customHeight="1" x14ac:dyDescent="0.35">
      <c r="A118" s="91" t="s">
        <v>134</v>
      </c>
      <c r="B118" s="92" t="s">
        <v>128</v>
      </c>
      <c r="C118" s="43">
        <v>2</v>
      </c>
      <c r="D118" s="19">
        <f ca="1">((100/H112)*C118)/100</f>
        <v>1</v>
      </c>
      <c r="E118" s="96"/>
      <c r="F118" s="97"/>
      <c r="G118" s="96"/>
      <c r="H118" s="101"/>
      <c r="I118" s="14" t="s">
        <v>102</v>
      </c>
      <c r="J118" s="30">
        <f ca="1">(IF(B112&gt;1,(H112/(B112+2)+J117),H112/4+J117))</f>
        <v>1</v>
      </c>
    </row>
    <row r="119" spans="1:11" ht="15.75" customHeight="1" x14ac:dyDescent="0.35">
      <c r="A119" s="91" t="s">
        <v>135</v>
      </c>
      <c r="B119" s="92" t="s">
        <v>128</v>
      </c>
      <c r="C119" s="43">
        <v>2</v>
      </c>
      <c r="D119" s="19">
        <f ca="1">((100/H112)*C119)/100</f>
        <v>1</v>
      </c>
      <c r="E119" s="96"/>
      <c r="F119" s="97"/>
      <c r="G119" s="96"/>
      <c r="H119" s="101"/>
      <c r="I119" s="14" t="s">
        <v>144</v>
      </c>
      <c r="J119" s="30">
        <f>(IF(B112&gt;1,(H112/(B112+2)+J118),0))</f>
        <v>0</v>
      </c>
    </row>
    <row r="120" spans="1:11" ht="15" customHeight="1" x14ac:dyDescent="0.35">
      <c r="A120" s="91" t="s">
        <v>133</v>
      </c>
      <c r="B120" s="92" t="s">
        <v>130</v>
      </c>
      <c r="C120" s="43">
        <v>2</v>
      </c>
      <c r="D120" s="19">
        <f ca="1">((100/(H112))*C120)/100</f>
        <v>1</v>
      </c>
      <c r="E120" s="96"/>
      <c r="F120" s="97"/>
      <c r="G120" s="96"/>
      <c r="H120" s="101"/>
      <c r="I120" s="14" t="s">
        <v>141</v>
      </c>
      <c r="J120" s="30">
        <f>(IF(B112&gt;2,(H112/(B112+2)+J119),0))</f>
        <v>0</v>
      </c>
    </row>
    <row r="121" spans="1:11" ht="15.75" customHeight="1" x14ac:dyDescent="0.35">
      <c r="A121" s="91" t="s">
        <v>129</v>
      </c>
      <c r="B121" s="92" t="s">
        <v>129</v>
      </c>
      <c r="C121" s="43">
        <v>0</v>
      </c>
      <c r="D121" s="19">
        <f ca="1">((100/H112)*C121)/100</f>
        <v>0</v>
      </c>
      <c r="E121" s="96"/>
      <c r="F121" s="97"/>
      <c r="G121" s="96"/>
      <c r="H121" s="101"/>
      <c r="I121" s="14" t="s">
        <v>142</v>
      </c>
      <c r="J121" s="31">
        <f>(IF(B112&gt;3,(H112/(B112+2)+J120),0))</f>
        <v>0</v>
      </c>
    </row>
    <row r="122" spans="1:11" ht="15.75" customHeight="1" x14ac:dyDescent="0.35">
      <c r="A122" s="91" t="s">
        <v>136</v>
      </c>
      <c r="B122" s="92"/>
      <c r="C122" s="43">
        <v>0</v>
      </c>
      <c r="D122" s="19">
        <f ca="1">((100/H112)*C122)/100</f>
        <v>0</v>
      </c>
      <c r="E122" s="96"/>
      <c r="F122" s="97"/>
      <c r="G122" s="96"/>
      <c r="H122" s="101"/>
      <c r="I122" s="14" t="s">
        <v>143</v>
      </c>
      <c r="J122" s="30">
        <f>(IF(B112&gt;4,(H112/(B112+2)+J121),0))</f>
        <v>0</v>
      </c>
    </row>
    <row r="123" spans="1:11" ht="15.75" customHeight="1" x14ac:dyDescent="0.35">
      <c r="A123" s="91" t="s">
        <v>131</v>
      </c>
      <c r="B123" s="92" t="s">
        <v>131</v>
      </c>
      <c r="C123" s="43">
        <v>0</v>
      </c>
      <c r="D123" s="19">
        <f ca="1">((100/(H112))*C123)/100</f>
        <v>0</v>
      </c>
      <c r="E123" s="96"/>
      <c r="F123" s="97"/>
      <c r="G123" s="96"/>
      <c r="H123" s="101"/>
      <c r="I123" s="14" t="s">
        <v>145</v>
      </c>
      <c r="J123" s="30">
        <f ca="1">(IF(B112=1,(H112/(B112+3)+J118),IF(B112=0,(H112/4+J118),IF(B112&gt;1,0))))</f>
        <v>1.5</v>
      </c>
    </row>
    <row r="124" spans="1:11" ht="16" thickBot="1" x14ac:dyDescent="0.4">
      <c r="A124" s="103" t="s">
        <v>132</v>
      </c>
      <c r="B124" s="104"/>
      <c r="C124" s="44">
        <v>0</v>
      </c>
      <c r="D124" s="20">
        <f ca="1">((100/(H112))*C124)/100</f>
        <v>0</v>
      </c>
      <c r="E124" s="98"/>
      <c r="F124" s="99"/>
      <c r="G124" s="98"/>
      <c r="H124" s="102"/>
      <c r="I124" s="15" t="s">
        <v>103</v>
      </c>
      <c r="J124" s="32">
        <f ca="1">(IF(B112&gt;1.5,(H112/(B112+2)+J118+MAX(0,J119-J118)+MAX(0,J120-J119)+MAX(0,J121-J120)+MAX(0,J122-J121)+MAX(0,J123-J122)),IF(B112=1,(H112/(B112+3)+J123),IF(B112=0,H112/4+J123))))</f>
        <v>2</v>
      </c>
    </row>
    <row r="125" spans="1:11" x14ac:dyDescent="0.35">
      <c r="A125" s="239" t="s">
        <v>154</v>
      </c>
      <c r="B125" s="239"/>
      <c r="C125" s="239"/>
      <c r="D125" s="239"/>
      <c r="E125" s="239"/>
      <c r="F125" s="198" t="s">
        <v>156</v>
      </c>
      <c r="G125" s="198"/>
      <c r="H125" s="198"/>
    </row>
    <row r="126" spans="1:11" x14ac:dyDescent="0.35">
      <c r="A126" s="151" t="s">
        <v>155</v>
      </c>
      <c r="B126" s="151"/>
      <c r="C126" s="151"/>
      <c r="D126" s="151"/>
      <c r="E126" s="151"/>
      <c r="F126" s="148">
        <v>6100</v>
      </c>
      <c r="G126" s="148"/>
      <c r="H126" s="148"/>
      <c r="I126" s="21" t="s">
        <v>299</v>
      </c>
      <c r="J126" s="25">
        <v>45559</v>
      </c>
      <c r="K126" s="21" t="s">
        <v>300</v>
      </c>
    </row>
    <row r="127" spans="1:11" x14ac:dyDescent="0.35">
      <c r="A127" s="238" t="s">
        <v>292</v>
      </c>
      <c r="B127" s="238"/>
      <c r="C127" s="238"/>
      <c r="D127" s="238"/>
      <c r="E127" s="238"/>
      <c r="F127" s="148">
        <v>10000</v>
      </c>
      <c r="G127" s="148"/>
      <c r="H127" s="148"/>
    </row>
    <row r="128" spans="1:11" x14ac:dyDescent="0.35">
      <c r="A128" s="151" t="s">
        <v>293</v>
      </c>
      <c r="B128" s="151"/>
      <c r="C128" s="151"/>
      <c r="D128" s="151"/>
      <c r="E128" s="151"/>
      <c r="F128" s="148">
        <v>8000</v>
      </c>
      <c r="G128" s="148"/>
      <c r="H128" s="148"/>
    </row>
    <row r="129" spans="1:9" s="33" customFormat="1" hidden="1" x14ac:dyDescent="0.3">
      <c r="A129" s="151" t="s">
        <v>170</v>
      </c>
      <c r="B129" s="151"/>
      <c r="C129" s="151"/>
      <c r="D129" s="151"/>
      <c r="E129" s="151"/>
      <c r="F129" s="148"/>
      <c r="G129" s="148"/>
      <c r="H129" s="148"/>
    </row>
    <row r="130" spans="1:9" s="33" customFormat="1" hidden="1" x14ac:dyDescent="0.3">
      <c r="A130" s="151" t="s">
        <v>94</v>
      </c>
      <c r="B130" s="151"/>
      <c r="C130" s="151"/>
      <c r="D130" s="151"/>
      <c r="E130" s="151"/>
      <c r="F130" s="148"/>
      <c r="G130" s="148"/>
      <c r="H130" s="148"/>
    </row>
    <row r="131" spans="1:9" s="33" customFormat="1" x14ac:dyDescent="0.3">
      <c r="A131" s="151" t="s">
        <v>95</v>
      </c>
      <c r="B131" s="151"/>
      <c r="C131" s="151"/>
      <c r="D131" s="151"/>
      <c r="E131" s="151"/>
      <c r="F131" s="148">
        <v>100000</v>
      </c>
      <c r="G131" s="148"/>
      <c r="H131" s="148"/>
    </row>
    <row r="132" spans="1:9" s="33" customFormat="1" hidden="1" x14ac:dyDescent="0.3">
      <c r="A132" s="151" t="s">
        <v>96</v>
      </c>
      <c r="B132" s="151"/>
      <c r="C132" s="151"/>
      <c r="D132" s="151"/>
      <c r="E132" s="151"/>
      <c r="F132" s="148"/>
      <c r="G132" s="148"/>
      <c r="H132" s="148"/>
    </row>
    <row r="133" spans="1:9" s="33" customFormat="1" hidden="1" x14ac:dyDescent="0.3">
      <c r="A133" s="151" t="s">
        <v>97</v>
      </c>
      <c r="B133" s="151"/>
      <c r="C133" s="151"/>
      <c r="D133" s="151"/>
      <c r="E133" s="151"/>
      <c r="F133" s="148"/>
      <c r="G133" s="148"/>
      <c r="H133" s="148"/>
    </row>
    <row r="134" spans="1:9" s="33" customFormat="1" x14ac:dyDescent="0.3">
      <c r="A134" s="151" t="s">
        <v>291</v>
      </c>
      <c r="B134" s="151"/>
      <c r="C134" s="151"/>
      <c r="D134" s="151"/>
      <c r="E134" s="151"/>
      <c r="F134" s="148">
        <v>200000</v>
      </c>
      <c r="G134" s="148"/>
      <c r="H134" s="148"/>
    </row>
    <row r="135" spans="1:9" s="33" customFormat="1" hidden="1" x14ac:dyDescent="0.3">
      <c r="A135" s="151" t="s">
        <v>98</v>
      </c>
      <c r="B135" s="151"/>
      <c r="C135" s="151"/>
      <c r="D135" s="151"/>
      <c r="E135" s="151"/>
      <c r="F135" s="148"/>
      <c r="G135" s="148"/>
      <c r="H135" s="148"/>
    </row>
    <row r="136" spans="1:9" x14ac:dyDescent="0.35">
      <c r="A136" s="151" t="s">
        <v>51</v>
      </c>
      <c r="B136" s="151"/>
      <c r="C136" s="151"/>
      <c r="D136" s="151"/>
      <c r="E136" s="151"/>
      <c r="F136" s="206">
        <v>350000</v>
      </c>
      <c r="G136" s="206"/>
      <c r="H136" s="206"/>
      <c r="I136" s="21" t="s">
        <v>304</v>
      </c>
    </row>
    <row r="137" spans="1:9" s="34" customFormat="1" x14ac:dyDescent="0.35">
      <c r="A137" s="207" t="s">
        <v>52</v>
      </c>
      <c r="B137" s="207"/>
      <c r="C137" s="207"/>
      <c r="D137" s="207"/>
      <c r="E137" s="207"/>
      <c r="F137" s="148">
        <f>F126*0.8</f>
        <v>4880</v>
      </c>
      <c r="G137" s="148"/>
      <c r="H137" s="148"/>
    </row>
    <row r="138" spans="1:9" s="35" customFormat="1" ht="15.75" customHeight="1" x14ac:dyDescent="0.35">
      <c r="A138" s="205" t="s">
        <v>74</v>
      </c>
      <c r="B138" s="205"/>
      <c r="C138" s="205"/>
      <c r="D138" s="205"/>
      <c r="E138" s="205"/>
      <c r="F138" s="205"/>
      <c r="G138" s="205"/>
      <c r="H138" s="205"/>
    </row>
    <row r="139" spans="1:9" s="35" customFormat="1" ht="15.75" customHeight="1" x14ac:dyDescent="0.35">
      <c r="A139" s="150" t="s">
        <v>53</v>
      </c>
      <c r="B139" s="150"/>
      <c r="C139" s="156" t="s">
        <v>77</v>
      </c>
      <c r="D139" s="156"/>
      <c r="E139" s="155" t="s">
        <v>54</v>
      </c>
      <c r="F139" s="155"/>
      <c r="G139" s="150" t="s">
        <v>55</v>
      </c>
      <c r="H139" s="150"/>
    </row>
    <row r="140" spans="1:9" s="35" customFormat="1" x14ac:dyDescent="0.35">
      <c r="A140" s="160" t="s">
        <v>254</v>
      </c>
      <c r="B140" s="160"/>
      <c r="C140" s="161">
        <f>COUNT(F155:F169)+COUNT(F171:F184)</f>
        <v>29</v>
      </c>
      <c r="D140" s="236"/>
      <c r="E140" s="162">
        <f>SUM(F155:F169)+SUM(F171:F184)</f>
        <v>15934.444344</v>
      </c>
      <c r="F140" s="193"/>
      <c r="G140" s="162">
        <f>SUM(H155:H169)+SUM(H171:H184)</f>
        <v>31868.869000000002</v>
      </c>
      <c r="H140" s="193"/>
    </row>
    <row r="141" spans="1:9" s="35" customFormat="1" x14ac:dyDescent="0.35">
      <c r="A141" s="205" t="s">
        <v>69</v>
      </c>
      <c r="B141" s="205"/>
      <c r="C141" s="205"/>
      <c r="D141" s="205"/>
      <c r="E141" s="205"/>
      <c r="F141" s="205"/>
      <c r="G141" s="205"/>
      <c r="H141" s="205"/>
    </row>
    <row r="142" spans="1:9" s="35" customFormat="1" ht="15.75" customHeight="1" x14ac:dyDescent="0.35">
      <c r="A142" s="150" t="s">
        <v>53</v>
      </c>
      <c r="B142" s="150"/>
      <c r="C142" s="156" t="s">
        <v>77</v>
      </c>
      <c r="D142" s="156"/>
      <c r="E142" s="155" t="s">
        <v>54</v>
      </c>
      <c r="F142" s="155"/>
      <c r="G142" s="150" t="s">
        <v>55</v>
      </c>
      <c r="H142" s="150"/>
    </row>
    <row r="143" spans="1:9" s="35" customFormat="1" x14ac:dyDescent="0.35">
      <c r="A143" s="160" t="s">
        <v>259</v>
      </c>
      <c r="B143" s="160"/>
      <c r="C143" s="161">
        <f>COUNT(F194:F199)*8+COUNT(F201:F206)*8+COUNT(F208:F210,F212:F213)*2+COUNT(F215:F217,F219:F220)*2</f>
        <v>116</v>
      </c>
      <c r="D143" s="161"/>
      <c r="E143" s="162">
        <f>SUM(F194:F199)*8+SUM(F201:F206)*8+SUM(F208:F210,F212:F213)*2+SUM(F215:F217,F219:F220)*2</f>
        <v>52145.326115999997</v>
      </c>
      <c r="F143" s="162"/>
      <c r="G143" s="162">
        <f>SUM(H194:H199)*8+SUM(H201:H206)*8+SUM(H208:H210,H212:H213)*2+SUM(H215:H217,H219:H220)*2</f>
        <v>86855.447999999989</v>
      </c>
      <c r="H143" s="162"/>
    </row>
    <row r="144" spans="1:9" s="35" customFormat="1" x14ac:dyDescent="0.35">
      <c r="A144" s="160" t="s">
        <v>269</v>
      </c>
      <c r="B144" s="160"/>
      <c r="C144" s="161">
        <f>COUNT(F226:F231)*8+COUNT(F233:F238)*8+COUNT(F240:F241,F243:F245)*2+COUNT(F247:F248,F250:F252)*2</f>
        <v>116</v>
      </c>
      <c r="D144" s="161"/>
      <c r="E144" s="162">
        <f>SUM(F226:F231)*8+SUM(F233:F238)*8+SUM(F240:F241,F243:F245)*2+SUM(F247:F248,F250:F252)*2</f>
        <v>56072.496167999998</v>
      </c>
      <c r="F144" s="162"/>
      <c r="G144" s="162">
        <f>SUM(H226:H231)*8+SUM(H233:H238)*8+SUM(H240:H241,H243:H245)*2+SUM(H247:H248,H250:H252)*2</f>
        <v>93640.931999999986</v>
      </c>
      <c r="H144" s="162"/>
    </row>
    <row r="145" spans="1:14" s="35" customFormat="1" x14ac:dyDescent="0.35">
      <c r="A145" s="160" t="s">
        <v>270</v>
      </c>
      <c r="B145" s="160"/>
      <c r="C145" s="161">
        <f>COUNT(F258:F260)+COUNT(F265:F270)*8+COUNT(F273:F277)*2+COUNT(F279:F284)*7+COUNT(F287:F291)*2</f>
        <v>113</v>
      </c>
      <c r="D145" s="161"/>
      <c r="E145" s="162">
        <f>SUM(F258:F260)+SUM(F265:F270)*8+SUM(F273:F277)*2+SUM(F279:F284)*7+SUM(F287:F291)*2</f>
        <v>57225.589668000008</v>
      </c>
      <c r="F145" s="162"/>
      <c r="G145" s="162">
        <f>SUM(H258:H260)+SUM(H265:H270)*8+SUM(H273:H277)*2+SUM(H279:H284)*7+SUM(H287:H291)*2</f>
        <v>95566.73</v>
      </c>
      <c r="H145" s="162"/>
    </row>
    <row r="146" spans="1:14" s="35" customFormat="1" ht="16" thickBot="1" x14ac:dyDescent="0.4">
      <c r="A146" s="237" t="s">
        <v>147</v>
      </c>
      <c r="B146" s="237"/>
      <c r="C146" s="194">
        <f>SUM(C143:D145)</f>
        <v>345</v>
      </c>
      <c r="D146" s="194"/>
      <c r="E146" s="194">
        <f t="shared" ref="E146" si="0">SUM(E143:F145)</f>
        <v>165443.41195199999</v>
      </c>
      <c r="F146" s="194"/>
      <c r="G146" s="194">
        <f t="shared" ref="G146" si="1">SUM(G143:H145)</f>
        <v>276063.11</v>
      </c>
      <c r="H146" s="194"/>
    </row>
    <row r="147" spans="1:14" s="35" customFormat="1" ht="16" thickBot="1" x14ac:dyDescent="0.4">
      <c r="A147" s="195" t="s">
        <v>162</v>
      </c>
      <c r="B147" s="196"/>
      <c r="C147" s="197">
        <f>C140+C146</f>
        <v>374</v>
      </c>
      <c r="D147" s="197"/>
      <c r="E147" s="197">
        <f t="shared" ref="E147" si="2">E140+E146</f>
        <v>181377.85629599998</v>
      </c>
      <c r="F147" s="197"/>
      <c r="G147" s="197">
        <f t="shared" ref="G147" si="3">G140+G146</f>
        <v>307931.97899999999</v>
      </c>
      <c r="H147" s="197"/>
    </row>
    <row r="148" spans="1:14" s="34" customFormat="1" x14ac:dyDescent="0.35">
      <c r="A148" s="198" t="s">
        <v>56</v>
      </c>
      <c r="B148" s="198"/>
      <c r="C148" s="198"/>
      <c r="D148" s="198"/>
      <c r="E148" s="198"/>
      <c r="F148" s="198"/>
      <c r="G148" s="198"/>
      <c r="H148" s="198"/>
    </row>
    <row r="149" spans="1:14" x14ac:dyDescent="0.35">
      <c r="A149" s="149" t="s">
        <v>169</v>
      </c>
      <c r="B149" s="149"/>
      <c r="C149" s="149"/>
      <c r="D149" s="149"/>
      <c r="E149" s="149"/>
      <c r="F149" s="149"/>
      <c r="G149" s="149"/>
      <c r="H149" s="149"/>
    </row>
    <row r="150" spans="1:14" ht="47.25" customHeight="1" x14ac:dyDescent="0.35">
      <c r="A150" s="191" t="s">
        <v>118</v>
      </c>
      <c r="B150" s="191" t="s">
        <v>171</v>
      </c>
      <c r="C150" s="191" t="s">
        <v>57</v>
      </c>
      <c r="D150" s="191" t="s">
        <v>227</v>
      </c>
      <c r="E150" s="201" t="s">
        <v>153</v>
      </c>
      <c r="F150" s="191" t="s">
        <v>58</v>
      </c>
      <c r="G150" s="201" t="s">
        <v>59</v>
      </c>
      <c r="H150" s="58" t="s">
        <v>281</v>
      </c>
    </row>
    <row r="151" spans="1:14" s="37" customFormat="1" hidden="1" x14ac:dyDescent="0.35">
      <c r="A151" s="192"/>
      <c r="B151" s="192"/>
      <c r="C151" s="192"/>
      <c r="D151" s="192"/>
      <c r="E151" s="202"/>
      <c r="F151" s="192"/>
      <c r="G151" s="202"/>
      <c r="H151" s="13">
        <v>0.45</v>
      </c>
    </row>
    <row r="152" spans="1:14" s="62" customFormat="1" x14ac:dyDescent="0.35">
      <c r="A152" s="133" t="s">
        <v>254</v>
      </c>
      <c r="B152" s="134"/>
      <c r="C152" s="134"/>
      <c r="D152" s="134"/>
      <c r="E152" s="134"/>
      <c r="F152" s="134"/>
      <c r="G152" s="134"/>
      <c r="H152" s="135"/>
      <c r="I152" s="61">
        <v>10.763999999999999</v>
      </c>
      <c r="J152" s="36"/>
    </row>
    <row r="153" spans="1:14" s="62" customFormat="1" x14ac:dyDescent="0.35">
      <c r="A153" s="108" t="s">
        <v>253</v>
      </c>
      <c r="B153" s="109"/>
      <c r="C153" s="109"/>
      <c r="D153" s="109"/>
      <c r="E153" s="109"/>
      <c r="F153" s="109"/>
      <c r="G153" s="109"/>
      <c r="H153" s="110"/>
      <c r="J153" s="36"/>
    </row>
    <row r="154" spans="1:14" s="37" customFormat="1" x14ac:dyDescent="0.35">
      <c r="A154" s="108" t="s">
        <v>255</v>
      </c>
      <c r="B154" s="109"/>
      <c r="C154" s="109"/>
      <c r="D154" s="109"/>
      <c r="E154" s="109"/>
      <c r="F154" s="109"/>
      <c r="G154" s="109"/>
      <c r="H154" s="110"/>
      <c r="J154" s="36"/>
    </row>
    <row r="155" spans="1:14" s="37" customFormat="1" ht="15.75" customHeight="1" x14ac:dyDescent="0.35">
      <c r="A155" s="111">
        <v>1</v>
      </c>
      <c r="B155" s="112"/>
      <c r="C155" s="42" t="s">
        <v>256</v>
      </c>
      <c r="D155" s="61">
        <f>(5.82)*10.764</f>
        <v>62.646479999999997</v>
      </c>
      <c r="E155" s="42">
        <v>0</v>
      </c>
      <c r="F155" s="42">
        <f>D155+E155</f>
        <v>62.646479999999997</v>
      </c>
      <c r="G155" s="57">
        <v>0</v>
      </c>
      <c r="H155" s="57">
        <v>125.29300000000001</v>
      </c>
      <c r="I155" s="36">
        <f>2.2*2.646</f>
        <v>5.8212000000000002</v>
      </c>
      <c r="L155" s="68">
        <f>H155/F155</f>
        <v>2.0000006385035523</v>
      </c>
      <c r="M155" s="66"/>
      <c r="N155" s="36"/>
    </row>
    <row r="156" spans="1:14" s="37" customFormat="1" ht="15.75" customHeight="1" x14ac:dyDescent="0.35">
      <c r="A156" s="111">
        <f t="shared" ref="A156:A169" si="4">A155+1</f>
        <v>2</v>
      </c>
      <c r="B156" s="112"/>
      <c r="C156" s="61" t="s">
        <v>256</v>
      </c>
      <c r="D156" s="61">
        <f>(76.771)*10.764</f>
        <v>826.36304399999995</v>
      </c>
      <c r="E156" s="42">
        <v>0</v>
      </c>
      <c r="F156" s="57">
        <f t="shared" ref="F156:F158" si="5">D156+E156</f>
        <v>826.36304399999995</v>
      </c>
      <c r="G156" s="57">
        <v>0</v>
      </c>
      <c r="H156" s="57">
        <v>1652.7260000000001</v>
      </c>
      <c r="I156" s="36">
        <f>(1/2*6.135*9.3)+7.79*1.6+1.2*1.5+2.955*9.3</f>
        <v>70.273250000000004</v>
      </c>
      <c r="L156" s="68">
        <f t="shared" ref="L156:L184" si="6">H156/F156</f>
        <v>1.9999998935092749</v>
      </c>
      <c r="M156" s="66"/>
      <c r="N156" s="36"/>
    </row>
    <row r="157" spans="1:14" s="37" customFormat="1" ht="15.75" customHeight="1" x14ac:dyDescent="0.35">
      <c r="A157" s="111">
        <f t="shared" si="4"/>
        <v>3</v>
      </c>
      <c r="B157" s="112"/>
      <c r="C157" s="61" t="s">
        <v>256</v>
      </c>
      <c r="D157" s="61">
        <f>(40.875)*10.764</f>
        <v>439.9785</v>
      </c>
      <c r="E157" s="42">
        <v>0</v>
      </c>
      <c r="F157" s="57">
        <f t="shared" si="5"/>
        <v>439.9785</v>
      </c>
      <c r="G157" s="57">
        <v>0</v>
      </c>
      <c r="H157" s="57">
        <v>879.95699999999999</v>
      </c>
      <c r="I157" s="36">
        <f>3.75*9.3+2.45*1.6+1.2*1.5</f>
        <v>40.594999999999999</v>
      </c>
      <c r="L157" s="68">
        <f t="shared" si="6"/>
        <v>2</v>
      </c>
      <c r="M157" s="66"/>
      <c r="N157" s="36"/>
    </row>
    <row r="158" spans="1:14" s="37" customFormat="1" ht="15.75" customHeight="1" x14ac:dyDescent="0.35">
      <c r="A158" s="111">
        <f t="shared" si="4"/>
        <v>4</v>
      </c>
      <c r="B158" s="112"/>
      <c r="C158" s="61" t="s">
        <v>256</v>
      </c>
      <c r="D158" s="61">
        <f>(40.875)*10.764</f>
        <v>439.9785</v>
      </c>
      <c r="E158" s="42">
        <v>0</v>
      </c>
      <c r="F158" s="57">
        <f t="shared" si="5"/>
        <v>439.9785</v>
      </c>
      <c r="G158" s="57">
        <v>0</v>
      </c>
      <c r="H158" s="57">
        <v>879.95699999999999</v>
      </c>
      <c r="I158" s="36"/>
      <c r="L158" s="68">
        <f t="shared" si="6"/>
        <v>2</v>
      </c>
      <c r="M158" s="66"/>
      <c r="N158" s="36"/>
    </row>
    <row r="159" spans="1:14" s="62" customFormat="1" ht="15.75" customHeight="1" x14ac:dyDescent="0.35">
      <c r="A159" s="111">
        <f t="shared" si="4"/>
        <v>5</v>
      </c>
      <c r="B159" s="112"/>
      <c r="C159" s="61" t="s">
        <v>256</v>
      </c>
      <c r="D159" s="61">
        <f>(38.695)*10.764</f>
        <v>416.51297999999997</v>
      </c>
      <c r="E159" s="61">
        <v>0</v>
      </c>
      <c r="F159" s="61">
        <f t="shared" ref="F159:F169" si="7">D159+E159</f>
        <v>416.51297999999997</v>
      </c>
      <c r="G159" s="61">
        <v>0</v>
      </c>
      <c r="H159" s="61">
        <v>833.02599999999995</v>
      </c>
      <c r="I159" s="36"/>
      <c r="L159" s="68">
        <f t="shared" si="6"/>
        <v>2.0000000960354227</v>
      </c>
      <c r="M159" s="66"/>
      <c r="N159" s="36"/>
    </row>
    <row r="160" spans="1:14" s="62" customFormat="1" ht="15.75" customHeight="1" x14ac:dyDescent="0.35">
      <c r="A160" s="111">
        <f t="shared" si="4"/>
        <v>6</v>
      </c>
      <c r="B160" s="112"/>
      <c r="C160" s="61" t="s">
        <v>256</v>
      </c>
      <c r="D160" s="61">
        <f>(99.503)*10.764</f>
        <v>1071.0502919999999</v>
      </c>
      <c r="E160" s="61">
        <v>0</v>
      </c>
      <c r="F160" s="61">
        <f t="shared" si="7"/>
        <v>1071.0502919999999</v>
      </c>
      <c r="G160" s="61">
        <v>0</v>
      </c>
      <c r="H160" s="61">
        <v>2142.1010000000001</v>
      </c>
      <c r="I160" s="36">
        <f>3.38*10.9+(1/2*4.465*10.9)+(1/2*5.943*10.085)+1.2*1.5+4.643*1.6</f>
        <v>100.37262749999999</v>
      </c>
      <c r="L160" s="68">
        <f t="shared" si="6"/>
        <v>2.0000003884037971</v>
      </c>
      <c r="M160" s="66"/>
      <c r="N160" s="36"/>
    </row>
    <row r="161" spans="1:14" s="62" customFormat="1" ht="15.75" customHeight="1" x14ac:dyDescent="0.35">
      <c r="A161" s="111">
        <f t="shared" si="4"/>
        <v>7</v>
      </c>
      <c r="B161" s="112"/>
      <c r="C161" s="61" t="s">
        <v>256</v>
      </c>
      <c r="D161" s="61">
        <f>(40.592)*10.764</f>
        <v>436.93228799999997</v>
      </c>
      <c r="E161" s="61">
        <v>0</v>
      </c>
      <c r="F161" s="61">
        <f t="shared" si="7"/>
        <v>436.93228799999997</v>
      </c>
      <c r="G161" s="61">
        <v>0</v>
      </c>
      <c r="H161" s="61">
        <v>873.86500000000001</v>
      </c>
      <c r="I161" s="36"/>
      <c r="L161" s="68">
        <f t="shared" si="6"/>
        <v>2.0000009704020778</v>
      </c>
      <c r="M161" s="66"/>
      <c r="N161" s="36"/>
    </row>
    <row r="162" spans="1:14" s="62" customFormat="1" ht="15.75" customHeight="1" x14ac:dyDescent="0.35">
      <c r="A162" s="111">
        <f t="shared" si="4"/>
        <v>8</v>
      </c>
      <c r="B162" s="112"/>
      <c r="C162" s="61" t="s">
        <v>256</v>
      </c>
      <c r="D162" s="61">
        <f>(43.129)*10.764</f>
        <v>464.24055599999997</v>
      </c>
      <c r="E162" s="61">
        <v>0</v>
      </c>
      <c r="F162" s="61">
        <f t="shared" si="7"/>
        <v>464.24055599999997</v>
      </c>
      <c r="G162" s="61">
        <v>0</v>
      </c>
      <c r="H162" s="61">
        <v>928.48099999999999</v>
      </c>
      <c r="I162" s="36"/>
      <c r="L162" s="68">
        <f t="shared" si="6"/>
        <v>1.9999997587457656</v>
      </c>
      <c r="M162" s="66"/>
      <c r="N162" s="36"/>
    </row>
    <row r="163" spans="1:14" s="62" customFormat="1" ht="15.75" customHeight="1" x14ac:dyDescent="0.35">
      <c r="A163" s="111">
        <f t="shared" si="4"/>
        <v>9</v>
      </c>
      <c r="B163" s="112"/>
      <c r="C163" s="61" t="s">
        <v>256</v>
      </c>
      <c r="D163" s="61">
        <f>(41.769)*10.764</f>
        <v>449.60151599999995</v>
      </c>
      <c r="E163" s="61">
        <v>0</v>
      </c>
      <c r="F163" s="61">
        <f t="shared" si="7"/>
        <v>449.60151599999995</v>
      </c>
      <c r="G163" s="61">
        <v>0</v>
      </c>
      <c r="H163" s="61">
        <v>899.20299999999997</v>
      </c>
      <c r="I163" s="36"/>
      <c r="L163" s="68">
        <f t="shared" si="6"/>
        <v>1.999999928825863</v>
      </c>
      <c r="M163" s="66"/>
      <c r="N163" s="36"/>
    </row>
    <row r="164" spans="1:14" s="62" customFormat="1" ht="15.75" customHeight="1" x14ac:dyDescent="0.35">
      <c r="A164" s="111">
        <f t="shared" si="4"/>
        <v>10</v>
      </c>
      <c r="B164" s="112"/>
      <c r="C164" s="61" t="s">
        <v>256</v>
      </c>
      <c r="D164" s="61">
        <f>(114.556)*10.764</f>
        <v>1233.080784</v>
      </c>
      <c r="E164" s="61">
        <v>0</v>
      </c>
      <c r="F164" s="61">
        <f t="shared" si="7"/>
        <v>1233.080784</v>
      </c>
      <c r="G164" s="61">
        <v>0</v>
      </c>
      <c r="H164" s="61">
        <v>2466.14</v>
      </c>
      <c r="I164" s="36"/>
      <c r="L164" s="68">
        <f t="shared" si="6"/>
        <v>1.9999825088507743</v>
      </c>
      <c r="M164" s="66"/>
      <c r="N164" s="36"/>
    </row>
    <row r="165" spans="1:14" s="62" customFormat="1" ht="15.75" customHeight="1" x14ac:dyDescent="0.35">
      <c r="A165" s="111">
        <f t="shared" si="4"/>
        <v>11</v>
      </c>
      <c r="B165" s="112"/>
      <c r="C165" s="61" t="s">
        <v>256</v>
      </c>
      <c r="D165" s="61">
        <f>(51.653)*10.764</f>
        <v>555.99289199999998</v>
      </c>
      <c r="E165" s="61">
        <v>0</v>
      </c>
      <c r="F165" s="61">
        <f t="shared" si="7"/>
        <v>555.99289199999998</v>
      </c>
      <c r="G165" s="61">
        <v>0</v>
      </c>
      <c r="H165" s="61">
        <v>1111.9860000000001</v>
      </c>
      <c r="I165" s="36"/>
      <c r="L165" s="68">
        <f t="shared" si="6"/>
        <v>2.0000003884941755</v>
      </c>
      <c r="M165" s="66"/>
      <c r="N165" s="36"/>
    </row>
    <row r="166" spans="1:14" s="62" customFormat="1" ht="15.75" customHeight="1" x14ac:dyDescent="0.35">
      <c r="A166" s="111">
        <f t="shared" si="4"/>
        <v>12</v>
      </c>
      <c r="B166" s="112"/>
      <c r="C166" s="61" t="s">
        <v>256</v>
      </c>
      <c r="D166" s="61">
        <f>(51.653)*10.764</f>
        <v>555.99289199999998</v>
      </c>
      <c r="E166" s="61">
        <v>0</v>
      </c>
      <c r="F166" s="61">
        <f t="shared" si="7"/>
        <v>555.99289199999998</v>
      </c>
      <c r="G166" s="61">
        <v>0</v>
      </c>
      <c r="H166" s="61">
        <v>1111.9860000000001</v>
      </c>
      <c r="I166" s="36"/>
      <c r="L166" s="68">
        <f t="shared" si="6"/>
        <v>2.0000003884941755</v>
      </c>
      <c r="M166" s="66"/>
      <c r="N166" s="36"/>
    </row>
    <row r="167" spans="1:14" s="62" customFormat="1" ht="15.75" customHeight="1" x14ac:dyDescent="0.35">
      <c r="A167" s="111">
        <f t="shared" si="4"/>
        <v>13</v>
      </c>
      <c r="B167" s="112"/>
      <c r="C167" s="61" t="s">
        <v>256</v>
      </c>
      <c r="D167" s="61">
        <f>(51.653)*10.764</f>
        <v>555.99289199999998</v>
      </c>
      <c r="E167" s="61">
        <v>0</v>
      </c>
      <c r="F167" s="61">
        <f t="shared" si="7"/>
        <v>555.99289199999998</v>
      </c>
      <c r="G167" s="61">
        <v>0</v>
      </c>
      <c r="H167" s="61">
        <v>1111.9860000000001</v>
      </c>
      <c r="I167" s="36"/>
      <c r="L167" s="68">
        <f t="shared" si="6"/>
        <v>2.0000003884941755</v>
      </c>
      <c r="M167" s="66"/>
      <c r="N167" s="36"/>
    </row>
    <row r="168" spans="1:14" s="62" customFormat="1" ht="15.75" customHeight="1" x14ac:dyDescent="0.35">
      <c r="A168" s="111">
        <f t="shared" si="4"/>
        <v>14</v>
      </c>
      <c r="B168" s="112"/>
      <c r="C168" s="61" t="s">
        <v>256</v>
      </c>
      <c r="D168" s="61">
        <f>(51.653)*10.764</f>
        <v>555.99289199999998</v>
      </c>
      <c r="E168" s="61">
        <v>0</v>
      </c>
      <c r="F168" s="61">
        <f t="shared" si="7"/>
        <v>555.99289199999998</v>
      </c>
      <c r="G168" s="61">
        <v>0</v>
      </c>
      <c r="H168" s="61">
        <v>1111.9860000000001</v>
      </c>
      <c r="I168" s="36"/>
      <c r="L168" s="68">
        <f t="shared" si="6"/>
        <v>2.0000003884941755</v>
      </c>
      <c r="M168" s="66"/>
      <c r="N168" s="36"/>
    </row>
    <row r="169" spans="1:14" s="62" customFormat="1" ht="15.75" customHeight="1" x14ac:dyDescent="0.35">
      <c r="A169" s="111">
        <f t="shared" si="4"/>
        <v>15</v>
      </c>
      <c r="B169" s="112"/>
      <c r="C169" s="61" t="s">
        <v>256</v>
      </c>
      <c r="D169" s="61">
        <f>(42.406)*10.764</f>
        <v>456.45818399999996</v>
      </c>
      <c r="E169" s="61">
        <v>0</v>
      </c>
      <c r="F169" s="61">
        <f t="shared" si="7"/>
        <v>456.45818399999996</v>
      </c>
      <c r="G169" s="61">
        <v>0</v>
      </c>
      <c r="H169" s="61">
        <v>912.91600000000005</v>
      </c>
      <c r="I169" s="36"/>
      <c r="L169" s="68">
        <f t="shared" si="6"/>
        <v>1.9999991937925252</v>
      </c>
      <c r="M169" s="66"/>
      <c r="N169" s="36"/>
    </row>
    <row r="170" spans="1:14" s="62" customFormat="1" x14ac:dyDescent="0.35">
      <c r="A170" s="108" t="s">
        <v>257</v>
      </c>
      <c r="B170" s="109"/>
      <c r="C170" s="109"/>
      <c r="D170" s="109"/>
      <c r="E170" s="109"/>
      <c r="F170" s="109"/>
      <c r="G170" s="109"/>
      <c r="H170" s="110"/>
      <c r="J170" s="36"/>
    </row>
    <row r="171" spans="1:14" s="62" customFormat="1" ht="15.75" customHeight="1" x14ac:dyDescent="0.35">
      <c r="A171" s="111">
        <v>1</v>
      </c>
      <c r="B171" s="112"/>
      <c r="C171" s="61" t="s">
        <v>256</v>
      </c>
      <c r="D171" s="61">
        <f>(79.798)*10.764</f>
        <v>858.94567199999995</v>
      </c>
      <c r="E171" s="61">
        <v>0</v>
      </c>
      <c r="F171" s="61">
        <f>D171+E171</f>
        <v>858.94567199999995</v>
      </c>
      <c r="G171" s="61">
        <v>0</v>
      </c>
      <c r="H171" s="61">
        <v>1717.8910000000001</v>
      </c>
      <c r="I171" s="36"/>
      <c r="L171" s="68">
        <f t="shared" si="6"/>
        <v>1.9999995995090132</v>
      </c>
      <c r="M171" s="70"/>
      <c r="N171" s="36"/>
    </row>
    <row r="172" spans="1:14" s="62" customFormat="1" ht="15.75" customHeight="1" x14ac:dyDescent="0.35">
      <c r="A172" s="111">
        <f t="shared" ref="A172:A184" si="8">A171+1</f>
        <v>2</v>
      </c>
      <c r="B172" s="112"/>
      <c r="C172" s="61" t="s">
        <v>256</v>
      </c>
      <c r="D172" s="61">
        <f>(32.813)*10.764</f>
        <v>353.19913200000002</v>
      </c>
      <c r="E172" s="61">
        <v>0</v>
      </c>
      <c r="F172" s="61">
        <f t="shared" ref="F172:F184" si="9">D172+E172</f>
        <v>353.19913200000002</v>
      </c>
      <c r="G172" s="61">
        <v>0</v>
      </c>
      <c r="H172" s="61">
        <v>706.39800000000002</v>
      </c>
      <c r="I172" s="36"/>
      <c r="L172" s="68">
        <f t="shared" si="6"/>
        <v>1.9999992525462944</v>
      </c>
      <c r="M172" s="70"/>
      <c r="N172" s="36"/>
    </row>
    <row r="173" spans="1:14" s="62" customFormat="1" ht="15.75" customHeight="1" x14ac:dyDescent="0.35">
      <c r="A173" s="111">
        <f t="shared" si="8"/>
        <v>3</v>
      </c>
      <c r="B173" s="112"/>
      <c r="C173" s="61" t="s">
        <v>256</v>
      </c>
      <c r="D173" s="61">
        <f>(32.813)*10.764</f>
        <v>353.19913200000002</v>
      </c>
      <c r="E173" s="61">
        <v>0</v>
      </c>
      <c r="F173" s="61">
        <f t="shared" si="9"/>
        <v>353.19913200000002</v>
      </c>
      <c r="G173" s="61">
        <v>0</v>
      </c>
      <c r="H173" s="61">
        <v>706.39800000000002</v>
      </c>
      <c r="I173" s="36">
        <f>3.75*7.15+2.45*1.6+1.2*1.5</f>
        <v>32.532499999999999</v>
      </c>
      <c r="L173" s="68">
        <f t="shared" si="6"/>
        <v>1.9999992525462944</v>
      </c>
      <c r="M173" s="70"/>
      <c r="N173" s="36"/>
    </row>
    <row r="174" spans="1:14" s="62" customFormat="1" ht="15.75" customHeight="1" x14ac:dyDescent="0.35">
      <c r="A174" s="111">
        <f t="shared" si="8"/>
        <v>4</v>
      </c>
      <c r="B174" s="112"/>
      <c r="C174" s="61" t="s">
        <v>256</v>
      </c>
      <c r="D174" s="61">
        <f>(31.063)*10.764</f>
        <v>334.36213199999997</v>
      </c>
      <c r="E174" s="61">
        <v>0</v>
      </c>
      <c r="F174" s="61">
        <f t="shared" si="9"/>
        <v>334.36213199999997</v>
      </c>
      <c r="G174" s="61">
        <v>0</v>
      </c>
      <c r="H174" s="61">
        <v>668.72400000000005</v>
      </c>
      <c r="I174" s="36"/>
      <c r="L174" s="68">
        <f t="shared" si="6"/>
        <v>1.9999992104369047</v>
      </c>
      <c r="M174" s="70"/>
      <c r="N174" s="36"/>
    </row>
    <row r="175" spans="1:14" s="62" customFormat="1" ht="15.75" customHeight="1" x14ac:dyDescent="0.35">
      <c r="A175" s="111">
        <f t="shared" si="8"/>
        <v>5</v>
      </c>
      <c r="B175" s="112"/>
      <c r="C175" s="61" t="s">
        <v>256</v>
      </c>
      <c r="D175" s="61">
        <f>(90.021)*10.764</f>
        <v>968.98604399999999</v>
      </c>
      <c r="E175" s="61">
        <v>0</v>
      </c>
      <c r="F175" s="61">
        <f t="shared" si="9"/>
        <v>968.98604399999999</v>
      </c>
      <c r="G175" s="61">
        <v>0</v>
      </c>
      <c r="H175" s="61">
        <v>1937.972</v>
      </c>
      <c r="I175" s="36"/>
      <c r="L175" s="68">
        <f t="shared" si="6"/>
        <v>1.9999999091834186</v>
      </c>
      <c r="M175" s="70"/>
      <c r="N175" s="36"/>
    </row>
    <row r="176" spans="1:14" s="62" customFormat="1" ht="15.75" customHeight="1" x14ac:dyDescent="0.35">
      <c r="A176" s="111">
        <f t="shared" si="8"/>
        <v>6</v>
      </c>
      <c r="B176" s="112"/>
      <c r="C176" s="61" t="s">
        <v>256</v>
      </c>
      <c r="D176" s="61">
        <f>(33.712)*10.764</f>
        <v>362.875968</v>
      </c>
      <c r="E176" s="61">
        <v>0</v>
      </c>
      <c r="F176" s="61">
        <f t="shared" si="9"/>
        <v>362.875968</v>
      </c>
      <c r="G176" s="61">
        <v>0</v>
      </c>
      <c r="H176" s="61">
        <v>725.75199999999995</v>
      </c>
      <c r="I176" s="36"/>
      <c r="L176" s="68">
        <f t="shared" si="6"/>
        <v>2.0000001763688027</v>
      </c>
      <c r="M176" s="70"/>
      <c r="N176" s="36"/>
    </row>
    <row r="177" spans="1:14" s="62" customFormat="1" ht="15.75" customHeight="1" x14ac:dyDescent="0.35">
      <c r="A177" s="111">
        <f t="shared" si="8"/>
        <v>7</v>
      </c>
      <c r="B177" s="112"/>
      <c r="C177" s="61" t="s">
        <v>256</v>
      </c>
      <c r="D177" s="61">
        <f>(35.819)*10.764</f>
        <v>385.55571600000002</v>
      </c>
      <c r="E177" s="61">
        <v>0</v>
      </c>
      <c r="F177" s="61">
        <f t="shared" si="9"/>
        <v>385.55571600000002</v>
      </c>
      <c r="G177" s="61">
        <v>0</v>
      </c>
      <c r="H177" s="61">
        <v>771.11099999999999</v>
      </c>
      <c r="I177" s="36"/>
      <c r="L177" s="68">
        <f t="shared" si="6"/>
        <v>1.9999988795393711</v>
      </c>
      <c r="M177" s="70"/>
      <c r="N177" s="36"/>
    </row>
    <row r="178" spans="1:14" s="62" customFormat="1" ht="15.75" customHeight="1" x14ac:dyDescent="0.35">
      <c r="A178" s="111">
        <f t="shared" si="8"/>
        <v>8</v>
      </c>
      <c r="B178" s="112"/>
      <c r="C178" s="61" t="s">
        <v>256</v>
      </c>
      <c r="D178" s="61">
        <f>(34.459)*10.764</f>
        <v>370.916676</v>
      </c>
      <c r="E178" s="61">
        <v>0</v>
      </c>
      <c r="F178" s="61">
        <f t="shared" si="9"/>
        <v>370.916676</v>
      </c>
      <c r="G178" s="61">
        <v>0</v>
      </c>
      <c r="H178" s="61">
        <v>741.83299999999997</v>
      </c>
      <c r="I178" s="36"/>
      <c r="L178" s="68">
        <f t="shared" si="6"/>
        <v>1.9999990509997991</v>
      </c>
      <c r="M178" s="70"/>
      <c r="N178" s="36"/>
    </row>
    <row r="179" spans="1:14" s="62" customFormat="1" ht="15.75" customHeight="1" x14ac:dyDescent="0.35">
      <c r="A179" s="111">
        <f t="shared" si="8"/>
        <v>9</v>
      </c>
      <c r="B179" s="112"/>
      <c r="C179" s="61" t="s">
        <v>256</v>
      </c>
      <c r="D179" s="61">
        <f>(105.501)*10.764</f>
        <v>1135.612764</v>
      </c>
      <c r="E179" s="61">
        <v>0</v>
      </c>
      <c r="F179" s="61">
        <f t="shared" si="9"/>
        <v>1135.612764</v>
      </c>
      <c r="G179" s="61">
        <v>0</v>
      </c>
      <c r="H179" s="61">
        <v>2271.2260000000001</v>
      </c>
      <c r="I179" s="36"/>
      <c r="L179" s="68">
        <f t="shared" si="6"/>
        <v>2.0000004156346383</v>
      </c>
      <c r="M179" s="70"/>
      <c r="N179" s="36"/>
    </row>
    <row r="180" spans="1:14" s="62" customFormat="1" ht="15.75" customHeight="1" x14ac:dyDescent="0.35">
      <c r="A180" s="111">
        <f t="shared" si="8"/>
        <v>10</v>
      </c>
      <c r="B180" s="112"/>
      <c r="C180" s="61" t="s">
        <v>256</v>
      </c>
      <c r="D180" s="61">
        <f>(44.02)*10.764</f>
        <v>473.83127999999999</v>
      </c>
      <c r="E180" s="61">
        <v>0</v>
      </c>
      <c r="F180" s="61">
        <f t="shared" si="9"/>
        <v>473.83127999999999</v>
      </c>
      <c r="G180" s="61">
        <v>0</v>
      </c>
      <c r="H180" s="61">
        <v>947.66300000000001</v>
      </c>
      <c r="I180" s="36"/>
      <c r="L180" s="68">
        <f t="shared" si="6"/>
        <v>2.0000009286005769</v>
      </c>
      <c r="M180" s="70"/>
      <c r="N180" s="36"/>
    </row>
    <row r="181" spans="1:14" s="62" customFormat="1" ht="15.75" customHeight="1" x14ac:dyDescent="0.35">
      <c r="A181" s="111">
        <f t="shared" si="8"/>
        <v>11</v>
      </c>
      <c r="B181" s="112"/>
      <c r="C181" s="61" t="s">
        <v>256</v>
      </c>
      <c r="D181" s="61">
        <f>(44.02)*10.764</f>
        <v>473.83127999999999</v>
      </c>
      <c r="E181" s="61">
        <v>0</v>
      </c>
      <c r="F181" s="61">
        <f t="shared" si="9"/>
        <v>473.83127999999999</v>
      </c>
      <c r="G181" s="61">
        <v>0</v>
      </c>
      <c r="H181" s="61">
        <v>947.66300000000001</v>
      </c>
      <c r="I181" s="36"/>
      <c r="L181" s="68">
        <f t="shared" si="6"/>
        <v>2.0000009286005769</v>
      </c>
      <c r="M181" s="70"/>
      <c r="N181" s="36"/>
    </row>
    <row r="182" spans="1:14" s="62" customFormat="1" ht="15.75" customHeight="1" x14ac:dyDescent="0.35">
      <c r="A182" s="111">
        <f t="shared" si="8"/>
        <v>12</v>
      </c>
      <c r="B182" s="112"/>
      <c r="C182" s="61" t="s">
        <v>256</v>
      </c>
      <c r="D182" s="61">
        <f>(44.02)*10.764</f>
        <v>473.83127999999999</v>
      </c>
      <c r="E182" s="61">
        <v>0</v>
      </c>
      <c r="F182" s="61">
        <f t="shared" si="9"/>
        <v>473.83127999999999</v>
      </c>
      <c r="G182" s="61">
        <v>0</v>
      </c>
      <c r="H182" s="61">
        <v>947.66300000000001</v>
      </c>
      <c r="I182" s="36"/>
      <c r="L182" s="68">
        <f t="shared" si="6"/>
        <v>2.0000009286005769</v>
      </c>
      <c r="M182" s="70"/>
      <c r="N182" s="36"/>
    </row>
    <row r="183" spans="1:14" s="62" customFormat="1" ht="15.75" customHeight="1" x14ac:dyDescent="0.35">
      <c r="A183" s="111">
        <f t="shared" si="8"/>
        <v>13</v>
      </c>
      <c r="B183" s="112"/>
      <c r="C183" s="61" t="s">
        <v>256</v>
      </c>
      <c r="D183" s="61">
        <f>(38.518)*10.764</f>
        <v>414.607752</v>
      </c>
      <c r="E183" s="61">
        <v>0</v>
      </c>
      <c r="F183" s="61">
        <f t="shared" si="9"/>
        <v>414.607752</v>
      </c>
      <c r="G183" s="61">
        <v>0</v>
      </c>
      <c r="H183" s="61">
        <v>829.21600000000001</v>
      </c>
      <c r="I183" s="36"/>
      <c r="L183" s="68">
        <f t="shared" si="6"/>
        <v>2.0000011963114477</v>
      </c>
      <c r="M183" s="70"/>
      <c r="N183" s="36"/>
    </row>
    <row r="184" spans="1:14" s="62" customFormat="1" ht="15.75" customHeight="1" x14ac:dyDescent="0.35">
      <c r="A184" s="111">
        <f t="shared" si="8"/>
        <v>14</v>
      </c>
      <c r="B184" s="112"/>
      <c r="C184" s="61" t="s">
        <v>256</v>
      </c>
      <c r="D184" s="61">
        <f>(42.166)*10.764</f>
        <v>453.87482399999993</v>
      </c>
      <c r="E184" s="61">
        <v>0</v>
      </c>
      <c r="F184" s="61">
        <f t="shared" si="9"/>
        <v>453.87482399999993</v>
      </c>
      <c r="G184" s="61">
        <v>0</v>
      </c>
      <c r="H184" s="61">
        <v>907.75</v>
      </c>
      <c r="I184" s="36"/>
      <c r="L184" s="68">
        <f t="shared" si="6"/>
        <v>2.0000007755442284</v>
      </c>
      <c r="M184" s="70"/>
      <c r="N184" s="36"/>
    </row>
    <row r="185" spans="1:14" s="62" customFormat="1" x14ac:dyDescent="0.35">
      <c r="A185" s="108" t="s">
        <v>258</v>
      </c>
      <c r="B185" s="109"/>
      <c r="C185" s="109"/>
      <c r="D185" s="109"/>
      <c r="E185" s="109"/>
      <c r="F185" s="109"/>
      <c r="G185" s="109"/>
      <c r="H185" s="110"/>
      <c r="J185" s="36"/>
    </row>
    <row r="186" spans="1:14" s="37" customFormat="1" x14ac:dyDescent="0.35">
      <c r="A186" s="111"/>
      <c r="B186" s="145"/>
      <c r="C186" s="145"/>
      <c r="D186" s="145"/>
      <c r="E186" s="145"/>
      <c r="F186" s="145"/>
      <c r="G186" s="145"/>
      <c r="H186" s="112"/>
      <c r="I186" s="36"/>
      <c r="N186" s="36"/>
    </row>
    <row r="187" spans="1:14" ht="47.25" customHeight="1" x14ac:dyDescent="0.35">
      <c r="A187" s="199" t="s">
        <v>119</v>
      </c>
      <c r="B187" s="191" t="s">
        <v>172</v>
      </c>
      <c r="C187" s="191" t="s">
        <v>57</v>
      </c>
      <c r="D187" s="191" t="s">
        <v>227</v>
      </c>
      <c r="E187" s="191" t="s">
        <v>226</v>
      </c>
      <c r="F187" s="191" t="s">
        <v>58</v>
      </c>
      <c r="G187" s="201" t="s">
        <v>59</v>
      </c>
      <c r="H187" s="58" t="s">
        <v>281</v>
      </c>
      <c r="I187" s="36"/>
    </row>
    <row r="188" spans="1:14" s="37" customFormat="1" hidden="1" x14ac:dyDescent="0.35">
      <c r="A188" s="200"/>
      <c r="B188" s="192"/>
      <c r="C188" s="192"/>
      <c r="D188" s="192"/>
      <c r="E188" s="192"/>
      <c r="F188" s="192"/>
      <c r="G188" s="202"/>
      <c r="H188" s="13">
        <v>0.5</v>
      </c>
      <c r="I188" s="36"/>
    </row>
    <row r="189" spans="1:14" s="62" customFormat="1" x14ac:dyDescent="0.35">
      <c r="A189" s="133" t="s">
        <v>259</v>
      </c>
      <c r="B189" s="134"/>
      <c r="C189" s="134"/>
      <c r="D189" s="134"/>
      <c r="E189" s="134"/>
      <c r="F189" s="134"/>
      <c r="G189" s="134"/>
      <c r="H189" s="135"/>
      <c r="I189" s="61">
        <v>10.763999999999999</v>
      </c>
      <c r="J189" s="36"/>
    </row>
    <row r="190" spans="1:14" s="62" customFormat="1" x14ac:dyDescent="0.35">
      <c r="A190" s="108" t="s">
        <v>284</v>
      </c>
      <c r="B190" s="109"/>
      <c r="C190" s="109"/>
      <c r="D190" s="109"/>
      <c r="E190" s="109"/>
      <c r="F190" s="109"/>
      <c r="G190" s="109"/>
      <c r="H190" s="110"/>
      <c r="J190" s="36"/>
    </row>
    <row r="191" spans="1:14" s="62" customFormat="1" x14ac:dyDescent="0.35">
      <c r="A191" s="108" t="s">
        <v>260</v>
      </c>
      <c r="B191" s="109"/>
      <c r="C191" s="109"/>
      <c r="D191" s="109"/>
      <c r="E191" s="109"/>
      <c r="F191" s="109"/>
      <c r="G191" s="109"/>
      <c r="H191" s="110"/>
      <c r="J191" s="36"/>
    </row>
    <row r="192" spans="1:14" s="62" customFormat="1" x14ac:dyDescent="0.35">
      <c r="A192" s="108" t="s">
        <v>261</v>
      </c>
      <c r="B192" s="109"/>
      <c r="C192" s="109"/>
      <c r="D192" s="109"/>
      <c r="E192" s="109"/>
      <c r="F192" s="109"/>
      <c r="G192" s="109"/>
      <c r="H192" s="110"/>
      <c r="J192" s="36"/>
    </row>
    <row r="193" spans="1:14" s="37" customFormat="1" x14ac:dyDescent="0.35">
      <c r="A193" s="108" t="s">
        <v>262</v>
      </c>
      <c r="B193" s="109"/>
      <c r="C193" s="109"/>
      <c r="D193" s="109"/>
      <c r="E193" s="109"/>
      <c r="F193" s="109"/>
      <c r="G193" s="109"/>
      <c r="H193" s="110"/>
      <c r="J193" s="36"/>
      <c r="K193" s="37">
        <v>5800</v>
      </c>
    </row>
    <row r="194" spans="1:14" s="37" customFormat="1" ht="15.75" customHeight="1" x14ac:dyDescent="0.35">
      <c r="A194" s="111">
        <v>1</v>
      </c>
      <c r="B194" s="112"/>
      <c r="C194" s="42" t="s">
        <v>263</v>
      </c>
      <c r="D194" s="61">
        <f>(49.14)*10.764</f>
        <v>528.94295999999997</v>
      </c>
      <c r="E194" s="61">
        <v>0</v>
      </c>
      <c r="F194" s="42">
        <f>D194+E194</f>
        <v>528.94295999999997</v>
      </c>
      <c r="G194" s="57">
        <v>0</v>
      </c>
      <c r="H194" s="69">
        <v>883.33500000000004</v>
      </c>
      <c r="I194" s="36">
        <f>4.35*3.1+2.1*3.05+2.75*3.05+2.9*3.35+1.2*2.1+2.1*1.2+0.9*4.2</f>
        <v>46.812500000000007</v>
      </c>
      <c r="K194" s="37">
        <f>K$193*H194</f>
        <v>5123343</v>
      </c>
      <c r="L194" s="69">
        <v>883.33500000000004</v>
      </c>
      <c r="M194" s="67">
        <f>L194/F194</f>
        <v>1.6700004854965838</v>
      </c>
      <c r="N194" s="36"/>
    </row>
    <row r="195" spans="1:14" s="37" customFormat="1" ht="15.75" customHeight="1" x14ac:dyDescent="0.35">
      <c r="A195" s="111">
        <f t="shared" ref="A195:A199" si="10">A194+1</f>
        <v>2</v>
      </c>
      <c r="B195" s="112"/>
      <c r="C195" s="42" t="s">
        <v>264</v>
      </c>
      <c r="D195" s="61">
        <f>(34.821)*10.764</f>
        <v>374.81324399999994</v>
      </c>
      <c r="E195" s="61">
        <f>(2.77*1.1)*10.764</f>
        <v>32.797908</v>
      </c>
      <c r="F195" s="57">
        <f t="shared" ref="F195:F197" si="11">D195+E195</f>
        <v>407.61115199999995</v>
      </c>
      <c r="G195" s="57">
        <v>0</v>
      </c>
      <c r="H195" s="69">
        <v>673.25099999999998</v>
      </c>
      <c r="I195" s="36">
        <f>2.9*4.25+2.1*2.35+2.75*3.35+1.6*1.2+1.2*1.8+0.9*2.4</f>
        <v>32.712499999999999</v>
      </c>
      <c r="K195" s="62">
        <f t="shared" ref="K195:K206" si="12">K$193*H195</f>
        <v>3904855.8</v>
      </c>
      <c r="L195" s="69">
        <v>673.25099999999998</v>
      </c>
      <c r="M195" s="67">
        <f t="shared" ref="M195:M206" si="13">L195/F195</f>
        <v>1.6516991664644152</v>
      </c>
      <c r="N195" s="36"/>
    </row>
    <row r="196" spans="1:14" s="37" customFormat="1" ht="15.75" customHeight="1" x14ac:dyDescent="0.35">
      <c r="A196" s="111">
        <f t="shared" si="10"/>
        <v>3</v>
      </c>
      <c r="B196" s="112"/>
      <c r="C196" s="42" t="s">
        <v>264</v>
      </c>
      <c r="D196" s="61">
        <f>(35.33)*10.764</f>
        <v>380.29211999999995</v>
      </c>
      <c r="E196" s="42">
        <v>0</v>
      </c>
      <c r="F196" s="57">
        <f t="shared" si="11"/>
        <v>380.29211999999995</v>
      </c>
      <c r="G196" s="57">
        <v>0</v>
      </c>
      <c r="H196" s="69">
        <v>635.08799999999997</v>
      </c>
      <c r="I196" s="36"/>
      <c r="K196" s="62">
        <f t="shared" si="12"/>
        <v>3683510.4</v>
      </c>
      <c r="L196" s="69">
        <v>635.08799999999997</v>
      </c>
      <c r="M196" s="67">
        <f t="shared" si="13"/>
        <v>1.6700004196773786</v>
      </c>
      <c r="N196" s="36"/>
    </row>
    <row r="197" spans="1:14" s="37" customFormat="1" ht="15.75" customHeight="1" x14ac:dyDescent="0.35">
      <c r="A197" s="111">
        <f t="shared" si="10"/>
        <v>4</v>
      </c>
      <c r="B197" s="112"/>
      <c r="C197" s="42" t="s">
        <v>264</v>
      </c>
      <c r="D197" s="61">
        <f>(35.33)*10.764</f>
        <v>380.29211999999995</v>
      </c>
      <c r="E197" s="61">
        <v>0</v>
      </c>
      <c r="F197" s="57">
        <f t="shared" si="11"/>
        <v>380.29211999999995</v>
      </c>
      <c r="G197" s="57">
        <v>0</v>
      </c>
      <c r="H197" s="69">
        <v>635.88</v>
      </c>
      <c r="I197" s="36"/>
      <c r="K197" s="62">
        <f t="shared" si="12"/>
        <v>3688104</v>
      </c>
      <c r="L197" s="69">
        <v>635.88</v>
      </c>
      <c r="M197" s="67">
        <f t="shared" si="13"/>
        <v>1.6720830292250075</v>
      </c>
      <c r="N197" s="36"/>
    </row>
    <row r="198" spans="1:14" s="62" customFormat="1" ht="15.75" customHeight="1" x14ac:dyDescent="0.35">
      <c r="A198" s="111">
        <f t="shared" si="10"/>
        <v>5</v>
      </c>
      <c r="B198" s="112"/>
      <c r="C198" s="61" t="s">
        <v>264</v>
      </c>
      <c r="D198" s="61">
        <f>(36.085)*10.764</f>
        <v>388.41893999999996</v>
      </c>
      <c r="E198" s="61">
        <f>(2.85*1.1)*10.764</f>
        <v>33.745139999999999</v>
      </c>
      <c r="F198" s="61">
        <f t="shared" ref="F198:F199" si="14">D198+E198</f>
        <v>422.16407999999996</v>
      </c>
      <c r="G198" s="61">
        <v>0</v>
      </c>
      <c r="H198" s="69">
        <v>697.33799999999997</v>
      </c>
      <c r="I198" s="36"/>
      <c r="K198" s="62">
        <f t="shared" si="12"/>
        <v>4044560.4</v>
      </c>
      <c r="L198" s="69">
        <v>697.33799999999997</v>
      </c>
      <c r="M198" s="67">
        <f t="shared" si="13"/>
        <v>1.6518174639585632</v>
      </c>
      <c r="N198" s="36"/>
    </row>
    <row r="199" spans="1:14" s="62" customFormat="1" ht="15.75" customHeight="1" x14ac:dyDescent="0.35">
      <c r="A199" s="111">
        <f t="shared" si="10"/>
        <v>6</v>
      </c>
      <c r="B199" s="112"/>
      <c r="C199" s="61" t="s">
        <v>263</v>
      </c>
      <c r="D199" s="61">
        <f>(49.828)*10.764</f>
        <v>536.34859200000005</v>
      </c>
      <c r="E199" s="61">
        <f>(3.05*1.15)*10.764</f>
        <v>37.754729999999988</v>
      </c>
      <c r="F199" s="61">
        <f t="shared" si="14"/>
        <v>574.10332200000005</v>
      </c>
      <c r="G199" s="61">
        <v>0</v>
      </c>
      <c r="H199" s="69">
        <v>950.529</v>
      </c>
      <c r="I199" s="36"/>
      <c r="K199" s="62">
        <f t="shared" si="12"/>
        <v>5513068.2000000002</v>
      </c>
      <c r="L199" s="69">
        <v>950.529</v>
      </c>
      <c r="M199" s="67">
        <f t="shared" si="13"/>
        <v>1.6556758401756817</v>
      </c>
      <c r="N199" s="36"/>
    </row>
    <row r="200" spans="1:14" s="37" customFormat="1" x14ac:dyDescent="0.35">
      <c r="A200" s="132" t="s">
        <v>265</v>
      </c>
      <c r="B200" s="132"/>
      <c r="C200" s="132"/>
      <c r="D200" s="132"/>
      <c r="E200" s="132"/>
      <c r="F200" s="132"/>
      <c r="G200" s="132"/>
      <c r="H200" s="132"/>
      <c r="I200" s="36"/>
      <c r="K200" s="62">
        <f t="shared" si="12"/>
        <v>0</v>
      </c>
      <c r="L200" s="66"/>
      <c r="M200" s="66"/>
    </row>
    <row r="201" spans="1:14" s="37" customFormat="1" x14ac:dyDescent="0.35">
      <c r="A201" s="128">
        <v>1</v>
      </c>
      <c r="B201" s="128"/>
      <c r="C201" s="61" t="s">
        <v>263</v>
      </c>
      <c r="D201" s="61">
        <f>(49.828)*10.764</f>
        <v>536.34859200000005</v>
      </c>
      <c r="E201" s="61">
        <f>(3.05)*10.764</f>
        <v>32.830199999999998</v>
      </c>
      <c r="F201" s="57">
        <f>D201+E201</f>
        <v>569.17879200000004</v>
      </c>
      <c r="G201" s="57">
        <v>0</v>
      </c>
      <c r="H201" s="69">
        <v>950.529</v>
      </c>
      <c r="I201" s="36"/>
      <c r="K201" s="62">
        <f t="shared" si="12"/>
        <v>5513068.2000000002</v>
      </c>
      <c r="L201" s="69">
        <v>950.529</v>
      </c>
      <c r="M201" s="67">
        <f t="shared" si="13"/>
        <v>1.6700007332669555</v>
      </c>
      <c r="N201" s="36"/>
    </row>
    <row r="202" spans="1:14" s="37" customFormat="1" x14ac:dyDescent="0.35">
      <c r="A202" s="128">
        <f>A201+1</f>
        <v>2</v>
      </c>
      <c r="B202" s="128"/>
      <c r="C202" s="61" t="s">
        <v>264</v>
      </c>
      <c r="D202" s="61">
        <f>(34.153)*10.764</f>
        <v>367.62289199999998</v>
      </c>
      <c r="E202" s="57">
        <v>0</v>
      </c>
      <c r="F202" s="57">
        <f t="shared" ref="F202:F204" si="15">D202+E202</f>
        <v>367.62289199999998</v>
      </c>
      <c r="G202" s="57">
        <v>0</v>
      </c>
      <c r="H202" s="69">
        <v>613.92999999999995</v>
      </c>
      <c r="I202" s="36"/>
      <c r="K202" s="62">
        <f t="shared" si="12"/>
        <v>3560793.9999999995</v>
      </c>
      <c r="L202" s="69">
        <v>613.92999999999995</v>
      </c>
      <c r="M202" s="67">
        <f t="shared" si="13"/>
        <v>1.6699993753381386</v>
      </c>
      <c r="N202" s="36"/>
    </row>
    <row r="203" spans="1:14" s="37" customFormat="1" x14ac:dyDescent="0.35">
      <c r="A203" s="128">
        <f>A202+1</f>
        <v>3</v>
      </c>
      <c r="B203" s="128"/>
      <c r="C203" s="61" t="s">
        <v>264</v>
      </c>
      <c r="D203" s="61">
        <f>(35.999)*10.764</f>
        <v>387.49323600000002</v>
      </c>
      <c r="E203" s="61">
        <f>(2.679)*10.764</f>
        <v>28.836755999999998</v>
      </c>
      <c r="F203" s="57">
        <f t="shared" si="15"/>
        <v>416.329992</v>
      </c>
      <c r="G203" s="57">
        <v>0</v>
      </c>
      <c r="H203" s="69">
        <v>695.27099999999996</v>
      </c>
      <c r="I203" s="36"/>
      <c r="K203" s="62">
        <f t="shared" si="12"/>
        <v>4032571.8</v>
      </c>
      <c r="L203" s="69">
        <v>695.27099999999996</v>
      </c>
      <c r="M203" s="67">
        <f t="shared" si="13"/>
        <v>1.6699997918958478</v>
      </c>
      <c r="N203" s="36"/>
    </row>
    <row r="204" spans="1:14" s="37" customFormat="1" x14ac:dyDescent="0.35">
      <c r="A204" s="128">
        <f>A203+1</f>
        <v>4</v>
      </c>
      <c r="B204" s="128"/>
      <c r="C204" s="61" t="s">
        <v>264</v>
      </c>
      <c r="D204" s="61">
        <f>(35.999)*10.764</f>
        <v>387.49323600000002</v>
      </c>
      <c r="E204" s="61">
        <f>(2.679)*10.764</f>
        <v>28.836755999999998</v>
      </c>
      <c r="F204" s="57">
        <f t="shared" si="15"/>
        <v>416.329992</v>
      </c>
      <c r="G204" s="57">
        <v>0</v>
      </c>
      <c r="H204" s="69">
        <v>695.27099999999996</v>
      </c>
      <c r="I204" s="36"/>
      <c r="K204" s="62">
        <f t="shared" si="12"/>
        <v>4032571.8</v>
      </c>
      <c r="L204" s="69">
        <v>695.27099999999996</v>
      </c>
      <c r="M204" s="67">
        <f t="shared" si="13"/>
        <v>1.6699997918958478</v>
      </c>
      <c r="N204" s="36"/>
    </row>
    <row r="205" spans="1:14" s="37" customFormat="1" x14ac:dyDescent="0.35">
      <c r="A205" s="128">
        <f>A204+1</f>
        <v>5</v>
      </c>
      <c r="B205" s="128"/>
      <c r="C205" s="61" t="s">
        <v>264</v>
      </c>
      <c r="D205" s="61">
        <f>(35.493)*10.764</f>
        <v>382.04665199999999</v>
      </c>
      <c r="E205" s="57">
        <v>0</v>
      </c>
      <c r="F205" s="57">
        <f>D205+E205</f>
        <v>382.04665199999999</v>
      </c>
      <c r="G205" s="57">
        <v>0</v>
      </c>
      <c r="H205" s="69">
        <v>638.01800000000003</v>
      </c>
      <c r="I205" s="36"/>
      <c r="K205" s="62">
        <f t="shared" si="12"/>
        <v>3700504.4000000004</v>
      </c>
      <c r="L205" s="69">
        <v>638.01800000000003</v>
      </c>
      <c r="M205" s="67">
        <f t="shared" si="13"/>
        <v>1.6700002386096031</v>
      </c>
      <c r="N205" s="36"/>
    </row>
    <row r="206" spans="1:14" s="62" customFormat="1" x14ac:dyDescent="0.35">
      <c r="A206" s="128">
        <f>A205+1</f>
        <v>6</v>
      </c>
      <c r="B206" s="128"/>
      <c r="C206" s="61" t="s">
        <v>263</v>
      </c>
      <c r="D206" s="61">
        <f>(49.14)*10.764</f>
        <v>528.94295999999997</v>
      </c>
      <c r="E206" s="61">
        <v>0</v>
      </c>
      <c r="F206" s="61">
        <f>D206+E206</f>
        <v>528.94295999999997</v>
      </c>
      <c r="G206" s="61">
        <v>0</v>
      </c>
      <c r="H206" s="69">
        <v>883.33500000000004</v>
      </c>
      <c r="I206" s="36"/>
      <c r="K206" s="62">
        <f t="shared" si="12"/>
        <v>5123343</v>
      </c>
      <c r="L206" s="69">
        <v>883.33500000000004</v>
      </c>
      <c r="M206" s="67">
        <f t="shared" si="13"/>
        <v>1.6700004854965838</v>
      </c>
      <c r="N206" s="36"/>
    </row>
    <row r="207" spans="1:14" s="62" customFormat="1" x14ac:dyDescent="0.35">
      <c r="A207" s="108" t="s">
        <v>266</v>
      </c>
      <c r="B207" s="109"/>
      <c r="C207" s="109"/>
      <c r="D207" s="109"/>
      <c r="E207" s="109"/>
      <c r="F207" s="109"/>
      <c r="G207" s="109"/>
      <c r="H207" s="110"/>
      <c r="J207" s="36"/>
    </row>
    <row r="208" spans="1:14" s="62" customFormat="1" ht="15.75" customHeight="1" x14ac:dyDescent="0.35">
      <c r="A208" s="111">
        <v>1</v>
      </c>
      <c r="B208" s="112"/>
      <c r="C208" s="61" t="s">
        <v>263</v>
      </c>
      <c r="D208" s="61">
        <f>(49.14)*10.764</f>
        <v>528.94295999999997</v>
      </c>
      <c r="E208" s="61">
        <v>0</v>
      </c>
      <c r="F208" s="61">
        <f>D208+E208</f>
        <v>528.94295999999997</v>
      </c>
      <c r="G208" s="61">
        <v>0</v>
      </c>
      <c r="H208" s="61">
        <v>883.33500000000004</v>
      </c>
      <c r="I208" s="64"/>
      <c r="L208" s="68">
        <f>H208/F208</f>
        <v>1.6700004854965838</v>
      </c>
      <c r="M208" s="66"/>
      <c r="N208" s="36"/>
    </row>
    <row r="209" spans="1:14" s="62" customFormat="1" ht="15.75" customHeight="1" x14ac:dyDescent="0.35">
      <c r="A209" s="111">
        <f t="shared" ref="A209:A213" si="16">A208+1</f>
        <v>2</v>
      </c>
      <c r="B209" s="112"/>
      <c r="C209" s="61" t="s">
        <v>264</v>
      </c>
      <c r="D209" s="61">
        <f>(34.821)*10.764</f>
        <v>374.81324399999994</v>
      </c>
      <c r="E209" s="61">
        <f>(2.77*1.1)*10.764</f>
        <v>32.797908</v>
      </c>
      <c r="F209" s="61">
        <f t="shared" ref="F209:F213" si="17">D209+E209</f>
        <v>407.61115199999995</v>
      </c>
      <c r="G209" s="61">
        <v>0</v>
      </c>
      <c r="H209" s="61">
        <v>673.25099999999998</v>
      </c>
      <c r="I209" s="36"/>
      <c r="L209" s="68">
        <f t="shared" ref="L209:L270" si="18">H209/F209</f>
        <v>1.6516991664644152</v>
      </c>
      <c r="M209" s="66"/>
      <c r="N209" s="36"/>
    </row>
    <row r="210" spans="1:14" s="62" customFormat="1" ht="15.75" customHeight="1" x14ac:dyDescent="0.35">
      <c r="A210" s="111">
        <f t="shared" si="16"/>
        <v>3</v>
      </c>
      <c r="B210" s="112"/>
      <c r="C210" s="61" t="s">
        <v>264</v>
      </c>
      <c r="D210" s="61">
        <f>(35.33)*10.764</f>
        <v>380.29211999999995</v>
      </c>
      <c r="E210" s="61">
        <v>0</v>
      </c>
      <c r="F210" s="61">
        <f t="shared" si="17"/>
        <v>380.29211999999995</v>
      </c>
      <c r="G210" s="61">
        <v>0</v>
      </c>
      <c r="H210" s="61">
        <v>635.08799999999997</v>
      </c>
      <c r="I210" s="36"/>
      <c r="L210" s="68">
        <f t="shared" si="18"/>
        <v>1.6700004196773786</v>
      </c>
      <c r="M210" s="66"/>
      <c r="N210" s="36"/>
    </row>
    <row r="211" spans="1:14" s="62" customFormat="1" ht="15.75" customHeight="1" x14ac:dyDescent="0.35">
      <c r="A211" s="111">
        <f t="shared" si="16"/>
        <v>4</v>
      </c>
      <c r="B211" s="112"/>
      <c r="C211" s="111" t="s">
        <v>267</v>
      </c>
      <c r="D211" s="145"/>
      <c r="E211" s="145"/>
      <c r="F211" s="145"/>
      <c r="G211" s="145"/>
      <c r="H211" s="112"/>
      <c r="I211" s="36"/>
      <c r="L211" s="68"/>
      <c r="M211" s="66"/>
      <c r="N211" s="36"/>
    </row>
    <row r="212" spans="1:14" s="62" customFormat="1" ht="15.75" customHeight="1" x14ac:dyDescent="0.35">
      <c r="A212" s="111">
        <f t="shared" si="16"/>
        <v>5</v>
      </c>
      <c r="B212" s="112"/>
      <c r="C212" s="61" t="s">
        <v>264</v>
      </c>
      <c r="D212" s="61">
        <f>(36.085)*10.764</f>
        <v>388.41893999999996</v>
      </c>
      <c r="E212" s="61">
        <f>(2.85*1.1)*10.764</f>
        <v>33.745139999999999</v>
      </c>
      <c r="F212" s="61">
        <f t="shared" si="17"/>
        <v>422.16407999999996</v>
      </c>
      <c r="G212" s="61">
        <v>0</v>
      </c>
      <c r="H212" s="61">
        <v>697.33799999999997</v>
      </c>
      <c r="I212" s="36"/>
      <c r="L212" s="68">
        <f t="shared" si="18"/>
        <v>1.6518174639585632</v>
      </c>
      <c r="M212" s="66"/>
      <c r="N212" s="36"/>
    </row>
    <row r="213" spans="1:14" s="62" customFormat="1" ht="15.75" customHeight="1" x14ac:dyDescent="0.35">
      <c r="A213" s="111">
        <f t="shared" si="16"/>
        <v>6</v>
      </c>
      <c r="B213" s="112"/>
      <c r="C213" s="61" t="s">
        <v>263</v>
      </c>
      <c r="D213" s="61">
        <f>(49.828)*10.764</f>
        <v>536.34859200000005</v>
      </c>
      <c r="E213" s="61">
        <f>(3.05*1.15)*10.764</f>
        <v>37.754729999999988</v>
      </c>
      <c r="F213" s="61">
        <f t="shared" si="17"/>
        <v>574.10332200000005</v>
      </c>
      <c r="G213" s="61">
        <v>0</v>
      </c>
      <c r="H213" s="61">
        <v>950.529</v>
      </c>
      <c r="I213" s="36"/>
      <c r="L213" s="68">
        <f t="shared" si="18"/>
        <v>1.6556758401756817</v>
      </c>
      <c r="M213" s="66"/>
      <c r="N213" s="36"/>
    </row>
    <row r="214" spans="1:14" s="62" customFormat="1" x14ac:dyDescent="0.35">
      <c r="A214" s="132" t="s">
        <v>268</v>
      </c>
      <c r="B214" s="132"/>
      <c r="C214" s="132"/>
      <c r="D214" s="132"/>
      <c r="E214" s="132"/>
      <c r="F214" s="132"/>
      <c r="G214" s="132"/>
      <c r="H214" s="132"/>
      <c r="I214" s="36"/>
      <c r="L214" s="68"/>
      <c r="M214" s="66"/>
    </row>
    <row r="215" spans="1:14" s="62" customFormat="1" x14ac:dyDescent="0.35">
      <c r="A215" s="128">
        <v>1</v>
      </c>
      <c r="B215" s="128"/>
      <c r="C215" s="61" t="s">
        <v>263</v>
      </c>
      <c r="D215" s="61">
        <f>(49.828)*10.764</f>
        <v>536.34859200000005</v>
      </c>
      <c r="E215" s="61">
        <f>(3.05)*10.764</f>
        <v>32.830199999999998</v>
      </c>
      <c r="F215" s="61">
        <f>D215+E215</f>
        <v>569.17879200000004</v>
      </c>
      <c r="G215" s="61">
        <v>0</v>
      </c>
      <c r="H215" s="61">
        <v>950.529</v>
      </c>
      <c r="I215" s="36"/>
      <c r="L215" s="68">
        <f t="shared" si="18"/>
        <v>1.6700007332669555</v>
      </c>
      <c r="M215" s="66"/>
      <c r="N215" s="36"/>
    </row>
    <row r="216" spans="1:14" s="62" customFormat="1" x14ac:dyDescent="0.35">
      <c r="A216" s="128">
        <f>A215+1</f>
        <v>2</v>
      </c>
      <c r="B216" s="128"/>
      <c r="C216" s="61" t="s">
        <v>264</v>
      </c>
      <c r="D216" s="61">
        <f>(34.153)*10.764</f>
        <v>367.62289199999998</v>
      </c>
      <c r="E216" s="61">
        <v>0</v>
      </c>
      <c r="F216" s="61">
        <f t="shared" ref="F216:F217" si="19">D216+E216</f>
        <v>367.62289199999998</v>
      </c>
      <c r="G216" s="61">
        <v>0</v>
      </c>
      <c r="H216" s="61">
        <v>613.92999999999995</v>
      </c>
      <c r="I216" s="36"/>
      <c r="L216" s="68">
        <f t="shared" si="18"/>
        <v>1.6699993753381386</v>
      </c>
      <c r="M216" s="66"/>
      <c r="N216" s="36"/>
    </row>
    <row r="217" spans="1:14" s="62" customFormat="1" x14ac:dyDescent="0.35">
      <c r="A217" s="128">
        <f>A216+1</f>
        <v>3</v>
      </c>
      <c r="B217" s="128"/>
      <c r="C217" s="61" t="s">
        <v>264</v>
      </c>
      <c r="D217" s="61">
        <f>(35.999)*10.764</f>
        <v>387.49323600000002</v>
      </c>
      <c r="E217" s="61">
        <f>(2.679)*10.764</f>
        <v>28.836755999999998</v>
      </c>
      <c r="F217" s="61">
        <f t="shared" si="19"/>
        <v>416.329992</v>
      </c>
      <c r="G217" s="61">
        <v>0</v>
      </c>
      <c r="H217" s="61">
        <v>695.27099999999996</v>
      </c>
      <c r="I217" s="36"/>
      <c r="L217" s="68">
        <f t="shared" si="18"/>
        <v>1.6699997918958478</v>
      </c>
      <c r="M217" s="66"/>
      <c r="N217" s="36"/>
    </row>
    <row r="218" spans="1:14" s="62" customFormat="1" x14ac:dyDescent="0.35">
      <c r="A218" s="128">
        <f>A217+1</f>
        <v>4</v>
      </c>
      <c r="B218" s="128"/>
      <c r="C218" s="111" t="s">
        <v>267</v>
      </c>
      <c r="D218" s="145"/>
      <c r="E218" s="145"/>
      <c r="F218" s="145"/>
      <c r="G218" s="145"/>
      <c r="H218" s="112"/>
      <c r="I218" s="36"/>
      <c r="L218" s="68"/>
      <c r="M218" s="66"/>
      <c r="N218" s="36"/>
    </row>
    <row r="219" spans="1:14" s="62" customFormat="1" x14ac:dyDescent="0.35">
      <c r="A219" s="128">
        <f>A218+1</f>
        <v>5</v>
      </c>
      <c r="B219" s="128"/>
      <c r="C219" s="61" t="s">
        <v>264</v>
      </c>
      <c r="D219" s="61">
        <f>(35.493)*10.764</f>
        <v>382.04665199999999</v>
      </c>
      <c r="E219" s="61">
        <v>0</v>
      </c>
      <c r="F219" s="61">
        <f>D219+E219</f>
        <v>382.04665199999999</v>
      </c>
      <c r="G219" s="61">
        <v>0</v>
      </c>
      <c r="H219" s="61">
        <v>638.01800000000003</v>
      </c>
      <c r="I219" s="36"/>
      <c r="L219" s="68">
        <f t="shared" si="18"/>
        <v>1.6700002386096031</v>
      </c>
      <c r="M219" s="66"/>
      <c r="N219" s="36"/>
    </row>
    <row r="220" spans="1:14" s="62" customFormat="1" x14ac:dyDescent="0.35">
      <c r="A220" s="128">
        <f>A219+1</f>
        <v>6</v>
      </c>
      <c r="B220" s="128"/>
      <c r="C220" s="61" t="s">
        <v>263</v>
      </c>
      <c r="D220" s="61">
        <f>(49.14)*10.764</f>
        <v>528.94295999999997</v>
      </c>
      <c r="E220" s="61">
        <v>0</v>
      </c>
      <c r="F220" s="61">
        <f>D220+E220</f>
        <v>528.94295999999997</v>
      </c>
      <c r="G220" s="61">
        <v>0</v>
      </c>
      <c r="H220" s="61">
        <v>883.33500000000004</v>
      </c>
      <c r="I220" s="36"/>
      <c r="L220" s="68">
        <f t="shared" si="18"/>
        <v>1.6700004854965838</v>
      </c>
      <c r="M220" s="66"/>
      <c r="N220" s="36"/>
    </row>
    <row r="221" spans="1:14" s="62" customFormat="1" x14ac:dyDescent="0.35">
      <c r="A221" s="133" t="s">
        <v>269</v>
      </c>
      <c r="B221" s="134"/>
      <c r="C221" s="134"/>
      <c r="D221" s="134"/>
      <c r="E221" s="134"/>
      <c r="F221" s="134"/>
      <c r="G221" s="134"/>
      <c r="H221" s="135"/>
      <c r="J221" s="36"/>
      <c r="L221" s="68"/>
      <c r="M221" s="66"/>
    </row>
    <row r="222" spans="1:14" s="62" customFormat="1" x14ac:dyDescent="0.35">
      <c r="A222" s="108" t="s">
        <v>284</v>
      </c>
      <c r="B222" s="109"/>
      <c r="C222" s="109"/>
      <c r="D222" s="109"/>
      <c r="E222" s="109"/>
      <c r="F222" s="109"/>
      <c r="G222" s="109"/>
      <c r="H222" s="110"/>
      <c r="J222" s="36"/>
      <c r="L222" s="68"/>
      <c r="M222" s="66"/>
    </row>
    <row r="223" spans="1:14" s="62" customFormat="1" x14ac:dyDescent="0.35">
      <c r="A223" s="108" t="s">
        <v>260</v>
      </c>
      <c r="B223" s="109"/>
      <c r="C223" s="109"/>
      <c r="D223" s="109"/>
      <c r="E223" s="109"/>
      <c r="F223" s="109"/>
      <c r="G223" s="109"/>
      <c r="H223" s="110"/>
      <c r="J223" s="36"/>
      <c r="L223" s="68"/>
      <c r="M223" s="66"/>
    </row>
    <row r="224" spans="1:14" s="62" customFormat="1" x14ac:dyDescent="0.35">
      <c r="A224" s="108" t="s">
        <v>261</v>
      </c>
      <c r="B224" s="109"/>
      <c r="C224" s="109"/>
      <c r="D224" s="109"/>
      <c r="E224" s="109"/>
      <c r="F224" s="109"/>
      <c r="G224" s="109"/>
      <c r="H224" s="110"/>
      <c r="J224" s="36"/>
      <c r="L224" s="68"/>
      <c r="M224" s="66"/>
    </row>
    <row r="225" spans="1:14" s="62" customFormat="1" x14ac:dyDescent="0.35">
      <c r="A225" s="108" t="s">
        <v>262</v>
      </c>
      <c r="B225" s="109"/>
      <c r="C225" s="109"/>
      <c r="D225" s="109"/>
      <c r="E225" s="109"/>
      <c r="F225" s="109"/>
      <c r="G225" s="109"/>
      <c r="H225" s="110"/>
      <c r="J225" s="36"/>
      <c r="L225" s="68"/>
      <c r="M225" s="66"/>
    </row>
    <row r="226" spans="1:14" s="62" customFormat="1" ht="15.75" customHeight="1" x14ac:dyDescent="0.35">
      <c r="A226" s="111">
        <v>1</v>
      </c>
      <c r="B226" s="112"/>
      <c r="C226" s="65" t="s">
        <v>263</v>
      </c>
      <c r="D226" s="61">
        <f>(49.828)*10.764</f>
        <v>536.34859200000005</v>
      </c>
      <c r="E226" s="61">
        <f>(3.05)*10.764</f>
        <v>32.830199999999998</v>
      </c>
      <c r="F226" s="61">
        <f>D226+E226</f>
        <v>569.17879200000004</v>
      </c>
      <c r="G226" s="61">
        <v>0</v>
      </c>
      <c r="H226" s="61">
        <v>950.529</v>
      </c>
      <c r="I226" s="36"/>
      <c r="L226" s="68">
        <f t="shared" si="18"/>
        <v>1.6700007332669555</v>
      </c>
      <c r="M226" s="66"/>
      <c r="N226" s="36"/>
    </row>
    <row r="227" spans="1:14" s="62" customFormat="1" ht="15.75" customHeight="1" x14ac:dyDescent="0.35">
      <c r="A227" s="111">
        <f t="shared" ref="A227:A231" si="20">A226+1</f>
        <v>2</v>
      </c>
      <c r="B227" s="112"/>
      <c r="C227" s="65" t="s">
        <v>264</v>
      </c>
      <c r="D227" s="61">
        <f>(36.085)*10.764</f>
        <v>388.41893999999996</v>
      </c>
      <c r="E227" s="61">
        <f>(2.708)*10.764</f>
        <v>29.148911999999999</v>
      </c>
      <c r="F227" s="61">
        <f t="shared" ref="F227:F231" si="21">D227+E227</f>
        <v>417.56785199999996</v>
      </c>
      <c r="G227" s="61">
        <v>0</v>
      </c>
      <c r="H227" s="61">
        <v>697.33799999999997</v>
      </c>
      <c r="I227" s="36"/>
      <c r="L227" s="68">
        <f t="shared" si="18"/>
        <v>1.6699992508043939</v>
      </c>
      <c r="M227" s="66"/>
      <c r="N227" s="36"/>
    </row>
    <row r="228" spans="1:14" s="62" customFormat="1" ht="15.75" customHeight="1" x14ac:dyDescent="0.35">
      <c r="A228" s="111">
        <f t="shared" si="20"/>
        <v>3</v>
      </c>
      <c r="B228" s="112"/>
      <c r="C228" s="65" t="s">
        <v>264</v>
      </c>
      <c r="D228" s="61">
        <f>(35.33)*10.764</f>
        <v>380.29211999999995</v>
      </c>
      <c r="E228" s="65">
        <v>0</v>
      </c>
      <c r="F228" s="61">
        <f t="shared" si="21"/>
        <v>380.29211999999995</v>
      </c>
      <c r="G228" s="61">
        <v>0</v>
      </c>
      <c r="H228" s="61">
        <v>635.08799999999997</v>
      </c>
      <c r="I228" s="36"/>
      <c r="L228" s="68">
        <f t="shared" si="18"/>
        <v>1.6700004196773786</v>
      </c>
      <c r="M228" s="66"/>
      <c r="N228" s="36"/>
    </row>
    <row r="229" spans="1:14" s="62" customFormat="1" ht="15.75" customHeight="1" x14ac:dyDescent="0.35">
      <c r="A229" s="111">
        <f t="shared" si="20"/>
        <v>4</v>
      </c>
      <c r="B229" s="112"/>
      <c r="C229" s="65" t="s">
        <v>264</v>
      </c>
      <c r="D229" s="61">
        <f>(35.33)*10.764</f>
        <v>380.29211999999995</v>
      </c>
      <c r="E229" s="65">
        <v>0</v>
      </c>
      <c r="F229" s="61">
        <f t="shared" si="21"/>
        <v>380.29211999999995</v>
      </c>
      <c r="G229" s="61">
        <v>0</v>
      </c>
      <c r="H229" s="61">
        <v>635.08799999999997</v>
      </c>
      <c r="I229" s="36"/>
      <c r="L229" s="68">
        <f t="shared" si="18"/>
        <v>1.6700004196773786</v>
      </c>
      <c r="M229" s="66"/>
      <c r="N229" s="36"/>
    </row>
    <row r="230" spans="1:14" s="62" customFormat="1" ht="15.75" customHeight="1" x14ac:dyDescent="0.35">
      <c r="A230" s="111">
        <f t="shared" si="20"/>
        <v>5</v>
      </c>
      <c r="B230" s="112"/>
      <c r="C230" s="65" t="s">
        <v>263</v>
      </c>
      <c r="D230" s="61">
        <f>(53.594)*10.764</f>
        <v>576.88581599999998</v>
      </c>
      <c r="E230" s="61">
        <f>(2.9)*10.764</f>
        <v>31.215599999999998</v>
      </c>
      <c r="F230" s="61">
        <f t="shared" si="21"/>
        <v>608.10141599999997</v>
      </c>
      <c r="G230" s="61">
        <v>0</v>
      </c>
      <c r="H230" s="61">
        <v>1015.529</v>
      </c>
      <c r="I230" s="36">
        <f>2.9*4.6+2.1*3.05+2.75*3.05+2.9*3.35+1.2*2.1+2.1*1.2+1.2*3.1+0.9*4.1</f>
        <v>50.297499999999999</v>
      </c>
      <c r="J230" s="36">
        <f>2.9*1.15</f>
        <v>3.3349999999999995</v>
      </c>
      <c r="L230" s="68">
        <f t="shared" si="18"/>
        <v>1.6699994002316219</v>
      </c>
      <c r="M230" s="66"/>
      <c r="N230" s="36"/>
    </row>
    <row r="231" spans="1:14" s="62" customFormat="1" ht="15.75" customHeight="1" x14ac:dyDescent="0.35">
      <c r="A231" s="111">
        <f t="shared" si="20"/>
        <v>6</v>
      </c>
      <c r="B231" s="112"/>
      <c r="C231" s="65" t="s">
        <v>263</v>
      </c>
      <c r="D231" s="61">
        <f>(49.14)*10.764</f>
        <v>528.94295999999997</v>
      </c>
      <c r="E231" s="65">
        <v>0</v>
      </c>
      <c r="F231" s="61">
        <f t="shared" si="21"/>
        <v>528.94295999999997</v>
      </c>
      <c r="G231" s="61">
        <v>0</v>
      </c>
      <c r="H231" s="61">
        <v>883.33500000000004</v>
      </c>
      <c r="I231" s="36">
        <f>4.35*3.1+2.1*3.05+2.75*3.05+2.9*3.35+1.2*2.1+2.1*1.2+0.9*3.5</f>
        <v>46.182500000000005</v>
      </c>
      <c r="L231" s="68">
        <f t="shared" si="18"/>
        <v>1.6700004854965838</v>
      </c>
      <c r="M231" s="66"/>
      <c r="N231" s="36"/>
    </row>
    <row r="232" spans="1:14" s="62" customFormat="1" x14ac:dyDescent="0.35">
      <c r="A232" s="132" t="s">
        <v>265</v>
      </c>
      <c r="B232" s="132"/>
      <c r="C232" s="132"/>
      <c r="D232" s="132"/>
      <c r="E232" s="132"/>
      <c r="F232" s="132"/>
      <c r="G232" s="132"/>
      <c r="H232" s="132"/>
      <c r="I232" s="36"/>
      <c r="L232" s="68"/>
      <c r="M232" s="66"/>
    </row>
    <row r="233" spans="1:14" s="62" customFormat="1" x14ac:dyDescent="0.35">
      <c r="A233" s="128">
        <v>1</v>
      </c>
      <c r="B233" s="128"/>
      <c r="C233" s="65" t="s">
        <v>263</v>
      </c>
      <c r="D233" s="61">
        <f>(49.14)*10.764</f>
        <v>528.94295999999997</v>
      </c>
      <c r="E233" s="65">
        <v>0</v>
      </c>
      <c r="F233" s="61">
        <f>D233+E233</f>
        <v>528.94295999999997</v>
      </c>
      <c r="G233" s="61">
        <v>0</v>
      </c>
      <c r="H233" s="61">
        <v>883.33500000000004</v>
      </c>
      <c r="I233" s="36"/>
      <c r="L233" s="68">
        <f t="shared" si="18"/>
        <v>1.6700004854965838</v>
      </c>
      <c r="M233" s="66"/>
      <c r="N233" s="36"/>
    </row>
    <row r="234" spans="1:14" s="62" customFormat="1" x14ac:dyDescent="0.35">
      <c r="A234" s="128">
        <f>A233+1</f>
        <v>2</v>
      </c>
      <c r="B234" s="128"/>
      <c r="C234" s="65" t="s">
        <v>264</v>
      </c>
      <c r="D234" s="61">
        <f>(35.493)*10.764</f>
        <v>382.04665199999999</v>
      </c>
      <c r="E234" s="65">
        <v>0</v>
      </c>
      <c r="F234" s="61">
        <f t="shared" ref="F234:F236" si="22">D234+E234</f>
        <v>382.04665199999999</v>
      </c>
      <c r="G234" s="61">
        <v>0</v>
      </c>
      <c r="H234" s="61">
        <v>638.01800000000003</v>
      </c>
      <c r="I234" s="36"/>
      <c r="L234" s="68">
        <f t="shared" si="18"/>
        <v>1.6700002386096031</v>
      </c>
      <c r="M234" s="66"/>
      <c r="N234" s="36"/>
    </row>
    <row r="235" spans="1:14" s="62" customFormat="1" x14ac:dyDescent="0.35">
      <c r="A235" s="128">
        <f>A234+1</f>
        <v>3</v>
      </c>
      <c r="B235" s="128"/>
      <c r="C235" s="65" t="s">
        <v>264</v>
      </c>
      <c r="D235" s="61">
        <f>(35.999)*10.764</f>
        <v>387.49323600000002</v>
      </c>
      <c r="E235" s="61">
        <f>(2.679)*10.764</f>
        <v>28.836755999999998</v>
      </c>
      <c r="F235" s="61">
        <f t="shared" si="22"/>
        <v>416.329992</v>
      </c>
      <c r="G235" s="61">
        <v>0</v>
      </c>
      <c r="H235" s="61">
        <v>695.27099999999996</v>
      </c>
      <c r="I235" s="36"/>
      <c r="L235" s="68">
        <f t="shared" si="18"/>
        <v>1.6699997918958478</v>
      </c>
      <c r="M235" s="66"/>
      <c r="N235" s="36"/>
    </row>
    <row r="236" spans="1:14" s="62" customFormat="1" x14ac:dyDescent="0.35">
      <c r="A236" s="128">
        <f>A235+1</f>
        <v>4</v>
      </c>
      <c r="B236" s="128"/>
      <c r="C236" s="65" t="s">
        <v>264</v>
      </c>
      <c r="D236" s="61">
        <f>(35.999)*10.764</f>
        <v>387.49323600000002</v>
      </c>
      <c r="E236" s="61">
        <f>(2.679)*10.764</f>
        <v>28.836755999999998</v>
      </c>
      <c r="F236" s="61">
        <f t="shared" si="22"/>
        <v>416.329992</v>
      </c>
      <c r="G236" s="61">
        <v>0</v>
      </c>
      <c r="H236" s="61">
        <v>695.27099999999996</v>
      </c>
      <c r="I236" s="36"/>
      <c r="L236" s="68">
        <f t="shared" si="18"/>
        <v>1.6699997918958478</v>
      </c>
      <c r="M236" s="66"/>
      <c r="N236" s="36"/>
    </row>
    <row r="237" spans="1:14" s="62" customFormat="1" x14ac:dyDescent="0.35">
      <c r="A237" s="128">
        <f>A236+1</f>
        <v>5</v>
      </c>
      <c r="B237" s="128"/>
      <c r="C237" s="65" t="s">
        <v>263</v>
      </c>
      <c r="D237" s="61">
        <f>(52.896)*10.764</f>
        <v>569.37254399999995</v>
      </c>
      <c r="E237" s="65">
        <v>0</v>
      </c>
      <c r="F237" s="61">
        <f>D237+E237</f>
        <v>569.37254399999995</v>
      </c>
      <c r="G237" s="61">
        <v>0</v>
      </c>
      <c r="H237" s="61">
        <v>950.83399999999995</v>
      </c>
      <c r="I237" s="36"/>
      <c r="L237" s="68">
        <f t="shared" si="18"/>
        <v>1.6699681254739254</v>
      </c>
      <c r="M237" s="66"/>
      <c r="N237" s="36"/>
    </row>
    <row r="238" spans="1:14" s="62" customFormat="1" x14ac:dyDescent="0.35">
      <c r="A238" s="128">
        <f>A237+1</f>
        <v>6</v>
      </c>
      <c r="B238" s="128"/>
      <c r="C238" s="65" t="s">
        <v>263</v>
      </c>
      <c r="D238" s="61">
        <f>(49.828)*10.764</f>
        <v>536.34859200000005</v>
      </c>
      <c r="E238" s="74">
        <f>(3.05)*10.764</f>
        <v>32.830199999999998</v>
      </c>
      <c r="F238" s="61">
        <f>D238+E238</f>
        <v>569.17879200000004</v>
      </c>
      <c r="G238" s="61">
        <v>0</v>
      </c>
      <c r="H238" s="61">
        <v>950.529</v>
      </c>
      <c r="I238" s="36"/>
      <c r="L238" s="68">
        <f t="shared" si="18"/>
        <v>1.6700007332669555</v>
      </c>
      <c r="M238" s="66"/>
      <c r="N238" s="36"/>
    </row>
    <row r="239" spans="1:14" s="62" customFormat="1" x14ac:dyDescent="0.35">
      <c r="A239" s="129" t="s">
        <v>266</v>
      </c>
      <c r="B239" s="130"/>
      <c r="C239" s="130"/>
      <c r="D239" s="130"/>
      <c r="E239" s="130"/>
      <c r="F239" s="130"/>
      <c r="G239" s="130"/>
      <c r="H239" s="131"/>
      <c r="J239" s="36"/>
      <c r="L239" s="68"/>
      <c r="M239" s="66"/>
    </row>
    <row r="240" spans="1:14" s="62" customFormat="1" ht="15.75" customHeight="1" x14ac:dyDescent="0.35">
      <c r="A240" s="120">
        <v>1</v>
      </c>
      <c r="B240" s="121"/>
      <c r="C240" s="65" t="s">
        <v>263</v>
      </c>
      <c r="D240" s="61">
        <f>(49.828)*10.764</f>
        <v>536.34859200000005</v>
      </c>
      <c r="E240" s="61">
        <f>(3.05)*10.764</f>
        <v>32.830199999999998</v>
      </c>
      <c r="F240" s="65">
        <f>D240+E240</f>
        <v>569.17879200000004</v>
      </c>
      <c r="G240" s="65">
        <v>0</v>
      </c>
      <c r="H240" s="65">
        <v>950.529</v>
      </c>
      <c r="I240" s="64"/>
      <c r="L240" s="68">
        <f t="shared" si="18"/>
        <v>1.6700007332669555</v>
      </c>
      <c r="M240" s="66"/>
      <c r="N240" s="36"/>
    </row>
    <row r="241" spans="1:14" s="62" customFormat="1" ht="15.75" customHeight="1" x14ac:dyDescent="0.35">
      <c r="A241" s="120">
        <f t="shared" ref="A241:A245" si="23">A240+1</f>
        <v>2</v>
      </c>
      <c r="B241" s="121"/>
      <c r="C241" s="65" t="s">
        <v>264</v>
      </c>
      <c r="D241" s="61">
        <f>(36.085)*10.764</f>
        <v>388.41893999999996</v>
      </c>
      <c r="E241" s="61">
        <f>(2.708)*10.764</f>
        <v>29.148911999999999</v>
      </c>
      <c r="F241" s="65">
        <f t="shared" ref="F241" si="24">D241+E241</f>
        <v>417.56785199999996</v>
      </c>
      <c r="G241" s="65">
        <v>0</v>
      </c>
      <c r="H241" s="65">
        <v>697.33799999999997</v>
      </c>
      <c r="I241" s="36"/>
      <c r="L241" s="68">
        <f t="shared" si="18"/>
        <v>1.6699992508043939</v>
      </c>
      <c r="M241" s="66"/>
      <c r="N241" s="36"/>
    </row>
    <row r="242" spans="1:14" s="62" customFormat="1" ht="15.75" customHeight="1" x14ac:dyDescent="0.35">
      <c r="A242" s="120">
        <f t="shared" si="23"/>
        <v>3</v>
      </c>
      <c r="B242" s="121"/>
      <c r="C242" s="120" t="s">
        <v>267</v>
      </c>
      <c r="D242" s="126"/>
      <c r="E242" s="126"/>
      <c r="F242" s="126"/>
      <c r="G242" s="126"/>
      <c r="H242" s="121"/>
      <c r="I242" s="36"/>
      <c r="L242" s="68"/>
      <c r="M242" s="66"/>
      <c r="N242" s="36"/>
    </row>
    <row r="243" spans="1:14" s="62" customFormat="1" ht="15.75" customHeight="1" x14ac:dyDescent="0.35">
      <c r="A243" s="120">
        <f t="shared" si="23"/>
        <v>4</v>
      </c>
      <c r="B243" s="121"/>
      <c r="C243" s="65" t="s">
        <v>264</v>
      </c>
      <c r="D243" s="61">
        <f>(35.33)*10.764</f>
        <v>380.29211999999995</v>
      </c>
      <c r="E243" s="65">
        <v>0</v>
      </c>
      <c r="F243" s="65">
        <f t="shared" ref="F243" si="25">D243+E243</f>
        <v>380.29211999999995</v>
      </c>
      <c r="G243" s="65">
        <v>0</v>
      </c>
      <c r="H243" s="65">
        <v>635.08799999999997</v>
      </c>
      <c r="I243" s="36"/>
      <c r="L243" s="68">
        <f t="shared" si="18"/>
        <v>1.6700004196773786</v>
      </c>
      <c r="M243" s="66"/>
      <c r="N243" s="36"/>
    </row>
    <row r="244" spans="1:14" s="62" customFormat="1" ht="15.75" customHeight="1" x14ac:dyDescent="0.35">
      <c r="A244" s="120">
        <f t="shared" si="23"/>
        <v>5</v>
      </c>
      <c r="B244" s="121"/>
      <c r="C244" s="65" t="s">
        <v>263</v>
      </c>
      <c r="D244" s="61">
        <f>(53.594)*10.764</f>
        <v>576.88581599999998</v>
      </c>
      <c r="E244" s="61">
        <f>(2.9)*10.764</f>
        <v>31.215599999999998</v>
      </c>
      <c r="F244" s="65">
        <f t="shared" ref="F244:F245" si="26">D244+E244</f>
        <v>608.10141599999997</v>
      </c>
      <c r="G244" s="65">
        <v>0</v>
      </c>
      <c r="H244" s="65">
        <v>1015.529</v>
      </c>
      <c r="I244" s="36"/>
      <c r="L244" s="68">
        <f t="shared" si="18"/>
        <v>1.6699994002316219</v>
      </c>
      <c r="M244" s="66"/>
      <c r="N244" s="36"/>
    </row>
    <row r="245" spans="1:14" s="62" customFormat="1" ht="15.75" customHeight="1" x14ac:dyDescent="0.35">
      <c r="A245" s="120">
        <f t="shared" si="23"/>
        <v>6</v>
      </c>
      <c r="B245" s="121"/>
      <c r="C245" s="65" t="s">
        <v>263</v>
      </c>
      <c r="D245" s="61">
        <f>(49.14)*10.764</f>
        <v>528.94295999999997</v>
      </c>
      <c r="E245" s="65">
        <v>0</v>
      </c>
      <c r="F245" s="65">
        <f t="shared" si="26"/>
        <v>528.94295999999997</v>
      </c>
      <c r="G245" s="65">
        <v>0</v>
      </c>
      <c r="H245" s="65">
        <v>883.33500000000004</v>
      </c>
      <c r="I245" s="36"/>
      <c r="L245" s="68">
        <f t="shared" si="18"/>
        <v>1.6700004854965838</v>
      </c>
      <c r="M245" s="66"/>
      <c r="N245" s="36"/>
    </row>
    <row r="246" spans="1:14" s="62" customFormat="1" x14ac:dyDescent="0.35">
      <c r="A246" s="122" t="s">
        <v>268</v>
      </c>
      <c r="B246" s="122"/>
      <c r="C246" s="122"/>
      <c r="D246" s="122"/>
      <c r="E246" s="122"/>
      <c r="F246" s="122"/>
      <c r="G246" s="122"/>
      <c r="H246" s="122"/>
      <c r="I246" s="36"/>
      <c r="L246" s="68"/>
      <c r="M246" s="66"/>
    </row>
    <row r="247" spans="1:14" s="62" customFormat="1" x14ac:dyDescent="0.35">
      <c r="A247" s="119">
        <v>1</v>
      </c>
      <c r="B247" s="119"/>
      <c r="C247" s="65" t="s">
        <v>263</v>
      </c>
      <c r="D247" s="61">
        <f>(49.14)*10.764</f>
        <v>528.94295999999997</v>
      </c>
      <c r="E247" s="65">
        <v>0</v>
      </c>
      <c r="F247" s="65">
        <f>D247+E247</f>
        <v>528.94295999999997</v>
      </c>
      <c r="G247" s="65">
        <v>0</v>
      </c>
      <c r="H247" s="65">
        <v>883.33500000000004</v>
      </c>
      <c r="I247" s="36"/>
      <c r="L247" s="68">
        <f t="shared" si="18"/>
        <v>1.6700004854965838</v>
      </c>
      <c r="M247" s="66"/>
      <c r="N247" s="36"/>
    </row>
    <row r="248" spans="1:14" s="62" customFormat="1" x14ac:dyDescent="0.35">
      <c r="A248" s="119">
        <f>A247+1</f>
        <v>2</v>
      </c>
      <c r="B248" s="119"/>
      <c r="C248" s="65" t="s">
        <v>264</v>
      </c>
      <c r="D248" s="61">
        <f>(35.493)*10.764</f>
        <v>382.04665199999999</v>
      </c>
      <c r="E248" s="65">
        <v>0</v>
      </c>
      <c r="F248" s="65">
        <f t="shared" ref="F248" si="27">D248+E248</f>
        <v>382.04665199999999</v>
      </c>
      <c r="G248" s="65">
        <v>0</v>
      </c>
      <c r="H248" s="65">
        <v>638.01800000000003</v>
      </c>
      <c r="I248" s="36"/>
      <c r="L248" s="68">
        <f t="shared" si="18"/>
        <v>1.6700002386096031</v>
      </c>
      <c r="M248" s="66"/>
      <c r="N248" s="36"/>
    </row>
    <row r="249" spans="1:14" s="62" customFormat="1" x14ac:dyDescent="0.35">
      <c r="A249" s="119">
        <f>A248+1</f>
        <v>3</v>
      </c>
      <c r="B249" s="119"/>
      <c r="C249" s="120" t="s">
        <v>267</v>
      </c>
      <c r="D249" s="126"/>
      <c r="E249" s="126"/>
      <c r="F249" s="126"/>
      <c r="G249" s="126"/>
      <c r="H249" s="121"/>
      <c r="I249" s="36"/>
      <c r="L249" s="68"/>
      <c r="M249" s="66"/>
      <c r="N249" s="36"/>
    </row>
    <row r="250" spans="1:14" s="62" customFormat="1" x14ac:dyDescent="0.35">
      <c r="A250" s="119">
        <f>A249+1</f>
        <v>4</v>
      </c>
      <c r="B250" s="119"/>
      <c r="C250" s="65" t="s">
        <v>264</v>
      </c>
      <c r="D250" s="61">
        <f>(35.999)*10.764</f>
        <v>387.49323600000002</v>
      </c>
      <c r="E250" s="61">
        <f>(2.679)*10.764</f>
        <v>28.836755999999998</v>
      </c>
      <c r="F250" s="65">
        <f>D250+E250</f>
        <v>416.329992</v>
      </c>
      <c r="G250" s="65">
        <v>0</v>
      </c>
      <c r="H250" s="65">
        <v>695.27099999999996</v>
      </c>
      <c r="I250" s="36"/>
      <c r="L250" s="68">
        <f t="shared" si="18"/>
        <v>1.6699997918958478</v>
      </c>
      <c r="M250" s="66"/>
      <c r="N250" s="36"/>
    </row>
    <row r="251" spans="1:14" s="62" customFormat="1" x14ac:dyDescent="0.35">
      <c r="A251" s="119">
        <f>A250+1</f>
        <v>5</v>
      </c>
      <c r="B251" s="119"/>
      <c r="C251" s="65" t="s">
        <v>263</v>
      </c>
      <c r="D251" s="61">
        <f>(52.895)*10.764</f>
        <v>569.36177999999995</v>
      </c>
      <c r="E251" s="65">
        <v>0</v>
      </c>
      <c r="F251" s="65">
        <f>D251+E251</f>
        <v>569.36177999999995</v>
      </c>
      <c r="G251" s="65">
        <v>0</v>
      </c>
      <c r="H251" s="65">
        <v>950.83399999999995</v>
      </c>
      <c r="I251" s="36"/>
      <c r="L251" s="68">
        <f t="shared" si="18"/>
        <v>1.6699996968535542</v>
      </c>
      <c r="M251" s="66"/>
      <c r="N251" s="36"/>
    </row>
    <row r="252" spans="1:14" s="62" customFormat="1" x14ac:dyDescent="0.35">
      <c r="A252" s="119">
        <f>A251+1</f>
        <v>6</v>
      </c>
      <c r="B252" s="119"/>
      <c r="C252" s="65" t="s">
        <v>263</v>
      </c>
      <c r="D252" s="61">
        <f>(49.828)*10.764</f>
        <v>536.34859200000005</v>
      </c>
      <c r="E252" s="61">
        <f>(3.05)*10.764</f>
        <v>32.830199999999998</v>
      </c>
      <c r="F252" s="65">
        <f>D252+E252</f>
        <v>569.17879200000004</v>
      </c>
      <c r="G252" s="65">
        <v>0</v>
      </c>
      <c r="H252" s="65">
        <v>950.529</v>
      </c>
      <c r="I252" s="36"/>
      <c r="L252" s="68">
        <f t="shared" si="18"/>
        <v>1.6700007332669555</v>
      </c>
      <c r="M252" s="66"/>
      <c r="N252" s="36"/>
    </row>
    <row r="253" spans="1:14" s="62" customFormat="1" x14ac:dyDescent="0.35">
      <c r="A253" s="133" t="s">
        <v>270</v>
      </c>
      <c r="B253" s="134"/>
      <c r="C253" s="134"/>
      <c r="D253" s="134"/>
      <c r="E253" s="134"/>
      <c r="F253" s="134"/>
      <c r="G253" s="134"/>
      <c r="H253" s="135"/>
      <c r="J253" s="36"/>
      <c r="L253" s="68"/>
      <c r="M253" s="66"/>
    </row>
    <row r="254" spans="1:14" s="62" customFormat="1" x14ac:dyDescent="0.35">
      <c r="A254" s="108" t="s">
        <v>290</v>
      </c>
      <c r="B254" s="109"/>
      <c r="C254" s="109"/>
      <c r="D254" s="109"/>
      <c r="E254" s="109"/>
      <c r="F254" s="109"/>
      <c r="G254" s="109"/>
      <c r="H254" s="110"/>
      <c r="J254" s="36"/>
      <c r="L254" s="68"/>
      <c r="M254" s="66"/>
    </row>
    <row r="255" spans="1:14" s="62" customFormat="1" x14ac:dyDescent="0.35">
      <c r="A255" s="108" t="s">
        <v>260</v>
      </c>
      <c r="B255" s="109"/>
      <c r="C255" s="109"/>
      <c r="D255" s="109"/>
      <c r="E255" s="109"/>
      <c r="F255" s="109"/>
      <c r="G255" s="109"/>
      <c r="H255" s="110"/>
      <c r="J255" s="36"/>
      <c r="L255" s="68"/>
      <c r="M255" s="66"/>
    </row>
    <row r="256" spans="1:14" s="62" customFormat="1" x14ac:dyDescent="0.35">
      <c r="A256" s="108" t="s">
        <v>261</v>
      </c>
      <c r="B256" s="109"/>
      <c r="C256" s="109"/>
      <c r="D256" s="109"/>
      <c r="E256" s="109"/>
      <c r="F256" s="109"/>
      <c r="G256" s="109"/>
      <c r="H256" s="110"/>
      <c r="J256" s="36"/>
      <c r="L256" s="68"/>
      <c r="M256" s="66"/>
    </row>
    <row r="257" spans="1:14" s="62" customFormat="1" x14ac:dyDescent="0.35">
      <c r="A257" s="108" t="s">
        <v>271</v>
      </c>
      <c r="B257" s="109"/>
      <c r="C257" s="109"/>
      <c r="D257" s="109"/>
      <c r="E257" s="109"/>
      <c r="F257" s="109"/>
      <c r="G257" s="109"/>
      <c r="H257" s="110"/>
      <c r="J257" s="36"/>
      <c r="L257" s="68"/>
      <c r="M257" s="66"/>
    </row>
    <row r="258" spans="1:14" s="62" customFormat="1" ht="15.75" customHeight="1" x14ac:dyDescent="0.35">
      <c r="A258" s="111">
        <v>1</v>
      </c>
      <c r="B258" s="112"/>
      <c r="C258" s="65" t="s">
        <v>264</v>
      </c>
      <c r="D258" s="61">
        <f>(37.438)*10.764</f>
        <v>402.98263200000002</v>
      </c>
      <c r="E258" s="61">
        <f>(2.82)*10.764</f>
        <v>30.354479999999995</v>
      </c>
      <c r="F258" s="61">
        <f>D258+E258</f>
        <v>433.33711200000005</v>
      </c>
      <c r="G258" s="61">
        <v>0</v>
      </c>
      <c r="H258" s="61">
        <v>723.673</v>
      </c>
      <c r="I258" s="64">
        <f>4.35*3.1+2.1*3.05+2.75*3.05+2.9*3.35+1.2*2.1+2.1*1.2+0.9*4.2</f>
        <v>46.812500000000007</v>
      </c>
      <c r="L258" s="68">
        <f t="shared" si="18"/>
        <v>1.6700000529841532</v>
      </c>
      <c r="M258" s="66"/>
      <c r="N258" s="36"/>
    </row>
    <row r="259" spans="1:14" s="62" customFormat="1" ht="15.75" customHeight="1" x14ac:dyDescent="0.35">
      <c r="A259" s="111">
        <f t="shared" ref="A259:A263" si="28">A258+1</f>
        <v>2</v>
      </c>
      <c r="B259" s="112"/>
      <c r="C259" s="65" t="s">
        <v>263</v>
      </c>
      <c r="D259" s="61">
        <f>(53.903)*10.764</f>
        <v>580.21189199999992</v>
      </c>
      <c r="E259" s="61">
        <f>(2.83)*10.764</f>
        <v>30.462119999999999</v>
      </c>
      <c r="F259" s="61">
        <f t="shared" ref="F259:F260" si="29">D259+E259</f>
        <v>610.67401199999995</v>
      </c>
      <c r="G259" s="61">
        <v>0</v>
      </c>
      <c r="H259" s="61">
        <v>1019.826</v>
      </c>
      <c r="I259" s="36">
        <f>2.9*4.25+2.1*2.35+2.75*3.35+1.6*1.2+1.2*1.8+0.9*2.4</f>
        <v>32.712499999999999</v>
      </c>
      <c r="L259" s="68">
        <f t="shared" si="18"/>
        <v>1.6700006549484541</v>
      </c>
      <c r="M259" s="66"/>
      <c r="N259" s="36"/>
    </row>
    <row r="260" spans="1:14" s="62" customFormat="1" ht="15.75" customHeight="1" x14ac:dyDescent="0.35">
      <c r="A260" s="111">
        <f t="shared" si="28"/>
        <v>3</v>
      </c>
      <c r="B260" s="112"/>
      <c r="C260" s="65" t="s">
        <v>264</v>
      </c>
      <c r="D260" s="61">
        <f>(36.43)*10.764</f>
        <v>392.13252</v>
      </c>
      <c r="E260" s="65">
        <v>0</v>
      </c>
      <c r="F260" s="61">
        <f t="shared" si="29"/>
        <v>392.13252</v>
      </c>
      <c r="G260" s="61">
        <v>0</v>
      </c>
      <c r="H260" s="61">
        <v>654.86099999999999</v>
      </c>
      <c r="I260" s="36"/>
      <c r="L260" s="68">
        <f t="shared" si="18"/>
        <v>1.6699992135311807</v>
      </c>
      <c r="M260" s="66"/>
      <c r="N260" s="36"/>
    </row>
    <row r="261" spans="1:14" s="62" customFormat="1" ht="15.75" customHeight="1" x14ac:dyDescent="0.35">
      <c r="A261" s="111">
        <f t="shared" si="28"/>
        <v>4</v>
      </c>
      <c r="B261" s="112"/>
      <c r="C261" s="136" t="s">
        <v>272</v>
      </c>
      <c r="D261" s="137"/>
      <c r="E261" s="137"/>
      <c r="F261" s="137"/>
      <c r="G261" s="137"/>
      <c r="H261" s="138"/>
      <c r="I261" s="36"/>
      <c r="L261" s="68"/>
      <c r="M261" s="66"/>
      <c r="N261" s="36"/>
    </row>
    <row r="262" spans="1:14" s="62" customFormat="1" ht="15.75" customHeight="1" x14ac:dyDescent="0.35">
      <c r="A262" s="111">
        <f t="shared" si="28"/>
        <v>5</v>
      </c>
      <c r="B262" s="112"/>
      <c r="C262" s="139"/>
      <c r="D262" s="140"/>
      <c r="E262" s="140"/>
      <c r="F262" s="140"/>
      <c r="G262" s="140"/>
      <c r="H262" s="141"/>
      <c r="I262" s="36"/>
      <c r="L262" s="68"/>
      <c r="M262" s="66"/>
      <c r="N262" s="36"/>
    </row>
    <row r="263" spans="1:14" s="62" customFormat="1" ht="15.75" customHeight="1" x14ac:dyDescent="0.35">
      <c r="A263" s="111">
        <f t="shared" si="28"/>
        <v>6</v>
      </c>
      <c r="B263" s="112"/>
      <c r="C263" s="142"/>
      <c r="D263" s="143"/>
      <c r="E263" s="143"/>
      <c r="F263" s="143"/>
      <c r="G263" s="143"/>
      <c r="H263" s="144"/>
      <c r="I263" s="36"/>
      <c r="L263" s="68"/>
      <c r="M263" s="66"/>
      <c r="N263" s="36"/>
    </row>
    <row r="264" spans="1:14" s="62" customFormat="1" x14ac:dyDescent="0.35">
      <c r="A264" s="132" t="s">
        <v>265</v>
      </c>
      <c r="B264" s="132"/>
      <c r="C264" s="132"/>
      <c r="D264" s="132"/>
      <c r="E264" s="132"/>
      <c r="F264" s="132"/>
      <c r="G264" s="132"/>
      <c r="H264" s="132"/>
      <c r="I264" s="36"/>
      <c r="L264" s="68"/>
      <c r="M264" s="66"/>
    </row>
    <row r="265" spans="1:14" s="62" customFormat="1" x14ac:dyDescent="0.35">
      <c r="A265" s="128">
        <v>1</v>
      </c>
      <c r="B265" s="128"/>
      <c r="C265" s="65" t="s">
        <v>264</v>
      </c>
      <c r="D265" s="61">
        <f>(36.75)*10.764</f>
        <v>395.577</v>
      </c>
      <c r="E265" s="65">
        <v>0</v>
      </c>
      <c r="F265" s="61">
        <f>D265+E265</f>
        <v>395.577</v>
      </c>
      <c r="G265" s="61">
        <v>0</v>
      </c>
      <c r="H265" s="61">
        <v>660.61400000000003</v>
      </c>
      <c r="I265" s="36"/>
      <c r="L265" s="68">
        <f t="shared" si="18"/>
        <v>1.6700010364606639</v>
      </c>
      <c r="M265" s="66"/>
      <c r="N265" s="36"/>
    </row>
    <row r="266" spans="1:14" s="62" customFormat="1" x14ac:dyDescent="0.35">
      <c r="A266" s="128">
        <f>A265+1</f>
        <v>2</v>
      </c>
      <c r="B266" s="128"/>
      <c r="C266" s="65" t="s">
        <v>263</v>
      </c>
      <c r="D266" s="61">
        <f>(53.133)*10.764</f>
        <v>571.92361200000005</v>
      </c>
      <c r="E266" s="65">
        <v>0</v>
      </c>
      <c r="F266" s="61">
        <f t="shared" ref="F266:F268" si="30">D266+E266</f>
        <v>571.92361200000005</v>
      </c>
      <c r="G266" s="61">
        <v>0</v>
      </c>
      <c r="H266" s="61">
        <v>955.11199999999997</v>
      </c>
      <c r="I266" s="36"/>
      <c r="L266" s="68">
        <f t="shared" si="18"/>
        <v>1.6699992445844323</v>
      </c>
      <c r="M266" s="66"/>
      <c r="N266" s="36"/>
    </row>
    <row r="267" spans="1:14" s="62" customFormat="1" x14ac:dyDescent="0.35">
      <c r="A267" s="128">
        <f>A266+1</f>
        <v>3</v>
      </c>
      <c r="B267" s="128"/>
      <c r="C267" s="65" t="s">
        <v>264</v>
      </c>
      <c r="D267" s="61">
        <f>(37.036)*10.764</f>
        <v>398.65550400000001</v>
      </c>
      <c r="E267" s="61">
        <f>(2.9)*10.764</f>
        <v>31.215599999999998</v>
      </c>
      <c r="F267" s="61">
        <f t="shared" si="30"/>
        <v>429.871104</v>
      </c>
      <c r="G267" s="61">
        <v>0</v>
      </c>
      <c r="H267" s="61">
        <v>717.88499999999999</v>
      </c>
      <c r="I267" s="36"/>
      <c r="L267" s="68">
        <f t="shared" si="18"/>
        <v>1.6700005962717606</v>
      </c>
      <c r="M267" s="66"/>
      <c r="N267" s="36"/>
    </row>
    <row r="268" spans="1:14" s="62" customFormat="1" x14ac:dyDescent="0.35">
      <c r="A268" s="128">
        <f>A267+1</f>
        <v>4</v>
      </c>
      <c r="B268" s="128"/>
      <c r="C268" s="65" t="s">
        <v>264</v>
      </c>
      <c r="D268" s="61">
        <f>(37.508)*10.764</f>
        <v>403.73611199999999</v>
      </c>
      <c r="E268" s="61">
        <f>(2.75)*10.764</f>
        <v>29.600999999999999</v>
      </c>
      <c r="F268" s="61">
        <f t="shared" si="30"/>
        <v>433.33711199999999</v>
      </c>
      <c r="G268" s="61">
        <v>0</v>
      </c>
      <c r="H268" s="61">
        <v>723.673</v>
      </c>
      <c r="I268" s="36"/>
      <c r="L268" s="68">
        <f t="shared" si="18"/>
        <v>1.6700000529841534</v>
      </c>
      <c r="M268" s="66"/>
      <c r="N268" s="36"/>
    </row>
    <row r="269" spans="1:14" s="62" customFormat="1" x14ac:dyDescent="0.35">
      <c r="A269" s="128">
        <f>A268+1</f>
        <v>5</v>
      </c>
      <c r="B269" s="128"/>
      <c r="C269" s="65" t="s">
        <v>263</v>
      </c>
      <c r="D269" s="61">
        <f>(53.891)*10.764</f>
        <v>580.08272399999998</v>
      </c>
      <c r="E269" s="65">
        <v>0</v>
      </c>
      <c r="F269" s="61">
        <f>D269+E269</f>
        <v>580.08272399999998</v>
      </c>
      <c r="G269" s="61">
        <v>0</v>
      </c>
      <c r="H269" s="61">
        <v>968.73800000000006</v>
      </c>
      <c r="I269" s="36"/>
      <c r="L269" s="68">
        <f t="shared" si="18"/>
        <v>1.6699997430021725</v>
      </c>
      <c r="M269" s="66"/>
      <c r="N269" s="36"/>
    </row>
    <row r="270" spans="1:14" s="62" customFormat="1" x14ac:dyDescent="0.35">
      <c r="A270" s="128">
        <f>A269+1</f>
        <v>6</v>
      </c>
      <c r="B270" s="128"/>
      <c r="C270" s="65" t="s">
        <v>263</v>
      </c>
      <c r="D270" s="61">
        <f>(53.466)*10.764</f>
        <v>575.50802399999998</v>
      </c>
      <c r="E270" s="65">
        <v>0</v>
      </c>
      <c r="F270" s="61">
        <f>D270+E270</f>
        <v>575.50802399999998</v>
      </c>
      <c r="G270" s="61">
        <v>0</v>
      </c>
      <c r="H270" s="61">
        <v>961.09799999999996</v>
      </c>
      <c r="I270" s="36"/>
      <c r="L270" s="68">
        <f t="shared" si="18"/>
        <v>1.6699993048228985</v>
      </c>
      <c r="M270" s="66"/>
      <c r="N270" s="36"/>
    </row>
    <row r="271" spans="1:14" s="62" customFormat="1" x14ac:dyDescent="0.35">
      <c r="A271" s="129" t="s">
        <v>266</v>
      </c>
      <c r="B271" s="130"/>
      <c r="C271" s="130"/>
      <c r="D271" s="130"/>
      <c r="E271" s="130"/>
      <c r="F271" s="130"/>
      <c r="G271" s="130"/>
      <c r="H271" s="131"/>
      <c r="J271" s="36"/>
      <c r="L271" s="68"/>
      <c r="M271" s="66"/>
    </row>
    <row r="272" spans="1:14" s="62" customFormat="1" ht="15.75" customHeight="1" x14ac:dyDescent="0.35">
      <c r="A272" s="120">
        <v>1</v>
      </c>
      <c r="B272" s="121"/>
      <c r="C272" s="120" t="s">
        <v>267</v>
      </c>
      <c r="D272" s="126"/>
      <c r="E272" s="126"/>
      <c r="F272" s="126"/>
      <c r="G272" s="126"/>
      <c r="H272" s="121"/>
      <c r="I272" s="64"/>
      <c r="L272" s="68"/>
      <c r="M272" s="66"/>
      <c r="N272" s="36"/>
    </row>
    <row r="273" spans="1:14" s="62" customFormat="1" ht="15.75" customHeight="1" x14ac:dyDescent="0.35">
      <c r="A273" s="120">
        <f t="shared" ref="A273:A277" si="31">A272+1</f>
        <v>2</v>
      </c>
      <c r="B273" s="121"/>
      <c r="C273" s="65" t="s">
        <v>263</v>
      </c>
      <c r="D273" s="61">
        <f>(53.903)*10.764</f>
        <v>580.21189199999992</v>
      </c>
      <c r="E273" s="61">
        <f>(2.83)*10.764</f>
        <v>30.462119999999999</v>
      </c>
      <c r="F273" s="65">
        <f t="shared" ref="F273:F274" si="32">D273+E273</f>
        <v>610.67401199999995</v>
      </c>
      <c r="G273" s="65">
        <v>0</v>
      </c>
      <c r="H273" s="65">
        <v>1019.826</v>
      </c>
      <c r="I273" s="36"/>
      <c r="L273" s="68">
        <f t="shared" ref="L273:L291" si="33">H273/F273</f>
        <v>1.6700006549484541</v>
      </c>
      <c r="M273" s="66"/>
      <c r="N273" s="36"/>
    </row>
    <row r="274" spans="1:14" s="62" customFormat="1" ht="15.75" customHeight="1" x14ac:dyDescent="0.35">
      <c r="A274" s="120">
        <f t="shared" si="31"/>
        <v>3</v>
      </c>
      <c r="B274" s="121"/>
      <c r="C274" s="65" t="s">
        <v>264</v>
      </c>
      <c r="D274" s="61">
        <f>(36.43)*10.764</f>
        <v>392.13252</v>
      </c>
      <c r="E274" s="65">
        <v>0</v>
      </c>
      <c r="F274" s="65">
        <f t="shared" si="32"/>
        <v>392.13252</v>
      </c>
      <c r="G274" s="65">
        <v>0</v>
      </c>
      <c r="H274" s="65">
        <v>654.86099999999999</v>
      </c>
      <c r="I274" s="36"/>
      <c r="L274" s="68">
        <f t="shared" si="33"/>
        <v>1.6699992135311807</v>
      </c>
      <c r="M274" s="66"/>
      <c r="N274" s="36"/>
    </row>
    <row r="275" spans="1:14" s="62" customFormat="1" ht="15.75" customHeight="1" x14ac:dyDescent="0.35">
      <c r="A275" s="120">
        <f t="shared" si="31"/>
        <v>4</v>
      </c>
      <c r="B275" s="121"/>
      <c r="C275" s="65" t="s">
        <v>264</v>
      </c>
      <c r="D275" s="61">
        <f>(36.75)*10.764</f>
        <v>395.577</v>
      </c>
      <c r="E275" s="65">
        <v>0</v>
      </c>
      <c r="F275" s="65">
        <f t="shared" ref="F275:F277" si="34">D275+E275</f>
        <v>395.577</v>
      </c>
      <c r="G275" s="65">
        <v>0</v>
      </c>
      <c r="H275" s="65">
        <v>660.61400000000003</v>
      </c>
      <c r="I275" s="36"/>
      <c r="L275" s="68">
        <f t="shared" si="33"/>
        <v>1.6700010364606639</v>
      </c>
      <c r="M275" s="66"/>
      <c r="N275" s="36"/>
    </row>
    <row r="276" spans="1:14" s="62" customFormat="1" ht="15.75" customHeight="1" x14ac:dyDescent="0.35">
      <c r="A276" s="120">
        <f t="shared" si="31"/>
        <v>5</v>
      </c>
      <c r="B276" s="121"/>
      <c r="C276" s="65" t="s">
        <v>263</v>
      </c>
      <c r="D276" s="61">
        <f>(54.661)*10.764</f>
        <v>588.37100399999997</v>
      </c>
      <c r="E276" s="61">
        <f>(2.83)*10.764</f>
        <v>30.462119999999999</v>
      </c>
      <c r="F276" s="65">
        <f t="shared" si="34"/>
        <v>618.833124</v>
      </c>
      <c r="G276" s="65">
        <v>0</v>
      </c>
      <c r="H276" s="65">
        <v>1033.451</v>
      </c>
      <c r="I276" s="36"/>
      <c r="L276" s="68">
        <f t="shared" si="33"/>
        <v>1.6699994876163093</v>
      </c>
      <c r="M276" s="66"/>
      <c r="N276" s="36"/>
    </row>
    <row r="277" spans="1:14" s="62" customFormat="1" ht="15.75" customHeight="1" x14ac:dyDescent="0.35">
      <c r="A277" s="120">
        <f t="shared" si="31"/>
        <v>6</v>
      </c>
      <c r="B277" s="121"/>
      <c r="C277" s="65" t="s">
        <v>263</v>
      </c>
      <c r="D277" s="61">
        <f>(54.246)*10.764</f>
        <v>583.90394400000002</v>
      </c>
      <c r="E277" s="61">
        <f>(2.83)*10.764</f>
        <v>30.462119999999999</v>
      </c>
      <c r="F277" s="65">
        <f t="shared" si="34"/>
        <v>614.36606400000005</v>
      </c>
      <c r="G277" s="65">
        <v>0</v>
      </c>
      <c r="H277" s="65">
        <v>1025.991</v>
      </c>
      <c r="I277" s="36"/>
      <c r="L277" s="68">
        <f t="shared" si="33"/>
        <v>1.6699994679393617</v>
      </c>
      <c r="M277" s="66"/>
      <c r="N277" s="36"/>
    </row>
    <row r="278" spans="1:14" s="62" customFormat="1" x14ac:dyDescent="0.35">
      <c r="A278" s="108" t="s">
        <v>273</v>
      </c>
      <c r="B278" s="109"/>
      <c r="C278" s="109"/>
      <c r="D278" s="109"/>
      <c r="E278" s="109"/>
      <c r="F278" s="109"/>
      <c r="G278" s="109"/>
      <c r="H278" s="110"/>
      <c r="J278" s="36"/>
      <c r="L278" s="68"/>
      <c r="M278" s="66"/>
    </row>
    <row r="279" spans="1:14" s="62" customFormat="1" ht="15.75" customHeight="1" x14ac:dyDescent="0.35">
      <c r="A279" s="111">
        <v>1</v>
      </c>
      <c r="B279" s="112"/>
      <c r="C279" s="65" t="s">
        <v>264</v>
      </c>
      <c r="D279" s="61">
        <f>(37.438)*10.764</f>
        <v>402.98263200000002</v>
      </c>
      <c r="E279" s="61">
        <f>(2.82)*10.764</f>
        <v>30.354479999999995</v>
      </c>
      <c r="F279" s="61">
        <f>D279+E279</f>
        <v>433.33711200000005</v>
      </c>
      <c r="G279" s="61">
        <v>0</v>
      </c>
      <c r="H279" s="61">
        <v>723.673</v>
      </c>
      <c r="I279" s="64">
        <f>4.35*3.1+2.1*3.05+2.75*3.05+2.9*3.35+1.2*2.1+2.1*1.2+0.9*4.2</f>
        <v>46.812500000000007</v>
      </c>
      <c r="L279" s="68">
        <f t="shared" si="33"/>
        <v>1.6700000529841532</v>
      </c>
      <c r="M279" s="66"/>
      <c r="N279" s="36"/>
    </row>
    <row r="280" spans="1:14" s="62" customFormat="1" ht="15.75" customHeight="1" x14ac:dyDescent="0.35">
      <c r="A280" s="111">
        <f t="shared" ref="A280:A284" si="35">A279+1</f>
        <v>2</v>
      </c>
      <c r="B280" s="112"/>
      <c r="C280" s="65" t="s">
        <v>263</v>
      </c>
      <c r="D280" s="61">
        <f>(53.903)*10.764</f>
        <v>580.21189199999992</v>
      </c>
      <c r="E280" s="61">
        <f>(2.83)*10.764</f>
        <v>30.462119999999999</v>
      </c>
      <c r="F280" s="61">
        <f t="shared" ref="F280:F284" si="36">D280+E280</f>
        <v>610.67401199999995</v>
      </c>
      <c r="G280" s="61">
        <v>0</v>
      </c>
      <c r="H280" s="61">
        <v>1019.826</v>
      </c>
      <c r="I280" s="36">
        <f>2.9*4.25+2.1*2.35+2.75*3.35+1.6*1.2+1.2*1.8+0.9*2.4</f>
        <v>32.712499999999999</v>
      </c>
      <c r="L280" s="68">
        <f t="shared" si="33"/>
        <v>1.6700006549484541</v>
      </c>
      <c r="M280" s="66"/>
      <c r="N280" s="36"/>
    </row>
    <row r="281" spans="1:14" s="62" customFormat="1" ht="15.75" customHeight="1" x14ac:dyDescent="0.35">
      <c r="A281" s="111">
        <f t="shared" si="35"/>
        <v>3</v>
      </c>
      <c r="B281" s="112"/>
      <c r="C281" s="65" t="s">
        <v>264</v>
      </c>
      <c r="D281" s="61">
        <f>(36.43)*10.764</f>
        <v>392.13252</v>
      </c>
      <c r="E281" s="65">
        <v>0</v>
      </c>
      <c r="F281" s="61">
        <f t="shared" si="36"/>
        <v>392.13252</v>
      </c>
      <c r="G281" s="61">
        <v>0</v>
      </c>
      <c r="H281" s="61">
        <v>654.86099999999999</v>
      </c>
      <c r="I281" s="36"/>
      <c r="L281" s="68">
        <f t="shared" si="33"/>
        <v>1.6699992135311807</v>
      </c>
      <c r="M281" s="66"/>
      <c r="N281" s="36"/>
    </row>
    <row r="282" spans="1:14" s="62" customFormat="1" ht="15.75" customHeight="1" x14ac:dyDescent="0.35">
      <c r="A282" s="111">
        <f t="shared" si="35"/>
        <v>4</v>
      </c>
      <c r="B282" s="112"/>
      <c r="C282" s="65" t="s">
        <v>264</v>
      </c>
      <c r="D282" s="61">
        <f>(36.75)*10.764</f>
        <v>395.577</v>
      </c>
      <c r="E282" s="65">
        <v>0</v>
      </c>
      <c r="F282" s="61">
        <f t="shared" si="36"/>
        <v>395.577</v>
      </c>
      <c r="G282" s="61">
        <v>0</v>
      </c>
      <c r="H282" s="61">
        <v>660.61400000000003</v>
      </c>
      <c r="I282" s="36"/>
      <c r="L282" s="68">
        <f t="shared" si="33"/>
        <v>1.6700010364606639</v>
      </c>
      <c r="M282" s="66"/>
      <c r="N282" s="36"/>
    </row>
    <row r="283" spans="1:14" s="62" customFormat="1" ht="15.75" customHeight="1" x14ac:dyDescent="0.35">
      <c r="A283" s="111">
        <f t="shared" si="35"/>
        <v>5</v>
      </c>
      <c r="B283" s="112"/>
      <c r="C283" s="65" t="s">
        <v>263</v>
      </c>
      <c r="D283" s="61">
        <f>(54.661)*10.764</f>
        <v>588.37100399999997</v>
      </c>
      <c r="E283" s="61">
        <f>(2.83)*10.764</f>
        <v>30.462119999999999</v>
      </c>
      <c r="F283" s="61">
        <f t="shared" si="36"/>
        <v>618.833124</v>
      </c>
      <c r="G283" s="61">
        <v>0</v>
      </c>
      <c r="H283" s="61">
        <v>1033.451</v>
      </c>
      <c r="I283" s="36"/>
      <c r="L283" s="68">
        <f t="shared" si="33"/>
        <v>1.6699994876163093</v>
      </c>
      <c r="M283" s="66"/>
      <c r="N283" s="36"/>
    </row>
    <row r="284" spans="1:14" s="62" customFormat="1" ht="15.75" customHeight="1" x14ac:dyDescent="0.35">
      <c r="A284" s="111">
        <f t="shared" si="35"/>
        <v>6</v>
      </c>
      <c r="B284" s="112"/>
      <c r="C284" s="65" t="s">
        <v>263</v>
      </c>
      <c r="D284" s="61">
        <f>(54.246)*10.764</f>
        <v>583.90394400000002</v>
      </c>
      <c r="E284" s="61">
        <f>(2.83)*10.764</f>
        <v>30.462119999999999</v>
      </c>
      <c r="F284" s="61">
        <f t="shared" si="36"/>
        <v>614.36606400000005</v>
      </c>
      <c r="G284" s="61">
        <v>0</v>
      </c>
      <c r="H284" s="61">
        <v>1025.991</v>
      </c>
      <c r="I284" s="36"/>
      <c r="L284" s="68">
        <f t="shared" si="33"/>
        <v>1.6699994679393617</v>
      </c>
      <c r="M284" s="66"/>
      <c r="N284" s="36"/>
    </row>
    <row r="285" spans="1:14" s="62" customFormat="1" x14ac:dyDescent="0.35">
      <c r="A285" s="122" t="s">
        <v>268</v>
      </c>
      <c r="B285" s="122"/>
      <c r="C285" s="122"/>
      <c r="D285" s="122"/>
      <c r="E285" s="122"/>
      <c r="F285" s="122"/>
      <c r="G285" s="122"/>
      <c r="H285" s="122"/>
      <c r="I285" s="36"/>
      <c r="L285" s="68"/>
      <c r="M285" s="66"/>
    </row>
    <row r="286" spans="1:14" s="62" customFormat="1" x14ac:dyDescent="0.35">
      <c r="A286" s="119">
        <v>1</v>
      </c>
      <c r="B286" s="119"/>
      <c r="C286" s="120" t="s">
        <v>267</v>
      </c>
      <c r="D286" s="126"/>
      <c r="E286" s="126"/>
      <c r="F286" s="126"/>
      <c r="G286" s="126"/>
      <c r="H286" s="121"/>
      <c r="I286" s="36"/>
      <c r="L286" s="68"/>
      <c r="M286" s="66"/>
      <c r="N286" s="36"/>
    </row>
    <row r="287" spans="1:14" s="62" customFormat="1" x14ac:dyDescent="0.35">
      <c r="A287" s="119">
        <f>A286+1</f>
        <v>2</v>
      </c>
      <c r="B287" s="119"/>
      <c r="C287" s="65" t="s">
        <v>263</v>
      </c>
      <c r="D287" s="61">
        <f>(53.133)*10.764</f>
        <v>571.92361200000005</v>
      </c>
      <c r="E287" s="65">
        <v>0</v>
      </c>
      <c r="F287" s="65">
        <f t="shared" ref="F287" si="37">D287+E287</f>
        <v>571.92361200000005</v>
      </c>
      <c r="G287" s="65">
        <v>0</v>
      </c>
      <c r="H287" s="65">
        <v>955.11199999999997</v>
      </c>
      <c r="I287" s="36"/>
      <c r="L287" s="68">
        <f t="shared" si="33"/>
        <v>1.6699992445844323</v>
      </c>
      <c r="M287" s="66"/>
      <c r="N287" s="36"/>
    </row>
    <row r="288" spans="1:14" s="62" customFormat="1" x14ac:dyDescent="0.35">
      <c r="A288" s="119">
        <f>A287+1</f>
        <v>3</v>
      </c>
      <c r="B288" s="119"/>
      <c r="C288" s="65" t="s">
        <v>264</v>
      </c>
      <c r="D288" s="61">
        <f>(37.036)*10.764</f>
        <v>398.65550400000001</v>
      </c>
      <c r="E288" s="61">
        <f>(2.9)*10.764</f>
        <v>31.215599999999998</v>
      </c>
      <c r="F288" s="65">
        <f>D288+E288</f>
        <v>429.871104</v>
      </c>
      <c r="G288" s="65">
        <v>0</v>
      </c>
      <c r="H288" s="65">
        <v>717.88499999999999</v>
      </c>
      <c r="I288" s="36"/>
      <c r="L288" s="68">
        <f t="shared" si="33"/>
        <v>1.6700005962717606</v>
      </c>
      <c r="M288" s="66"/>
      <c r="N288" s="36"/>
    </row>
    <row r="289" spans="1:14" s="62" customFormat="1" x14ac:dyDescent="0.35">
      <c r="A289" s="119">
        <f>A288+1</f>
        <v>4</v>
      </c>
      <c r="B289" s="119"/>
      <c r="C289" s="65" t="s">
        <v>264</v>
      </c>
      <c r="D289" s="61">
        <f>(37.508)*10.764</f>
        <v>403.73611199999999</v>
      </c>
      <c r="E289" s="61">
        <f>(2.75)*10.764</f>
        <v>29.600999999999999</v>
      </c>
      <c r="F289" s="65">
        <f>D289+E289</f>
        <v>433.33711199999999</v>
      </c>
      <c r="G289" s="65">
        <v>0</v>
      </c>
      <c r="H289" s="65">
        <v>723.673</v>
      </c>
      <c r="I289" s="36"/>
      <c r="L289" s="68">
        <f t="shared" si="33"/>
        <v>1.6700000529841534</v>
      </c>
      <c r="M289" s="66"/>
      <c r="N289" s="36"/>
    </row>
    <row r="290" spans="1:14" s="62" customFormat="1" x14ac:dyDescent="0.35">
      <c r="A290" s="119">
        <f>A289+1</f>
        <v>5</v>
      </c>
      <c r="B290" s="119"/>
      <c r="C290" s="65" t="s">
        <v>263</v>
      </c>
      <c r="D290" s="61">
        <f>(53.891)*10.764</f>
        <v>580.08272399999998</v>
      </c>
      <c r="E290" s="65">
        <v>0</v>
      </c>
      <c r="F290" s="65">
        <f>D290+E290</f>
        <v>580.08272399999998</v>
      </c>
      <c r="G290" s="65">
        <v>0</v>
      </c>
      <c r="H290" s="65">
        <v>968.73800000000006</v>
      </c>
      <c r="I290" s="36"/>
      <c r="L290" s="68">
        <f t="shared" si="33"/>
        <v>1.6699997430021725</v>
      </c>
      <c r="M290" s="66"/>
      <c r="N290" s="36"/>
    </row>
    <row r="291" spans="1:14" s="62" customFormat="1" x14ac:dyDescent="0.35">
      <c r="A291" s="119">
        <f>A290+1</f>
        <v>6</v>
      </c>
      <c r="B291" s="119"/>
      <c r="C291" s="65" t="s">
        <v>263</v>
      </c>
      <c r="D291" s="61">
        <f>(53.466)*10.764</f>
        <v>575.50802399999998</v>
      </c>
      <c r="E291" s="65">
        <v>0</v>
      </c>
      <c r="F291" s="65">
        <f>D291+E291</f>
        <v>575.50802399999998</v>
      </c>
      <c r="G291" s="65">
        <v>0</v>
      </c>
      <c r="H291" s="65">
        <v>961.09799999999996</v>
      </c>
      <c r="I291" s="36"/>
      <c r="L291" s="68">
        <f t="shared" si="33"/>
        <v>1.6699993048228985</v>
      </c>
      <c r="M291" s="66"/>
      <c r="N291" s="36"/>
    </row>
    <row r="292" spans="1:14" s="35" customFormat="1" x14ac:dyDescent="0.35">
      <c r="A292" s="127" t="s">
        <v>67</v>
      </c>
      <c r="B292" s="127"/>
      <c r="C292" s="127"/>
      <c r="D292" s="127"/>
      <c r="E292" s="127"/>
      <c r="F292" s="127"/>
      <c r="G292" s="127"/>
      <c r="H292" s="127"/>
      <c r="L292" s="66"/>
      <c r="M292" s="66"/>
    </row>
    <row r="293" spans="1:14" s="35" customFormat="1" ht="51.75" customHeight="1" x14ac:dyDescent="0.35">
      <c r="A293" s="46" t="s">
        <v>150</v>
      </c>
      <c r="B293" s="81" t="s">
        <v>306</v>
      </c>
      <c r="C293" s="82"/>
      <c r="D293" s="82"/>
      <c r="E293" s="82"/>
      <c r="F293" s="82"/>
      <c r="G293" s="82"/>
      <c r="H293" s="83"/>
      <c r="L293" s="66"/>
      <c r="M293" s="66"/>
    </row>
    <row r="294" spans="1:14" s="35" customFormat="1" x14ac:dyDescent="0.35">
      <c r="A294" s="46" t="s">
        <v>150</v>
      </c>
      <c r="B294" s="81" t="str">
        <f>(IF(H187="Saleable area Loading :","We have considered Saleable area of Flats as per our Calculation.","We considered Saleable area of Flat as per Builder area Sheet."))</f>
        <v>We considered Saleable area of Flat as per Builder area Sheet.</v>
      </c>
      <c r="C294" s="82"/>
      <c r="D294" s="82"/>
      <c r="E294" s="82"/>
      <c r="F294" s="82"/>
      <c r="G294" s="82"/>
      <c r="H294" s="83"/>
      <c r="L294" s="66"/>
      <c r="M294" s="66"/>
    </row>
    <row r="295" spans="1:14" s="35" customFormat="1" x14ac:dyDescent="0.35">
      <c r="A295" s="46" t="s">
        <v>150</v>
      </c>
      <c r="B295" s="81" t="str">
        <f>(IF(H150="Saleable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95" s="82"/>
      <c r="D295" s="82"/>
      <c r="E295" s="82"/>
      <c r="F295" s="82"/>
      <c r="G295" s="82"/>
      <c r="H295" s="83"/>
      <c r="L295" s="66"/>
      <c r="M295" s="66"/>
    </row>
    <row r="296" spans="1:14" s="35" customFormat="1" x14ac:dyDescent="0.35">
      <c r="A296" s="46" t="s">
        <v>150</v>
      </c>
      <c r="B296" s="123" t="s">
        <v>121</v>
      </c>
      <c r="C296" s="124"/>
      <c r="D296" s="124"/>
      <c r="E296" s="124"/>
      <c r="F296" s="124"/>
      <c r="G296" s="124"/>
      <c r="H296" s="125"/>
      <c r="L296" s="66"/>
      <c r="M296" s="66"/>
    </row>
    <row r="297" spans="1:14" s="35" customFormat="1" x14ac:dyDescent="0.35">
      <c r="A297" s="46" t="s">
        <v>150</v>
      </c>
      <c r="B297" s="81" t="s">
        <v>279</v>
      </c>
      <c r="C297" s="82"/>
      <c r="D297" s="82"/>
      <c r="E297" s="82"/>
      <c r="F297" s="82"/>
      <c r="G297" s="82"/>
      <c r="H297" s="83"/>
      <c r="L297" s="66"/>
      <c r="M297" s="66"/>
    </row>
    <row r="298" spans="1:14" s="35" customFormat="1" x14ac:dyDescent="0.35">
      <c r="A298" s="46" t="s">
        <v>150</v>
      </c>
      <c r="B298" s="123" t="s">
        <v>149</v>
      </c>
      <c r="C298" s="124"/>
      <c r="D298" s="124"/>
      <c r="E298" s="124"/>
      <c r="F298" s="124"/>
      <c r="G298" s="124"/>
      <c r="H298" s="125"/>
      <c r="L298" s="66"/>
      <c r="M298" s="66"/>
    </row>
    <row r="299" spans="1:14" s="35" customFormat="1" x14ac:dyDescent="0.35">
      <c r="A299" s="46" t="s">
        <v>150</v>
      </c>
      <c r="B299" s="123" t="s">
        <v>122</v>
      </c>
      <c r="C299" s="124"/>
      <c r="D299" s="124"/>
      <c r="E299" s="124"/>
      <c r="F299" s="124"/>
      <c r="G299" s="124"/>
      <c r="H299" s="125"/>
      <c r="L299" s="66"/>
      <c r="M299" s="66"/>
    </row>
    <row r="300" spans="1:14" s="35" customFormat="1" ht="34.5" customHeight="1" x14ac:dyDescent="0.35">
      <c r="A300" s="46" t="s">
        <v>150</v>
      </c>
      <c r="B300" s="123" t="s">
        <v>151</v>
      </c>
      <c r="C300" s="124"/>
      <c r="D300" s="124"/>
      <c r="E300" s="124"/>
      <c r="F300" s="124"/>
      <c r="G300" s="124"/>
      <c r="H300" s="125"/>
      <c r="L300" s="66"/>
      <c r="M300" s="66"/>
    </row>
    <row r="301" spans="1:14" s="35" customFormat="1" x14ac:dyDescent="0.35">
      <c r="A301" s="46" t="s">
        <v>150</v>
      </c>
      <c r="B301" s="123" t="s">
        <v>123</v>
      </c>
      <c r="C301" s="124"/>
      <c r="D301" s="124"/>
      <c r="E301" s="124"/>
      <c r="F301" s="124"/>
      <c r="G301" s="124"/>
      <c r="H301" s="125"/>
      <c r="L301" s="66"/>
      <c r="M301" s="66"/>
    </row>
    <row r="302" spans="1:14" s="35" customFormat="1" ht="80.25" customHeight="1" x14ac:dyDescent="0.35">
      <c r="A302" s="60" t="s">
        <v>150</v>
      </c>
      <c r="B302" s="105" t="s">
        <v>280</v>
      </c>
      <c r="C302" s="106"/>
      <c r="D302" s="106"/>
      <c r="E302" s="106"/>
      <c r="F302" s="106"/>
      <c r="G302" s="106"/>
      <c r="H302" s="107"/>
      <c r="L302" s="66"/>
      <c r="M302" s="66"/>
    </row>
    <row r="303" spans="1:14" s="35" customFormat="1" ht="34.5" customHeight="1" x14ac:dyDescent="0.35">
      <c r="A303" s="75" t="s">
        <v>150</v>
      </c>
      <c r="B303" s="81" t="s">
        <v>298</v>
      </c>
      <c r="C303" s="82"/>
      <c r="D303" s="82"/>
      <c r="E303" s="82"/>
      <c r="F303" s="82"/>
      <c r="G303" s="82"/>
      <c r="H303" s="83"/>
      <c r="L303" s="66"/>
      <c r="M303" s="66"/>
    </row>
    <row r="304" spans="1:14" s="35" customFormat="1" x14ac:dyDescent="0.35">
      <c r="A304" s="59" t="s">
        <v>150</v>
      </c>
      <c r="B304" s="81" t="s">
        <v>305</v>
      </c>
      <c r="C304" s="82"/>
      <c r="D304" s="82"/>
      <c r="E304" s="82"/>
      <c r="F304" s="82"/>
      <c r="G304" s="82"/>
      <c r="H304" s="83"/>
      <c r="L304" s="66"/>
      <c r="M304" s="66"/>
    </row>
    <row r="305" spans="1:13" x14ac:dyDescent="0.35">
      <c r="A305" s="174" t="s">
        <v>60</v>
      </c>
      <c r="B305" s="174"/>
      <c r="C305" s="174"/>
      <c r="D305" s="174"/>
      <c r="E305" s="174"/>
      <c r="F305" s="174"/>
      <c r="G305" s="174"/>
      <c r="H305" s="174"/>
      <c r="L305" s="66"/>
      <c r="M305" s="66"/>
    </row>
    <row r="306" spans="1:13" x14ac:dyDescent="0.35">
      <c r="A306" s="151" t="s">
        <v>61</v>
      </c>
      <c r="B306" s="151"/>
      <c r="C306" s="151"/>
      <c r="D306" s="151"/>
      <c r="E306" s="151"/>
      <c r="F306" s="151"/>
      <c r="G306" s="151"/>
      <c r="H306" s="151"/>
      <c r="L306" s="66"/>
      <c r="M306" s="66"/>
    </row>
    <row r="307" spans="1:13" ht="15.75" customHeight="1" x14ac:dyDescent="0.35">
      <c r="A307" s="190" t="s">
        <v>62</v>
      </c>
      <c r="B307" s="190"/>
      <c r="C307" s="190"/>
      <c r="D307" s="190"/>
      <c r="E307" s="190"/>
      <c r="F307" s="190"/>
      <c r="G307" s="190"/>
      <c r="H307" s="190"/>
      <c r="L307" s="66"/>
      <c r="M307" s="66"/>
    </row>
    <row r="308" spans="1:13" x14ac:dyDescent="0.35">
      <c r="A308" s="151" t="s">
        <v>63</v>
      </c>
      <c r="B308" s="151"/>
      <c r="C308" s="151"/>
      <c r="D308" s="151"/>
      <c r="E308" s="151"/>
      <c r="F308" s="151"/>
      <c r="G308" s="151"/>
      <c r="H308" s="151"/>
      <c r="L308" s="66"/>
      <c r="M308" s="66"/>
    </row>
    <row r="309" spans="1:13" x14ac:dyDescent="0.35">
      <c r="A309" s="151" t="s">
        <v>64</v>
      </c>
      <c r="B309" s="151"/>
      <c r="C309" s="151"/>
      <c r="D309" s="151"/>
      <c r="E309" s="151"/>
      <c r="F309" s="151"/>
      <c r="G309" s="151"/>
      <c r="H309" s="151"/>
      <c r="L309" s="66"/>
      <c r="M309" s="66"/>
    </row>
    <row r="310" spans="1:13" x14ac:dyDescent="0.35">
      <c r="A310" s="151" t="s">
        <v>124</v>
      </c>
      <c r="B310" s="151"/>
      <c r="C310" s="151"/>
      <c r="D310" s="151"/>
      <c r="E310" s="151"/>
      <c r="F310" s="151"/>
      <c r="G310" s="151"/>
      <c r="H310" s="151"/>
      <c r="L310" s="66"/>
      <c r="M310" s="66"/>
    </row>
    <row r="311" spans="1:13" ht="34" customHeight="1" x14ac:dyDescent="0.35">
      <c r="A311" s="116" t="s">
        <v>125</v>
      </c>
      <c r="B311" s="116"/>
      <c r="C311" s="116"/>
      <c r="D311" s="116"/>
      <c r="E311" s="116"/>
      <c r="F311" s="116"/>
      <c r="G311" s="116"/>
      <c r="H311" s="116"/>
      <c r="L311" s="66"/>
      <c r="M311" s="66"/>
    </row>
    <row r="312" spans="1:13" x14ac:dyDescent="0.35">
      <c r="A312" s="204" t="s">
        <v>76</v>
      </c>
      <c r="B312" s="204"/>
      <c r="C312" s="204" t="s">
        <v>301</v>
      </c>
      <c r="D312" s="204"/>
      <c r="E312" s="204" t="s">
        <v>105</v>
      </c>
      <c r="F312" s="204"/>
      <c r="G312" s="204" t="s">
        <v>307</v>
      </c>
      <c r="H312" s="204"/>
      <c r="L312" s="66"/>
      <c r="M312" s="66"/>
    </row>
    <row r="313" spans="1:13" x14ac:dyDescent="0.35">
      <c r="A313" s="203" t="s">
        <v>78</v>
      </c>
      <c r="B313" s="203"/>
      <c r="C313" s="203"/>
      <c r="D313" s="203"/>
      <c r="E313" s="203"/>
      <c r="F313" s="203"/>
      <c r="G313" s="203"/>
      <c r="H313" s="203"/>
      <c r="L313" s="66"/>
      <c r="M313" s="66"/>
    </row>
    <row r="314" spans="1:13" x14ac:dyDescent="0.35">
      <c r="A314" s="203"/>
      <c r="B314" s="203"/>
      <c r="C314" s="203"/>
      <c r="D314" s="203"/>
      <c r="E314" s="203"/>
      <c r="F314" s="203"/>
      <c r="G314" s="203"/>
      <c r="H314" s="203"/>
      <c r="L314" s="66"/>
      <c r="M314" s="66"/>
    </row>
    <row r="315" spans="1:13" x14ac:dyDescent="0.35">
      <c r="A315" s="203"/>
      <c r="B315" s="203"/>
      <c r="C315" s="203"/>
      <c r="D315" s="203"/>
      <c r="E315" s="203"/>
      <c r="F315" s="203"/>
      <c r="G315" s="203"/>
      <c r="H315" s="203"/>
      <c r="L315" s="66"/>
      <c r="M315" s="66"/>
    </row>
    <row r="316" spans="1:13" x14ac:dyDescent="0.35">
      <c r="A316" s="203"/>
      <c r="B316" s="203"/>
      <c r="C316" s="203"/>
      <c r="D316" s="203"/>
      <c r="E316" s="203"/>
      <c r="F316" s="203"/>
      <c r="G316" s="203"/>
      <c r="H316" s="203"/>
    </row>
    <row r="317" spans="1:13" x14ac:dyDescent="0.35">
      <c r="A317" s="38" t="s">
        <v>65</v>
      </c>
      <c r="B317" s="39"/>
      <c r="C317" s="39"/>
      <c r="D317" s="38" t="str">
        <f>E8</f>
        <v>Mantram</v>
      </c>
      <c r="F317" s="39"/>
      <c r="G317" s="39"/>
      <c r="H317" s="39"/>
    </row>
    <row r="318" spans="1:13" x14ac:dyDescent="0.35">
      <c r="A318" s="39"/>
      <c r="B318" s="39"/>
      <c r="C318" s="39"/>
      <c r="D318" s="39"/>
      <c r="E318" s="39"/>
      <c r="F318" s="39"/>
      <c r="G318" s="39"/>
      <c r="H318" s="39"/>
    </row>
    <row r="319" spans="1:13" x14ac:dyDescent="0.35">
      <c r="A319" s="39"/>
      <c r="B319" s="39"/>
      <c r="C319" s="39"/>
      <c r="D319" s="39"/>
      <c r="E319" s="39"/>
      <c r="F319" s="39"/>
      <c r="G319" s="39"/>
      <c r="H319" s="39"/>
    </row>
    <row r="320" spans="1:13" ht="15" customHeight="1" x14ac:dyDescent="0.35"/>
    <row r="361" spans="1:1" x14ac:dyDescent="0.35">
      <c r="A361" s="41" t="s">
        <v>159</v>
      </c>
    </row>
    <row r="405" spans="1:1" x14ac:dyDescent="0.35">
      <c r="A405" s="41" t="s">
        <v>66</v>
      </c>
    </row>
  </sheetData>
  <mergeCells count="466"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B304:H304"/>
    <mergeCell ref="A130:E130"/>
    <mergeCell ref="A124:B124"/>
    <mergeCell ref="A146:B146"/>
    <mergeCell ref="E146:F146"/>
    <mergeCell ref="A135:E135"/>
    <mergeCell ref="G146:H146"/>
    <mergeCell ref="A144:B144"/>
    <mergeCell ref="C144:D144"/>
    <mergeCell ref="E144:F144"/>
    <mergeCell ref="G144:H144"/>
    <mergeCell ref="B300:H300"/>
    <mergeCell ref="A204:B204"/>
    <mergeCell ref="B298:H298"/>
    <mergeCell ref="G115:H124"/>
    <mergeCell ref="A116:B116"/>
    <mergeCell ref="A117:B117"/>
    <mergeCell ref="A118:B118"/>
    <mergeCell ref="F127:H127"/>
    <mergeCell ref="A127:E127"/>
    <mergeCell ref="D150:D151"/>
    <mergeCell ref="A129:E129"/>
    <mergeCell ref="A128:E128"/>
    <mergeCell ref="A125:E125"/>
    <mergeCell ref="F150:F151"/>
    <mergeCell ref="C140:D140"/>
    <mergeCell ref="E140:F140"/>
    <mergeCell ref="B150:B151"/>
    <mergeCell ref="A150:A151"/>
    <mergeCell ref="C187:C188"/>
    <mergeCell ref="G187:G188"/>
    <mergeCell ref="A152:H152"/>
    <mergeCell ref="A159:B159"/>
    <mergeCell ref="A160:B160"/>
    <mergeCell ref="A161:B161"/>
    <mergeCell ref="A162:B162"/>
    <mergeCell ref="A168:B168"/>
    <mergeCell ref="A169:B169"/>
    <mergeCell ref="A170:H170"/>
    <mergeCell ref="A171:B171"/>
    <mergeCell ref="A172:B172"/>
    <mergeCell ref="A163:B163"/>
    <mergeCell ref="A164:B164"/>
    <mergeCell ref="A165:B165"/>
    <mergeCell ref="A166:B166"/>
    <mergeCell ref="A167:B167"/>
    <mergeCell ref="A178:B178"/>
    <mergeCell ref="A179:B179"/>
    <mergeCell ref="A113:B113"/>
    <mergeCell ref="C113:H113"/>
    <mergeCell ref="A44:D44"/>
    <mergeCell ref="A38:B38"/>
    <mergeCell ref="C38:H38"/>
    <mergeCell ref="A45:D45"/>
    <mergeCell ref="A80:B80"/>
    <mergeCell ref="C143:D143"/>
    <mergeCell ref="E143:F143"/>
    <mergeCell ref="G143:H143"/>
    <mergeCell ref="A126:E126"/>
    <mergeCell ref="A115:B115"/>
    <mergeCell ref="A46:D46"/>
    <mergeCell ref="A47:H47"/>
    <mergeCell ref="D59:H59"/>
    <mergeCell ref="A59:C59"/>
    <mergeCell ref="G50:H50"/>
    <mergeCell ref="A51:B52"/>
    <mergeCell ref="A79:B79"/>
    <mergeCell ref="A39:B39"/>
    <mergeCell ref="C39:H39"/>
    <mergeCell ref="A72:B72"/>
    <mergeCell ref="F129:H129"/>
    <mergeCell ref="A75:B75"/>
    <mergeCell ref="A62:C62"/>
    <mergeCell ref="A63:C63"/>
    <mergeCell ref="D62:H62"/>
    <mergeCell ref="D63:H63"/>
    <mergeCell ref="A43:D43"/>
    <mergeCell ref="E43:H43"/>
    <mergeCell ref="E44:H44"/>
    <mergeCell ref="E45:H45"/>
    <mergeCell ref="E46:H46"/>
    <mergeCell ref="C48:H48"/>
    <mergeCell ref="G53:H53"/>
    <mergeCell ref="A53:B54"/>
    <mergeCell ref="C54:H54"/>
    <mergeCell ref="A32:B32"/>
    <mergeCell ref="C33:E33"/>
    <mergeCell ref="A34:B34"/>
    <mergeCell ref="C34:E34"/>
    <mergeCell ref="F33:H33"/>
    <mergeCell ref="F34:H34"/>
    <mergeCell ref="C53:E53"/>
    <mergeCell ref="A48:B48"/>
    <mergeCell ref="A37:H37"/>
    <mergeCell ref="A36:B36"/>
    <mergeCell ref="C36:E36"/>
    <mergeCell ref="A41:D41"/>
    <mergeCell ref="E41:H41"/>
    <mergeCell ref="A40:H40"/>
    <mergeCell ref="F36:H36"/>
    <mergeCell ref="E26:H26"/>
    <mergeCell ref="A28:D28"/>
    <mergeCell ref="E28:H28"/>
    <mergeCell ref="A25:D25"/>
    <mergeCell ref="E25:H25"/>
    <mergeCell ref="A24:D24"/>
    <mergeCell ref="E24:H24"/>
    <mergeCell ref="C71:H71"/>
    <mergeCell ref="A74:B7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313:H316"/>
    <mergeCell ref="A312:B312"/>
    <mergeCell ref="E312:F312"/>
    <mergeCell ref="C312:D312"/>
    <mergeCell ref="G312:H312"/>
    <mergeCell ref="A138:H138"/>
    <mergeCell ref="A136:E136"/>
    <mergeCell ref="F136:H136"/>
    <mergeCell ref="A137:E137"/>
    <mergeCell ref="F137:H137"/>
    <mergeCell ref="A200:H200"/>
    <mergeCell ref="A143:B143"/>
    <mergeCell ref="A140:B140"/>
    <mergeCell ref="A308:H308"/>
    <mergeCell ref="A141:H141"/>
    <mergeCell ref="A311:H311"/>
    <mergeCell ref="A309:H309"/>
    <mergeCell ref="A305:H305"/>
    <mergeCell ref="G142:H142"/>
    <mergeCell ref="C150:C151"/>
    <mergeCell ref="B187:B188"/>
    <mergeCell ref="A306:H306"/>
    <mergeCell ref="A154:H154"/>
    <mergeCell ref="E150:E151"/>
    <mergeCell ref="F125:H125"/>
    <mergeCell ref="F130:H130"/>
    <mergeCell ref="A194:B194"/>
    <mergeCell ref="A158:B158"/>
    <mergeCell ref="A157:B157"/>
    <mergeCell ref="E114:F114"/>
    <mergeCell ref="G114:H114"/>
    <mergeCell ref="A131:E131"/>
    <mergeCell ref="F131:H131"/>
    <mergeCell ref="A133:E133"/>
    <mergeCell ref="F128:H128"/>
    <mergeCell ref="A132:E132"/>
    <mergeCell ref="E115:F124"/>
    <mergeCell ref="A122:B122"/>
    <mergeCell ref="A123:B123"/>
    <mergeCell ref="A186:H186"/>
    <mergeCell ref="E142:F142"/>
    <mergeCell ref="A148:H148"/>
    <mergeCell ref="A187:A188"/>
    <mergeCell ref="A153:H153"/>
    <mergeCell ref="A114:B114"/>
    <mergeCell ref="G147:H147"/>
    <mergeCell ref="F187:F188"/>
    <mergeCell ref="G150:G151"/>
    <mergeCell ref="A310:H310"/>
    <mergeCell ref="A307:H307"/>
    <mergeCell ref="A201:B201"/>
    <mergeCell ref="A142:B142"/>
    <mergeCell ref="D187:D188"/>
    <mergeCell ref="E187:E188"/>
    <mergeCell ref="A119:B119"/>
    <mergeCell ref="A120:B120"/>
    <mergeCell ref="A121:B121"/>
    <mergeCell ref="F126:H126"/>
    <mergeCell ref="G140:H140"/>
    <mergeCell ref="F132:H132"/>
    <mergeCell ref="C139:D139"/>
    <mergeCell ref="C146:D146"/>
    <mergeCell ref="A193:H193"/>
    <mergeCell ref="A155:B155"/>
    <mergeCell ref="A147:B147"/>
    <mergeCell ref="C147:D147"/>
    <mergeCell ref="E147:F147"/>
    <mergeCell ref="B301:H301"/>
    <mergeCell ref="B299:H299"/>
    <mergeCell ref="B295:H295"/>
    <mergeCell ref="B293:H293"/>
    <mergeCell ref="B294:H294"/>
    <mergeCell ref="C111:H111"/>
    <mergeCell ref="A78:B78"/>
    <mergeCell ref="A49:B49"/>
    <mergeCell ref="C49:E49"/>
    <mergeCell ref="G49:H49"/>
    <mergeCell ref="G51:H51"/>
    <mergeCell ref="A50:B50"/>
    <mergeCell ref="A56:H56"/>
    <mergeCell ref="A57:C57"/>
    <mergeCell ref="A58:C58"/>
    <mergeCell ref="D58:H58"/>
    <mergeCell ref="G55:H55"/>
    <mergeCell ref="C52:H52"/>
    <mergeCell ref="C51:E51"/>
    <mergeCell ref="A60:C61"/>
    <mergeCell ref="D60:H60"/>
    <mergeCell ref="D61:H61"/>
    <mergeCell ref="C50:E50"/>
    <mergeCell ref="A71:B71"/>
    <mergeCell ref="A69:B69"/>
    <mergeCell ref="C69:H69"/>
    <mergeCell ref="A77:B77"/>
    <mergeCell ref="A64:C64"/>
    <mergeCell ref="D64:H64"/>
    <mergeCell ref="I14:P14"/>
    <mergeCell ref="F135:H135"/>
    <mergeCell ref="F133:H133"/>
    <mergeCell ref="A149:H149"/>
    <mergeCell ref="G139:H139"/>
    <mergeCell ref="A134:E134"/>
    <mergeCell ref="A156:B156"/>
    <mergeCell ref="A55:B55"/>
    <mergeCell ref="C55:E55"/>
    <mergeCell ref="D57:H57"/>
    <mergeCell ref="F134:H134"/>
    <mergeCell ref="E139:F139"/>
    <mergeCell ref="A139:B139"/>
    <mergeCell ref="C142:D142"/>
    <mergeCell ref="D66:H66"/>
    <mergeCell ref="A67:C67"/>
    <mergeCell ref="E42:H42"/>
    <mergeCell ref="A42:D42"/>
    <mergeCell ref="A111:B111"/>
    <mergeCell ref="A145:B145"/>
    <mergeCell ref="C145:D145"/>
    <mergeCell ref="E145:F145"/>
    <mergeCell ref="G145:H145"/>
    <mergeCell ref="A97:B97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91:H191"/>
    <mergeCell ref="A192:H192"/>
    <mergeCell ref="A198:B198"/>
    <mergeCell ref="A199:B199"/>
    <mergeCell ref="A206:B206"/>
    <mergeCell ref="A207:H207"/>
    <mergeCell ref="A208:B208"/>
    <mergeCell ref="A183:B183"/>
    <mergeCell ref="A184:B184"/>
    <mergeCell ref="A185:H185"/>
    <mergeCell ref="A190:H190"/>
    <mergeCell ref="A189:H189"/>
    <mergeCell ref="A205:B205"/>
    <mergeCell ref="A202:B202"/>
    <mergeCell ref="A203:B203"/>
    <mergeCell ref="A196:B196"/>
    <mergeCell ref="A197:B197"/>
    <mergeCell ref="A195:B195"/>
    <mergeCell ref="A214:H214"/>
    <mergeCell ref="A215:B215"/>
    <mergeCell ref="A216:B216"/>
    <mergeCell ref="A217:B217"/>
    <mergeCell ref="A218:B218"/>
    <mergeCell ref="A219:B219"/>
    <mergeCell ref="A220:B220"/>
    <mergeCell ref="A209:B209"/>
    <mergeCell ref="A210:B210"/>
    <mergeCell ref="A211:B211"/>
    <mergeCell ref="A212:B212"/>
    <mergeCell ref="A213:B213"/>
    <mergeCell ref="C211:H211"/>
    <mergeCell ref="A225:H225"/>
    <mergeCell ref="A226:B226"/>
    <mergeCell ref="A227:B227"/>
    <mergeCell ref="A228:B228"/>
    <mergeCell ref="A229:B229"/>
    <mergeCell ref="C218:H218"/>
    <mergeCell ref="A221:H221"/>
    <mergeCell ref="A222:H222"/>
    <mergeCell ref="A223:H223"/>
    <mergeCell ref="A224:H224"/>
    <mergeCell ref="A236:B236"/>
    <mergeCell ref="A237:B237"/>
    <mergeCell ref="A238:B238"/>
    <mergeCell ref="A239:H239"/>
    <mergeCell ref="A240:B240"/>
    <mergeCell ref="A241:B241"/>
    <mergeCell ref="A242:B242"/>
    <mergeCell ref="A230:B230"/>
    <mergeCell ref="A231:B231"/>
    <mergeCell ref="A232:H232"/>
    <mergeCell ref="A233:B233"/>
    <mergeCell ref="A234:B234"/>
    <mergeCell ref="A235:B235"/>
    <mergeCell ref="C242:H242"/>
    <mergeCell ref="C249:H249"/>
    <mergeCell ref="A253:H253"/>
    <mergeCell ref="A254:H254"/>
    <mergeCell ref="A255:H255"/>
    <mergeCell ref="A256:H256"/>
    <mergeCell ref="A278:H278"/>
    <mergeCell ref="A247:B247"/>
    <mergeCell ref="A248:B248"/>
    <mergeCell ref="A249:B249"/>
    <mergeCell ref="A250:B250"/>
    <mergeCell ref="A251:B251"/>
    <mergeCell ref="A252:B252"/>
    <mergeCell ref="A259:B259"/>
    <mergeCell ref="A260:B260"/>
    <mergeCell ref="A261:B261"/>
    <mergeCell ref="A262:B262"/>
    <mergeCell ref="A263:B263"/>
    <mergeCell ref="C261:H263"/>
    <mergeCell ref="C272:H272"/>
    <mergeCell ref="B297:H297"/>
    <mergeCell ref="A292:H292"/>
    <mergeCell ref="A243:B243"/>
    <mergeCell ref="A244:B244"/>
    <mergeCell ref="A245:B245"/>
    <mergeCell ref="A246:H246"/>
    <mergeCell ref="A286:B286"/>
    <mergeCell ref="A270:B270"/>
    <mergeCell ref="A271:H271"/>
    <mergeCell ref="A272:B272"/>
    <mergeCell ref="A273:B273"/>
    <mergeCell ref="A274:B274"/>
    <mergeCell ref="A284:B284"/>
    <mergeCell ref="A264:H264"/>
    <mergeCell ref="A265:B265"/>
    <mergeCell ref="A266:B266"/>
    <mergeCell ref="A267:B267"/>
    <mergeCell ref="A268:B268"/>
    <mergeCell ref="A269:B269"/>
    <mergeCell ref="A279:B279"/>
    <mergeCell ref="A280:B280"/>
    <mergeCell ref="A281:B281"/>
    <mergeCell ref="A282:B282"/>
    <mergeCell ref="A283:B283"/>
    <mergeCell ref="A288:B288"/>
    <mergeCell ref="A289:B289"/>
    <mergeCell ref="A290:B290"/>
    <mergeCell ref="A291:B291"/>
    <mergeCell ref="A275:B275"/>
    <mergeCell ref="A276:B276"/>
    <mergeCell ref="A277:B277"/>
    <mergeCell ref="A285:H285"/>
    <mergeCell ref="B296:H296"/>
    <mergeCell ref="C286:H286"/>
    <mergeCell ref="A287:B287"/>
    <mergeCell ref="A65:C65"/>
    <mergeCell ref="D65:H65"/>
    <mergeCell ref="A68:C68"/>
    <mergeCell ref="D68:H68"/>
    <mergeCell ref="A66:C66"/>
    <mergeCell ref="D67:H67"/>
    <mergeCell ref="A73:B73"/>
    <mergeCell ref="G72:H72"/>
    <mergeCell ref="E73:F82"/>
    <mergeCell ref="G73:H82"/>
    <mergeCell ref="A81:B81"/>
    <mergeCell ref="A82:B82"/>
    <mergeCell ref="B303:H303"/>
    <mergeCell ref="C97:H97"/>
    <mergeCell ref="A99:B99"/>
    <mergeCell ref="C99:H99"/>
    <mergeCell ref="A100:B100"/>
    <mergeCell ref="E100:F100"/>
    <mergeCell ref="G100:H100"/>
    <mergeCell ref="A76:B76"/>
    <mergeCell ref="E72:F72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B302:H302"/>
    <mergeCell ref="A257:H257"/>
    <mergeCell ref="A258:B258"/>
  </mergeCells>
  <dataValidations disablePrompts="1" count="12">
    <dataValidation type="list" allowBlank="1" showInputMessage="1" showErrorMessage="1" sqref="E4:H4">
      <formula1>"Axis Goregaon,Axis Thane,Axis Badlapur,Axis Sanpada, PNB Thane,IBHF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50:E151">
      <formula1>"Attached Loft area,Attached Otla area,Attached Mezzanine area"</formula1>
    </dataValidation>
    <dataValidation type="list" allowBlank="1" showInputMessage="1" showErrorMessage="1" sqref="F125:H125">
      <formula1>"On Saleable Area,On Builtup Area,On Carpet Area,On Plot Area"</formula1>
    </dataValidation>
    <dataValidation type="list" allowBlank="1" showInputMessage="1" showErrorMessage="1" sqref="F136:H136">
      <formula1>"100000,150000,200000,250000,300000,350000,400000,500000,600000,700000,800000,900000,1000000,1200000,1400000,1500000"</formula1>
    </dataValidation>
    <dataValidation type="list" allowBlank="1" showInputMessage="1" showErrorMessage="1" sqref="B150:B151">
      <formula1>"Shop No. (Sale Plan),Sale / Rehab,Sale / Mhada"</formula1>
    </dataValidation>
    <dataValidation type="list" allowBlank="1" showInputMessage="1" showErrorMessage="1" sqref="B187:B188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87:E188">
      <formula1>"Fungible area,Balcony Area,Chajja Area,Cornice Area,AP Area,WS Area"</formula1>
    </dataValidation>
    <dataValidation type="list" allowBlank="1" showInputMessage="1" showErrorMessage="1" sqref="H151 H188">
      <formula1>"45%,50%,55%,60%"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8" max="7" man="1"/>
    <brk id="110" max="16383" man="1"/>
    <brk id="291" max="7" man="1"/>
    <brk id="316" max="16383" man="1"/>
    <brk id="360" max="16383" man="1"/>
    <brk id="40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40" t="s">
        <v>106</v>
      </c>
      <c r="C3" s="240"/>
      <c r="D3" s="240"/>
      <c r="E3" s="240"/>
      <c r="F3" s="240"/>
      <c r="G3" s="240"/>
      <c r="H3" s="240"/>
    </row>
    <row r="4" spans="1:9" x14ac:dyDescent="0.3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5"/>
      <c r="C4" s="55" t="s">
        <v>12</v>
      </c>
      <c r="D4" s="56" t="s">
        <v>173</v>
      </c>
      <c r="E4" s="56" t="s">
        <v>183</v>
      </c>
      <c r="F4" s="56" t="s">
        <v>167</v>
      </c>
      <c r="G4" s="56" t="s">
        <v>188</v>
      </c>
      <c r="H4" s="56" t="s">
        <v>206</v>
      </c>
      <c r="J4" t="s">
        <v>188</v>
      </c>
      <c r="K4" t="s">
        <v>204</v>
      </c>
    </row>
    <row r="5" spans="2:11" x14ac:dyDescent="0.35">
      <c r="B5" s="55"/>
      <c r="C5" s="55"/>
      <c r="D5" s="56" t="s">
        <v>174</v>
      </c>
      <c r="E5" s="56" t="s">
        <v>181</v>
      </c>
      <c r="F5" s="56" t="s">
        <v>203</v>
      </c>
      <c r="G5" s="56" t="s">
        <v>189</v>
      </c>
      <c r="H5" s="56" t="s">
        <v>207</v>
      </c>
    </row>
    <row r="6" spans="2:11" x14ac:dyDescent="0.35">
      <c r="B6" s="55"/>
      <c r="C6" s="55"/>
      <c r="D6" s="56" t="s">
        <v>175</v>
      </c>
      <c r="E6" s="56" t="s">
        <v>182</v>
      </c>
      <c r="F6" s="56" t="s">
        <v>204</v>
      </c>
      <c r="G6" s="56" t="s">
        <v>190</v>
      </c>
      <c r="H6" s="56" t="s">
        <v>220</v>
      </c>
    </row>
    <row r="7" spans="2:11" x14ac:dyDescent="0.35">
      <c r="B7" s="55"/>
      <c r="C7" s="55"/>
      <c r="D7" s="56" t="s">
        <v>176</v>
      </c>
      <c r="E7" s="56" t="s">
        <v>184</v>
      </c>
      <c r="F7" s="56" t="s">
        <v>205</v>
      </c>
      <c r="G7" s="56" t="s">
        <v>191</v>
      </c>
      <c r="H7" s="56" t="s">
        <v>208</v>
      </c>
    </row>
    <row r="8" spans="2:11" x14ac:dyDescent="0.35">
      <c r="B8" s="55"/>
      <c r="C8" s="55"/>
      <c r="D8" s="56" t="s">
        <v>177</v>
      </c>
      <c r="E8" s="56" t="s">
        <v>185</v>
      </c>
      <c r="F8" s="56"/>
      <c r="G8" s="56" t="s">
        <v>192</v>
      </c>
      <c r="H8" s="56" t="s">
        <v>209</v>
      </c>
    </row>
    <row r="9" spans="2:11" x14ac:dyDescent="0.35">
      <c r="B9" s="55"/>
      <c r="C9" s="55"/>
      <c r="D9" s="56" t="s">
        <v>178</v>
      </c>
      <c r="E9" s="56" t="s">
        <v>183</v>
      </c>
      <c r="F9" s="56"/>
      <c r="G9" s="56" t="s">
        <v>193</v>
      </c>
      <c r="H9" s="56" t="s">
        <v>210</v>
      </c>
    </row>
    <row r="10" spans="2:11" x14ac:dyDescent="0.35">
      <c r="B10" s="55"/>
      <c r="C10" s="55"/>
      <c r="D10" s="56" t="s">
        <v>179</v>
      </c>
      <c r="E10" s="56" t="s">
        <v>186</v>
      </c>
      <c r="F10" s="56"/>
      <c r="G10" s="56" t="s">
        <v>194</v>
      </c>
      <c r="H10" s="56" t="s">
        <v>211</v>
      </c>
    </row>
    <row r="11" spans="2:11" x14ac:dyDescent="0.35">
      <c r="B11" s="55"/>
      <c r="C11" s="55"/>
      <c r="D11" s="56" t="s">
        <v>180</v>
      </c>
      <c r="E11" s="56" t="s">
        <v>187</v>
      </c>
      <c r="F11" s="56"/>
      <c r="G11" s="56" t="s">
        <v>195</v>
      </c>
      <c r="H11" s="56" t="s">
        <v>212</v>
      </c>
    </row>
    <row r="12" spans="2:11" x14ac:dyDescent="0.35">
      <c r="B12" s="55"/>
      <c r="C12" s="55"/>
      <c r="D12" s="56"/>
      <c r="E12" s="56"/>
      <c r="F12" s="56"/>
      <c r="G12" s="56" t="s">
        <v>196</v>
      </c>
      <c r="H12" s="56" t="s">
        <v>213</v>
      </c>
    </row>
    <row r="13" spans="2:11" x14ac:dyDescent="0.35">
      <c r="B13" s="55"/>
      <c r="C13" s="55"/>
      <c r="D13" s="56"/>
      <c r="E13" s="56"/>
      <c r="F13" s="56"/>
      <c r="G13" s="56" t="s">
        <v>197</v>
      </c>
      <c r="H13" s="56" t="s">
        <v>214</v>
      </c>
    </row>
    <row r="14" spans="2:11" x14ac:dyDescent="0.35">
      <c r="B14" s="55"/>
      <c r="C14" s="55"/>
      <c r="D14" s="56"/>
      <c r="E14" s="56"/>
      <c r="F14" s="56"/>
      <c r="G14" s="56" t="s">
        <v>198</v>
      </c>
      <c r="H14" s="56" t="s">
        <v>215</v>
      </c>
    </row>
    <row r="15" spans="2:11" x14ac:dyDescent="0.35">
      <c r="B15" s="55"/>
      <c r="C15" s="55"/>
      <c r="D15" s="56"/>
      <c r="E15" s="56"/>
      <c r="F15" s="56"/>
      <c r="G15" s="56" t="s">
        <v>199</v>
      </c>
      <c r="H15" s="56" t="s">
        <v>216</v>
      </c>
    </row>
    <row r="16" spans="2:11" x14ac:dyDescent="0.35">
      <c r="B16" s="55"/>
      <c r="C16" s="55"/>
      <c r="D16" s="56"/>
      <c r="E16" s="56"/>
      <c r="F16" s="56"/>
      <c r="G16" s="56" t="s">
        <v>200</v>
      </c>
      <c r="H16" s="56" t="s">
        <v>217</v>
      </c>
    </row>
    <row r="17" spans="2:8" x14ac:dyDescent="0.35">
      <c r="B17" s="55"/>
      <c r="C17" s="55"/>
      <c r="D17" s="56"/>
      <c r="E17" s="56"/>
      <c r="F17" s="56"/>
      <c r="G17" s="56" t="s">
        <v>201</v>
      </c>
      <c r="H17" s="56" t="s">
        <v>218</v>
      </c>
    </row>
    <row r="18" spans="2:8" x14ac:dyDescent="0.35">
      <c r="B18" s="55"/>
      <c r="C18" s="55"/>
      <c r="D18" s="56"/>
      <c r="E18" s="56"/>
      <c r="F18" s="56"/>
      <c r="G18" s="56" t="s">
        <v>202</v>
      </c>
      <c r="H18" s="56" t="s">
        <v>219</v>
      </c>
    </row>
    <row r="24" spans="2:8" x14ac:dyDescent="0.35">
      <c r="C24" t="s">
        <v>165</v>
      </c>
    </row>
    <row r="25" spans="2:8" x14ac:dyDescent="0.35">
      <c r="C25" t="s">
        <v>221</v>
      </c>
    </row>
    <row r="26" spans="2:8" x14ac:dyDescent="0.35">
      <c r="C26" t="s">
        <v>222</v>
      </c>
    </row>
    <row r="27" spans="2:8" x14ac:dyDescent="0.35">
      <c r="C27" t="s">
        <v>223</v>
      </c>
    </row>
    <row r="28" spans="2:8" x14ac:dyDescent="0.35">
      <c r="C28" t="s">
        <v>224</v>
      </c>
    </row>
    <row r="29" spans="2:8" x14ac:dyDescent="0.35">
      <c r="C29" t="s">
        <v>225</v>
      </c>
    </row>
    <row r="30" spans="2:8" x14ac:dyDescent="0.3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2025-06-09T12:50:12Z</cp:lastPrinted>
  <dcterms:created xsi:type="dcterms:W3CDTF">2019-07-16T09:29:46Z</dcterms:created>
  <dcterms:modified xsi:type="dcterms:W3CDTF">2025-09-21T15:00:56Z</dcterms:modified>
</cp:coreProperties>
</file>