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24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2" i="1" l="1"/>
  <c r="C206" i="1" l="1"/>
  <c r="E206" i="1"/>
  <c r="G206" i="1"/>
  <c r="D364" i="1"/>
  <c r="F364" i="1" s="1"/>
  <c r="D363" i="1"/>
  <c r="F363" i="1" s="1"/>
  <c r="D362" i="1"/>
  <c r="F362" i="1" s="1"/>
  <c r="G361" i="1"/>
  <c r="D361" i="1"/>
  <c r="C104" i="1" l="1"/>
  <c r="J109" i="1"/>
  <c r="J108" i="1"/>
  <c r="J107" i="1"/>
  <c r="J106" i="1"/>
  <c r="H99" i="1"/>
  <c r="D111" i="1" l="1"/>
  <c r="D109" i="1"/>
  <c r="J104" i="1"/>
  <c r="J105" i="1" s="1"/>
  <c r="J110" i="1" s="1"/>
  <c r="J111" i="1" s="1"/>
  <c r="C103" i="1" s="1"/>
  <c r="D110" i="1"/>
  <c r="D106" i="1"/>
  <c r="J102" i="1"/>
  <c r="D104" i="1"/>
  <c r="J103" i="1"/>
  <c r="C102" i="1" s="1"/>
  <c r="D105" i="1"/>
  <c r="D108" i="1"/>
  <c r="J98" i="1"/>
  <c r="J100" i="1" s="1"/>
  <c r="J101" i="1"/>
  <c r="D107" i="1"/>
  <c r="J179" i="1"/>
  <c r="J178" i="1"/>
  <c r="J177" i="1"/>
  <c r="J182" i="1" s="1"/>
  <c r="J183" i="1" s="1"/>
  <c r="J176" i="1"/>
  <c r="H169" i="1"/>
  <c r="E102" i="1" l="1"/>
  <c r="D103" i="1"/>
  <c r="G102" i="1"/>
  <c r="D102" i="1"/>
  <c r="D180" i="1"/>
  <c r="D176" i="1"/>
  <c r="E172" i="1"/>
  <c r="D179" i="1"/>
  <c r="D175" i="1"/>
  <c r="J174" i="1"/>
  <c r="J175" i="1" s="1"/>
  <c r="J180" i="1" s="1"/>
  <c r="J181" i="1" s="1"/>
  <c r="J168" i="1"/>
  <c r="J170" i="1" s="1"/>
  <c r="D178" i="1"/>
  <c r="D174" i="1"/>
  <c r="J171" i="1"/>
  <c r="J173" i="1"/>
  <c r="C172" i="1" s="1"/>
  <c r="D172" i="1" s="1"/>
  <c r="D181" i="1"/>
  <c r="D177" i="1"/>
  <c r="D173" i="1"/>
  <c r="J172" i="1"/>
  <c r="D422" i="1"/>
  <c r="F422" i="1" s="1"/>
  <c r="D421" i="1"/>
  <c r="F421" i="1" s="1"/>
  <c r="I420" i="1"/>
  <c r="D420" i="1"/>
  <c r="F420" i="1" s="1"/>
  <c r="D419" i="1"/>
  <c r="F419" i="1" s="1"/>
  <c r="D418" i="1"/>
  <c r="F418" i="1" s="1"/>
  <c r="I418" i="1" s="1"/>
  <c r="J415" i="1"/>
  <c r="D415" i="1"/>
  <c r="F415" i="1" s="1"/>
  <c r="I415" i="1" s="1"/>
  <c r="G414" i="1"/>
  <c r="D414" i="1"/>
  <c r="F414" i="1" s="1"/>
  <c r="D412" i="1"/>
  <c r="F412" i="1" s="1"/>
  <c r="D411" i="1"/>
  <c r="F411" i="1" s="1"/>
  <c r="I410" i="1"/>
  <c r="D410" i="1"/>
  <c r="F410" i="1" s="1"/>
  <c r="D409" i="1"/>
  <c r="F409" i="1" s="1"/>
  <c r="D408" i="1"/>
  <c r="F408" i="1" s="1"/>
  <c r="I408" i="1" s="1"/>
  <c r="D407" i="1"/>
  <c r="F407" i="1" s="1"/>
  <c r="D406" i="1"/>
  <c r="F406" i="1" s="1"/>
  <c r="J405" i="1"/>
  <c r="D405" i="1"/>
  <c r="F405" i="1" s="1"/>
  <c r="I405" i="1" s="1"/>
  <c r="G404" i="1"/>
  <c r="D404" i="1"/>
  <c r="F404" i="1" s="1"/>
  <c r="D402" i="1"/>
  <c r="F402" i="1" s="1"/>
  <c r="D401" i="1"/>
  <c r="F401" i="1" s="1"/>
  <c r="I400" i="1"/>
  <c r="D400" i="1"/>
  <c r="F400" i="1" s="1"/>
  <c r="D399" i="1"/>
  <c r="F399" i="1" s="1"/>
  <c r="D398" i="1"/>
  <c r="F398" i="1" s="1"/>
  <c r="I398" i="1" s="1"/>
  <c r="J395" i="1"/>
  <c r="D395" i="1"/>
  <c r="F395" i="1" s="1"/>
  <c r="I395" i="1" s="1"/>
  <c r="G394" i="1"/>
  <c r="D394" i="1"/>
  <c r="F394" i="1" s="1"/>
  <c r="D391" i="1"/>
  <c r="F391" i="1" s="1"/>
  <c r="D390" i="1"/>
  <c r="F390" i="1" s="1"/>
  <c r="D392" i="1"/>
  <c r="F392" i="1" s="1"/>
  <c r="D389" i="1"/>
  <c r="F389" i="1" s="1"/>
  <c r="I390" i="1"/>
  <c r="D388" i="1"/>
  <c r="F388" i="1" s="1"/>
  <c r="I388" i="1" s="1"/>
  <c r="D387" i="1"/>
  <c r="F387" i="1" s="1"/>
  <c r="D386" i="1"/>
  <c r="F386" i="1" s="1"/>
  <c r="J385" i="1"/>
  <c r="D385" i="1"/>
  <c r="F385" i="1" s="1"/>
  <c r="I385" i="1" s="1"/>
  <c r="G384" i="1"/>
  <c r="D384" i="1"/>
  <c r="F384" i="1" s="1"/>
  <c r="D381" i="1"/>
  <c r="F381" i="1" s="1"/>
  <c r="D382" i="1"/>
  <c r="F382" i="1" s="1"/>
  <c r="D380" i="1"/>
  <c r="F380" i="1" s="1"/>
  <c r="D379" i="1"/>
  <c r="F379" i="1" s="1"/>
  <c r="D378" i="1"/>
  <c r="F378" i="1" s="1"/>
  <c r="I378" i="1" s="1"/>
  <c r="D377" i="1"/>
  <c r="F377" i="1" s="1"/>
  <c r="D376" i="1"/>
  <c r="F376" i="1" s="1"/>
  <c r="D375" i="1"/>
  <c r="F375" i="1" s="1"/>
  <c r="I375" i="1" s="1"/>
  <c r="D374" i="1"/>
  <c r="F374" i="1" s="1"/>
  <c r="I380" i="1"/>
  <c r="J375" i="1"/>
  <c r="G374" i="1"/>
  <c r="C50" i="1"/>
  <c r="G50" i="1"/>
  <c r="J165" i="1"/>
  <c r="J164" i="1"/>
  <c r="J163" i="1"/>
  <c r="J162" i="1"/>
  <c r="D57" i="1"/>
  <c r="H155" i="1"/>
  <c r="H71" i="1"/>
  <c r="I99" i="1" l="1"/>
  <c r="I100" i="1" s="1"/>
  <c r="J99" i="1"/>
  <c r="C207" i="1"/>
  <c r="G172" i="1"/>
  <c r="J169" i="1"/>
  <c r="I169" i="1"/>
  <c r="I170" i="1" s="1"/>
  <c r="G207" i="1"/>
  <c r="E207" i="1"/>
  <c r="J159" i="1"/>
  <c r="C158" i="1" s="1"/>
  <c r="E158" i="1"/>
  <c r="C182" i="1" s="1"/>
  <c r="J160" i="1"/>
  <c r="J161" i="1" s="1"/>
  <c r="J166" i="1" s="1"/>
  <c r="J167" i="1" s="1"/>
  <c r="J158" i="1"/>
  <c r="J154" i="1"/>
  <c r="J156" i="1" s="1"/>
  <c r="D166" i="1"/>
  <c r="D162" i="1"/>
  <c r="D160" i="1"/>
  <c r="J157" i="1"/>
  <c r="D167" i="1"/>
  <c r="D165" i="1"/>
  <c r="D163" i="1"/>
  <c r="D161" i="1"/>
  <c r="D159" i="1"/>
  <c r="D164" i="1"/>
  <c r="J151" i="1"/>
  <c r="J150" i="1"/>
  <c r="J149" i="1"/>
  <c r="J148" i="1"/>
  <c r="J137" i="1"/>
  <c r="J136" i="1"/>
  <c r="J135" i="1"/>
  <c r="J134" i="1"/>
  <c r="J123" i="1"/>
  <c r="J122" i="1"/>
  <c r="J121" i="1"/>
  <c r="J120" i="1"/>
  <c r="J95" i="1"/>
  <c r="J94" i="1"/>
  <c r="J93" i="1"/>
  <c r="J92" i="1"/>
  <c r="H141" i="1"/>
  <c r="H113" i="1"/>
  <c r="H127" i="1"/>
  <c r="I98" i="1" l="1"/>
  <c r="C100" i="1" s="1"/>
  <c r="I168" i="1"/>
  <c r="C170" i="1" s="1"/>
  <c r="G158" i="1"/>
  <c r="G182" i="1" s="1"/>
  <c r="D158" i="1"/>
  <c r="I155" i="1" s="1"/>
  <c r="I156" i="1" s="1"/>
  <c r="D153" i="1"/>
  <c r="D147" i="1"/>
  <c r="D152" i="1"/>
  <c r="D146" i="1"/>
  <c r="J143" i="1"/>
  <c r="J146" i="1"/>
  <c r="J147" i="1" s="1"/>
  <c r="J152" i="1" s="1"/>
  <c r="J153" i="1" s="1"/>
  <c r="C145" i="1" s="1"/>
  <c r="D145" i="1" s="1"/>
  <c r="J145" i="1"/>
  <c r="C144" i="1" s="1"/>
  <c r="D144" i="1" s="1"/>
  <c r="D151" i="1"/>
  <c r="J144" i="1"/>
  <c r="J140" i="1"/>
  <c r="J142" i="1" s="1"/>
  <c r="D148" i="1"/>
  <c r="D150" i="1"/>
  <c r="D149" i="1"/>
  <c r="J132" i="1"/>
  <c r="J133" i="1" s="1"/>
  <c r="J138" i="1" s="1"/>
  <c r="J139" i="1" s="1"/>
  <c r="J129" i="1"/>
  <c r="D139" i="1"/>
  <c r="D133" i="1"/>
  <c r="D138" i="1"/>
  <c r="D132" i="1"/>
  <c r="D131" i="1"/>
  <c r="J130" i="1"/>
  <c r="J131" i="1"/>
  <c r="C130" i="1" s="1"/>
  <c r="D130" i="1" s="1"/>
  <c r="D137" i="1"/>
  <c r="D136" i="1"/>
  <c r="D135" i="1"/>
  <c r="J126" i="1"/>
  <c r="J128" i="1" s="1"/>
  <c r="E130" i="1"/>
  <c r="D134" i="1"/>
  <c r="D125" i="1"/>
  <c r="D119" i="1"/>
  <c r="J118" i="1"/>
  <c r="J119" i="1" s="1"/>
  <c r="J124" i="1" s="1"/>
  <c r="J125" i="1" s="1"/>
  <c r="C117" i="1" s="1"/>
  <c r="D117" i="1" s="1"/>
  <c r="D120" i="1"/>
  <c r="D124" i="1"/>
  <c r="D118" i="1"/>
  <c r="J117" i="1"/>
  <c r="C116" i="1" s="1"/>
  <c r="D123" i="1"/>
  <c r="J116" i="1"/>
  <c r="J115" i="1"/>
  <c r="J112" i="1"/>
  <c r="J114" i="1" s="1"/>
  <c r="D122" i="1"/>
  <c r="D121" i="1"/>
  <c r="D367" i="1"/>
  <c r="D352" i="1"/>
  <c r="D347" i="1"/>
  <c r="D337" i="1"/>
  <c r="D329" i="1"/>
  <c r="D328" i="1"/>
  <c r="D311" i="1"/>
  <c r="D310" i="1"/>
  <c r="D324" i="1"/>
  <c r="D323" i="1"/>
  <c r="D306" i="1"/>
  <c r="D305" i="1"/>
  <c r="D287" i="1"/>
  <c r="D259" i="1"/>
  <c r="D261" i="1"/>
  <c r="D260" i="1"/>
  <c r="D249" i="1"/>
  <c r="D248" i="1"/>
  <c r="E248" i="1"/>
  <c r="E247" i="1"/>
  <c r="E246" i="1"/>
  <c r="E245" i="1"/>
  <c r="E281" i="1"/>
  <c r="E280" i="1"/>
  <c r="D218" i="1"/>
  <c r="E144" i="1" l="1"/>
  <c r="E116" i="1"/>
  <c r="J155" i="1"/>
  <c r="I154" i="1" s="1"/>
  <c r="C156" i="1" s="1"/>
  <c r="I141" i="1"/>
  <c r="I142" i="1" s="1"/>
  <c r="J141" i="1"/>
  <c r="G144" i="1"/>
  <c r="I127" i="1"/>
  <c r="I128" i="1" s="1"/>
  <c r="J127" i="1"/>
  <c r="G130" i="1"/>
  <c r="G116" i="1"/>
  <c r="D116" i="1"/>
  <c r="I113" i="1" s="1"/>
  <c r="I114" i="1" s="1"/>
  <c r="D336" i="1"/>
  <c r="D359" i="1"/>
  <c r="F359" i="1" s="1"/>
  <c r="D358" i="1"/>
  <c r="F358" i="1" s="1"/>
  <c r="D357" i="1"/>
  <c r="F357" i="1" s="1"/>
  <c r="G356" i="1"/>
  <c r="D356" i="1"/>
  <c r="F356" i="1" s="1"/>
  <c r="D341" i="1"/>
  <c r="D346" i="1"/>
  <c r="F346" i="1" s="1"/>
  <c r="D351" i="1"/>
  <c r="F351" i="1" s="1"/>
  <c r="D366" i="1"/>
  <c r="F366" i="1" s="1"/>
  <c r="D354" i="1"/>
  <c r="F354" i="1" s="1"/>
  <c r="D353" i="1"/>
  <c r="F353" i="1" s="1"/>
  <c r="F352" i="1"/>
  <c r="G351" i="1"/>
  <c r="D369" i="1"/>
  <c r="F369" i="1" s="1"/>
  <c r="D368" i="1"/>
  <c r="F368" i="1" s="1"/>
  <c r="F367" i="1"/>
  <c r="G366" i="1"/>
  <c r="D349" i="1"/>
  <c r="F349" i="1" s="1"/>
  <c r="D348" i="1"/>
  <c r="F348" i="1" s="1"/>
  <c r="F347" i="1"/>
  <c r="G346" i="1"/>
  <c r="D342" i="1"/>
  <c r="D339" i="1"/>
  <c r="F339" i="1" s="1"/>
  <c r="D338" i="1"/>
  <c r="F338" i="1" s="1"/>
  <c r="F337" i="1"/>
  <c r="I337" i="1" s="1"/>
  <c r="G336" i="1"/>
  <c r="D344" i="1"/>
  <c r="D343" i="1"/>
  <c r="D308" i="1"/>
  <c r="F308" i="1" s="1"/>
  <c r="D307" i="1"/>
  <c r="F307" i="1" s="1"/>
  <c r="F306" i="1"/>
  <c r="G305" i="1"/>
  <c r="F305" i="1"/>
  <c r="D326" i="1"/>
  <c r="F326" i="1" s="1"/>
  <c r="D325" i="1"/>
  <c r="F325" i="1" s="1"/>
  <c r="F324" i="1"/>
  <c r="G323" i="1"/>
  <c r="F323" i="1"/>
  <c r="D312" i="1"/>
  <c r="F312" i="1" s="1"/>
  <c r="F311" i="1"/>
  <c r="G310" i="1"/>
  <c r="F310" i="1"/>
  <c r="D303" i="1"/>
  <c r="F303" i="1" s="1"/>
  <c r="D302" i="1"/>
  <c r="F302" i="1" s="1"/>
  <c r="D301" i="1"/>
  <c r="F301" i="1" s="1"/>
  <c r="G300" i="1"/>
  <c r="D300" i="1"/>
  <c r="F300" i="1" s="1"/>
  <c r="D330" i="1"/>
  <c r="D321" i="1"/>
  <c r="F321" i="1" s="1"/>
  <c r="D320" i="1"/>
  <c r="F320" i="1" s="1"/>
  <c r="D319" i="1"/>
  <c r="F319" i="1" s="1"/>
  <c r="G318" i="1"/>
  <c r="D318" i="1"/>
  <c r="F318" i="1" s="1"/>
  <c r="D264" i="1"/>
  <c r="F264" i="1" s="1"/>
  <c r="D263" i="1"/>
  <c r="F263" i="1" s="1"/>
  <c r="D262" i="1"/>
  <c r="F262" i="1" s="1"/>
  <c r="F261" i="1"/>
  <c r="F260" i="1"/>
  <c r="J259" i="1"/>
  <c r="F259" i="1"/>
  <c r="D258" i="1"/>
  <c r="F258" i="1" s="1"/>
  <c r="D257" i="1"/>
  <c r="F257" i="1" s="1"/>
  <c r="D256" i="1"/>
  <c r="F256" i="1" s="1"/>
  <c r="A256" i="1"/>
  <c r="A257" i="1" s="1"/>
  <c r="A258" i="1" s="1"/>
  <c r="A259" i="1" s="1"/>
  <c r="A260" i="1" s="1"/>
  <c r="A261" i="1" s="1"/>
  <c r="A262" i="1" s="1"/>
  <c r="A263" i="1" s="1"/>
  <c r="A264" i="1" s="1"/>
  <c r="D255" i="1"/>
  <c r="F255" i="1" s="1"/>
  <c r="D295" i="1"/>
  <c r="D293" i="1"/>
  <c r="D292" i="1"/>
  <c r="D291" i="1"/>
  <c r="D275" i="1"/>
  <c r="D274" i="1"/>
  <c r="D273" i="1"/>
  <c r="D272" i="1"/>
  <c r="D270" i="1"/>
  <c r="D267" i="1"/>
  <c r="D289" i="1"/>
  <c r="D288" i="1"/>
  <c r="D286" i="1"/>
  <c r="D280" i="1"/>
  <c r="D285" i="1"/>
  <c r="D271" i="1"/>
  <c r="D266" i="1"/>
  <c r="D253" i="1"/>
  <c r="D252" i="1"/>
  <c r="D251" i="1"/>
  <c r="D250" i="1"/>
  <c r="D244" i="1"/>
  <c r="D283" i="1"/>
  <c r="D279" i="1"/>
  <c r="D281" i="1"/>
  <c r="D282" i="1"/>
  <c r="E203" i="1" l="1"/>
  <c r="E205" i="1"/>
  <c r="I126" i="1"/>
  <c r="C128" i="1" s="1"/>
  <c r="I140" i="1"/>
  <c r="C142" i="1" s="1"/>
  <c r="J113" i="1"/>
  <c r="I112" i="1" s="1"/>
  <c r="C114" i="1" s="1"/>
  <c r="J257" i="1"/>
  <c r="I257" i="1"/>
  <c r="C203" i="1"/>
  <c r="F336" i="1"/>
  <c r="C204" i="1"/>
  <c r="E204" i="1"/>
  <c r="C205" i="1"/>
  <c r="G204" i="1"/>
  <c r="D246" i="1"/>
  <c r="F288" i="1"/>
  <c r="F286" i="1"/>
  <c r="F289" i="1"/>
  <c r="F287" i="1"/>
  <c r="A286" i="1"/>
  <c r="A287" i="1" s="1"/>
  <c r="A288" i="1" s="1"/>
  <c r="A289" i="1" s="1"/>
  <c r="G285" i="1"/>
  <c r="F285" i="1"/>
  <c r="F275" i="1"/>
  <c r="F274" i="1"/>
  <c r="F273" i="1"/>
  <c r="F271" i="1"/>
  <c r="F270" i="1"/>
  <c r="F272" i="1"/>
  <c r="F267" i="1"/>
  <c r="F266" i="1"/>
  <c r="J270" i="1"/>
  <c r="A267" i="1"/>
  <c r="A268" i="1" s="1"/>
  <c r="A269" i="1" s="1"/>
  <c r="A270" i="1" s="1"/>
  <c r="A271" i="1" s="1"/>
  <c r="A272" i="1" s="1"/>
  <c r="A273" i="1" s="1"/>
  <c r="A274" i="1" s="1"/>
  <c r="A275" i="1" s="1"/>
  <c r="F251" i="1" l="1"/>
  <c r="I251" i="1" s="1"/>
  <c r="F252" i="1"/>
  <c r="F253" i="1"/>
  <c r="F250" i="1"/>
  <c r="F249" i="1"/>
  <c r="F248" i="1"/>
  <c r="I248" i="1" s="1"/>
  <c r="J248" i="1"/>
  <c r="D247" i="1"/>
  <c r="F247" i="1" s="1"/>
  <c r="F246" i="1"/>
  <c r="D245" i="1"/>
  <c r="A245" i="1"/>
  <c r="A246" i="1" s="1"/>
  <c r="A247" i="1" s="1"/>
  <c r="A248" i="1" s="1"/>
  <c r="A249" i="1" s="1"/>
  <c r="A250" i="1" s="1"/>
  <c r="A251" i="1" s="1"/>
  <c r="A252" i="1" s="1"/>
  <c r="A253" i="1" s="1"/>
  <c r="F244" i="1"/>
  <c r="F283" i="1"/>
  <c r="D237" i="1"/>
  <c r="F237" i="1" s="1"/>
  <c r="D236" i="1"/>
  <c r="F236" i="1" s="1"/>
  <c r="D235" i="1"/>
  <c r="F235" i="1" s="1"/>
  <c r="D234" i="1"/>
  <c r="F234" i="1" s="1"/>
  <c r="D233" i="1"/>
  <c r="G233" i="1"/>
  <c r="D229" i="1"/>
  <c r="F229" i="1" s="1"/>
  <c r="I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0" i="1"/>
  <c r="D221" i="1"/>
  <c r="F221" i="1" s="1"/>
  <c r="D219" i="1"/>
  <c r="D217" i="1"/>
  <c r="F233" i="1" l="1"/>
  <c r="C198" i="1"/>
  <c r="E198" i="1"/>
  <c r="F245" i="1"/>
  <c r="G202" i="1" s="1"/>
  <c r="E202" i="1"/>
  <c r="E208" i="1" s="1"/>
  <c r="C202" i="1"/>
  <c r="C208" i="1" s="1"/>
  <c r="C197" i="1"/>
  <c r="E197" i="1"/>
  <c r="G198" i="1"/>
  <c r="C14" i="1"/>
  <c r="C199" i="1" l="1"/>
  <c r="E199" i="1"/>
  <c r="E29" i="1"/>
  <c r="F280" i="1" l="1"/>
  <c r="F281" i="1"/>
  <c r="F282" i="1"/>
  <c r="F279" i="1"/>
  <c r="A280" i="1"/>
  <c r="A281" i="1" s="1"/>
  <c r="A282" i="1" s="1"/>
  <c r="G279" i="1"/>
  <c r="A283" i="1" l="1"/>
  <c r="F194" i="1"/>
  <c r="F218" i="1" l="1"/>
  <c r="F219" i="1"/>
  <c r="F220" i="1"/>
  <c r="F217" i="1"/>
  <c r="G197" i="1" l="1"/>
  <c r="G199" i="1" s="1"/>
  <c r="B425" i="1"/>
  <c r="F344" i="1" l="1"/>
  <c r="F343" i="1"/>
  <c r="F342" i="1"/>
  <c r="F341" i="1"/>
  <c r="F330" i="1"/>
  <c r="F329" i="1"/>
  <c r="F328" i="1"/>
  <c r="F295" i="1"/>
  <c r="F292" i="1"/>
  <c r="F291" i="1"/>
  <c r="F293" i="1"/>
  <c r="G205" i="1" l="1"/>
  <c r="G203" i="1"/>
  <c r="B426" i="1"/>
  <c r="G208" i="1" l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448" i="1"/>
  <c r="G341" i="1"/>
  <c r="G328" i="1"/>
  <c r="G291" i="1"/>
  <c r="A292" i="1"/>
  <c r="A293" i="1" s="1"/>
  <c r="A294" i="1" s="1"/>
  <c r="A295" i="1" s="1"/>
  <c r="G217" i="1"/>
  <c r="J81" i="1"/>
  <c r="E42" i="1"/>
  <c r="E43" i="1" s="1"/>
  <c r="E26" i="1"/>
  <c r="E24" i="1"/>
  <c r="E7" i="1"/>
  <c r="E3" i="1"/>
  <c r="D64" i="1" l="1"/>
  <c r="D83" i="1"/>
  <c r="D81" i="1"/>
  <c r="D80" i="1"/>
  <c r="D79" i="1"/>
  <c r="D77" i="1"/>
  <c r="J70" i="1"/>
  <c r="D82" i="1"/>
  <c r="D78" i="1"/>
  <c r="J74" i="1"/>
  <c r="J75" i="1"/>
  <c r="C74" i="1" s="1"/>
  <c r="J73" i="1"/>
  <c r="J76" i="1"/>
  <c r="J77" i="1" l="1"/>
  <c r="J78" i="1" s="1"/>
  <c r="J79" i="1" s="1"/>
  <c r="J80" i="1" s="1"/>
  <c r="D76" i="1"/>
  <c r="J72" i="1"/>
  <c r="D74" i="1"/>
  <c r="H85" i="1"/>
  <c r="J87" i="1" l="1"/>
  <c r="D97" i="1"/>
  <c r="D91" i="1"/>
  <c r="J89" i="1"/>
  <c r="C88" i="1" s="1"/>
  <c r="J90" i="1"/>
  <c r="D96" i="1"/>
  <c r="D90" i="1"/>
  <c r="D95" i="1"/>
  <c r="J88" i="1"/>
  <c r="J84" i="1"/>
  <c r="J86" i="1" s="1"/>
  <c r="D94" i="1"/>
  <c r="D93" i="1"/>
  <c r="D92" i="1"/>
  <c r="J82" i="1"/>
  <c r="J83" i="1" s="1"/>
  <c r="C75" i="1" s="1"/>
  <c r="D75" i="1" s="1"/>
  <c r="I71" i="1" s="1"/>
  <c r="E74" i="1" l="1"/>
  <c r="G74" i="1"/>
  <c r="D68" i="1" s="1"/>
  <c r="F69" i="1" s="1"/>
  <c r="J71" i="1"/>
  <c r="D88" i="1"/>
  <c r="J91" i="1"/>
  <c r="J96" i="1" s="1"/>
  <c r="J97" i="1" s="1"/>
  <c r="C89" i="1" s="1"/>
  <c r="D89" i="1" s="1"/>
  <c r="I72" i="1"/>
  <c r="D69" i="1" l="1"/>
  <c r="I85" i="1"/>
  <c r="I86" i="1" s="1"/>
  <c r="G88" i="1"/>
  <c r="E88" i="1"/>
  <c r="I70" i="1"/>
  <c r="C72" i="1" s="1"/>
  <c r="J85" i="1"/>
  <c r="I84" i="1" l="1"/>
  <c r="C86" i="1" s="1"/>
</calcChain>
</file>

<file path=xl/sharedStrings.xml><?xml version="1.0" encoding="utf-8"?>
<sst xmlns="http://schemas.openxmlformats.org/spreadsheetml/2006/main" count="759" uniqueCount="268">
  <si>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</si>
  <si>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</si>
  <si>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</si>
  <si>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</si>
  <si>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</si>
  <si>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</si>
  <si>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</si>
  <si>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</si>
  <si>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</si>
  <si>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</si>
  <si>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</si>
  <si>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</si>
  <si>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</si>
  <si>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</si>
  <si>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</si>
  <si>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</si>
  <si>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</si>
  <si>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</si>
  <si>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</si>
  <si>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</si>
  <si>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</si>
  <si>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</si>
  <si>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</si>
  <si>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</si>
  <si>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</si>
  <si>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</si>
  <si>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</si>
  <si>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</si>
  <si>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</si>
  <si>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</si>
  <si>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</si>
  <si>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</si>
  <si>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</si>
  <si>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</si>
  <si>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</si>
  <si>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</si>
  <si>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</si>
  <si>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</si>
  <si>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</si>
  <si>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</si>
  <si>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</si>
  <si>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</si>
  <si>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</si>
  <si>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</si>
  <si>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</si>
  <si>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</si>
  <si>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</si>
  <si>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</si>
  <si>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</si>
  <si>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</si>
  <si>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</si>
  <si>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</si>
  <si>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</si>
  <si>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</si>
  <si>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</si>
  <si>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</si>
  <si>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</si>
  <si>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</si>
  <si>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</si>
  <si>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</si>
  <si>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</si>
  <si>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</si>
  <si>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</si>
  <si>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</si>
  <si>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</si>
  <si>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</si>
  <si>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</si>
  <si>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</si>
  <si>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</si>
  <si>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</si>
  <si>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</si>
  <si>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</si>
  <si>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</si>
  <si>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</si>
  <si>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</si>
  <si>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</si>
  <si>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</si>
  <si>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</si>
  <si>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</si>
  <si>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</si>
  <si>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</si>
  <si>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</si>
  <si>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</si>
  <si>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</si>
  <si>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</si>
  <si>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</si>
  <si>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</si>
  <si>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</si>
  <si>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</si>
  <si>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</si>
  <si>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</si>
  <si>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</si>
  <si>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</si>
  <si>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</si>
  <si>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</si>
  <si>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</si>
  <si>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</si>
  <si>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</si>
  <si>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</si>
  <si>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</si>
  <si>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</si>
  <si>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</si>
  <si>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</si>
  <si>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</si>
  <si>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</si>
  <si>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</si>
  <si>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</si>
  <si>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</si>
  <si>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</si>
  <si>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</si>
  <si>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</si>
  <si>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</si>
  <si>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</si>
  <si>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</si>
  <si>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</si>
  <si>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</si>
  <si>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</si>
  <si>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</si>
  <si>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</si>
  <si>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</si>
  <si>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</si>
  <si>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</si>
  <si>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</si>
  <si>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</si>
  <si>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</si>
  <si>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</si>
  <si>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</si>
  <si>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</si>
  <si>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</si>
  <si>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</si>
  <si>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</si>
  <si>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</si>
  <si>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</si>
  <si>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</si>
  <si>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</si>
  <si>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</si>
  <si>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</si>
  <si>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</si>
  <si>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</si>
  <si>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</si>
  <si>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</si>
  <si>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</si>
  <si>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</si>
  <si>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</si>
  <si>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</si>
  <si>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</si>
  <si>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</si>
  <si>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</si>
  <si>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</si>
  <si>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</si>
  <si>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</si>
  <si>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</si>
  <si>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</si>
  <si>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</si>
  <si>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</si>
  <si>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</si>
  <si>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</si>
  <si>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</si>
  <si>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</si>
  <si>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</si>
  <si>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</si>
  <si>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</si>
  <si>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</si>
  <si>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</si>
  <si>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</si>
  <si>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</si>
  <si>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</si>
  <si>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Axis Goregaon</t>
  </si>
  <si>
    <t>Bolinj</t>
  </si>
  <si>
    <t>Vasai</t>
  </si>
  <si>
    <t>Palghar</t>
  </si>
  <si>
    <t>Intarnal Road</t>
  </si>
  <si>
    <t>Virar West</t>
  </si>
  <si>
    <t>1.6KM from Virar Railway Station</t>
  </si>
  <si>
    <t>Vinay Unique Residency Building No 11</t>
  </si>
  <si>
    <t>Vinay Unique Building No.4</t>
  </si>
  <si>
    <t xml:space="preserve">Om Sakthi Temple
</t>
  </si>
  <si>
    <t>Vinay Unique Building No.11</t>
  </si>
  <si>
    <t>https://goo.gl/maps/JESvesrpqUfBTgM99</t>
  </si>
  <si>
    <t>Vasai Virar City Municipal Corporation</t>
  </si>
  <si>
    <t>VVCMC/TP/AMEND/VP/0607/737/2021-22</t>
  </si>
  <si>
    <t>Navnath Bhatkar</t>
  </si>
  <si>
    <t>We considered Gross carpet area = Net carpet + F.B Area.</t>
  </si>
  <si>
    <t>VVCMC/TP/RDP/VP-0607/737/2021-22</t>
  </si>
  <si>
    <t>D Wing</t>
  </si>
  <si>
    <t>Shop</t>
  </si>
  <si>
    <t>E Wing</t>
  </si>
  <si>
    <t>1st Floor For Residential</t>
  </si>
  <si>
    <t>1BHK</t>
  </si>
  <si>
    <t>3BHK</t>
  </si>
  <si>
    <t>2BHK</t>
  </si>
  <si>
    <t>2nd to 7th ,9th to 11th, 13th to 15th, 17th to 19th, 21st to 23rd For Residential</t>
  </si>
  <si>
    <t>8th, 12th, 16th &amp; 20th Floor (Part Refuge Area)</t>
  </si>
  <si>
    <t>Refuge Area</t>
  </si>
  <si>
    <t>F Wing</t>
  </si>
  <si>
    <t>Ground Floor For Meter Room</t>
  </si>
  <si>
    <t>2nd to 7th ,9th to 11th, 13th to 15th, 17th to 19th, 21st to 23rd Floor</t>
  </si>
  <si>
    <t>G Wing</t>
  </si>
  <si>
    <t>H Wing</t>
  </si>
  <si>
    <t>2nd to 7th, 9th to 11th, 13th to 15th Floor</t>
  </si>
  <si>
    <t>8th &amp; 12th Floor (Part Refuge Area)</t>
  </si>
  <si>
    <t>16th Floor (Part Refuge Area)</t>
  </si>
  <si>
    <t>20th Floor (Part Refuge Area)</t>
  </si>
  <si>
    <t>Wing D</t>
  </si>
  <si>
    <t>Wing E</t>
  </si>
  <si>
    <t>Wing F</t>
  </si>
  <si>
    <t>Wing G</t>
  </si>
  <si>
    <t>Wing H</t>
  </si>
  <si>
    <t xml:space="preserve">M/s. Jasamrit Estates Pvt Ltd
</t>
  </si>
  <si>
    <t>165, Hissa No. 1/A, 1/B, 2,3,4,5,6,7,8,9,10;165/11/12/13 and others New Survey No. 165/B/1, 165/B/2, 165/B/3, 165/B/4 and others.</t>
  </si>
  <si>
    <t>Old Survey No.</t>
  </si>
  <si>
    <t>Ground Floor For Commercial</t>
  </si>
  <si>
    <t>Basement Floor For Parking</t>
  </si>
  <si>
    <t>As per RERA - 05/09/2028</t>
  </si>
  <si>
    <t>Approved Plans, CC, Sale Plans.</t>
  </si>
  <si>
    <t xml:space="preserve">Building No. 10 (D to H Wing) = Basement + St + 1st to 23th Floor
</t>
  </si>
  <si>
    <t>Building No. 10</t>
  </si>
  <si>
    <t>Building No. 10 (G Wing) = Basement + St + 1st to 23th Floor</t>
  </si>
  <si>
    <t>Vinay Unique Residency Building No. 10 known as Sky</t>
  </si>
  <si>
    <t>Mr. Leelesh Haldankar 7507605070/80/90</t>
  </si>
  <si>
    <t>5200 to 5800</t>
  </si>
  <si>
    <t>Rakesh</t>
  </si>
  <si>
    <t>Cost Sheet</t>
  </si>
  <si>
    <t>Office No. 1031, Wing J, Akshar Business Park, Plot No. 03 Sector 25, Near APMC Market,
Vashi, Navi Mumbai, Maharashtra 400703 TEL: 022-46090378/79/8
E mail : vsjcapf@gmail.com. Web site : www.vsjadon.com</t>
  </si>
  <si>
    <t>Building No. 10 (Wing D to H) - P99000031788
Building No. 10 (Wing I) - P99000054244</t>
  </si>
  <si>
    <t>Building No. 10 (Wing D to H &amp; I)</t>
  </si>
  <si>
    <t>VVCMC/TP/RDP/VP-0607/307/2023-24</t>
  </si>
  <si>
    <t xml:space="preserve">Building No. 10 (D to H &amp; I Wing) = Basement + St + 1st to 25th Floor
</t>
  </si>
  <si>
    <t xml:space="preserve">Building No. 10 (I Wing) = Basement + St + 1st to 25th Floor
</t>
  </si>
  <si>
    <t>Building No. 10 (IWing) = Basement + St + 1st to 25th Floor</t>
  </si>
  <si>
    <t>Approved Floor plan No.  Building No. 10 (D to H Wing)</t>
  </si>
  <si>
    <t>Approved Floor plan No.  Building No. 10 (I Wing)</t>
  </si>
  <si>
    <t>Proposed no of floors are changed to 25th floor for Building No. 10 (D to H Wing)</t>
  </si>
  <si>
    <t>I Wing</t>
  </si>
  <si>
    <t>2nd to 7th, 9th to 11th, 13th, 15th, 17th, 18th, 19th, 21st to 25th Floor</t>
  </si>
  <si>
    <t>8th &amp; 20th Floor (Part Refuge Area)</t>
  </si>
  <si>
    <t>12th &amp; 16th Floor</t>
  </si>
  <si>
    <t>14th Floor (Part Refuge Area)</t>
  </si>
  <si>
    <t>Wing I</t>
  </si>
  <si>
    <t>Flats - 820, Shops -18.</t>
  </si>
  <si>
    <t xml:space="preserve">We have updated approved floor plan &amp; C.C for Wing I (on 15/06/2024).
</t>
  </si>
  <si>
    <t>Building No. 10 (I Wing) Part 2 = Basement + St + 1st to 25th Floor</t>
  </si>
  <si>
    <t>Avg Wing I (Part 1 &amp; 2) Progress %</t>
  </si>
  <si>
    <t>Avg Wing I (Part 1 &amp; 2) Disbursement %</t>
  </si>
  <si>
    <t>5800 to 6500 + OC + PARK + FR</t>
  </si>
  <si>
    <t>VERBAL</t>
  </si>
  <si>
    <t>TRUPTI</t>
  </si>
  <si>
    <t>Development Charges, Society Formation Charges, Water, Electricity, Drainages, Sewerage Connection</t>
  </si>
  <si>
    <t>Floor Rise Value (7th to 15th Floor)</t>
  </si>
  <si>
    <t>Floor Rise Value (16th to 20th Floor)</t>
  </si>
  <si>
    <t>Floor Rise Value (21st to 23rd Floor)</t>
  </si>
  <si>
    <t>Salim 7507605070</t>
  </si>
  <si>
    <t>Building No. 10 (D to H Wing) = Basement + St + 1st to 25th Floor</t>
  </si>
  <si>
    <t>Building No. 10 (D Wing) = Basement + St + 1st to 25th Floor</t>
  </si>
  <si>
    <t>Building No. 10 (E Wing) = Basement + St + 1st to 25th Floor</t>
  </si>
  <si>
    <t>Building No. 10 (G Wing) = Basement + St + 1st to 25th Floor</t>
  </si>
  <si>
    <t xml:space="preserve">Please provide revised approved plans of Wing D to H.
</t>
  </si>
  <si>
    <t>17th, 19th, 21st to 23rd Floor Plan</t>
  </si>
  <si>
    <t>18th Floor</t>
  </si>
  <si>
    <t>Saleable area changed from 642 to 672 by trupti on 14/05/2025</t>
  </si>
  <si>
    <t xml:space="preserve">Recommended Rates / Other charges of the Property have been revised on 05/11/2022, 07/10/2024 &amp; 14/05/2025.
</t>
  </si>
  <si>
    <t>Building No. 10 (F Wing) = Basement + St + 1st to 25th Floor</t>
  </si>
  <si>
    <t>Building No. 10 (I Wing) = Basement + St + 1st to 25th Floor</t>
  </si>
  <si>
    <t>06 Wings</t>
  </si>
  <si>
    <t>Site Person - Contact Details (Name &amp; Contact No.)</t>
  </si>
  <si>
    <t>Pooja</t>
  </si>
  <si>
    <t>Building No. 10 (F, G &amp; H Wing) = Basement + St + 1st to 25th Floor</t>
  </si>
  <si>
    <t>Wing D, E &amp; I = Construction work is in process at the time of Visit.
Wing F, G &amp; H = Painting, lobby &amp; finishing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</si>
</sst>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47">
    <xf numFmtId="0" fontId="0" fillId="0" borderId="0" xfId="0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0" fontId="6" fillId="0" borderId="1" xfId="1" applyFont="1" applyFill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/>
    <xf numFmtId="0" fontId="15" fillId="0" borderId="0" xfId="1" applyFont="1" applyFill="1"/>
    <xf numFmtId="0" fontId="12" fillId="0" borderId="0" xfId="1" applyFont="1" applyFill="1"/>
    <xf numFmtId="1" fontId="7" fillId="0" borderId="0" xfId="1" applyNumberFormat="1" applyFont="1" applyFill="1"/>
    <xf numFmtId="0" fontId="7" fillId="0" borderId="0" xfId="1" applyNumberFormat="1" applyFont="1" applyFill="1"/>
    <xf numFmtId="14" fontId="7" fillId="0" borderId="0" xfId="1" applyNumberFormat="1" applyFont="1" applyFill="1"/>
    <xf numFmtId="0" fontId="7" fillId="0" borderId="0" xfId="1" applyFont="1" applyFill="1" applyProtection="1">
      <protection hidden="1"/>
    </xf>
    <xf numFmtId="0" fontId="23" fillId="0" borderId="0" xfId="1" applyFont="1" applyFill="1"/>
    <xf numFmtId="0" fontId="7" fillId="0" borderId="9" xfId="1" applyFont="1" applyFill="1" applyBorder="1"/>
    <xf numFmtId="0" fontId="17" fillId="0" borderId="9" xfId="0" applyNumberFormat="1" applyFont="1" applyFill="1" applyBorder="1" applyProtection="1">
      <protection hidden="1"/>
    </xf>
    <xf numFmtId="1" fontId="0" fillId="0" borderId="9" xfId="0" applyNumberFormat="1" applyFill="1" applyBorder="1"/>
    <xf numFmtId="1" fontId="0" fillId="0" borderId="9" xfId="0" applyNumberFormat="1" applyFill="1" applyBorder="1" applyAlignment="1">
      <alignment horizontal="right"/>
    </xf>
    <xf numFmtId="1" fontId="0" fillId="0" borderId="11" xfId="0" applyNumberFormat="1" applyFill="1" applyBorder="1"/>
    <xf numFmtId="0" fontId="16" fillId="0" borderId="0" xfId="1" applyFont="1" applyFill="1"/>
    <xf numFmtId="0" fontId="6" fillId="0" borderId="0" xfId="2" applyFont="1" applyFill="1"/>
    <xf numFmtId="0" fontId="7" fillId="0" borderId="0" xfId="0" applyFont="1" applyFill="1" applyAlignment="1">
      <alignment horizontal="center" vertical="center"/>
    </xf>
    <xf numFmtId="1" fontId="7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0" fontId="8" fillId="0" borderId="0" xfId="1" applyFont="1" applyFill="1" applyBorder="1" applyAlignment="1" applyProtection="1">
      <alignment vertical="top"/>
      <protection locked="0"/>
    </xf>
    <xf numFmtId="0" fontId="8" fillId="0" borderId="0" xfId="1" applyFont="1" applyFill="1" applyBorder="1" applyAlignment="1" applyProtection="1">
      <alignment vertical="top" wrapText="1"/>
      <protection locked="0"/>
    </xf>
    <xf numFmtId="0" fontId="7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0" xfId="1" applyFont="1" applyFill="1" applyAlignment="1">
      <alignment horizontal="center" vertical="center"/>
    </xf>
    <xf numFmtId="0" fontId="24" fillId="2" borderId="29" xfId="0" applyFont="1" applyFill="1" applyBorder="1"/>
    <xf numFmtId="0" fontId="25" fillId="0" borderId="30" xfId="0" applyFont="1" applyFill="1" applyBorder="1"/>
    <xf numFmtId="0" fontId="25" fillId="0" borderId="1" xfId="0" applyFont="1" applyFill="1" applyBorder="1"/>
    <xf numFmtId="0" fontId="25" fillId="0" borderId="4" xfId="0" applyFont="1" applyFill="1" applyBorder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7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3" xfId="1" applyFont="1" applyFill="1" applyBorder="1" applyAlignment="1" applyProtection="1">
      <alignment horizontal="center" vertical="top"/>
      <protection locked="0"/>
    </xf>
    <xf numFmtId="0" fontId="7" fillId="0" borderId="1" xfId="1" applyFont="1" applyFill="1" applyBorder="1" applyAlignment="1" applyProtection="1">
      <alignment horizontal="center" vertical="top"/>
      <protection locked="0"/>
    </xf>
    <xf numFmtId="0" fontId="7" fillId="0" borderId="4" xfId="1" applyFont="1" applyFill="1" applyBorder="1" applyAlignment="1" applyProtection="1">
      <alignment horizontal="center" vertical="top"/>
      <protection locked="0"/>
    </xf>
    <xf numFmtId="1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Fill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4" fillId="2" borderId="14" xfId="0" applyFont="1" applyFill="1" applyBorder="1"/>
    <xf numFmtId="0" fontId="25" fillId="0" borderId="8" xfId="0" applyFont="1" applyFill="1" applyBorder="1"/>
    <xf numFmtId="1" fontId="7" fillId="0" borderId="0" xfId="1" applyNumberFormat="1" applyFont="1" applyFill="1" applyAlignment="1">
      <alignment horizontal="left" vertical="top"/>
    </xf>
    <xf numFmtId="0" fontId="15" fillId="0" borderId="3" xfId="1" applyFont="1" applyFill="1" applyBorder="1" applyAlignment="1" applyProtection="1">
      <alignment horizontal="center" vertical="top"/>
      <protection locked="0"/>
    </xf>
    <xf numFmtId="0" fontId="15" fillId="0" borderId="1" xfId="1" applyFont="1" applyFill="1" applyBorder="1" applyAlignment="1" applyProtection="1">
      <alignment horizontal="center" vertical="top"/>
      <protection locked="0"/>
    </xf>
    <xf numFmtId="0" fontId="15" fillId="0" borderId="4" xfId="1" applyFont="1" applyFill="1" applyBorder="1" applyAlignment="1" applyProtection="1">
      <alignment horizontal="center" vertical="top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9" fontId="15" fillId="0" borderId="1" xfId="8" applyFont="1" applyFill="1" applyBorder="1" applyAlignment="1" applyProtection="1">
      <alignment horizontal="center" vertical="top" wrapText="1"/>
      <protection locked="0"/>
    </xf>
    <xf numFmtId="1" fontId="15" fillId="0" borderId="1" xfId="1" applyNumberFormat="1" applyFont="1" applyFill="1" applyBorder="1" applyAlignment="1" applyProtection="1">
      <alignment horizontal="center" vertical="top" wrapText="1"/>
      <protection locked="0"/>
    </xf>
    <xf numFmtId="0" fontId="19" fillId="2" borderId="29" xfId="0" applyFont="1" applyFill="1" applyBorder="1"/>
    <xf numFmtId="0" fontId="19" fillId="0" borderId="30" xfId="0" applyFont="1" applyFill="1" applyBorder="1"/>
    <xf numFmtId="0" fontId="19" fillId="0" borderId="1" xfId="0" applyFont="1" applyFill="1" applyBorder="1"/>
    <xf numFmtId="0" fontId="19" fillId="0" borderId="4" xfId="0" applyFont="1" applyFill="1" applyBorder="1"/>
    <xf numFmtId="0" fontId="28" fillId="0" borderId="0" xfId="0" applyFont="1" applyFill="1" applyBorder="1" applyProtection="1">
      <protection hidden="1"/>
    </xf>
    <xf numFmtId="0" fontId="15" fillId="0" borderId="9" xfId="1" applyFont="1" applyFill="1" applyBorder="1"/>
    <xf numFmtId="0" fontId="28" fillId="0" borderId="9" xfId="0" applyNumberFormat="1" applyFont="1" applyFill="1" applyBorder="1" applyProtection="1">
      <protection hidden="1"/>
    </xf>
    <xf numFmtId="1" fontId="19" fillId="0" borderId="9" xfId="0" applyNumberFormat="1" applyFont="1" applyFill="1" applyBorder="1"/>
    <xf numFmtId="1" fontId="19" fillId="0" borderId="9" xfId="0" applyNumberFormat="1" applyFont="1" applyFill="1" applyBorder="1" applyAlignment="1">
      <alignment horizontal="right"/>
    </xf>
    <xf numFmtId="0" fontId="28" fillId="0" borderId="10" xfId="0" applyFont="1" applyFill="1" applyBorder="1" applyProtection="1">
      <protection hidden="1"/>
    </xf>
    <xf numFmtId="1" fontId="19" fillId="0" borderId="11" xfId="0" applyNumberFormat="1" applyFont="1" applyFill="1" applyBorder="1"/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1" fontId="10" fillId="0" borderId="7" xfId="0" applyNumberFormat="1" applyFont="1" applyFill="1" applyBorder="1" applyAlignment="1" applyProtection="1">
      <alignment vertical="top" wrapText="1"/>
      <protection locked="0"/>
    </xf>
    <xf numFmtId="1" fontId="10" fillId="0" borderId="20" xfId="0" applyNumberFormat="1" applyFont="1" applyFill="1" applyBorder="1" applyAlignment="1" applyProtection="1">
      <alignment vertical="top" wrapText="1"/>
      <protection locked="0"/>
    </xf>
    <xf numFmtId="1" fontId="10" fillId="0" borderId="8" xfId="0" applyNumberFormat="1" applyFont="1" applyFill="1" applyBorder="1" applyAlignment="1" applyProtection="1">
      <alignment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9" fontId="2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9" fontId="27" fillId="0" borderId="1" xfId="8" applyFont="1" applyFill="1" applyBorder="1" applyAlignment="1" applyProtection="1">
      <alignment horizontal="center" vertical="center" wrapText="1"/>
      <protection locked="0"/>
    </xf>
    <xf numFmtId="0" fontId="27" fillId="0" borderId="32" xfId="1" applyFont="1" applyFill="1" applyBorder="1" applyAlignment="1" applyProtection="1">
      <alignment horizontal="left" vertical="top" wrapText="1"/>
      <protection locked="0"/>
    </xf>
    <xf numFmtId="0" fontId="27" fillId="0" borderId="19" xfId="1" applyFont="1" applyFill="1" applyBorder="1" applyAlignment="1" applyProtection="1">
      <alignment horizontal="left" vertical="top" wrapText="1"/>
      <protection locked="0"/>
    </xf>
    <xf numFmtId="0" fontId="27" fillId="0" borderId="18" xfId="1" applyFont="1" applyFill="1" applyBorder="1" applyAlignment="1" applyProtection="1">
      <alignment horizontal="left" vertical="top" wrapText="1"/>
      <protection locked="0"/>
    </xf>
    <xf numFmtId="0" fontId="27" fillId="0" borderId="31" xfId="1" applyFont="1" applyFill="1" applyBorder="1" applyAlignment="1" applyProtection="1">
      <alignment horizontal="left" vertical="top" wrapText="1"/>
      <protection locked="0"/>
    </xf>
    <xf numFmtId="0" fontId="27" fillId="0" borderId="33" xfId="1" applyFont="1" applyFill="1" applyBorder="1" applyAlignment="1" applyProtection="1">
      <alignment horizontal="left" vertical="top" wrapText="1"/>
      <protection locked="0"/>
    </xf>
    <xf numFmtId="0" fontId="27" fillId="0" borderId="3" xfId="1" applyFont="1" applyFill="1" applyBorder="1" applyAlignment="1" applyProtection="1">
      <alignment horizontal="left" vertical="top"/>
      <protection locked="0"/>
    </xf>
    <xf numFmtId="0" fontId="27" fillId="0" borderId="1" xfId="1" applyFont="1" applyFill="1" applyBorder="1" applyAlignment="1" applyProtection="1">
      <alignment horizontal="left" vertical="top"/>
      <protection locked="0"/>
    </xf>
    <xf numFmtId="0" fontId="27" fillId="0" borderId="1" xfId="1" applyFont="1" applyFill="1" applyBorder="1" applyAlignment="1" applyProtection="1">
      <alignment horizontal="left" vertical="top" wrapText="1"/>
      <protection locked="0"/>
    </xf>
    <xf numFmtId="0" fontId="27" fillId="0" borderId="4" xfId="1" applyFont="1" applyFill="1" applyBorder="1" applyAlignment="1" applyProtection="1">
      <alignment horizontal="left" vertical="top" wrapText="1"/>
      <protection locked="0"/>
    </xf>
    <xf numFmtId="0" fontId="15" fillId="0" borderId="3" xfId="1" applyFont="1" applyFill="1" applyBorder="1" applyAlignment="1" applyProtection="1">
      <alignment horizontal="center" vertical="top" wrapText="1"/>
      <protection locked="0"/>
    </xf>
    <xf numFmtId="0" fontId="15" fillId="0" borderId="1" xfId="1" applyFont="1" applyFill="1" applyBorder="1" applyAlignment="1" applyProtection="1">
      <alignment horizontal="center" vertical="top" wrapText="1"/>
      <protection locked="0"/>
    </xf>
    <xf numFmtId="0" fontId="15" fillId="0" borderId="4" xfId="1" applyFont="1" applyFill="1" applyBorder="1" applyAlignment="1" applyProtection="1">
      <alignment horizontal="center" vertical="top" wrapText="1"/>
      <protection locked="0"/>
    </xf>
    <xf numFmtId="9" fontId="15" fillId="0" borderId="1" xfId="8" applyFont="1" applyFill="1" applyBorder="1" applyAlignment="1" applyProtection="1">
      <alignment horizontal="center" vertical="center" wrapText="1"/>
      <protection locked="0"/>
    </xf>
    <xf numFmtId="0" fontId="10" fillId="0" borderId="1" xfId="1" applyFont="1" applyFill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/>
      <protection locked="0"/>
    </xf>
    <xf numFmtId="0" fontId="7" fillId="0" borderId="5" xfId="1" applyFont="1" applyFill="1" applyBorder="1" applyAlignment="1" applyProtection="1">
      <alignment horizontal="center" vertical="top" wrapText="1"/>
      <protection locked="0"/>
    </xf>
    <xf numFmtId="0" fontId="7" fillId="0" borderId="6" xfId="1" applyFont="1" applyFill="1" applyBorder="1" applyAlignment="1" applyProtection="1">
      <alignment horizontal="center" vertical="top" wrapText="1"/>
      <protection locked="0"/>
    </xf>
    <xf numFmtId="0" fontId="10" fillId="0" borderId="21" xfId="1" applyFont="1" applyFill="1" applyBorder="1" applyAlignment="1" applyProtection="1">
      <alignment horizontal="left" vertical="top" wrapText="1"/>
      <protection locked="0"/>
    </xf>
    <xf numFmtId="0" fontId="10" fillId="0" borderId="14" xfId="1" applyFont="1" applyFill="1" applyBorder="1" applyAlignment="1" applyProtection="1">
      <alignment horizontal="left" vertical="top" wrapText="1"/>
      <protection locked="0"/>
    </xf>
    <xf numFmtId="0" fontId="10" fillId="0" borderId="12" xfId="1" applyFont="1" applyFill="1" applyBorder="1" applyAlignment="1" applyProtection="1">
      <alignment horizontal="left" vertical="top" wrapText="1"/>
      <protection locked="0"/>
    </xf>
    <xf numFmtId="0" fontId="10" fillId="0" borderId="13" xfId="1" applyFont="1" applyFill="1" applyBorder="1" applyAlignment="1" applyProtection="1">
      <alignment horizontal="left" vertical="top" wrapText="1"/>
      <protection locked="0"/>
    </xf>
    <xf numFmtId="0" fontId="10" fillId="0" borderId="22" xfId="1" applyFont="1" applyFill="1" applyBorder="1" applyAlignment="1" applyProtection="1">
      <alignment horizontal="left" vertical="top" wrapText="1"/>
      <protection locked="0"/>
    </xf>
    <xf numFmtId="0" fontId="10" fillId="0" borderId="3" xfId="1" applyFont="1" applyFill="1" applyBorder="1" applyAlignment="1" applyProtection="1">
      <alignment horizontal="left" vertical="top"/>
      <protection locked="0"/>
    </xf>
    <xf numFmtId="0" fontId="10" fillId="0" borderId="4" xfId="1" applyFont="1" applyFill="1" applyBorder="1" applyAlignment="1" applyProtection="1">
      <alignment horizontal="left" vertical="top" wrapText="1"/>
      <protection locked="0"/>
    </xf>
    <xf numFmtId="1" fontId="6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vertical="top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8" fillId="0" borderId="15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15" xfId="1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1" fontId="8" fillId="0" borderId="18" xfId="1" applyNumberFormat="1" applyFont="1" applyFill="1" applyBorder="1" applyAlignment="1" applyProtection="1">
      <alignment horizontal="center" vertical="top" wrapText="1"/>
      <protection locked="0"/>
    </xf>
    <xf numFmtId="1" fontId="8" fillId="0" borderId="19" xfId="1" applyNumberFormat="1" applyFont="1" applyFill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164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Fill="1" applyBorder="1" applyAlignment="1" applyProtection="1">
      <alignment horizontal="left"/>
      <protection locked="0"/>
    </xf>
    <xf numFmtId="0" fontId="6" fillId="0" borderId="7" xfId="1" applyFont="1" applyFill="1" applyBorder="1" applyAlignment="1" applyProtection="1">
      <alignment horizontal="left" vertical="top" wrapText="1"/>
      <protection locked="0"/>
    </xf>
    <xf numFmtId="0" fontId="6" fillId="0" borderId="8" xfId="1" applyFont="1" applyFill="1" applyBorder="1" applyAlignment="1" applyProtection="1">
      <alignment horizontal="left" vertical="top" wrapText="1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8" fillId="0" borderId="7" xfId="1" applyFont="1" applyFill="1" applyBorder="1" applyAlignment="1" applyProtection="1">
      <alignment horizontal="left" vertical="top"/>
      <protection locked="0"/>
    </xf>
    <xf numFmtId="0" fontId="8" fillId="0" borderId="8" xfId="1" applyFont="1" applyFill="1" applyBorder="1" applyAlignment="1" applyProtection="1">
      <alignment horizontal="left" vertical="top"/>
      <protection locked="0"/>
    </xf>
    <xf numFmtId="1" fontId="6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3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center" vertical="top" wrapText="1"/>
      <protection locked="0"/>
    </xf>
    <xf numFmtId="0" fontId="14" fillId="0" borderId="1" xfId="1" applyFont="1" applyFill="1" applyBorder="1" applyAlignment="1" applyProtection="1">
      <alignment horizontal="center" vertical="top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1" fontId="10" fillId="3" borderId="7" xfId="0" applyNumberFormat="1" applyFont="1" applyFill="1" applyBorder="1" applyAlignment="1" applyProtection="1">
      <alignment vertical="top" wrapText="1"/>
      <protection locked="0"/>
    </xf>
    <xf numFmtId="1" fontId="10" fillId="3" borderId="20" xfId="0" applyNumberFormat="1" applyFont="1" applyFill="1" applyBorder="1" applyAlignment="1" applyProtection="1">
      <alignment vertical="top" wrapText="1"/>
      <protection locked="0"/>
    </xf>
    <xf numFmtId="1" fontId="10" fillId="3" borderId="8" xfId="0" applyNumberFormat="1" applyFont="1" applyFill="1" applyBorder="1" applyAlignment="1" applyProtection="1">
      <alignment vertical="top" wrapText="1"/>
      <protection locked="0"/>
    </xf>
    <xf numFmtId="0" fontId="11" fillId="0" borderId="1" xfId="1" applyFont="1" applyFill="1" applyBorder="1" applyAlignment="1" applyProtection="1">
      <alignment horizontal="center" vertical="top" wrapText="1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center"/>
      <protection locked="0"/>
    </xf>
    <xf numFmtId="0" fontId="13" fillId="0" borderId="1" xfId="1" applyFont="1" applyFill="1" applyBorder="1" applyAlignment="1" applyProtection="1">
      <alignment horizontal="center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6" fillId="0" borderId="20" xfId="1" applyFont="1" applyFill="1" applyBorder="1" applyAlignment="1" applyProtection="1">
      <alignment horizontal="left" vertical="top" wrapText="1"/>
      <protection locked="0"/>
    </xf>
    <xf numFmtId="0" fontId="8" fillId="0" borderId="7" xfId="1" applyFont="1" applyFill="1" applyBorder="1" applyAlignment="1" applyProtection="1">
      <alignment horizontal="left" vertical="top" wrapText="1"/>
      <protection locked="0"/>
    </xf>
    <xf numFmtId="0" fontId="8" fillId="0" borderId="8" xfId="1" applyFont="1" applyFill="1" applyBorder="1" applyAlignment="1" applyProtection="1">
      <alignment horizontal="left" vertical="top" wrapText="1"/>
      <protection locked="0"/>
    </xf>
    <xf numFmtId="0" fontId="8" fillId="0" borderId="20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 wrapText="1"/>
      <protection locked="0"/>
    </xf>
    <xf numFmtId="0" fontId="7" fillId="0" borderId="2" xfId="1" applyFont="1" applyFill="1" applyBorder="1" applyAlignment="1" applyProtection="1">
      <alignment horizontal="left" vertical="top"/>
      <protection locked="0"/>
    </xf>
    <xf numFmtId="14" fontId="6" fillId="0" borderId="7" xfId="1" applyNumberFormat="1" applyFont="1" applyFill="1" applyBorder="1" applyAlignment="1" applyProtection="1">
      <alignment horizontal="left" vertical="top" wrapText="1"/>
      <protection locked="0"/>
    </xf>
    <xf numFmtId="0" fontId="6" fillId="0" borderId="16" xfId="1" applyFont="1" applyFill="1" applyBorder="1" applyAlignment="1" applyProtection="1">
      <alignment horizontal="left" vertical="top" wrapText="1"/>
      <protection locked="0"/>
    </xf>
    <xf numFmtId="0" fontId="6" fillId="0" borderId="17" xfId="1" applyFont="1" applyFill="1" applyBorder="1" applyAlignment="1" applyProtection="1">
      <alignment horizontal="left" vertical="top" wrapText="1"/>
      <protection locked="0"/>
    </xf>
    <xf numFmtId="0" fontId="6" fillId="0" borderId="18" xfId="1" applyFont="1" applyFill="1" applyBorder="1" applyAlignment="1" applyProtection="1">
      <alignment horizontal="left" vertical="top" wrapText="1"/>
      <protection locked="0"/>
    </xf>
    <xf numFmtId="0" fontId="6" fillId="0" borderId="19" xfId="1" applyFont="1" applyFill="1" applyBorder="1" applyAlignment="1" applyProtection="1">
      <alignment horizontal="left" vertical="top" wrapText="1"/>
      <protection locked="0"/>
    </xf>
    <xf numFmtId="14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" fontId="7" fillId="0" borderId="1" xfId="0" applyNumberFormat="1" applyFont="1" applyFill="1" applyBorder="1" applyAlignment="1" applyProtection="1">
      <alignment horizontal="center" vertical="center"/>
      <protection locked="0"/>
    </xf>
    <xf numFmtId="1" fontId="10" fillId="0" borderId="1" xfId="0" applyNumberFormat="1" applyFont="1" applyFill="1" applyBorder="1" applyAlignment="1" applyProtection="1">
      <alignment horizontal="left" vertical="top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1" fontId="12" fillId="0" borderId="1" xfId="0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2" fillId="0" borderId="18" xfId="1" applyFont="1" applyFill="1" applyBorder="1" applyAlignment="1" applyProtection="1">
      <alignment horizontal="left" vertical="top" wrapText="1"/>
      <protection locked="0"/>
    </xf>
    <xf numFmtId="0" fontId="12" fillId="0" borderId="31" xfId="1" applyFont="1" applyFill="1" applyBorder="1" applyAlignment="1" applyProtection="1">
      <alignment horizontal="left" vertical="top" wrapText="1"/>
      <protection locked="0"/>
    </xf>
    <xf numFmtId="0" fontId="12" fillId="0" borderId="19" xfId="1" applyFont="1" applyFill="1" applyBorder="1" applyAlignment="1" applyProtection="1">
      <alignment horizontal="left" vertical="top" wrapText="1"/>
      <protection locked="0"/>
    </xf>
    <xf numFmtId="0" fontId="10" fillId="0" borderId="32" xfId="1" applyFont="1" applyFill="1" applyBorder="1" applyAlignment="1" applyProtection="1">
      <alignment horizontal="left" vertical="top" wrapText="1"/>
      <protection locked="0"/>
    </xf>
    <xf numFmtId="0" fontId="10" fillId="0" borderId="19" xfId="1" applyFont="1" applyFill="1" applyBorder="1" applyAlignment="1" applyProtection="1">
      <alignment horizontal="left" vertical="top" wrapText="1"/>
      <protection locked="0"/>
    </xf>
    <xf numFmtId="0" fontId="10" fillId="0" borderId="18" xfId="1" applyFont="1" applyFill="1" applyBorder="1" applyAlignment="1" applyProtection="1">
      <alignment horizontal="left" vertical="top" wrapText="1"/>
      <protection locked="0"/>
    </xf>
    <xf numFmtId="0" fontId="10" fillId="0" borderId="31" xfId="1" applyFont="1" applyFill="1" applyBorder="1" applyAlignment="1" applyProtection="1">
      <alignment horizontal="left" vertical="top" wrapText="1"/>
      <protection locked="0"/>
    </xf>
    <xf numFmtId="0" fontId="10" fillId="0" borderId="33" xfId="1" applyFont="1" applyFill="1" applyBorder="1" applyAlignment="1" applyProtection="1">
      <alignment horizontal="left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537</xdr:row>
      <xdr:rowOff>19050</xdr:rowOff>
    </xdr:from>
    <xdr:to>
      <xdr:col>7</xdr:col>
      <xdr:colOff>215965</xdr:colOff>
      <xdr:row>555</xdr:row>
      <xdr:rowOff>18600</xdr:rowOff>
    </xdr:to>
    <xdr:pic>
      <xdr:nvPicPr>
        <xdr:cNvPr id="8" name="Picture 7"/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14351" y="53625750"/>
          <a:ext cx="5816664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523875</xdr:colOff>
      <xdr:row>555</xdr:row>
      <xdr:rowOff>147369</xdr:rowOff>
    </xdr:from>
    <xdr:to>
      <xdr:col>7</xdr:col>
      <xdr:colOff>225490</xdr:colOff>
      <xdr:row>573</xdr:row>
      <xdr:rowOff>146918</xdr:rowOff>
    </xdr:to>
    <xdr:pic>
      <xdr:nvPicPr>
        <xdr:cNvPr id="9" name="Picture 8"/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23875" y="97750044"/>
          <a:ext cx="5397565" cy="359999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14</xdr:col>
      <xdr:colOff>272750</xdr:colOff>
      <xdr:row>450</xdr:row>
      <xdr:rowOff>146050</xdr:rowOff>
    </xdr:from>
    <xdr:to>
      <xdr:col>14</xdr:col>
      <xdr:colOff>609297</xdr:colOff>
      <xdr:row>452</xdr:row>
      <xdr:rowOff>140565</xdr:rowOff>
    </xdr:to>
    <xdr:sp macro="" textlink="">
      <xdr:nvSpPr>
        <xdr:cNvPr id="29" name="Rectangle 28"/>
        <xdr:cNvSpPr/>
      </xdr:nvSpPr>
      <xdr:spPr>
        <a:xfrm>
          <a:off x="11807525" y="85556725"/>
          <a:ext cx="336547" cy="38504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twoCellAnchor>
  <xdr:twoCellAnchor>
    <xdr:from>
      <xdr:col>13</xdr:col>
      <xdr:colOff>257175</xdr:colOff>
      <xdr:row>470</xdr:row>
      <xdr:rowOff>142875</xdr:rowOff>
    </xdr:from>
    <xdr:to>
      <xdr:col>13</xdr:col>
      <xdr:colOff>352425</xdr:colOff>
      <xdr:row>475</xdr:row>
      <xdr:rowOff>76200</xdr:rowOff>
    </xdr:to>
    <xdr:cxnSp macro="">
      <xdr:nvCxnSpPr>
        <xdr:cNvPr id="3" name="Straight Arrow Connector 2"/>
        <xdr:cNvCxnSpPr/>
      </xdr:nvCxnSpPr>
      <xdr:spPr>
        <a:xfrm flipV="1">
          <a:off x="11334750" y="92821125"/>
          <a:ext cx="95250" cy="933450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272750</xdr:colOff>
      <xdr:row>494</xdr:row>
      <xdr:rowOff>146050</xdr:rowOff>
    </xdr:from>
    <xdr:to>
      <xdr:col>14</xdr:col>
      <xdr:colOff>609297</xdr:colOff>
      <xdr:row>496</xdr:row>
      <xdr:rowOff>140565</xdr:rowOff>
    </xdr:to>
    <xdr:sp macro="" textlink="">
      <xdr:nvSpPr>
        <xdr:cNvPr id="40" name="Rectangle 39"/>
        <xdr:cNvSpPr/>
      </xdr:nvSpPr>
      <xdr:spPr>
        <a:xfrm>
          <a:off x="12763200" y="82556350"/>
          <a:ext cx="336547" cy="381865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IN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</a:t>
          </a:r>
        </a:p>
      </xdr:txBody>
    </xdr:sp>
    <xdr:clientData/>
  </xdr:twoCellAnchor>
  <xdr:twoCellAnchor>
    <xdr:from>
      <xdr:col>13</xdr:col>
      <xdr:colOff>257175</xdr:colOff>
      <xdr:row>514</xdr:row>
      <xdr:rowOff>142875</xdr:rowOff>
    </xdr:from>
    <xdr:to>
      <xdr:col>13</xdr:col>
      <xdr:colOff>352425</xdr:colOff>
      <xdr:row>519</xdr:row>
      <xdr:rowOff>76200</xdr:rowOff>
    </xdr:to>
    <xdr:cxnSp macro="">
      <xdr:nvCxnSpPr>
        <xdr:cNvPr id="41" name="Straight Arrow Connector 40"/>
        <xdr:cNvCxnSpPr/>
      </xdr:nvCxnSpPr>
      <xdr:spPr>
        <a:xfrm flipV="1">
          <a:off x="11871325" y="86483825"/>
          <a:ext cx="95250" cy="917575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412750</xdr:colOff>
      <xdr:row>453</xdr:row>
      <xdr:rowOff>6350</xdr:rowOff>
    </xdr:from>
    <xdr:ext cx="639727" cy="280205"/>
    <xdr:sp macro="" textlink="">
      <xdr:nvSpPr>
        <xdr:cNvPr id="4" name="TextBox 3"/>
        <xdr:cNvSpPr txBox="1"/>
      </xdr:nvSpPr>
      <xdr:spPr>
        <a:xfrm>
          <a:off x="8877300" y="83000850"/>
          <a:ext cx="63972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0" cap="none" spc="0">
              <a:ln w="0"/>
              <a:solidFill>
                <a:srgbClr val="FFFF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D Wing</a:t>
          </a:r>
        </a:p>
      </xdr:txBody>
    </xdr:sp>
    <xdr:clientData/>
  </xdr:oneCellAnchor>
  <xdr:twoCellAnchor>
    <xdr:from>
      <xdr:col>0</xdr:col>
      <xdr:colOff>381000</xdr:colOff>
      <xdr:row>448</xdr:row>
      <xdr:rowOff>133350</xdr:rowOff>
    </xdr:from>
    <xdr:to>
      <xdr:col>7</xdr:col>
      <xdr:colOff>847438</xdr:colOff>
      <xdr:row>488</xdr:row>
      <xdr:rowOff>148872</xdr:rowOff>
    </xdr:to>
    <xdr:grpSp>
      <xdr:nvGrpSpPr>
        <xdr:cNvPr id="5" name="Group 4"/>
        <xdr:cNvGrpSpPr/>
      </xdr:nvGrpSpPr>
      <xdr:grpSpPr>
        <a:xfrm>
          <a:off x="381000" y="82149950"/>
          <a:ext cx="6441788" cy="7883172"/>
          <a:chOff x="381000" y="82130900"/>
          <a:chExt cx="6441788" cy="7883172"/>
        </a:xfrm>
      </xdr:grpSpPr>
      <xdr:pic>
        <xdr:nvPicPr>
          <xdr:cNvPr id="42" name="Picture 41"/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82130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4" name="Picture 43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6121" y="82130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5" name="Picture 44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8716" y="8213090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6" name="Picture 45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8499248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7" name="Picture 46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2384" y="87854072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8" name="Picture 4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76120" y="8499248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758714" y="84992486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1000" y="87854072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1" name="Picture 5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02788" y="87854072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2" name="TextBox 51"/>
          <xdr:cNvSpPr txBox="1"/>
        </xdr:nvSpPr>
        <xdr:spPr>
          <a:xfrm>
            <a:off x="939800" y="829945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D Wing</a:t>
            </a:r>
          </a:p>
        </xdr:txBody>
      </xdr:sp>
      <xdr:sp macro="" textlink="">
        <xdr:nvSpPr>
          <xdr:cNvPr id="53" name="TextBox 52"/>
          <xdr:cNvSpPr txBox="1"/>
        </xdr:nvSpPr>
        <xdr:spPr>
          <a:xfrm>
            <a:off x="3528621" y="842264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E Wing</a:t>
            </a:r>
          </a:p>
        </xdr:txBody>
      </xdr:sp>
      <xdr:sp macro="" textlink="">
        <xdr:nvSpPr>
          <xdr:cNvPr id="54" name="TextBox 53"/>
          <xdr:cNvSpPr txBox="1"/>
        </xdr:nvSpPr>
        <xdr:spPr>
          <a:xfrm>
            <a:off x="5038116" y="8385175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55" name="TextBox 54"/>
          <xdr:cNvSpPr txBox="1"/>
        </xdr:nvSpPr>
        <xdr:spPr>
          <a:xfrm>
            <a:off x="1638300" y="86872086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  <xdr:sp macro="" textlink="">
        <xdr:nvSpPr>
          <xdr:cNvPr id="56" name="TextBox 55"/>
          <xdr:cNvSpPr txBox="1"/>
        </xdr:nvSpPr>
        <xdr:spPr>
          <a:xfrm>
            <a:off x="3331770" y="86878436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H Wing</a:t>
            </a:r>
          </a:p>
        </xdr:txBody>
      </xdr:sp>
      <xdr:sp macro="" textlink="">
        <xdr:nvSpPr>
          <xdr:cNvPr id="57" name="TextBox 56"/>
          <xdr:cNvSpPr txBox="1"/>
        </xdr:nvSpPr>
        <xdr:spPr>
          <a:xfrm>
            <a:off x="4873014" y="87208636"/>
            <a:ext cx="583814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I Wing</a:t>
            </a:r>
          </a:p>
        </xdr:txBody>
      </xdr:sp>
    </xdr:grpSp>
    <xdr:clientData/>
  </xdr:twoCellAnchor>
  <xdr:twoCellAnchor>
    <xdr:from>
      <xdr:col>0</xdr:col>
      <xdr:colOff>368300</xdr:colOff>
      <xdr:row>492</xdr:row>
      <xdr:rowOff>107950</xdr:rowOff>
    </xdr:from>
    <xdr:to>
      <xdr:col>7</xdr:col>
      <xdr:colOff>939432</xdr:colOff>
      <xdr:row>525</xdr:row>
      <xdr:rowOff>77142</xdr:rowOff>
    </xdr:to>
    <xdr:grpSp>
      <xdr:nvGrpSpPr>
        <xdr:cNvPr id="7" name="Group 6"/>
        <xdr:cNvGrpSpPr/>
      </xdr:nvGrpSpPr>
      <xdr:grpSpPr>
        <a:xfrm>
          <a:off x="368300" y="90779600"/>
          <a:ext cx="6546482" cy="6458892"/>
          <a:chOff x="368300" y="90779600"/>
          <a:chExt cx="6546482" cy="6458892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5633" y="9077960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10391" y="90779600"/>
            <a:ext cx="162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0875" y="90779600"/>
            <a:ext cx="2880000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8" name="Picture 67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0688" y="9303704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8300" y="9303704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40688" y="95186492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5782" y="9303704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9" name="Picture 7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08969" y="93037046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80875" y="95186492"/>
            <a:ext cx="1539000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75775" y="9518649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10572" y="95186492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3" name="TextBox 82"/>
          <xdr:cNvSpPr txBox="1"/>
        </xdr:nvSpPr>
        <xdr:spPr>
          <a:xfrm>
            <a:off x="755525" y="9239885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84" name="TextBox 83"/>
          <xdr:cNvSpPr txBox="1"/>
        </xdr:nvSpPr>
        <xdr:spPr>
          <a:xfrm>
            <a:off x="5496141" y="925068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85" name="TextBox 84"/>
          <xdr:cNvSpPr txBox="1"/>
        </xdr:nvSpPr>
        <xdr:spPr>
          <a:xfrm>
            <a:off x="4352733" y="92405200"/>
            <a:ext cx="63972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F Wing</a:t>
            </a:r>
          </a:p>
        </xdr:txBody>
      </xdr:sp>
      <xdr:sp macro="" textlink="">
        <xdr:nvSpPr>
          <xdr:cNvPr id="86" name="TextBox 85"/>
          <xdr:cNvSpPr txBox="1"/>
        </xdr:nvSpPr>
        <xdr:spPr>
          <a:xfrm>
            <a:off x="2381250" y="94319746"/>
            <a:ext cx="629365" cy="3016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H Wing</a:t>
            </a:r>
          </a:p>
        </xdr:txBody>
      </xdr:sp>
      <xdr:sp macro="" textlink="">
        <xdr:nvSpPr>
          <xdr:cNvPr id="87" name="TextBox 86"/>
          <xdr:cNvSpPr txBox="1"/>
        </xdr:nvSpPr>
        <xdr:spPr>
          <a:xfrm>
            <a:off x="723900" y="94129246"/>
            <a:ext cx="629365" cy="3016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H Wing</a:t>
            </a:r>
          </a:p>
        </xdr:txBody>
      </xdr:sp>
      <xdr:sp macro="" textlink="">
        <xdr:nvSpPr>
          <xdr:cNvPr id="88" name="TextBox 87"/>
          <xdr:cNvSpPr txBox="1"/>
        </xdr:nvSpPr>
        <xdr:spPr>
          <a:xfrm>
            <a:off x="3804219" y="93913346"/>
            <a:ext cx="629365" cy="3016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  <xdr:sp macro="" textlink="">
        <xdr:nvSpPr>
          <xdr:cNvPr id="89" name="TextBox 88"/>
          <xdr:cNvSpPr txBox="1"/>
        </xdr:nvSpPr>
        <xdr:spPr>
          <a:xfrm>
            <a:off x="6150482" y="93716496"/>
            <a:ext cx="629365" cy="30160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2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G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JESvesrpqUfBTgM9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536"/>
  <sheetViews>
    <sheetView tabSelected="1" view="pageBreakPreview" zoomScaleNormal="100" zoomScaleSheetLayoutView="100" zoomScalePageLayoutView="55" workbookViewId="0">
      <selection activeCell="J499" sqref="J499"/>
    </sheetView>
  </sheetViews>
  <sheetFormatPr defaultColWidth="9.1796875" defaultRowHeight="15.5" x14ac:dyDescent="0.35"/>
  <cols>
    <col min="1" max="1" width="11.453125" style="41" customWidth="1"/>
    <col min="2" max="2" width="12" style="41" customWidth="1"/>
    <col min="3" max="3" width="12.7265625" style="41" customWidth="1"/>
    <col min="4" max="4" width="14.1796875" style="41" customWidth="1"/>
    <col min="5" max="7" width="11.7265625" style="41" customWidth="1"/>
    <col min="8" max="8" width="18.1796875" style="41" customWidth="1"/>
    <col min="9" max="9" width="17.453125" style="21" customWidth="1"/>
    <col min="10" max="10" width="11.453125" style="21" customWidth="1"/>
    <col min="11" max="11" width="10.54296875" style="21" bestFit="1" customWidth="1"/>
    <col min="12" max="12" width="11.26953125" style="21" bestFit="1" customWidth="1"/>
    <col min="13" max="13" width="11.81640625" style="21" customWidth="1"/>
    <col min="14" max="14" width="12.54296875" style="21" customWidth="1"/>
    <col min="15" max="15" width="9.81640625" style="21" customWidth="1"/>
    <col min="16" max="16" width="11.7265625" style="21" customWidth="1"/>
    <col min="17" max="247" width="9.1796875" style="21"/>
    <col min="248" max="248" width="8.7265625" style="21" customWidth="1"/>
    <col min="249" max="249" width="9.81640625" style="21" customWidth="1"/>
    <col min="250" max="250" width="14.453125" style="21" customWidth="1"/>
    <col min="251" max="251" width="7.26953125" style="21" customWidth="1"/>
    <col min="252" max="252" width="5.54296875" style="21" customWidth="1"/>
    <col min="253" max="253" width="9" style="21" customWidth="1"/>
    <col min="254" max="255" width="9.81640625" style="21" customWidth="1"/>
    <col min="256" max="256" width="11.1796875" style="21" customWidth="1"/>
    <col min="257" max="257" width="2.81640625" style="21" customWidth="1"/>
    <col min="258" max="258" width="3.54296875" style="21" customWidth="1"/>
    <col min="259" max="503" width="9.1796875" style="21"/>
    <col min="504" max="504" width="8.7265625" style="21" customWidth="1"/>
    <col min="505" max="505" width="9.81640625" style="21" customWidth="1"/>
    <col min="506" max="506" width="14.453125" style="21" customWidth="1"/>
    <col min="507" max="507" width="7.26953125" style="21" customWidth="1"/>
    <col min="508" max="508" width="5.54296875" style="21" customWidth="1"/>
    <col min="509" max="509" width="9" style="21" customWidth="1"/>
    <col min="510" max="511" width="9.81640625" style="21" customWidth="1"/>
    <col min="512" max="512" width="11.1796875" style="21" customWidth="1"/>
    <col min="513" max="513" width="2.81640625" style="21" customWidth="1"/>
    <col min="514" max="514" width="3.54296875" style="21" customWidth="1"/>
    <col min="515" max="759" width="9.1796875" style="21"/>
    <col min="760" max="760" width="8.7265625" style="21" customWidth="1"/>
    <col min="761" max="761" width="9.81640625" style="21" customWidth="1"/>
    <col min="762" max="762" width="14.453125" style="21" customWidth="1"/>
    <col min="763" max="763" width="7.26953125" style="21" customWidth="1"/>
    <col min="764" max="764" width="5.54296875" style="21" customWidth="1"/>
    <col min="765" max="765" width="9" style="21" customWidth="1"/>
    <col min="766" max="767" width="9.81640625" style="21" customWidth="1"/>
    <col min="768" max="768" width="11.1796875" style="21" customWidth="1"/>
    <col min="769" max="769" width="2.81640625" style="21" customWidth="1"/>
    <col min="770" max="770" width="3.54296875" style="21" customWidth="1"/>
    <col min="771" max="1015" width="9.1796875" style="21"/>
    <col min="1016" max="1016" width="8.7265625" style="21" customWidth="1"/>
    <col min="1017" max="1017" width="9.81640625" style="21" customWidth="1"/>
    <col min="1018" max="1018" width="14.453125" style="21" customWidth="1"/>
    <col min="1019" max="1019" width="7.26953125" style="21" customWidth="1"/>
    <col min="1020" max="1020" width="5.54296875" style="21" customWidth="1"/>
    <col min="1021" max="1021" width="9" style="21" customWidth="1"/>
    <col min="1022" max="1023" width="9.81640625" style="21" customWidth="1"/>
    <col min="1024" max="1024" width="11.1796875" style="21" customWidth="1"/>
    <col min="1025" max="1025" width="2.81640625" style="21" customWidth="1"/>
    <col min="1026" max="1026" width="3.54296875" style="21" customWidth="1"/>
    <col min="1027" max="1271" width="9.1796875" style="21"/>
    <col min="1272" max="1272" width="8.7265625" style="21" customWidth="1"/>
    <col min="1273" max="1273" width="9.81640625" style="21" customWidth="1"/>
    <col min="1274" max="1274" width="14.453125" style="21" customWidth="1"/>
    <col min="1275" max="1275" width="7.26953125" style="21" customWidth="1"/>
    <col min="1276" max="1276" width="5.54296875" style="21" customWidth="1"/>
    <col min="1277" max="1277" width="9" style="21" customWidth="1"/>
    <col min="1278" max="1279" width="9.81640625" style="21" customWidth="1"/>
    <col min="1280" max="1280" width="11.1796875" style="21" customWidth="1"/>
    <col min="1281" max="1281" width="2.81640625" style="21" customWidth="1"/>
    <col min="1282" max="1282" width="3.54296875" style="21" customWidth="1"/>
    <col min="1283" max="1527" width="9.1796875" style="21"/>
    <col min="1528" max="1528" width="8.7265625" style="21" customWidth="1"/>
    <col min="1529" max="1529" width="9.81640625" style="21" customWidth="1"/>
    <col min="1530" max="1530" width="14.453125" style="21" customWidth="1"/>
    <col min="1531" max="1531" width="7.26953125" style="21" customWidth="1"/>
    <col min="1532" max="1532" width="5.54296875" style="21" customWidth="1"/>
    <col min="1533" max="1533" width="9" style="21" customWidth="1"/>
    <col min="1534" max="1535" width="9.81640625" style="21" customWidth="1"/>
    <col min="1536" max="1536" width="11.1796875" style="21" customWidth="1"/>
    <col min="1537" max="1537" width="2.81640625" style="21" customWidth="1"/>
    <col min="1538" max="1538" width="3.54296875" style="21" customWidth="1"/>
    <col min="1539" max="1783" width="9.1796875" style="21"/>
    <col min="1784" max="1784" width="8.7265625" style="21" customWidth="1"/>
    <col min="1785" max="1785" width="9.81640625" style="21" customWidth="1"/>
    <col min="1786" max="1786" width="14.453125" style="21" customWidth="1"/>
    <col min="1787" max="1787" width="7.26953125" style="21" customWidth="1"/>
    <col min="1788" max="1788" width="5.54296875" style="21" customWidth="1"/>
    <col min="1789" max="1789" width="9" style="21" customWidth="1"/>
    <col min="1790" max="1791" width="9.81640625" style="21" customWidth="1"/>
    <col min="1792" max="1792" width="11.1796875" style="21" customWidth="1"/>
    <col min="1793" max="1793" width="2.81640625" style="21" customWidth="1"/>
    <col min="1794" max="1794" width="3.54296875" style="21" customWidth="1"/>
    <col min="1795" max="2039" width="9.1796875" style="21"/>
    <col min="2040" max="2040" width="8.7265625" style="21" customWidth="1"/>
    <col min="2041" max="2041" width="9.81640625" style="21" customWidth="1"/>
    <col min="2042" max="2042" width="14.453125" style="21" customWidth="1"/>
    <col min="2043" max="2043" width="7.26953125" style="21" customWidth="1"/>
    <col min="2044" max="2044" width="5.54296875" style="21" customWidth="1"/>
    <col min="2045" max="2045" width="9" style="21" customWidth="1"/>
    <col min="2046" max="2047" width="9.81640625" style="21" customWidth="1"/>
    <col min="2048" max="2048" width="11.1796875" style="21" customWidth="1"/>
    <col min="2049" max="2049" width="2.81640625" style="21" customWidth="1"/>
    <col min="2050" max="2050" width="3.54296875" style="21" customWidth="1"/>
    <col min="2051" max="2295" width="9.1796875" style="21"/>
    <col min="2296" max="2296" width="8.7265625" style="21" customWidth="1"/>
    <col min="2297" max="2297" width="9.81640625" style="21" customWidth="1"/>
    <col min="2298" max="2298" width="14.453125" style="21" customWidth="1"/>
    <col min="2299" max="2299" width="7.26953125" style="21" customWidth="1"/>
    <col min="2300" max="2300" width="5.54296875" style="21" customWidth="1"/>
    <col min="2301" max="2301" width="9" style="21" customWidth="1"/>
    <col min="2302" max="2303" width="9.81640625" style="21" customWidth="1"/>
    <col min="2304" max="2304" width="11.1796875" style="21" customWidth="1"/>
    <col min="2305" max="2305" width="2.81640625" style="21" customWidth="1"/>
    <col min="2306" max="2306" width="3.54296875" style="21" customWidth="1"/>
    <col min="2307" max="2551" width="9.1796875" style="21"/>
    <col min="2552" max="2552" width="8.7265625" style="21" customWidth="1"/>
    <col min="2553" max="2553" width="9.81640625" style="21" customWidth="1"/>
    <col min="2554" max="2554" width="14.453125" style="21" customWidth="1"/>
    <col min="2555" max="2555" width="7.26953125" style="21" customWidth="1"/>
    <col min="2556" max="2556" width="5.54296875" style="21" customWidth="1"/>
    <col min="2557" max="2557" width="9" style="21" customWidth="1"/>
    <col min="2558" max="2559" width="9.81640625" style="21" customWidth="1"/>
    <col min="2560" max="2560" width="11.1796875" style="21" customWidth="1"/>
    <col min="2561" max="2561" width="2.81640625" style="21" customWidth="1"/>
    <col min="2562" max="2562" width="3.54296875" style="21" customWidth="1"/>
    <col min="2563" max="2807" width="9.1796875" style="21"/>
    <col min="2808" max="2808" width="8.7265625" style="21" customWidth="1"/>
    <col min="2809" max="2809" width="9.81640625" style="21" customWidth="1"/>
    <col min="2810" max="2810" width="14.453125" style="21" customWidth="1"/>
    <col min="2811" max="2811" width="7.26953125" style="21" customWidth="1"/>
    <col min="2812" max="2812" width="5.54296875" style="21" customWidth="1"/>
    <col min="2813" max="2813" width="9" style="21" customWidth="1"/>
    <col min="2814" max="2815" width="9.81640625" style="21" customWidth="1"/>
    <col min="2816" max="2816" width="11.1796875" style="21" customWidth="1"/>
    <col min="2817" max="2817" width="2.81640625" style="21" customWidth="1"/>
    <col min="2818" max="2818" width="3.54296875" style="21" customWidth="1"/>
    <col min="2819" max="3063" width="9.1796875" style="21"/>
    <col min="3064" max="3064" width="8.7265625" style="21" customWidth="1"/>
    <col min="3065" max="3065" width="9.81640625" style="21" customWidth="1"/>
    <col min="3066" max="3066" width="14.453125" style="21" customWidth="1"/>
    <col min="3067" max="3067" width="7.26953125" style="21" customWidth="1"/>
    <col min="3068" max="3068" width="5.54296875" style="21" customWidth="1"/>
    <col min="3069" max="3069" width="9" style="21" customWidth="1"/>
    <col min="3070" max="3071" width="9.81640625" style="21" customWidth="1"/>
    <col min="3072" max="3072" width="11.1796875" style="21" customWidth="1"/>
    <col min="3073" max="3073" width="2.81640625" style="21" customWidth="1"/>
    <col min="3074" max="3074" width="3.54296875" style="21" customWidth="1"/>
    <col min="3075" max="3319" width="9.1796875" style="21"/>
    <col min="3320" max="3320" width="8.7265625" style="21" customWidth="1"/>
    <col min="3321" max="3321" width="9.81640625" style="21" customWidth="1"/>
    <col min="3322" max="3322" width="14.453125" style="21" customWidth="1"/>
    <col min="3323" max="3323" width="7.26953125" style="21" customWidth="1"/>
    <col min="3324" max="3324" width="5.54296875" style="21" customWidth="1"/>
    <col min="3325" max="3325" width="9" style="21" customWidth="1"/>
    <col min="3326" max="3327" width="9.81640625" style="21" customWidth="1"/>
    <col min="3328" max="3328" width="11.1796875" style="21" customWidth="1"/>
    <col min="3329" max="3329" width="2.81640625" style="21" customWidth="1"/>
    <col min="3330" max="3330" width="3.54296875" style="21" customWidth="1"/>
    <col min="3331" max="3575" width="9.1796875" style="21"/>
    <col min="3576" max="3576" width="8.7265625" style="21" customWidth="1"/>
    <col min="3577" max="3577" width="9.81640625" style="21" customWidth="1"/>
    <col min="3578" max="3578" width="14.453125" style="21" customWidth="1"/>
    <col min="3579" max="3579" width="7.26953125" style="21" customWidth="1"/>
    <col min="3580" max="3580" width="5.54296875" style="21" customWidth="1"/>
    <col min="3581" max="3581" width="9" style="21" customWidth="1"/>
    <col min="3582" max="3583" width="9.81640625" style="21" customWidth="1"/>
    <col min="3584" max="3584" width="11.1796875" style="21" customWidth="1"/>
    <col min="3585" max="3585" width="2.81640625" style="21" customWidth="1"/>
    <col min="3586" max="3586" width="3.54296875" style="21" customWidth="1"/>
    <col min="3587" max="3831" width="9.1796875" style="21"/>
    <col min="3832" max="3832" width="8.7265625" style="21" customWidth="1"/>
    <col min="3833" max="3833" width="9.81640625" style="21" customWidth="1"/>
    <col min="3834" max="3834" width="14.453125" style="21" customWidth="1"/>
    <col min="3835" max="3835" width="7.26953125" style="21" customWidth="1"/>
    <col min="3836" max="3836" width="5.54296875" style="21" customWidth="1"/>
    <col min="3837" max="3837" width="9" style="21" customWidth="1"/>
    <col min="3838" max="3839" width="9.81640625" style="21" customWidth="1"/>
    <col min="3840" max="3840" width="11.1796875" style="21" customWidth="1"/>
    <col min="3841" max="3841" width="2.81640625" style="21" customWidth="1"/>
    <col min="3842" max="3842" width="3.54296875" style="21" customWidth="1"/>
    <col min="3843" max="4087" width="9.1796875" style="21"/>
    <col min="4088" max="4088" width="8.7265625" style="21" customWidth="1"/>
    <col min="4089" max="4089" width="9.81640625" style="21" customWidth="1"/>
    <col min="4090" max="4090" width="14.453125" style="21" customWidth="1"/>
    <col min="4091" max="4091" width="7.26953125" style="21" customWidth="1"/>
    <col min="4092" max="4092" width="5.54296875" style="21" customWidth="1"/>
    <col min="4093" max="4093" width="9" style="21" customWidth="1"/>
    <col min="4094" max="4095" width="9.81640625" style="21" customWidth="1"/>
    <col min="4096" max="4096" width="11.1796875" style="21" customWidth="1"/>
    <col min="4097" max="4097" width="2.81640625" style="21" customWidth="1"/>
    <col min="4098" max="4098" width="3.54296875" style="21" customWidth="1"/>
    <col min="4099" max="4343" width="9.1796875" style="21"/>
    <col min="4344" max="4344" width="8.7265625" style="21" customWidth="1"/>
    <col min="4345" max="4345" width="9.81640625" style="21" customWidth="1"/>
    <col min="4346" max="4346" width="14.453125" style="21" customWidth="1"/>
    <col min="4347" max="4347" width="7.26953125" style="21" customWidth="1"/>
    <col min="4348" max="4348" width="5.54296875" style="21" customWidth="1"/>
    <col min="4349" max="4349" width="9" style="21" customWidth="1"/>
    <col min="4350" max="4351" width="9.81640625" style="21" customWidth="1"/>
    <col min="4352" max="4352" width="11.1796875" style="21" customWidth="1"/>
    <col min="4353" max="4353" width="2.81640625" style="21" customWidth="1"/>
    <col min="4354" max="4354" width="3.54296875" style="21" customWidth="1"/>
    <col min="4355" max="4599" width="9.1796875" style="21"/>
    <col min="4600" max="4600" width="8.7265625" style="21" customWidth="1"/>
    <col min="4601" max="4601" width="9.81640625" style="21" customWidth="1"/>
    <col min="4602" max="4602" width="14.453125" style="21" customWidth="1"/>
    <col min="4603" max="4603" width="7.26953125" style="21" customWidth="1"/>
    <col min="4604" max="4604" width="5.54296875" style="21" customWidth="1"/>
    <col min="4605" max="4605" width="9" style="21" customWidth="1"/>
    <col min="4606" max="4607" width="9.81640625" style="21" customWidth="1"/>
    <col min="4608" max="4608" width="11.1796875" style="21" customWidth="1"/>
    <col min="4609" max="4609" width="2.81640625" style="21" customWidth="1"/>
    <col min="4610" max="4610" width="3.54296875" style="21" customWidth="1"/>
    <col min="4611" max="4855" width="9.1796875" style="21"/>
    <col min="4856" max="4856" width="8.7265625" style="21" customWidth="1"/>
    <col min="4857" max="4857" width="9.81640625" style="21" customWidth="1"/>
    <col min="4858" max="4858" width="14.453125" style="21" customWidth="1"/>
    <col min="4859" max="4859" width="7.26953125" style="21" customWidth="1"/>
    <col min="4860" max="4860" width="5.54296875" style="21" customWidth="1"/>
    <col min="4861" max="4861" width="9" style="21" customWidth="1"/>
    <col min="4862" max="4863" width="9.81640625" style="21" customWidth="1"/>
    <col min="4864" max="4864" width="11.1796875" style="21" customWidth="1"/>
    <col min="4865" max="4865" width="2.81640625" style="21" customWidth="1"/>
    <col min="4866" max="4866" width="3.54296875" style="21" customWidth="1"/>
    <col min="4867" max="5111" width="9.1796875" style="21"/>
    <col min="5112" max="5112" width="8.7265625" style="21" customWidth="1"/>
    <col min="5113" max="5113" width="9.81640625" style="21" customWidth="1"/>
    <col min="5114" max="5114" width="14.453125" style="21" customWidth="1"/>
    <col min="5115" max="5115" width="7.26953125" style="21" customWidth="1"/>
    <col min="5116" max="5116" width="5.54296875" style="21" customWidth="1"/>
    <col min="5117" max="5117" width="9" style="21" customWidth="1"/>
    <col min="5118" max="5119" width="9.81640625" style="21" customWidth="1"/>
    <col min="5120" max="5120" width="11.1796875" style="21" customWidth="1"/>
    <col min="5121" max="5121" width="2.81640625" style="21" customWidth="1"/>
    <col min="5122" max="5122" width="3.54296875" style="21" customWidth="1"/>
    <col min="5123" max="5367" width="9.1796875" style="21"/>
    <col min="5368" max="5368" width="8.7265625" style="21" customWidth="1"/>
    <col min="5369" max="5369" width="9.81640625" style="21" customWidth="1"/>
    <col min="5370" max="5370" width="14.453125" style="21" customWidth="1"/>
    <col min="5371" max="5371" width="7.26953125" style="21" customWidth="1"/>
    <col min="5372" max="5372" width="5.54296875" style="21" customWidth="1"/>
    <col min="5373" max="5373" width="9" style="21" customWidth="1"/>
    <col min="5374" max="5375" width="9.81640625" style="21" customWidth="1"/>
    <col min="5376" max="5376" width="11.1796875" style="21" customWidth="1"/>
    <col min="5377" max="5377" width="2.81640625" style="21" customWidth="1"/>
    <col min="5378" max="5378" width="3.54296875" style="21" customWidth="1"/>
    <col min="5379" max="5623" width="9.1796875" style="21"/>
    <col min="5624" max="5624" width="8.7265625" style="21" customWidth="1"/>
    <col min="5625" max="5625" width="9.81640625" style="21" customWidth="1"/>
    <col min="5626" max="5626" width="14.453125" style="21" customWidth="1"/>
    <col min="5627" max="5627" width="7.26953125" style="21" customWidth="1"/>
    <col min="5628" max="5628" width="5.54296875" style="21" customWidth="1"/>
    <col min="5629" max="5629" width="9" style="21" customWidth="1"/>
    <col min="5630" max="5631" width="9.81640625" style="21" customWidth="1"/>
    <col min="5632" max="5632" width="11.1796875" style="21" customWidth="1"/>
    <col min="5633" max="5633" width="2.81640625" style="21" customWidth="1"/>
    <col min="5634" max="5634" width="3.54296875" style="21" customWidth="1"/>
    <col min="5635" max="5879" width="9.1796875" style="21"/>
    <col min="5880" max="5880" width="8.7265625" style="21" customWidth="1"/>
    <col min="5881" max="5881" width="9.81640625" style="21" customWidth="1"/>
    <col min="5882" max="5882" width="14.453125" style="21" customWidth="1"/>
    <col min="5883" max="5883" width="7.26953125" style="21" customWidth="1"/>
    <col min="5884" max="5884" width="5.54296875" style="21" customWidth="1"/>
    <col min="5885" max="5885" width="9" style="21" customWidth="1"/>
    <col min="5886" max="5887" width="9.81640625" style="21" customWidth="1"/>
    <col min="5888" max="5888" width="11.1796875" style="21" customWidth="1"/>
    <col min="5889" max="5889" width="2.81640625" style="21" customWidth="1"/>
    <col min="5890" max="5890" width="3.54296875" style="21" customWidth="1"/>
    <col min="5891" max="6135" width="9.1796875" style="21"/>
    <col min="6136" max="6136" width="8.7265625" style="21" customWidth="1"/>
    <col min="6137" max="6137" width="9.81640625" style="21" customWidth="1"/>
    <col min="6138" max="6138" width="14.453125" style="21" customWidth="1"/>
    <col min="6139" max="6139" width="7.26953125" style="21" customWidth="1"/>
    <col min="6140" max="6140" width="5.54296875" style="21" customWidth="1"/>
    <col min="6141" max="6141" width="9" style="21" customWidth="1"/>
    <col min="6142" max="6143" width="9.81640625" style="21" customWidth="1"/>
    <col min="6144" max="6144" width="11.1796875" style="21" customWidth="1"/>
    <col min="6145" max="6145" width="2.81640625" style="21" customWidth="1"/>
    <col min="6146" max="6146" width="3.54296875" style="21" customWidth="1"/>
    <col min="6147" max="6391" width="9.1796875" style="21"/>
    <col min="6392" max="6392" width="8.7265625" style="21" customWidth="1"/>
    <col min="6393" max="6393" width="9.81640625" style="21" customWidth="1"/>
    <col min="6394" max="6394" width="14.453125" style="21" customWidth="1"/>
    <col min="6395" max="6395" width="7.26953125" style="21" customWidth="1"/>
    <col min="6396" max="6396" width="5.54296875" style="21" customWidth="1"/>
    <col min="6397" max="6397" width="9" style="21" customWidth="1"/>
    <col min="6398" max="6399" width="9.81640625" style="21" customWidth="1"/>
    <col min="6400" max="6400" width="11.1796875" style="21" customWidth="1"/>
    <col min="6401" max="6401" width="2.81640625" style="21" customWidth="1"/>
    <col min="6402" max="6402" width="3.54296875" style="21" customWidth="1"/>
    <col min="6403" max="6647" width="9.1796875" style="21"/>
    <col min="6648" max="6648" width="8.7265625" style="21" customWidth="1"/>
    <col min="6649" max="6649" width="9.81640625" style="21" customWidth="1"/>
    <col min="6650" max="6650" width="14.453125" style="21" customWidth="1"/>
    <col min="6651" max="6651" width="7.26953125" style="21" customWidth="1"/>
    <col min="6652" max="6652" width="5.54296875" style="21" customWidth="1"/>
    <col min="6653" max="6653" width="9" style="21" customWidth="1"/>
    <col min="6654" max="6655" width="9.81640625" style="21" customWidth="1"/>
    <col min="6656" max="6656" width="11.1796875" style="21" customWidth="1"/>
    <col min="6657" max="6657" width="2.81640625" style="21" customWidth="1"/>
    <col min="6658" max="6658" width="3.54296875" style="21" customWidth="1"/>
    <col min="6659" max="6903" width="9.1796875" style="21"/>
    <col min="6904" max="6904" width="8.7265625" style="21" customWidth="1"/>
    <col min="6905" max="6905" width="9.81640625" style="21" customWidth="1"/>
    <col min="6906" max="6906" width="14.453125" style="21" customWidth="1"/>
    <col min="6907" max="6907" width="7.26953125" style="21" customWidth="1"/>
    <col min="6908" max="6908" width="5.54296875" style="21" customWidth="1"/>
    <col min="6909" max="6909" width="9" style="21" customWidth="1"/>
    <col min="6910" max="6911" width="9.81640625" style="21" customWidth="1"/>
    <col min="6912" max="6912" width="11.1796875" style="21" customWidth="1"/>
    <col min="6913" max="6913" width="2.81640625" style="21" customWidth="1"/>
    <col min="6914" max="6914" width="3.54296875" style="21" customWidth="1"/>
    <col min="6915" max="7159" width="9.1796875" style="21"/>
    <col min="7160" max="7160" width="8.7265625" style="21" customWidth="1"/>
    <col min="7161" max="7161" width="9.81640625" style="21" customWidth="1"/>
    <col min="7162" max="7162" width="14.453125" style="21" customWidth="1"/>
    <col min="7163" max="7163" width="7.26953125" style="21" customWidth="1"/>
    <col min="7164" max="7164" width="5.54296875" style="21" customWidth="1"/>
    <col min="7165" max="7165" width="9" style="21" customWidth="1"/>
    <col min="7166" max="7167" width="9.81640625" style="21" customWidth="1"/>
    <col min="7168" max="7168" width="11.1796875" style="21" customWidth="1"/>
    <col min="7169" max="7169" width="2.81640625" style="21" customWidth="1"/>
    <col min="7170" max="7170" width="3.54296875" style="21" customWidth="1"/>
    <col min="7171" max="7415" width="9.1796875" style="21"/>
    <col min="7416" max="7416" width="8.7265625" style="21" customWidth="1"/>
    <col min="7417" max="7417" width="9.81640625" style="21" customWidth="1"/>
    <col min="7418" max="7418" width="14.453125" style="21" customWidth="1"/>
    <col min="7419" max="7419" width="7.26953125" style="21" customWidth="1"/>
    <col min="7420" max="7420" width="5.54296875" style="21" customWidth="1"/>
    <col min="7421" max="7421" width="9" style="21" customWidth="1"/>
    <col min="7422" max="7423" width="9.81640625" style="21" customWidth="1"/>
    <col min="7424" max="7424" width="11.1796875" style="21" customWidth="1"/>
    <col min="7425" max="7425" width="2.81640625" style="21" customWidth="1"/>
    <col min="7426" max="7426" width="3.54296875" style="21" customWidth="1"/>
    <col min="7427" max="7671" width="9.1796875" style="21"/>
    <col min="7672" max="7672" width="8.7265625" style="21" customWidth="1"/>
    <col min="7673" max="7673" width="9.81640625" style="21" customWidth="1"/>
    <col min="7674" max="7674" width="14.453125" style="21" customWidth="1"/>
    <col min="7675" max="7675" width="7.26953125" style="21" customWidth="1"/>
    <col min="7676" max="7676" width="5.54296875" style="21" customWidth="1"/>
    <col min="7677" max="7677" width="9" style="21" customWidth="1"/>
    <col min="7678" max="7679" width="9.81640625" style="21" customWidth="1"/>
    <col min="7680" max="7680" width="11.1796875" style="21" customWidth="1"/>
    <col min="7681" max="7681" width="2.81640625" style="21" customWidth="1"/>
    <col min="7682" max="7682" width="3.54296875" style="21" customWidth="1"/>
    <col min="7683" max="7927" width="9.1796875" style="21"/>
    <col min="7928" max="7928" width="8.7265625" style="21" customWidth="1"/>
    <col min="7929" max="7929" width="9.81640625" style="21" customWidth="1"/>
    <col min="7930" max="7930" width="14.453125" style="21" customWidth="1"/>
    <col min="7931" max="7931" width="7.26953125" style="21" customWidth="1"/>
    <col min="7932" max="7932" width="5.54296875" style="21" customWidth="1"/>
    <col min="7933" max="7933" width="9" style="21" customWidth="1"/>
    <col min="7934" max="7935" width="9.81640625" style="21" customWidth="1"/>
    <col min="7936" max="7936" width="11.1796875" style="21" customWidth="1"/>
    <col min="7937" max="7937" width="2.81640625" style="21" customWidth="1"/>
    <col min="7938" max="7938" width="3.54296875" style="21" customWidth="1"/>
    <col min="7939" max="8183" width="9.1796875" style="21"/>
    <col min="8184" max="8184" width="8.7265625" style="21" customWidth="1"/>
    <col min="8185" max="8185" width="9.81640625" style="21" customWidth="1"/>
    <col min="8186" max="8186" width="14.453125" style="21" customWidth="1"/>
    <col min="8187" max="8187" width="7.26953125" style="21" customWidth="1"/>
    <col min="8188" max="8188" width="5.54296875" style="21" customWidth="1"/>
    <col min="8189" max="8189" width="9" style="21" customWidth="1"/>
    <col min="8190" max="8191" width="9.81640625" style="21" customWidth="1"/>
    <col min="8192" max="8192" width="11.1796875" style="21" customWidth="1"/>
    <col min="8193" max="8193" width="2.81640625" style="21" customWidth="1"/>
    <col min="8194" max="8194" width="3.54296875" style="21" customWidth="1"/>
    <col min="8195" max="8439" width="9.1796875" style="21"/>
    <col min="8440" max="8440" width="8.7265625" style="21" customWidth="1"/>
    <col min="8441" max="8441" width="9.81640625" style="21" customWidth="1"/>
    <col min="8442" max="8442" width="14.453125" style="21" customWidth="1"/>
    <col min="8443" max="8443" width="7.26953125" style="21" customWidth="1"/>
    <col min="8444" max="8444" width="5.54296875" style="21" customWidth="1"/>
    <col min="8445" max="8445" width="9" style="21" customWidth="1"/>
    <col min="8446" max="8447" width="9.81640625" style="21" customWidth="1"/>
    <col min="8448" max="8448" width="11.1796875" style="21" customWidth="1"/>
    <col min="8449" max="8449" width="2.81640625" style="21" customWidth="1"/>
    <col min="8450" max="8450" width="3.54296875" style="21" customWidth="1"/>
    <col min="8451" max="8695" width="9.1796875" style="21"/>
    <col min="8696" max="8696" width="8.7265625" style="21" customWidth="1"/>
    <col min="8697" max="8697" width="9.81640625" style="21" customWidth="1"/>
    <col min="8698" max="8698" width="14.453125" style="21" customWidth="1"/>
    <col min="8699" max="8699" width="7.26953125" style="21" customWidth="1"/>
    <col min="8700" max="8700" width="5.54296875" style="21" customWidth="1"/>
    <col min="8701" max="8701" width="9" style="21" customWidth="1"/>
    <col min="8702" max="8703" width="9.81640625" style="21" customWidth="1"/>
    <col min="8704" max="8704" width="11.1796875" style="21" customWidth="1"/>
    <col min="8705" max="8705" width="2.81640625" style="21" customWidth="1"/>
    <col min="8706" max="8706" width="3.54296875" style="21" customWidth="1"/>
    <col min="8707" max="8951" width="9.1796875" style="21"/>
    <col min="8952" max="8952" width="8.7265625" style="21" customWidth="1"/>
    <col min="8953" max="8953" width="9.81640625" style="21" customWidth="1"/>
    <col min="8954" max="8954" width="14.453125" style="21" customWidth="1"/>
    <col min="8955" max="8955" width="7.26953125" style="21" customWidth="1"/>
    <col min="8956" max="8956" width="5.54296875" style="21" customWidth="1"/>
    <col min="8957" max="8957" width="9" style="21" customWidth="1"/>
    <col min="8958" max="8959" width="9.81640625" style="21" customWidth="1"/>
    <col min="8960" max="8960" width="11.1796875" style="21" customWidth="1"/>
    <col min="8961" max="8961" width="2.81640625" style="21" customWidth="1"/>
    <col min="8962" max="8962" width="3.54296875" style="21" customWidth="1"/>
    <col min="8963" max="9207" width="9.1796875" style="21"/>
    <col min="9208" max="9208" width="8.7265625" style="21" customWidth="1"/>
    <col min="9209" max="9209" width="9.81640625" style="21" customWidth="1"/>
    <col min="9210" max="9210" width="14.453125" style="21" customWidth="1"/>
    <col min="9211" max="9211" width="7.26953125" style="21" customWidth="1"/>
    <col min="9212" max="9212" width="5.54296875" style="21" customWidth="1"/>
    <col min="9213" max="9213" width="9" style="21" customWidth="1"/>
    <col min="9214" max="9215" width="9.81640625" style="21" customWidth="1"/>
    <col min="9216" max="9216" width="11.1796875" style="21" customWidth="1"/>
    <col min="9217" max="9217" width="2.81640625" style="21" customWidth="1"/>
    <col min="9218" max="9218" width="3.54296875" style="21" customWidth="1"/>
    <col min="9219" max="9463" width="9.1796875" style="21"/>
    <col min="9464" max="9464" width="8.7265625" style="21" customWidth="1"/>
    <col min="9465" max="9465" width="9.81640625" style="21" customWidth="1"/>
    <col min="9466" max="9466" width="14.453125" style="21" customWidth="1"/>
    <col min="9467" max="9467" width="7.26953125" style="21" customWidth="1"/>
    <col min="9468" max="9468" width="5.54296875" style="21" customWidth="1"/>
    <col min="9469" max="9469" width="9" style="21" customWidth="1"/>
    <col min="9470" max="9471" width="9.81640625" style="21" customWidth="1"/>
    <col min="9472" max="9472" width="11.1796875" style="21" customWidth="1"/>
    <col min="9473" max="9473" width="2.81640625" style="21" customWidth="1"/>
    <col min="9474" max="9474" width="3.54296875" style="21" customWidth="1"/>
    <col min="9475" max="9719" width="9.1796875" style="21"/>
    <col min="9720" max="9720" width="8.7265625" style="21" customWidth="1"/>
    <col min="9721" max="9721" width="9.81640625" style="21" customWidth="1"/>
    <col min="9722" max="9722" width="14.453125" style="21" customWidth="1"/>
    <col min="9723" max="9723" width="7.26953125" style="21" customWidth="1"/>
    <col min="9724" max="9724" width="5.54296875" style="21" customWidth="1"/>
    <col min="9725" max="9725" width="9" style="21" customWidth="1"/>
    <col min="9726" max="9727" width="9.81640625" style="21" customWidth="1"/>
    <col min="9728" max="9728" width="11.1796875" style="21" customWidth="1"/>
    <col min="9729" max="9729" width="2.81640625" style="21" customWidth="1"/>
    <col min="9730" max="9730" width="3.54296875" style="21" customWidth="1"/>
    <col min="9731" max="9975" width="9.1796875" style="21"/>
    <col min="9976" max="9976" width="8.7265625" style="21" customWidth="1"/>
    <col min="9977" max="9977" width="9.81640625" style="21" customWidth="1"/>
    <col min="9978" max="9978" width="14.453125" style="21" customWidth="1"/>
    <col min="9979" max="9979" width="7.26953125" style="21" customWidth="1"/>
    <col min="9980" max="9980" width="5.54296875" style="21" customWidth="1"/>
    <col min="9981" max="9981" width="9" style="21" customWidth="1"/>
    <col min="9982" max="9983" width="9.81640625" style="21" customWidth="1"/>
    <col min="9984" max="9984" width="11.1796875" style="21" customWidth="1"/>
    <col min="9985" max="9985" width="2.81640625" style="21" customWidth="1"/>
    <col min="9986" max="9986" width="3.54296875" style="21" customWidth="1"/>
    <col min="9987" max="10231" width="9.1796875" style="21"/>
    <col min="10232" max="10232" width="8.7265625" style="21" customWidth="1"/>
    <col min="10233" max="10233" width="9.81640625" style="21" customWidth="1"/>
    <col min="10234" max="10234" width="14.453125" style="21" customWidth="1"/>
    <col min="10235" max="10235" width="7.26953125" style="21" customWidth="1"/>
    <col min="10236" max="10236" width="5.54296875" style="21" customWidth="1"/>
    <col min="10237" max="10237" width="9" style="21" customWidth="1"/>
    <col min="10238" max="10239" width="9.81640625" style="21" customWidth="1"/>
    <col min="10240" max="10240" width="11.1796875" style="21" customWidth="1"/>
    <col min="10241" max="10241" width="2.81640625" style="21" customWidth="1"/>
    <col min="10242" max="10242" width="3.54296875" style="21" customWidth="1"/>
    <col min="10243" max="10487" width="9.1796875" style="21"/>
    <col min="10488" max="10488" width="8.7265625" style="21" customWidth="1"/>
    <col min="10489" max="10489" width="9.81640625" style="21" customWidth="1"/>
    <col min="10490" max="10490" width="14.453125" style="21" customWidth="1"/>
    <col min="10491" max="10491" width="7.26953125" style="21" customWidth="1"/>
    <col min="10492" max="10492" width="5.54296875" style="21" customWidth="1"/>
    <col min="10493" max="10493" width="9" style="21" customWidth="1"/>
    <col min="10494" max="10495" width="9.81640625" style="21" customWidth="1"/>
    <col min="10496" max="10496" width="11.1796875" style="21" customWidth="1"/>
    <col min="10497" max="10497" width="2.81640625" style="21" customWidth="1"/>
    <col min="10498" max="10498" width="3.54296875" style="21" customWidth="1"/>
    <col min="10499" max="10743" width="9.1796875" style="21"/>
    <col min="10744" max="10744" width="8.7265625" style="21" customWidth="1"/>
    <col min="10745" max="10745" width="9.81640625" style="21" customWidth="1"/>
    <col min="10746" max="10746" width="14.453125" style="21" customWidth="1"/>
    <col min="10747" max="10747" width="7.26953125" style="21" customWidth="1"/>
    <col min="10748" max="10748" width="5.54296875" style="21" customWidth="1"/>
    <col min="10749" max="10749" width="9" style="21" customWidth="1"/>
    <col min="10750" max="10751" width="9.81640625" style="21" customWidth="1"/>
    <col min="10752" max="10752" width="11.1796875" style="21" customWidth="1"/>
    <col min="10753" max="10753" width="2.81640625" style="21" customWidth="1"/>
    <col min="10754" max="10754" width="3.54296875" style="21" customWidth="1"/>
    <col min="10755" max="10999" width="9.1796875" style="21"/>
    <col min="11000" max="11000" width="8.7265625" style="21" customWidth="1"/>
    <col min="11001" max="11001" width="9.81640625" style="21" customWidth="1"/>
    <col min="11002" max="11002" width="14.453125" style="21" customWidth="1"/>
    <col min="11003" max="11003" width="7.26953125" style="21" customWidth="1"/>
    <col min="11004" max="11004" width="5.54296875" style="21" customWidth="1"/>
    <col min="11005" max="11005" width="9" style="21" customWidth="1"/>
    <col min="11006" max="11007" width="9.81640625" style="21" customWidth="1"/>
    <col min="11008" max="11008" width="11.1796875" style="21" customWidth="1"/>
    <col min="11009" max="11009" width="2.81640625" style="21" customWidth="1"/>
    <col min="11010" max="11010" width="3.54296875" style="21" customWidth="1"/>
    <col min="11011" max="11255" width="9.1796875" style="21"/>
    <col min="11256" max="11256" width="8.7265625" style="21" customWidth="1"/>
    <col min="11257" max="11257" width="9.81640625" style="21" customWidth="1"/>
    <col min="11258" max="11258" width="14.453125" style="21" customWidth="1"/>
    <col min="11259" max="11259" width="7.26953125" style="21" customWidth="1"/>
    <col min="11260" max="11260" width="5.54296875" style="21" customWidth="1"/>
    <col min="11261" max="11261" width="9" style="21" customWidth="1"/>
    <col min="11262" max="11263" width="9.81640625" style="21" customWidth="1"/>
    <col min="11264" max="11264" width="11.1796875" style="21" customWidth="1"/>
    <col min="11265" max="11265" width="2.81640625" style="21" customWidth="1"/>
    <col min="11266" max="11266" width="3.54296875" style="21" customWidth="1"/>
    <col min="11267" max="11511" width="9.1796875" style="21"/>
    <col min="11512" max="11512" width="8.7265625" style="21" customWidth="1"/>
    <col min="11513" max="11513" width="9.81640625" style="21" customWidth="1"/>
    <col min="11514" max="11514" width="14.453125" style="21" customWidth="1"/>
    <col min="11515" max="11515" width="7.26953125" style="21" customWidth="1"/>
    <col min="11516" max="11516" width="5.54296875" style="21" customWidth="1"/>
    <col min="11517" max="11517" width="9" style="21" customWidth="1"/>
    <col min="11518" max="11519" width="9.81640625" style="21" customWidth="1"/>
    <col min="11520" max="11520" width="11.1796875" style="21" customWidth="1"/>
    <col min="11521" max="11521" width="2.81640625" style="21" customWidth="1"/>
    <col min="11522" max="11522" width="3.54296875" style="21" customWidth="1"/>
    <col min="11523" max="11767" width="9.1796875" style="21"/>
    <col min="11768" max="11768" width="8.7265625" style="21" customWidth="1"/>
    <col min="11769" max="11769" width="9.81640625" style="21" customWidth="1"/>
    <col min="11770" max="11770" width="14.453125" style="21" customWidth="1"/>
    <col min="11771" max="11771" width="7.26953125" style="21" customWidth="1"/>
    <col min="11772" max="11772" width="5.54296875" style="21" customWidth="1"/>
    <col min="11773" max="11773" width="9" style="21" customWidth="1"/>
    <col min="11774" max="11775" width="9.81640625" style="21" customWidth="1"/>
    <col min="11776" max="11776" width="11.1796875" style="21" customWidth="1"/>
    <col min="11777" max="11777" width="2.81640625" style="21" customWidth="1"/>
    <col min="11778" max="11778" width="3.54296875" style="21" customWidth="1"/>
    <col min="11779" max="12023" width="9.1796875" style="21"/>
    <col min="12024" max="12024" width="8.7265625" style="21" customWidth="1"/>
    <col min="12025" max="12025" width="9.81640625" style="21" customWidth="1"/>
    <col min="12026" max="12026" width="14.453125" style="21" customWidth="1"/>
    <col min="12027" max="12027" width="7.26953125" style="21" customWidth="1"/>
    <col min="12028" max="12028" width="5.54296875" style="21" customWidth="1"/>
    <col min="12029" max="12029" width="9" style="21" customWidth="1"/>
    <col min="12030" max="12031" width="9.81640625" style="21" customWidth="1"/>
    <col min="12032" max="12032" width="11.1796875" style="21" customWidth="1"/>
    <col min="12033" max="12033" width="2.81640625" style="21" customWidth="1"/>
    <col min="12034" max="12034" width="3.54296875" style="21" customWidth="1"/>
    <col min="12035" max="12279" width="9.1796875" style="21"/>
    <col min="12280" max="12280" width="8.7265625" style="21" customWidth="1"/>
    <col min="12281" max="12281" width="9.81640625" style="21" customWidth="1"/>
    <col min="12282" max="12282" width="14.453125" style="21" customWidth="1"/>
    <col min="12283" max="12283" width="7.26953125" style="21" customWidth="1"/>
    <col min="12284" max="12284" width="5.54296875" style="21" customWidth="1"/>
    <col min="12285" max="12285" width="9" style="21" customWidth="1"/>
    <col min="12286" max="12287" width="9.81640625" style="21" customWidth="1"/>
    <col min="12288" max="12288" width="11.1796875" style="21" customWidth="1"/>
    <col min="12289" max="12289" width="2.81640625" style="21" customWidth="1"/>
    <col min="12290" max="12290" width="3.54296875" style="21" customWidth="1"/>
    <col min="12291" max="12535" width="9.1796875" style="21"/>
    <col min="12536" max="12536" width="8.7265625" style="21" customWidth="1"/>
    <col min="12537" max="12537" width="9.81640625" style="21" customWidth="1"/>
    <col min="12538" max="12538" width="14.453125" style="21" customWidth="1"/>
    <col min="12539" max="12539" width="7.26953125" style="21" customWidth="1"/>
    <col min="12540" max="12540" width="5.54296875" style="21" customWidth="1"/>
    <col min="12541" max="12541" width="9" style="21" customWidth="1"/>
    <col min="12542" max="12543" width="9.81640625" style="21" customWidth="1"/>
    <col min="12544" max="12544" width="11.1796875" style="21" customWidth="1"/>
    <col min="12545" max="12545" width="2.81640625" style="21" customWidth="1"/>
    <col min="12546" max="12546" width="3.54296875" style="21" customWidth="1"/>
    <col min="12547" max="12791" width="9.1796875" style="21"/>
    <col min="12792" max="12792" width="8.7265625" style="21" customWidth="1"/>
    <col min="12793" max="12793" width="9.81640625" style="21" customWidth="1"/>
    <col min="12794" max="12794" width="14.453125" style="21" customWidth="1"/>
    <col min="12795" max="12795" width="7.26953125" style="21" customWidth="1"/>
    <col min="12796" max="12796" width="5.54296875" style="21" customWidth="1"/>
    <col min="12797" max="12797" width="9" style="21" customWidth="1"/>
    <col min="12798" max="12799" width="9.81640625" style="21" customWidth="1"/>
    <col min="12800" max="12800" width="11.1796875" style="21" customWidth="1"/>
    <col min="12801" max="12801" width="2.81640625" style="21" customWidth="1"/>
    <col min="12802" max="12802" width="3.54296875" style="21" customWidth="1"/>
    <col min="12803" max="13047" width="9.1796875" style="21"/>
    <col min="13048" max="13048" width="8.7265625" style="21" customWidth="1"/>
    <col min="13049" max="13049" width="9.81640625" style="21" customWidth="1"/>
    <col min="13050" max="13050" width="14.453125" style="21" customWidth="1"/>
    <col min="13051" max="13051" width="7.26953125" style="21" customWidth="1"/>
    <col min="13052" max="13052" width="5.54296875" style="21" customWidth="1"/>
    <col min="13053" max="13053" width="9" style="21" customWidth="1"/>
    <col min="13054" max="13055" width="9.81640625" style="21" customWidth="1"/>
    <col min="13056" max="13056" width="11.1796875" style="21" customWidth="1"/>
    <col min="13057" max="13057" width="2.81640625" style="21" customWidth="1"/>
    <col min="13058" max="13058" width="3.54296875" style="21" customWidth="1"/>
    <col min="13059" max="13303" width="9.1796875" style="21"/>
    <col min="13304" max="13304" width="8.7265625" style="21" customWidth="1"/>
    <col min="13305" max="13305" width="9.81640625" style="21" customWidth="1"/>
    <col min="13306" max="13306" width="14.453125" style="21" customWidth="1"/>
    <col min="13307" max="13307" width="7.26953125" style="21" customWidth="1"/>
    <col min="13308" max="13308" width="5.54296875" style="21" customWidth="1"/>
    <col min="13309" max="13309" width="9" style="21" customWidth="1"/>
    <col min="13310" max="13311" width="9.81640625" style="21" customWidth="1"/>
    <col min="13312" max="13312" width="11.1796875" style="21" customWidth="1"/>
    <col min="13313" max="13313" width="2.81640625" style="21" customWidth="1"/>
    <col min="13314" max="13314" width="3.54296875" style="21" customWidth="1"/>
    <col min="13315" max="13559" width="9.1796875" style="21"/>
    <col min="13560" max="13560" width="8.7265625" style="21" customWidth="1"/>
    <col min="13561" max="13561" width="9.81640625" style="21" customWidth="1"/>
    <col min="13562" max="13562" width="14.453125" style="21" customWidth="1"/>
    <col min="13563" max="13563" width="7.26953125" style="21" customWidth="1"/>
    <col min="13564" max="13564" width="5.54296875" style="21" customWidth="1"/>
    <col min="13565" max="13565" width="9" style="21" customWidth="1"/>
    <col min="13566" max="13567" width="9.81640625" style="21" customWidth="1"/>
    <col min="13568" max="13568" width="11.1796875" style="21" customWidth="1"/>
    <col min="13569" max="13569" width="2.81640625" style="21" customWidth="1"/>
    <col min="13570" max="13570" width="3.54296875" style="21" customWidth="1"/>
    <col min="13571" max="13815" width="9.1796875" style="21"/>
    <col min="13816" max="13816" width="8.7265625" style="21" customWidth="1"/>
    <col min="13817" max="13817" width="9.81640625" style="21" customWidth="1"/>
    <col min="13818" max="13818" width="14.453125" style="21" customWidth="1"/>
    <col min="13819" max="13819" width="7.26953125" style="21" customWidth="1"/>
    <col min="13820" max="13820" width="5.54296875" style="21" customWidth="1"/>
    <col min="13821" max="13821" width="9" style="21" customWidth="1"/>
    <col min="13822" max="13823" width="9.81640625" style="21" customWidth="1"/>
    <col min="13824" max="13824" width="11.1796875" style="21" customWidth="1"/>
    <col min="13825" max="13825" width="2.81640625" style="21" customWidth="1"/>
    <col min="13826" max="13826" width="3.54296875" style="21" customWidth="1"/>
    <col min="13827" max="14071" width="9.1796875" style="21"/>
    <col min="14072" max="14072" width="8.7265625" style="21" customWidth="1"/>
    <col min="14073" max="14073" width="9.81640625" style="21" customWidth="1"/>
    <col min="14074" max="14074" width="14.453125" style="21" customWidth="1"/>
    <col min="14075" max="14075" width="7.26953125" style="21" customWidth="1"/>
    <col min="14076" max="14076" width="5.54296875" style="21" customWidth="1"/>
    <col min="14077" max="14077" width="9" style="21" customWidth="1"/>
    <col min="14078" max="14079" width="9.81640625" style="21" customWidth="1"/>
    <col min="14080" max="14080" width="11.1796875" style="21" customWidth="1"/>
    <col min="14081" max="14081" width="2.81640625" style="21" customWidth="1"/>
    <col min="14082" max="14082" width="3.54296875" style="21" customWidth="1"/>
    <col min="14083" max="14327" width="9.1796875" style="21"/>
    <col min="14328" max="14328" width="8.7265625" style="21" customWidth="1"/>
    <col min="14329" max="14329" width="9.81640625" style="21" customWidth="1"/>
    <col min="14330" max="14330" width="14.453125" style="21" customWidth="1"/>
    <col min="14331" max="14331" width="7.26953125" style="21" customWidth="1"/>
    <col min="14332" max="14332" width="5.54296875" style="21" customWidth="1"/>
    <col min="14333" max="14333" width="9" style="21" customWidth="1"/>
    <col min="14334" max="14335" width="9.81640625" style="21" customWidth="1"/>
    <col min="14336" max="14336" width="11.1796875" style="21" customWidth="1"/>
    <col min="14337" max="14337" width="2.81640625" style="21" customWidth="1"/>
    <col min="14338" max="14338" width="3.54296875" style="21" customWidth="1"/>
    <col min="14339" max="14583" width="9.1796875" style="21"/>
    <col min="14584" max="14584" width="8.7265625" style="21" customWidth="1"/>
    <col min="14585" max="14585" width="9.81640625" style="21" customWidth="1"/>
    <col min="14586" max="14586" width="14.453125" style="21" customWidth="1"/>
    <col min="14587" max="14587" width="7.26953125" style="21" customWidth="1"/>
    <col min="14588" max="14588" width="5.54296875" style="21" customWidth="1"/>
    <col min="14589" max="14589" width="9" style="21" customWidth="1"/>
    <col min="14590" max="14591" width="9.81640625" style="21" customWidth="1"/>
    <col min="14592" max="14592" width="11.1796875" style="21" customWidth="1"/>
    <col min="14593" max="14593" width="2.81640625" style="21" customWidth="1"/>
    <col min="14594" max="14594" width="3.54296875" style="21" customWidth="1"/>
    <col min="14595" max="14839" width="9.1796875" style="21"/>
    <col min="14840" max="14840" width="8.7265625" style="21" customWidth="1"/>
    <col min="14841" max="14841" width="9.81640625" style="21" customWidth="1"/>
    <col min="14842" max="14842" width="14.453125" style="21" customWidth="1"/>
    <col min="14843" max="14843" width="7.26953125" style="21" customWidth="1"/>
    <col min="14844" max="14844" width="5.54296875" style="21" customWidth="1"/>
    <col min="14845" max="14845" width="9" style="21" customWidth="1"/>
    <col min="14846" max="14847" width="9.81640625" style="21" customWidth="1"/>
    <col min="14848" max="14848" width="11.1796875" style="21" customWidth="1"/>
    <col min="14849" max="14849" width="2.81640625" style="21" customWidth="1"/>
    <col min="14850" max="14850" width="3.54296875" style="21" customWidth="1"/>
    <col min="14851" max="15095" width="9.1796875" style="21"/>
    <col min="15096" max="15096" width="8.7265625" style="21" customWidth="1"/>
    <col min="15097" max="15097" width="9.81640625" style="21" customWidth="1"/>
    <col min="15098" max="15098" width="14.453125" style="21" customWidth="1"/>
    <col min="15099" max="15099" width="7.26953125" style="21" customWidth="1"/>
    <col min="15100" max="15100" width="5.54296875" style="21" customWidth="1"/>
    <col min="15101" max="15101" width="9" style="21" customWidth="1"/>
    <col min="15102" max="15103" width="9.81640625" style="21" customWidth="1"/>
    <col min="15104" max="15104" width="11.1796875" style="21" customWidth="1"/>
    <col min="15105" max="15105" width="2.81640625" style="21" customWidth="1"/>
    <col min="15106" max="15106" width="3.54296875" style="21" customWidth="1"/>
    <col min="15107" max="15351" width="9.1796875" style="21"/>
    <col min="15352" max="15352" width="8.7265625" style="21" customWidth="1"/>
    <col min="15353" max="15353" width="9.81640625" style="21" customWidth="1"/>
    <col min="15354" max="15354" width="14.453125" style="21" customWidth="1"/>
    <col min="15355" max="15355" width="7.26953125" style="21" customWidth="1"/>
    <col min="15356" max="15356" width="5.54296875" style="21" customWidth="1"/>
    <col min="15357" max="15357" width="9" style="21" customWidth="1"/>
    <col min="15358" max="15359" width="9.81640625" style="21" customWidth="1"/>
    <col min="15360" max="15360" width="11.1796875" style="21" customWidth="1"/>
    <col min="15361" max="15361" width="2.81640625" style="21" customWidth="1"/>
    <col min="15362" max="15362" width="3.54296875" style="21" customWidth="1"/>
    <col min="15363" max="15607" width="9.1796875" style="21"/>
    <col min="15608" max="15608" width="8.7265625" style="21" customWidth="1"/>
    <col min="15609" max="15609" width="9.81640625" style="21" customWidth="1"/>
    <col min="15610" max="15610" width="14.453125" style="21" customWidth="1"/>
    <col min="15611" max="15611" width="7.26953125" style="21" customWidth="1"/>
    <col min="15612" max="15612" width="5.54296875" style="21" customWidth="1"/>
    <col min="15613" max="15613" width="9" style="21" customWidth="1"/>
    <col min="15614" max="15615" width="9.81640625" style="21" customWidth="1"/>
    <col min="15616" max="15616" width="11.1796875" style="21" customWidth="1"/>
    <col min="15617" max="15617" width="2.81640625" style="21" customWidth="1"/>
    <col min="15618" max="15618" width="3.54296875" style="21" customWidth="1"/>
    <col min="15619" max="15863" width="9.1796875" style="21"/>
    <col min="15864" max="15864" width="8.7265625" style="21" customWidth="1"/>
    <col min="15865" max="15865" width="9.81640625" style="21" customWidth="1"/>
    <col min="15866" max="15866" width="14.453125" style="21" customWidth="1"/>
    <col min="15867" max="15867" width="7.26953125" style="21" customWidth="1"/>
    <col min="15868" max="15868" width="5.54296875" style="21" customWidth="1"/>
    <col min="15869" max="15869" width="9" style="21" customWidth="1"/>
    <col min="15870" max="15871" width="9.81640625" style="21" customWidth="1"/>
    <col min="15872" max="15872" width="11.1796875" style="21" customWidth="1"/>
    <col min="15873" max="15873" width="2.81640625" style="21" customWidth="1"/>
    <col min="15874" max="15874" width="3.54296875" style="21" customWidth="1"/>
    <col min="15875" max="16119" width="9.1796875" style="21"/>
    <col min="16120" max="16120" width="8.7265625" style="21" customWidth="1"/>
    <col min="16121" max="16121" width="9.81640625" style="21" customWidth="1"/>
    <col min="16122" max="16122" width="14.453125" style="21" customWidth="1"/>
    <col min="16123" max="16123" width="7.26953125" style="21" customWidth="1"/>
    <col min="16124" max="16124" width="5.54296875" style="21" customWidth="1"/>
    <col min="16125" max="16125" width="9" style="21" customWidth="1"/>
    <col min="16126" max="16127" width="9.81640625" style="21" customWidth="1"/>
    <col min="16128" max="16128" width="11.1796875" style="21" customWidth="1"/>
    <col min="16129" max="16129" width="2.81640625" style="21" customWidth="1"/>
    <col min="16130" max="16130" width="3.54296875" style="21" customWidth="1"/>
    <col min="16131" max="16384" width="9.1796875" style="21"/>
  </cols>
  <sheetData>
    <row r="1" spans="1:9" ht="46.5" customHeight="1" x14ac:dyDescent="0.35">
      <c r="A1" s="187" t="s">
        <v>223</v>
      </c>
      <c r="B1" s="187"/>
      <c r="C1" s="187"/>
      <c r="D1" s="187"/>
      <c r="E1" s="187"/>
      <c r="F1" s="187"/>
      <c r="G1" s="187"/>
      <c r="H1" s="187"/>
    </row>
    <row r="2" spans="1:9" ht="16.5" customHeight="1" x14ac:dyDescent="0.35">
      <c r="A2" s="188" t="s">
        <v>0</v>
      </c>
      <c r="B2" s="188"/>
      <c r="C2" s="188"/>
      <c r="D2" s="188"/>
      <c r="E2" s="188"/>
      <c r="F2" s="188"/>
      <c r="G2" s="188"/>
      <c r="H2" s="188"/>
    </row>
    <row r="3" spans="1:9" x14ac:dyDescent="0.35">
      <c r="A3" s="168" t="s">
        <v>1</v>
      </c>
      <c r="B3" s="168"/>
      <c r="C3" s="168"/>
      <c r="D3" s="168"/>
      <c r="E3" s="168" t="str">
        <f ca="1">TEXT(TODAY(),"DD/MM/YYYY")</f>
        <v>24/09/2025</v>
      </c>
      <c r="F3" s="168"/>
      <c r="G3" s="168"/>
      <c r="H3" s="168"/>
    </row>
    <row r="4" spans="1:9" ht="15" customHeight="1" x14ac:dyDescent="0.35">
      <c r="A4" s="168" t="s">
        <v>2</v>
      </c>
      <c r="B4" s="168"/>
      <c r="C4" s="168"/>
      <c r="D4" s="168"/>
      <c r="E4" s="168" t="s">
        <v>167</v>
      </c>
      <c r="F4" s="168"/>
      <c r="G4" s="168"/>
      <c r="H4" s="168"/>
    </row>
    <row r="5" spans="1:9" x14ac:dyDescent="0.35">
      <c r="A5" s="168" t="s">
        <v>3</v>
      </c>
      <c r="B5" s="168"/>
      <c r="C5" s="168"/>
      <c r="D5" s="168"/>
      <c r="E5" s="191">
        <v>45923</v>
      </c>
      <c r="F5" s="168"/>
      <c r="G5" s="168"/>
      <c r="H5" s="168"/>
    </row>
    <row r="6" spans="1:9" ht="16.5" customHeight="1" x14ac:dyDescent="0.35">
      <c r="A6" s="168" t="s">
        <v>4</v>
      </c>
      <c r="B6" s="168"/>
      <c r="C6" s="168"/>
      <c r="D6" s="168"/>
      <c r="E6" s="165" t="s">
        <v>208</v>
      </c>
      <c r="F6" s="168"/>
      <c r="G6" s="168"/>
      <c r="H6" s="168"/>
    </row>
    <row r="7" spans="1:9" ht="15" customHeight="1" x14ac:dyDescent="0.35">
      <c r="A7" s="168" t="s">
        <v>5</v>
      </c>
      <c r="B7" s="168"/>
      <c r="C7" s="168"/>
      <c r="D7" s="168"/>
      <c r="E7" s="168" t="str">
        <f>E6</f>
        <v xml:space="preserve">M/s. Jasamrit Estates Pvt Ltd
</v>
      </c>
      <c r="F7" s="168"/>
      <c r="G7" s="168"/>
      <c r="H7" s="168"/>
    </row>
    <row r="8" spans="1:9" x14ac:dyDescent="0.35">
      <c r="A8" s="168" t="s">
        <v>6</v>
      </c>
      <c r="B8" s="168"/>
      <c r="C8" s="168"/>
      <c r="D8" s="168"/>
      <c r="E8" s="189" t="s">
        <v>218</v>
      </c>
      <c r="F8" s="189"/>
      <c r="G8" s="189"/>
      <c r="H8" s="189"/>
    </row>
    <row r="9" spans="1:9" x14ac:dyDescent="0.35">
      <c r="A9" s="168" t="s">
        <v>124</v>
      </c>
      <c r="B9" s="168"/>
      <c r="C9" s="168"/>
      <c r="D9" s="168"/>
      <c r="E9" s="168" t="s">
        <v>219</v>
      </c>
      <c r="F9" s="168"/>
      <c r="G9" s="168"/>
      <c r="H9" s="168"/>
    </row>
    <row r="10" spans="1:9" x14ac:dyDescent="0.35">
      <c r="A10" s="190" t="s">
        <v>264</v>
      </c>
      <c r="B10" s="190"/>
      <c r="C10" s="190"/>
      <c r="D10" s="190"/>
      <c r="E10" s="168" t="s">
        <v>251</v>
      </c>
      <c r="F10" s="168"/>
      <c r="G10" s="168"/>
      <c r="H10" s="168"/>
      <c r="I10" s="21" t="s">
        <v>251</v>
      </c>
    </row>
    <row r="11" spans="1:9" x14ac:dyDescent="0.35">
      <c r="A11" s="168" t="s">
        <v>7</v>
      </c>
      <c r="B11" s="168"/>
      <c r="C11" s="168"/>
      <c r="D11" s="168"/>
      <c r="E11" s="168" t="s">
        <v>225</v>
      </c>
      <c r="F11" s="168"/>
      <c r="G11" s="168"/>
      <c r="H11" s="168"/>
    </row>
    <row r="12" spans="1:9" x14ac:dyDescent="0.35">
      <c r="A12" s="151" t="s">
        <v>8</v>
      </c>
      <c r="B12" s="151"/>
      <c r="C12" s="151"/>
      <c r="D12" s="151"/>
      <c r="E12" s="192" t="s">
        <v>214</v>
      </c>
      <c r="F12" s="192"/>
      <c r="G12" s="192"/>
      <c r="H12" s="192"/>
    </row>
    <row r="13" spans="1:9" ht="35.25" customHeight="1" x14ac:dyDescent="0.35">
      <c r="A13" s="151" t="s">
        <v>9</v>
      </c>
      <c r="B13" s="151"/>
      <c r="C13" s="151"/>
      <c r="D13" s="151"/>
      <c r="E13" s="192" t="s">
        <v>224</v>
      </c>
      <c r="F13" s="173"/>
      <c r="G13" s="173"/>
      <c r="H13" s="173"/>
    </row>
    <row r="14" spans="1:9" ht="65.25" customHeight="1" x14ac:dyDescent="0.35">
      <c r="A14" s="167" t="s">
        <v>10</v>
      </c>
      <c r="B14" s="167"/>
      <c r="C14" s="16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Vinay Unique Residency Building No. 10 known as Sky, Old Survey No..165, Hissa No. 1/A, 1/B, 2,3,4,5,6,7,8,9,10;165/11/12/13 and others New Survey No. 165/B/1, 165/B/2, 165/B/3, 165/B/4 and others., near Vinay Unique Residency Building No 11, Intarnal Road, Bolinj, Bolinj, Virar West, Vasai, Palghar - 401303.</v>
      </c>
      <c r="D14" s="167"/>
      <c r="E14" s="167"/>
      <c r="F14" s="167"/>
      <c r="G14" s="167"/>
      <c r="H14" s="167"/>
    </row>
    <row r="15" spans="1:9" ht="34" customHeight="1" x14ac:dyDescent="0.35">
      <c r="A15" s="192" t="s">
        <v>210</v>
      </c>
      <c r="B15" s="192"/>
      <c r="C15" s="192" t="s">
        <v>209</v>
      </c>
      <c r="D15" s="192"/>
      <c r="E15" s="192"/>
      <c r="F15" s="192"/>
      <c r="G15" s="192"/>
      <c r="H15" s="192"/>
    </row>
    <row r="16" spans="1:9" ht="15.75" customHeight="1" x14ac:dyDescent="0.35">
      <c r="A16" s="165" t="s">
        <v>166</v>
      </c>
      <c r="B16" s="165"/>
      <c r="C16" s="165" t="s">
        <v>168</v>
      </c>
      <c r="D16" s="165"/>
      <c r="E16" s="165"/>
      <c r="F16" s="165"/>
      <c r="G16" s="165"/>
      <c r="H16" s="165"/>
    </row>
    <row r="17" spans="1:8" ht="15.75" customHeight="1" x14ac:dyDescent="0.35">
      <c r="A17" s="167" t="s">
        <v>11</v>
      </c>
      <c r="B17" s="167"/>
      <c r="C17" s="168" t="s">
        <v>171</v>
      </c>
      <c r="D17" s="168"/>
      <c r="E17" s="167" t="s">
        <v>76</v>
      </c>
      <c r="F17" s="167"/>
      <c r="G17" s="165" t="s">
        <v>168</v>
      </c>
      <c r="H17" s="165"/>
    </row>
    <row r="18" spans="1:8" x14ac:dyDescent="0.35">
      <c r="A18" s="151" t="s">
        <v>13</v>
      </c>
      <c r="B18" s="151"/>
      <c r="C18" s="165" t="s">
        <v>172</v>
      </c>
      <c r="D18" s="165"/>
      <c r="E18" s="167" t="s">
        <v>12</v>
      </c>
      <c r="F18" s="167"/>
      <c r="G18" s="169" t="s">
        <v>170</v>
      </c>
      <c r="H18" s="169"/>
    </row>
    <row r="19" spans="1:8" x14ac:dyDescent="0.35">
      <c r="A19" s="151" t="s">
        <v>77</v>
      </c>
      <c r="B19" s="151"/>
      <c r="C19" s="165" t="s">
        <v>169</v>
      </c>
      <c r="D19" s="165"/>
      <c r="E19" s="167" t="s">
        <v>14</v>
      </c>
      <c r="F19" s="167"/>
      <c r="G19" s="165">
        <v>401303</v>
      </c>
      <c r="H19" s="165"/>
    </row>
    <row r="20" spans="1:8" ht="32.25" customHeight="1" x14ac:dyDescent="0.35">
      <c r="A20" s="151" t="s">
        <v>125</v>
      </c>
      <c r="B20" s="151"/>
      <c r="C20" s="165" t="s">
        <v>174</v>
      </c>
      <c r="D20" s="165"/>
      <c r="E20" s="167" t="s">
        <v>15</v>
      </c>
      <c r="F20" s="167"/>
      <c r="G20" s="192" t="s">
        <v>173</v>
      </c>
      <c r="H20" s="192"/>
    </row>
    <row r="21" spans="1:8" ht="15" customHeight="1" x14ac:dyDescent="0.35">
      <c r="A21" s="167" t="s">
        <v>80</v>
      </c>
      <c r="B21" s="167"/>
      <c r="C21" s="167"/>
      <c r="D21" s="167"/>
      <c r="E21" s="168" t="s">
        <v>16</v>
      </c>
      <c r="F21" s="168"/>
      <c r="G21" s="168"/>
      <c r="H21" s="168"/>
    </row>
    <row r="22" spans="1:8" ht="18.75" customHeight="1" x14ac:dyDescent="0.35">
      <c r="A22" s="167"/>
      <c r="B22" s="167"/>
      <c r="C22" s="167"/>
      <c r="D22" s="167"/>
      <c r="E22" s="168"/>
      <c r="F22" s="168"/>
      <c r="G22" s="168"/>
      <c r="H22" s="168"/>
    </row>
    <row r="23" spans="1:8" ht="15" customHeight="1" x14ac:dyDescent="0.35">
      <c r="A23" s="167" t="s">
        <v>17</v>
      </c>
      <c r="B23" s="167"/>
      <c r="C23" s="167"/>
      <c r="D23" s="167"/>
      <c r="E23" s="165" t="s">
        <v>18</v>
      </c>
      <c r="F23" s="165"/>
      <c r="G23" s="165"/>
      <c r="H23" s="165"/>
    </row>
    <row r="24" spans="1:8" ht="15" customHeight="1" x14ac:dyDescent="0.35">
      <c r="A24" s="151" t="s">
        <v>19</v>
      </c>
      <c r="B24" s="151"/>
      <c r="C24" s="151"/>
      <c r="D24" s="151"/>
      <c r="E24" s="165" t="str">
        <f>IF(AND(G18="Mumbai"),"Upper Class","Middle Class")</f>
        <v>Middle Class</v>
      </c>
      <c r="F24" s="165"/>
      <c r="G24" s="165"/>
      <c r="H24" s="165"/>
    </row>
    <row r="25" spans="1:8" x14ac:dyDescent="0.35">
      <c r="A25" s="151" t="s">
        <v>20</v>
      </c>
      <c r="B25" s="151"/>
      <c r="C25" s="151"/>
      <c r="D25" s="151"/>
      <c r="E25" s="165" t="s">
        <v>21</v>
      </c>
      <c r="F25" s="165"/>
      <c r="G25" s="165"/>
      <c r="H25" s="165"/>
    </row>
    <row r="26" spans="1:8" ht="15.75" customHeight="1" x14ac:dyDescent="0.35">
      <c r="A26" s="151" t="s">
        <v>22</v>
      </c>
      <c r="B26" s="151"/>
      <c r="C26" s="151"/>
      <c r="D26" s="151"/>
      <c r="E26" s="165" t="str">
        <f>IF(AND(G18="Mumbai"),"Developed","Developing")</f>
        <v>Developing</v>
      </c>
      <c r="F26" s="165"/>
      <c r="G26" s="165"/>
      <c r="H26" s="165"/>
    </row>
    <row r="27" spans="1:8" x14ac:dyDescent="0.35">
      <c r="A27" s="151" t="s">
        <v>23</v>
      </c>
      <c r="B27" s="151"/>
      <c r="C27" s="151"/>
      <c r="D27" s="151"/>
      <c r="E27" s="165" t="s">
        <v>24</v>
      </c>
      <c r="F27" s="165"/>
      <c r="G27" s="165"/>
      <c r="H27" s="165"/>
    </row>
    <row r="28" spans="1:8" ht="15.75" customHeight="1" x14ac:dyDescent="0.35">
      <c r="A28" s="151" t="s">
        <v>85</v>
      </c>
      <c r="B28" s="151"/>
      <c r="C28" s="151"/>
      <c r="D28" s="151"/>
      <c r="E28" s="165" t="s">
        <v>86</v>
      </c>
      <c r="F28" s="165"/>
      <c r="G28" s="165"/>
      <c r="H28" s="165"/>
    </row>
    <row r="29" spans="1:8" ht="15" customHeight="1" x14ac:dyDescent="0.35">
      <c r="A29" s="151" t="s">
        <v>35</v>
      </c>
      <c r="B29" s="151"/>
      <c r="C29" s="151"/>
      <c r="D29" s="151"/>
      <c r="E29" s="165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29" s="165"/>
      <c r="G29" s="165"/>
      <c r="H29" s="165"/>
    </row>
    <row r="30" spans="1:8" ht="15.75" customHeight="1" x14ac:dyDescent="0.35">
      <c r="A30" s="151" t="s">
        <v>97</v>
      </c>
      <c r="B30" s="151"/>
      <c r="C30" s="151"/>
      <c r="D30" s="151"/>
      <c r="E30" s="165" t="s">
        <v>36</v>
      </c>
      <c r="F30" s="165"/>
      <c r="G30" s="165"/>
      <c r="H30" s="165"/>
    </row>
    <row r="31" spans="1:8" s="22" customFormat="1" x14ac:dyDescent="0.35">
      <c r="A31" s="197" t="s">
        <v>98</v>
      </c>
      <c r="B31" s="197"/>
      <c r="C31" s="193" t="s">
        <v>29</v>
      </c>
      <c r="D31" s="193"/>
      <c r="E31" s="193"/>
      <c r="F31" s="193" t="s">
        <v>31</v>
      </c>
      <c r="G31" s="193"/>
      <c r="H31" s="193"/>
    </row>
    <row r="32" spans="1:8" s="22" customFormat="1" x14ac:dyDescent="0.35">
      <c r="A32" s="196" t="s">
        <v>25</v>
      </c>
      <c r="B32" s="196" t="s">
        <v>30</v>
      </c>
      <c r="C32" s="195" t="s">
        <v>30</v>
      </c>
      <c r="D32" s="195"/>
      <c r="E32" s="195"/>
      <c r="F32" s="195" t="s">
        <v>171</v>
      </c>
      <c r="G32" s="195"/>
      <c r="H32" s="195"/>
    </row>
    <row r="33" spans="1:8" x14ac:dyDescent="0.35">
      <c r="A33" s="196" t="s">
        <v>26</v>
      </c>
      <c r="B33" s="196" t="s">
        <v>30</v>
      </c>
      <c r="C33" s="195" t="s">
        <v>30</v>
      </c>
      <c r="D33" s="195"/>
      <c r="E33" s="195"/>
      <c r="F33" s="195" t="s">
        <v>175</v>
      </c>
      <c r="G33" s="195"/>
      <c r="H33" s="195"/>
    </row>
    <row r="34" spans="1:8" s="22" customFormat="1" x14ac:dyDescent="0.35">
      <c r="A34" s="196" t="s">
        <v>28</v>
      </c>
      <c r="B34" s="196" t="s">
        <v>30</v>
      </c>
      <c r="C34" s="195" t="s">
        <v>30</v>
      </c>
      <c r="D34" s="195"/>
      <c r="E34" s="195"/>
      <c r="F34" s="194" t="s">
        <v>176</v>
      </c>
      <c r="G34" s="195"/>
      <c r="H34" s="195"/>
    </row>
    <row r="35" spans="1:8" x14ac:dyDescent="0.35">
      <c r="A35" s="196" t="s">
        <v>27</v>
      </c>
      <c r="B35" s="196" t="s">
        <v>30</v>
      </c>
      <c r="C35" s="195" t="s">
        <v>30</v>
      </c>
      <c r="D35" s="195"/>
      <c r="E35" s="195"/>
      <c r="F35" s="195" t="s">
        <v>177</v>
      </c>
      <c r="G35" s="195"/>
      <c r="H35" s="195"/>
    </row>
    <row r="36" spans="1:8" x14ac:dyDescent="0.35">
      <c r="A36" s="151" t="s">
        <v>32</v>
      </c>
      <c r="B36" s="151"/>
      <c r="C36" s="151"/>
      <c r="D36" s="151"/>
      <c r="E36" s="151"/>
      <c r="F36" s="151"/>
      <c r="G36" s="151"/>
      <c r="H36" s="151"/>
    </row>
    <row r="37" spans="1:8" ht="15.75" customHeight="1" x14ac:dyDescent="0.35">
      <c r="A37" s="188" t="s">
        <v>33</v>
      </c>
      <c r="B37" s="188"/>
      <c r="C37" s="200">
        <v>19.451445700000001</v>
      </c>
      <c r="D37" s="200"/>
      <c r="E37" s="188" t="s">
        <v>34</v>
      </c>
      <c r="F37" s="188"/>
      <c r="G37" s="201">
        <v>72.796258399999999</v>
      </c>
      <c r="H37" s="201"/>
    </row>
    <row r="38" spans="1:8" x14ac:dyDescent="0.35">
      <c r="A38" s="188" t="s">
        <v>165</v>
      </c>
      <c r="B38" s="188"/>
      <c r="C38" s="199" t="s">
        <v>178</v>
      </c>
      <c r="D38" s="165"/>
      <c r="E38" s="165"/>
      <c r="F38" s="165"/>
      <c r="G38" s="165"/>
      <c r="H38" s="165"/>
    </row>
    <row r="39" spans="1:8" x14ac:dyDescent="0.35">
      <c r="A39" s="181" t="s">
        <v>37</v>
      </c>
      <c r="B39" s="181"/>
      <c r="C39" s="181"/>
      <c r="D39" s="181"/>
      <c r="E39" s="181"/>
      <c r="F39" s="181"/>
      <c r="G39" s="181"/>
      <c r="H39" s="181"/>
    </row>
    <row r="40" spans="1:8" x14ac:dyDescent="0.35">
      <c r="A40" s="151" t="s">
        <v>38</v>
      </c>
      <c r="B40" s="151"/>
      <c r="C40" s="151"/>
      <c r="D40" s="151"/>
      <c r="E40" s="198">
        <v>34685.49</v>
      </c>
      <c r="F40" s="198"/>
      <c r="G40" s="198"/>
      <c r="H40" s="198"/>
    </row>
    <row r="41" spans="1:8" x14ac:dyDescent="0.35">
      <c r="A41" s="151" t="s">
        <v>39</v>
      </c>
      <c r="B41" s="151"/>
      <c r="C41" s="151"/>
      <c r="D41" s="151"/>
      <c r="E41" s="166">
        <v>1.1000000000000001</v>
      </c>
      <c r="F41" s="166"/>
      <c r="G41" s="166"/>
      <c r="H41" s="166"/>
    </row>
    <row r="42" spans="1:8" x14ac:dyDescent="0.35">
      <c r="A42" s="151" t="s">
        <v>40</v>
      </c>
      <c r="B42" s="151"/>
      <c r="C42" s="151"/>
      <c r="D42" s="151"/>
      <c r="E42" s="166">
        <f>E44/E40-E41</f>
        <v>1.6374616878700574</v>
      </c>
      <c r="F42" s="166"/>
      <c r="G42" s="166"/>
      <c r="H42" s="166"/>
    </row>
    <row r="43" spans="1:8" x14ac:dyDescent="0.35">
      <c r="A43" s="151" t="s">
        <v>41</v>
      </c>
      <c r="B43" s="151"/>
      <c r="C43" s="151"/>
      <c r="D43" s="151"/>
      <c r="E43" s="166">
        <f>E41+E42</f>
        <v>2.7374616878700575</v>
      </c>
      <c r="F43" s="166"/>
      <c r="G43" s="166"/>
      <c r="H43" s="166"/>
    </row>
    <row r="44" spans="1:8" x14ac:dyDescent="0.35">
      <c r="A44" s="151" t="s">
        <v>96</v>
      </c>
      <c r="B44" s="151"/>
      <c r="C44" s="151"/>
      <c r="D44" s="151"/>
      <c r="E44" s="214">
        <v>94950.2</v>
      </c>
      <c r="F44" s="214"/>
      <c r="G44" s="214"/>
      <c r="H44" s="214"/>
    </row>
    <row r="45" spans="1:8" x14ac:dyDescent="0.35">
      <c r="A45" s="173" t="s">
        <v>42</v>
      </c>
      <c r="B45" s="173"/>
      <c r="C45" s="173"/>
      <c r="D45" s="173"/>
      <c r="E45" s="173" t="s">
        <v>263</v>
      </c>
      <c r="F45" s="173"/>
      <c r="G45" s="173"/>
      <c r="H45" s="173"/>
    </row>
    <row r="46" spans="1:8" x14ac:dyDescent="0.35">
      <c r="A46" s="126" t="s">
        <v>43</v>
      </c>
      <c r="B46" s="126"/>
      <c r="C46" s="126"/>
      <c r="D46" s="126"/>
      <c r="E46" s="126"/>
      <c r="F46" s="126"/>
      <c r="G46" s="126"/>
      <c r="H46" s="126"/>
    </row>
    <row r="47" spans="1:8" ht="33" customHeight="1" x14ac:dyDescent="0.35">
      <c r="A47" s="192" t="s">
        <v>155</v>
      </c>
      <c r="B47" s="192"/>
      <c r="C47" s="126" t="s">
        <v>179</v>
      </c>
      <c r="D47" s="126"/>
      <c r="E47" s="126"/>
      <c r="F47" s="126"/>
      <c r="G47" s="126"/>
      <c r="H47" s="126"/>
    </row>
    <row r="48" spans="1:8" ht="31.5" customHeight="1" x14ac:dyDescent="0.35">
      <c r="A48" s="167" t="s">
        <v>44</v>
      </c>
      <c r="B48" s="167"/>
      <c r="C48" s="167" t="s">
        <v>226</v>
      </c>
      <c r="D48" s="167"/>
      <c r="E48" s="167"/>
      <c r="F48" s="18" t="s">
        <v>45</v>
      </c>
      <c r="G48" s="213">
        <v>45338</v>
      </c>
      <c r="H48" s="167"/>
    </row>
    <row r="49" spans="1:14" ht="31.5" customHeight="1" x14ac:dyDescent="0.35">
      <c r="A49" s="170" t="s">
        <v>230</v>
      </c>
      <c r="B49" s="171"/>
      <c r="C49" s="170" t="s">
        <v>180</v>
      </c>
      <c r="D49" s="202"/>
      <c r="E49" s="171"/>
      <c r="F49" s="18" t="s">
        <v>45</v>
      </c>
      <c r="G49" s="208">
        <v>44561</v>
      </c>
      <c r="H49" s="171"/>
    </row>
    <row r="50" spans="1:14" ht="31.5" customHeight="1" x14ac:dyDescent="0.35">
      <c r="A50" s="170" t="s">
        <v>231</v>
      </c>
      <c r="B50" s="171"/>
      <c r="C50" s="170" t="str">
        <f>C48</f>
        <v>VVCMC/TP/RDP/VP-0607/307/2023-24</v>
      </c>
      <c r="D50" s="202"/>
      <c r="E50" s="171"/>
      <c r="F50" s="18" t="s">
        <v>45</v>
      </c>
      <c r="G50" s="208">
        <f>G48</f>
        <v>45338</v>
      </c>
      <c r="H50" s="171"/>
    </row>
    <row r="51" spans="1:14" s="23" customFormat="1" ht="15.75" customHeight="1" x14ac:dyDescent="0.35">
      <c r="A51" s="209" t="s">
        <v>159</v>
      </c>
      <c r="B51" s="210"/>
      <c r="C51" s="170" t="s">
        <v>183</v>
      </c>
      <c r="D51" s="202"/>
      <c r="E51" s="171"/>
      <c r="F51" s="18" t="s">
        <v>45</v>
      </c>
      <c r="G51" s="208">
        <v>44561</v>
      </c>
      <c r="H51" s="171"/>
    </row>
    <row r="52" spans="1:14" s="23" customFormat="1" x14ac:dyDescent="0.35">
      <c r="A52" s="211"/>
      <c r="B52" s="212"/>
      <c r="C52" s="170" t="s">
        <v>215</v>
      </c>
      <c r="D52" s="202"/>
      <c r="E52" s="202"/>
      <c r="F52" s="202"/>
      <c r="G52" s="202"/>
      <c r="H52" s="171"/>
    </row>
    <row r="53" spans="1:14" s="23" customFormat="1" ht="15.75" customHeight="1" x14ac:dyDescent="0.35">
      <c r="A53" s="209" t="s">
        <v>159</v>
      </c>
      <c r="B53" s="210"/>
      <c r="C53" s="170" t="s">
        <v>226</v>
      </c>
      <c r="D53" s="202"/>
      <c r="E53" s="171"/>
      <c r="F53" s="18" t="s">
        <v>45</v>
      </c>
      <c r="G53" s="208">
        <v>45338</v>
      </c>
      <c r="H53" s="171"/>
    </row>
    <row r="54" spans="1:14" s="23" customFormat="1" x14ac:dyDescent="0.35">
      <c r="A54" s="211"/>
      <c r="B54" s="212"/>
      <c r="C54" s="170" t="s">
        <v>227</v>
      </c>
      <c r="D54" s="202"/>
      <c r="E54" s="202"/>
      <c r="F54" s="202"/>
      <c r="G54" s="202"/>
      <c r="H54" s="171"/>
    </row>
    <row r="55" spans="1:14" x14ac:dyDescent="0.35">
      <c r="A55" s="203" t="s">
        <v>46</v>
      </c>
      <c r="B55" s="204"/>
      <c r="C55" s="203" t="s">
        <v>106</v>
      </c>
      <c r="D55" s="205"/>
      <c r="E55" s="204"/>
      <c r="F55" s="45" t="s">
        <v>45</v>
      </c>
      <c r="G55" s="174" t="s">
        <v>30</v>
      </c>
      <c r="H55" s="175"/>
    </row>
    <row r="56" spans="1:14" x14ac:dyDescent="0.35">
      <c r="A56" s="172" t="s">
        <v>48</v>
      </c>
      <c r="B56" s="172"/>
      <c r="C56" s="172"/>
      <c r="D56" s="172"/>
      <c r="E56" s="172"/>
      <c r="F56" s="172"/>
      <c r="G56" s="172"/>
      <c r="H56" s="172"/>
    </row>
    <row r="57" spans="1:14" x14ac:dyDescent="0.35">
      <c r="A57" s="167" t="s">
        <v>95</v>
      </c>
      <c r="B57" s="167"/>
      <c r="C57" s="167"/>
      <c r="D57" s="151">
        <f>(14731.26+6893.88+5997.37+5950.55+8001.49+14998.77)</f>
        <v>56573.319999999992</v>
      </c>
      <c r="E57" s="151"/>
      <c r="F57" s="151"/>
      <c r="G57" s="151"/>
      <c r="H57" s="151"/>
    </row>
    <row r="58" spans="1:14" x14ac:dyDescent="0.35">
      <c r="A58" s="165" t="s">
        <v>49</v>
      </c>
      <c r="B58" s="168"/>
      <c r="C58" s="168"/>
      <c r="D58" s="173" t="s">
        <v>239</v>
      </c>
      <c r="E58" s="173"/>
      <c r="F58" s="173"/>
      <c r="G58" s="173"/>
      <c r="H58" s="173"/>
      <c r="I58" s="24"/>
    </row>
    <row r="59" spans="1:14" ht="15.75" customHeight="1" x14ac:dyDescent="0.35">
      <c r="A59" s="232" t="s">
        <v>50</v>
      </c>
      <c r="B59" s="233"/>
      <c r="C59" s="234"/>
      <c r="D59" s="206" t="s">
        <v>215</v>
      </c>
      <c r="E59" s="207"/>
      <c r="F59" s="207"/>
      <c r="G59" s="207"/>
      <c r="H59" s="207"/>
      <c r="I59" s="25"/>
    </row>
    <row r="60" spans="1:14" ht="15.75" customHeight="1" x14ac:dyDescent="0.35">
      <c r="A60" s="235"/>
      <c r="B60" s="236"/>
      <c r="C60" s="237"/>
      <c r="D60" s="206" t="s">
        <v>228</v>
      </c>
      <c r="E60" s="207"/>
      <c r="F60" s="207"/>
      <c r="G60" s="207"/>
      <c r="H60" s="207"/>
      <c r="I60" s="25"/>
    </row>
    <row r="61" spans="1:14" ht="15.75" customHeight="1" x14ac:dyDescent="0.35">
      <c r="A61" s="165" t="s">
        <v>93</v>
      </c>
      <c r="B61" s="165"/>
      <c r="C61" s="165"/>
      <c r="D61" s="173" t="s">
        <v>252</v>
      </c>
      <c r="E61" s="173"/>
      <c r="F61" s="173"/>
      <c r="G61" s="173"/>
      <c r="H61" s="173"/>
      <c r="I61" s="25"/>
      <c r="K61" s="67" t="s">
        <v>232</v>
      </c>
    </row>
    <row r="62" spans="1:14" ht="15.75" customHeight="1" x14ac:dyDescent="0.35">
      <c r="A62" s="165"/>
      <c r="B62" s="165"/>
      <c r="C62" s="165"/>
      <c r="D62" s="173" t="s">
        <v>229</v>
      </c>
      <c r="E62" s="173"/>
      <c r="F62" s="173"/>
      <c r="G62" s="173"/>
      <c r="H62" s="173"/>
      <c r="I62" s="25"/>
    </row>
    <row r="63" spans="1:14" ht="15.75" customHeight="1" x14ac:dyDescent="0.35">
      <c r="A63" s="151" t="s">
        <v>47</v>
      </c>
      <c r="B63" s="151"/>
      <c r="C63" s="151"/>
      <c r="D63" s="167" t="s">
        <v>213</v>
      </c>
      <c r="E63" s="167"/>
      <c r="F63" s="167"/>
      <c r="G63" s="167"/>
      <c r="H63" s="167"/>
      <c r="J63" s="26"/>
      <c r="K63" s="24"/>
      <c r="N63" s="24"/>
    </row>
    <row r="64" spans="1:14" ht="15.75" customHeight="1" x14ac:dyDescent="0.35">
      <c r="A64" s="151" t="s">
        <v>91</v>
      </c>
      <c r="B64" s="151"/>
      <c r="C64" s="151"/>
      <c r="D64" s="243" t="str">
        <f>(IF(G55="NA","60 Years After Completion",IF(G55&lt;&gt;"NA",""&amp;60-ROUNDDOWN((E3-G55)/360,0)&amp;" Years"," ")))</f>
        <v>60 Years After Completion</v>
      </c>
      <c r="E64" s="243"/>
      <c r="F64" s="243"/>
      <c r="G64" s="243"/>
      <c r="H64" s="243"/>
      <c r="N64" s="24"/>
    </row>
    <row r="65" spans="1:14" ht="15.75" customHeight="1" x14ac:dyDescent="0.35">
      <c r="A65" s="151" t="s">
        <v>92</v>
      </c>
      <c r="B65" s="151"/>
      <c r="C65" s="151"/>
      <c r="D65" s="167" t="s">
        <v>24</v>
      </c>
      <c r="E65" s="167"/>
      <c r="F65" s="167"/>
      <c r="G65" s="167"/>
      <c r="H65" s="167"/>
      <c r="J65" s="27"/>
      <c r="K65" s="27"/>
    </row>
    <row r="66" spans="1:14" ht="15" hidden="1" customHeight="1" x14ac:dyDescent="0.35">
      <c r="A66" s="151" t="s">
        <v>78</v>
      </c>
      <c r="B66" s="151"/>
      <c r="C66" s="151"/>
      <c r="D66" s="165" t="s">
        <v>151</v>
      </c>
      <c r="E66" s="167"/>
      <c r="F66" s="167"/>
      <c r="G66" s="167"/>
      <c r="H66" s="167"/>
    </row>
    <row r="67" spans="1:14" x14ac:dyDescent="0.35">
      <c r="A67" s="167" t="s">
        <v>152</v>
      </c>
      <c r="B67" s="167"/>
      <c r="C67" s="167"/>
      <c r="D67" s="167" t="s">
        <v>30</v>
      </c>
      <c r="E67" s="167"/>
      <c r="F67" s="167"/>
      <c r="G67" s="167"/>
      <c r="H67" s="167"/>
      <c r="I67" s="28"/>
      <c r="J67" s="28"/>
      <c r="K67" s="28"/>
      <c r="L67" s="28"/>
      <c r="M67" s="28"/>
      <c r="N67" s="28"/>
    </row>
    <row r="68" spans="1:14" ht="15.75" customHeight="1" x14ac:dyDescent="0.35">
      <c r="A68" s="151" t="s">
        <v>90</v>
      </c>
      <c r="B68" s="151"/>
      <c r="C68" s="151"/>
      <c r="D68" s="165" t="str">
        <f ca="1">(IF(G74&gt;95%,"Nothing",IF(G74&gt;0%,"Cement, Aggregate, Steel, etc",IF(G74=0%,"Work not yet Started"))))</f>
        <v>Cement, Aggregate, Steel, etc</v>
      </c>
      <c r="E68" s="165"/>
      <c r="F68" s="165"/>
      <c r="G68" s="165"/>
      <c r="H68" s="165"/>
      <c r="J68" s="27"/>
    </row>
    <row r="69" spans="1:14" ht="33.75" customHeight="1" thickBot="1" x14ac:dyDescent="0.4">
      <c r="A69" s="167" t="s">
        <v>119</v>
      </c>
      <c r="B69" s="167"/>
      <c r="C69" s="167"/>
      <c r="D69" s="165" t="str">
        <f ca="1">(IF(D68="Nothing","Yes",IF(D68="Cement, Aggregate, Steel, etc","Under Construction",IF(D68="Work not yet Started","Work not yet Started"))))</f>
        <v>Under Construction</v>
      </c>
      <c r="E69" s="165"/>
      <c r="F69" s="165" t="str">
        <f ca="1">(IF(D68="Nothing","Yes",IF(D68="Cement, Aggregate, Steel, etc","Under Construction",IF(D68="Work not yet Started","Work not yet Started"))))</f>
        <v>Under Construction</v>
      </c>
      <c r="G69" s="165"/>
      <c r="H69" s="165"/>
    </row>
    <row r="70" spans="1:14" ht="15.75" customHeight="1" x14ac:dyDescent="0.35">
      <c r="A70" s="125" t="s">
        <v>143</v>
      </c>
      <c r="B70" s="125"/>
      <c r="C70" s="125" t="s">
        <v>253</v>
      </c>
      <c r="D70" s="125"/>
      <c r="E70" s="125"/>
      <c r="F70" s="125"/>
      <c r="G70" s="125"/>
      <c r="H70" s="125"/>
      <c r="I70" s="76" t="str">
        <f ca="1">IF(D83=100%,"All work Completed. Possession granted to the Building.",IF(D82=100%,"All work Completed, Waiting for OC",I71&amp;""&amp;I72&amp;""&amp;J71&amp;""&amp;J70&amp;" "&amp;J72))</f>
        <v>Excavation, Plinth, RCC Slab, Brickwork Completed, Internal Plaster upto 15 Floor, External Plaster upto 8 Floor Completed</v>
      </c>
      <c r="J70" s="48" t="str">
        <f ca="1">(IF(C76=(D71+F71+H71),"",IF(C76&gt;0,", RCC upto "&amp;C76&amp;" Slab","")))&amp;(IF(C77=H71,"",IF(C77&gt;0,", Brickwork upto "&amp;C77&amp;" Floor","")))&amp;(IF(C78=H71,"",IF(C78&gt;0,", Internal Plaster upto "&amp;C78&amp;" Floor","")))&amp;(IF(C79=H71,"",IF(C79&gt;0,", External Plaster upto "&amp;C79&amp;" Floor","")))&amp;(IF(C80=H71,"",IF(C80&gt;0,", Flooring upto "&amp;C80&amp;" Floor","")))&amp;(IF(C81=H71,"",IF(C81&gt;0,", Painting upto "&amp;C81&amp;" Floor","")))&amp;(IF(C82=H71,"",IF(C82&gt;0,", Finishing upto "&amp;C82&amp;" Floor","")))&amp;(IF(C83=H71,"",IF(C83&gt;0,", Possession upto "&amp;C83&amp;" Floor","")))</f>
        <v>, Internal Plaster upto 15 Floor, External Plaster upto 8 Floor</v>
      </c>
    </row>
    <row r="71" spans="1:14" x14ac:dyDescent="0.35">
      <c r="A71" s="62" t="s">
        <v>145</v>
      </c>
      <c r="B71" s="62">
        <v>1</v>
      </c>
      <c r="C71" s="62" t="s">
        <v>75</v>
      </c>
      <c r="D71" s="62">
        <v>1</v>
      </c>
      <c r="E71" s="62" t="s">
        <v>74</v>
      </c>
      <c r="F71" s="62">
        <v>0</v>
      </c>
      <c r="G71" s="62" t="s">
        <v>84</v>
      </c>
      <c r="H71" s="62">
        <f ca="1">--TRIM(RIGHT(SUBSTITUTE(LEFT(C70,_xlfn.AGGREGATE(16,6,FIND({0,1,2,3,4,5,6,7,8,9},C70,ROW(INDIRECT("1:"&amp;LEN(C70)))),1))," ",REPT(" ",LEN(C70))),LEN(C70)))</f>
        <v>25</v>
      </c>
      <c r="I71" s="77" t="str">
        <f ca="1">IF(D74=100%,"Excavation","")&amp;IF(D75=100%,", Plinth","")&amp;IF(D76=100%,", RCC Slab","")&amp;IF(D77=100%,", Brickwork","")&amp;IF(D78=100%,", Internal Plaster","")&amp;IF(D79=100%,", External Plaster","")&amp;IF(D80=100%,", Flooring","")&amp;IF(D81=100%,", Painting","")&amp;IF(D82=100%,", Building common Amenities","")</f>
        <v>Excavation, Plinth, RCC Slab, Brickwork</v>
      </c>
      <c r="J71" s="50" t="str">
        <f ca="1">(IF(C74=0,"Work not yet Started.",IF(D74=25%,"Piling work in process",IF(D74=50%,"Excavation work in process",IF(D74=100%,"","0")))))&amp;(IF(C75=0%,"",IF(C75=J76,", Footing work is process",IF(C75=J77,", Footing work Completed",IF(C75=J78,", 1st Basement Completed",IF(C75=J79,", 1st &amp; 2nd Basement Completed",IF(C75=J80,", 1st to 3rd Basement Completed",IF(C75=J81,", 1st to 4th Basement Completed",IF(C75=J82,", Plinth work is process",IF(C75=J83,"","0"))))))))))</f>
        <v/>
      </c>
    </row>
    <row r="72" spans="1:14" ht="31" customHeight="1" x14ac:dyDescent="0.35">
      <c r="A72" s="126" t="s">
        <v>94</v>
      </c>
      <c r="B72" s="126"/>
      <c r="C72" s="125" t="str">
        <f ca="1">(IF($G$55="NA",I70,"All work Completed. OC Received."))</f>
        <v>Excavation, Plinth, RCC Slab, Brickwork Completed, Internal Plaster upto 15 Floor, External Plaster upto 8 Floor Completed</v>
      </c>
      <c r="D72" s="125"/>
      <c r="E72" s="125"/>
      <c r="F72" s="125"/>
      <c r="G72" s="125"/>
      <c r="H72" s="125"/>
      <c r="I72" s="77" t="str">
        <f ca="1">IF(I71&lt;&gt;""," Completed","")</f>
        <v xml:space="preserve"> Completed</v>
      </c>
      <c r="J72" s="50" t="str">
        <f ca="1">IF(J70&lt;&gt;"","Completed","")</f>
        <v>Completed</v>
      </c>
    </row>
    <row r="73" spans="1:14" ht="15.75" customHeight="1" x14ac:dyDescent="0.35">
      <c r="A73" s="106" t="s">
        <v>51</v>
      </c>
      <c r="B73" s="106"/>
      <c r="C73" s="73" t="s">
        <v>142</v>
      </c>
      <c r="D73" s="73" t="s">
        <v>87</v>
      </c>
      <c r="E73" s="106" t="s">
        <v>89</v>
      </c>
      <c r="F73" s="106"/>
      <c r="G73" s="106" t="s">
        <v>88</v>
      </c>
      <c r="H73" s="106"/>
      <c r="I73" s="16" t="s">
        <v>144</v>
      </c>
      <c r="J73" s="29">
        <f ca="1">H71*25%</f>
        <v>6.25</v>
      </c>
    </row>
    <row r="74" spans="1:14" x14ac:dyDescent="0.35">
      <c r="A74" s="106" t="s">
        <v>131</v>
      </c>
      <c r="B74" s="106"/>
      <c r="C74" s="73">
        <f ca="1">J75</f>
        <v>25</v>
      </c>
      <c r="D74" s="19">
        <f ca="1">((100/H71)*C74)/100</f>
        <v>1</v>
      </c>
      <c r="E74" s="108">
        <f ca="1">(((C75/H71*10)+(40/(D71+F71+H71)*C76)+(7.5/(H71)*C77)+(7.5/(H71)*C78)+(10/H71*C79)+(10/H71*C80)+(5/H71*C81)+(5/H71*C82)+(5/H71*C83))/100)</f>
        <v>0.65200000000000002</v>
      </c>
      <c r="F74" s="108"/>
      <c r="G74" s="108">
        <f ca="1">((((C74/H71)*20)+((C75/H71)*25)+(30/(H71+F71+D71)*C76)+(5/H71*C77)+(5/H71*C78)+(5/H71*C79)+(5/H71*C80)+(0/H71*C81)+(0/H71*C82)+(5/H71*C83))/100)</f>
        <v>0.84599999999999997</v>
      </c>
      <c r="H74" s="108"/>
      <c r="I74" s="16" t="s">
        <v>101</v>
      </c>
      <c r="J74" s="30">
        <f ca="1">H71*50%</f>
        <v>12.5</v>
      </c>
    </row>
    <row r="75" spans="1:14" x14ac:dyDescent="0.35">
      <c r="A75" s="106" t="s">
        <v>52</v>
      </c>
      <c r="B75" s="106"/>
      <c r="C75" s="53">
        <f ca="1">J83</f>
        <v>25</v>
      </c>
      <c r="D75" s="19">
        <f ca="1">((100/H71)*C75)/100</f>
        <v>1</v>
      </c>
      <c r="E75" s="108"/>
      <c r="F75" s="108"/>
      <c r="G75" s="108"/>
      <c r="H75" s="108"/>
      <c r="I75" s="16" t="s">
        <v>102</v>
      </c>
      <c r="J75" s="30">
        <f ca="1">H71</f>
        <v>25</v>
      </c>
    </row>
    <row r="76" spans="1:14" ht="15.75" customHeight="1" x14ac:dyDescent="0.35">
      <c r="A76" s="106" t="s">
        <v>132</v>
      </c>
      <c r="B76" s="106"/>
      <c r="C76" s="73">
        <v>26</v>
      </c>
      <c r="D76" s="19">
        <f ca="1">((100/(D71+F71+H71))*C76)/100</f>
        <v>1</v>
      </c>
      <c r="E76" s="108"/>
      <c r="F76" s="108"/>
      <c r="G76" s="108"/>
      <c r="H76" s="108"/>
      <c r="I76" s="16" t="s">
        <v>103</v>
      </c>
      <c r="J76" s="31">
        <f ca="1">(IF(B71&gt;1,(H71/(B71+2)),H71/4))</f>
        <v>6.25</v>
      </c>
    </row>
    <row r="77" spans="1:14" ht="15.75" customHeight="1" x14ac:dyDescent="0.35">
      <c r="A77" s="106" t="s">
        <v>139</v>
      </c>
      <c r="B77" s="106" t="s">
        <v>133</v>
      </c>
      <c r="C77" s="73">
        <v>25</v>
      </c>
      <c r="D77" s="19">
        <f ca="1">((100/H71)*C77)/100</f>
        <v>1</v>
      </c>
      <c r="E77" s="108"/>
      <c r="F77" s="108"/>
      <c r="G77" s="108"/>
      <c r="H77" s="108"/>
      <c r="I77" s="16" t="s">
        <v>104</v>
      </c>
      <c r="J77" s="31">
        <f ca="1">(IF(B71&gt;1,(H71/(B71+2)+J76),H71/4+J76))</f>
        <v>12.5</v>
      </c>
    </row>
    <row r="78" spans="1:14" ht="15.75" customHeight="1" x14ac:dyDescent="0.35">
      <c r="A78" s="106" t="s">
        <v>140</v>
      </c>
      <c r="B78" s="106" t="s">
        <v>133</v>
      </c>
      <c r="C78" s="73">
        <v>15</v>
      </c>
      <c r="D78" s="19">
        <f ca="1">((100/H71)*C78)/100</f>
        <v>0.6</v>
      </c>
      <c r="E78" s="108"/>
      <c r="F78" s="108"/>
      <c r="G78" s="108"/>
      <c r="H78" s="108"/>
      <c r="I78" s="16" t="s">
        <v>149</v>
      </c>
      <c r="J78" s="31">
        <f>(IF(B71&gt;1,(H71/(B71+2)+J77),0))</f>
        <v>0</v>
      </c>
    </row>
    <row r="79" spans="1:14" ht="15" customHeight="1" x14ac:dyDescent="0.35">
      <c r="A79" s="106" t="s">
        <v>138</v>
      </c>
      <c r="B79" s="106" t="s">
        <v>135</v>
      </c>
      <c r="C79" s="73">
        <v>8</v>
      </c>
      <c r="D79" s="19">
        <f ca="1">((100/(H71))*C79)/100</f>
        <v>0.32</v>
      </c>
      <c r="E79" s="108"/>
      <c r="F79" s="108"/>
      <c r="G79" s="108"/>
      <c r="H79" s="108"/>
      <c r="I79" s="16" t="s">
        <v>146</v>
      </c>
      <c r="J79" s="31">
        <f>(IF(B71&gt;2,(H71/(B71+2)+J78),0))</f>
        <v>0</v>
      </c>
    </row>
    <row r="80" spans="1:14" ht="15.75" customHeight="1" x14ac:dyDescent="0.35">
      <c r="A80" s="106" t="s">
        <v>134</v>
      </c>
      <c r="B80" s="106" t="s">
        <v>134</v>
      </c>
      <c r="C80" s="73">
        <v>0</v>
      </c>
      <c r="D80" s="19">
        <f ca="1">((100/H71)*C80)/100</f>
        <v>0</v>
      </c>
      <c r="E80" s="108"/>
      <c r="F80" s="108"/>
      <c r="G80" s="108"/>
      <c r="H80" s="108"/>
      <c r="I80" s="16" t="s">
        <v>147</v>
      </c>
      <c r="J80" s="32">
        <f>(IF(B71&gt;3,(H71/(B71+2)+J79),0))</f>
        <v>0</v>
      </c>
    </row>
    <row r="81" spans="1:10" ht="15.75" customHeight="1" x14ac:dyDescent="0.35">
      <c r="A81" s="106" t="s">
        <v>141</v>
      </c>
      <c r="B81" s="106"/>
      <c r="C81" s="73">
        <v>0</v>
      </c>
      <c r="D81" s="19">
        <f ca="1">((100/H71)*C81)/100</f>
        <v>0</v>
      </c>
      <c r="E81" s="108"/>
      <c r="F81" s="108"/>
      <c r="G81" s="108"/>
      <c r="H81" s="108"/>
      <c r="I81" s="16" t="s">
        <v>148</v>
      </c>
      <c r="J81" s="31">
        <f>(IF(B71&gt;4,(H71/(B71+2)+J80),0))</f>
        <v>0</v>
      </c>
    </row>
    <row r="82" spans="1:10" ht="15.75" customHeight="1" x14ac:dyDescent="0.35">
      <c r="A82" s="106" t="s">
        <v>136</v>
      </c>
      <c r="B82" s="106" t="s">
        <v>136</v>
      </c>
      <c r="C82" s="73">
        <v>0</v>
      </c>
      <c r="D82" s="19">
        <f ca="1">((100/(H71))*C82)/100</f>
        <v>0</v>
      </c>
      <c r="E82" s="108"/>
      <c r="F82" s="108"/>
      <c r="G82" s="108"/>
      <c r="H82" s="108"/>
      <c r="I82" s="16" t="s">
        <v>150</v>
      </c>
      <c r="J82" s="31">
        <f ca="1">(IF(B71=1,(H71/(B71+3)+J77),IF(B71=0,(H71/4+J77),IF(B71&gt;1,0))))</f>
        <v>18.75</v>
      </c>
    </row>
    <row r="83" spans="1:10" ht="16" thickBot="1" x14ac:dyDescent="0.4">
      <c r="A83" s="106" t="s">
        <v>137</v>
      </c>
      <c r="B83" s="106"/>
      <c r="C83" s="73">
        <v>0</v>
      </c>
      <c r="D83" s="19">
        <f ca="1">((100/(H71))*C83)/100</f>
        <v>0</v>
      </c>
      <c r="E83" s="108"/>
      <c r="F83" s="108"/>
      <c r="G83" s="108"/>
      <c r="H83" s="108"/>
      <c r="I83" s="17" t="s">
        <v>105</v>
      </c>
      <c r="J83" s="33">
        <f ca="1">(IF(B71&gt;1.5,(H71/(B71+2)+J77+MAX(0,J78-J77)+MAX(0,J79-J78)+MAX(0,J80-J79)+MAX(0,J81-J80)+MAX(0,J82-J81)),IF(B71=1,(H71/(B71+3)+J82),IF(B71=0,H71/4+J82))))</f>
        <v>25</v>
      </c>
    </row>
    <row r="84" spans="1:10" ht="15.75" customHeight="1" x14ac:dyDescent="0.35">
      <c r="A84" s="238" t="s">
        <v>143</v>
      </c>
      <c r="B84" s="239"/>
      <c r="C84" s="240" t="s">
        <v>254</v>
      </c>
      <c r="D84" s="241"/>
      <c r="E84" s="241"/>
      <c r="F84" s="241"/>
      <c r="G84" s="241"/>
      <c r="H84" s="242"/>
      <c r="I84" s="47" t="str">
        <f ca="1">IF(D97=100%,"All work Completed. Possession granted to the Building.",IF(D96=100%,"All work Completed, Waiting for OC",I85&amp;""&amp;I86&amp;""&amp;J85&amp;""&amp;J84&amp;" "&amp;J86))</f>
        <v>Excavation, Plinth, RCC Slab, Brickwork, Internal Plaster Completed, External Plaster upto 23 Floor, Flooring upto 15 Floor, Painting upto 12 Floor Completed</v>
      </c>
      <c r="J84" s="48" t="str">
        <f ca="1">(IF(C90=(D85+F85+H85),"",IF(C90&gt;0,", RCC upto "&amp;C90&amp;" Slab","")))&amp;(IF(C91=H85,"",IF(C91&gt;0,", Brickwork upto "&amp;C91&amp;" Floor","")))&amp;(IF(C92=H85,"",IF(C92&gt;0,", Internal Plaster upto "&amp;C92&amp;" Floor","")))&amp;(IF(C93=H85,"",IF(C93&gt;0,", External Plaster upto "&amp;C93&amp;" Floor","")))&amp;(IF(C94=H85,"",IF(C94&gt;0,", Flooring upto "&amp;C94&amp;" Floor","")))&amp;(IF(C95=H85,"",IF(C95&gt;0,", Painting upto "&amp;C95&amp;" Floor","")))&amp;(IF(C96=H85,"",IF(C96&gt;0,", Finishing upto "&amp;C96&amp;" Floor","")))&amp;(IF(C97=H85,"",IF(C97&gt;0,", Possession upto "&amp;C97&amp;" Floor","")))</f>
        <v>, External Plaster upto 23 Floor, Flooring upto 15 Floor, Painting upto 12 Floor</v>
      </c>
    </row>
    <row r="85" spans="1:10" x14ac:dyDescent="0.35">
      <c r="A85" s="61" t="s">
        <v>145</v>
      </c>
      <c r="B85" s="62">
        <v>1</v>
      </c>
      <c r="C85" s="62" t="s">
        <v>75</v>
      </c>
      <c r="D85" s="62">
        <v>1</v>
      </c>
      <c r="E85" s="62" t="s">
        <v>74</v>
      </c>
      <c r="F85" s="62">
        <v>0</v>
      </c>
      <c r="G85" s="62" t="s">
        <v>84</v>
      </c>
      <c r="H85" s="63">
        <f ca="1">--TRIM(RIGHT(SUBSTITUTE(LEFT(C84,_xlfn.AGGREGATE(16,6,FIND({0,1,2,3,4,5,6,7,8,9},C84,ROW(INDIRECT("1:"&amp;LEN(C84)))),1))," ",REPT(" ",LEN(C84))),LEN(C84)))</f>
        <v>25</v>
      </c>
      <c r="I85" s="49" t="str">
        <f ca="1">IF(D88=100%,"Excavation","")&amp;IF(D89=100%,", Plinth","")&amp;IF(D90=100%,", RCC Slab","")&amp;IF(D91=100%,", Brickwork","")&amp;IF(D92=100%,", Internal Plaster","")&amp;IF(D93=100%,", External Plaster","")&amp;IF(D94=100%,", Flooring","")&amp;IF(D95=100%,", Painting","")&amp;IF(D96=100%,", Building common Amenities","")</f>
        <v>Excavation, Plinth, RCC Slab, Brickwork, Internal Plaster</v>
      </c>
      <c r="J85" s="50" t="str">
        <f ca="1">(IF(C88=0,"Work not yet Started.",IF(D88=25%,"Piling work in process",IF(D88=50%,"Excavation work in process",IF(D88=100%,"","0")))))&amp;(IF(C89=0%,"",IF(C89=J90,", Footing work is process",IF(C89=J91,", Footing work Completed",IF(C89=J92,", 1st Basement Completed",IF(C89=J93,", 1st &amp; 2nd Basement Completed",IF(C89=J94,", 1st to 3rd Basement Completed",IF(C89=J95,", 1st to 4th Basement Completed",IF(C89=J96,", Plinth work is process",IF(C89=J97,"","0"))))))))))</f>
        <v/>
      </c>
    </row>
    <row r="86" spans="1:10" ht="36.75" customHeight="1" x14ac:dyDescent="0.35">
      <c r="A86" s="134" t="s">
        <v>94</v>
      </c>
      <c r="B86" s="126"/>
      <c r="C86" s="125" t="str">
        <f ca="1">(IF($G$55="NA",I84,"All work Completed. OC Received."))</f>
        <v>Excavation, Plinth, RCC Slab, Brickwork, Internal Plaster Completed, External Plaster upto 23 Floor, Flooring upto 15 Floor, Painting upto 12 Floor Completed</v>
      </c>
      <c r="D86" s="125"/>
      <c r="E86" s="125"/>
      <c r="F86" s="125"/>
      <c r="G86" s="125"/>
      <c r="H86" s="135"/>
      <c r="I86" s="49" t="str">
        <f ca="1">IF(I85&lt;&gt;""," Completed","")</f>
        <v xml:space="preserve"> Completed</v>
      </c>
      <c r="J86" s="50" t="str">
        <f ca="1">IF(J84&lt;&gt;"","Completed","")</f>
        <v>Completed</v>
      </c>
    </row>
    <row r="87" spans="1:10" ht="15.75" customHeight="1" x14ac:dyDescent="0.35">
      <c r="A87" s="105" t="s">
        <v>51</v>
      </c>
      <c r="B87" s="106"/>
      <c r="C87" s="65" t="s">
        <v>142</v>
      </c>
      <c r="D87" s="65" t="s">
        <v>87</v>
      </c>
      <c r="E87" s="106" t="s">
        <v>89</v>
      </c>
      <c r="F87" s="106"/>
      <c r="G87" s="106" t="s">
        <v>88</v>
      </c>
      <c r="H87" s="107"/>
      <c r="I87" s="16" t="s">
        <v>144</v>
      </c>
      <c r="J87" s="29">
        <f ca="1">H85*25%</f>
        <v>6.25</v>
      </c>
    </row>
    <row r="88" spans="1:10" x14ac:dyDescent="0.35">
      <c r="A88" s="105" t="s">
        <v>131</v>
      </c>
      <c r="B88" s="106"/>
      <c r="C88" s="65">
        <f ca="1">J89</f>
        <v>25</v>
      </c>
      <c r="D88" s="19">
        <f ca="1">((100/H85)*C88)/100</f>
        <v>1</v>
      </c>
      <c r="E88" s="215">
        <f ca="1">(((C89/H85*10)+(40/(D85+F85+H85)*C90)+(7.5/(H85)*C91)+(7.5/(H85)*C92)+(10/H85*C93)+(10/H85*C94)+(5/H85*C95)+(5/H85*C96)+(5/H85*C97))/100)</f>
        <v>0.82600000000000007</v>
      </c>
      <c r="F88" s="216"/>
      <c r="G88" s="215">
        <f ca="1">((((C88/H85)*20)+((C89/H85)*25)+(30/(H85+F85+D85)*C90)+(5/H85*C91)+(5/H85*C92)+(5/H85*C93)+(5/H85*C94)+(0/H85*C95)+(0/H85*C96)+(5/H85*C97))/100)</f>
        <v>0.92599999999999993</v>
      </c>
      <c r="H88" s="221"/>
      <c r="I88" s="16" t="s">
        <v>101</v>
      </c>
      <c r="J88" s="30">
        <f ca="1">H85*50%</f>
        <v>12.5</v>
      </c>
    </row>
    <row r="89" spans="1:10" x14ac:dyDescent="0.35">
      <c r="A89" s="105" t="s">
        <v>52</v>
      </c>
      <c r="B89" s="106"/>
      <c r="C89" s="53">
        <f ca="1">J97</f>
        <v>25</v>
      </c>
      <c r="D89" s="19">
        <f ca="1">((100/H85)*C89)/100</f>
        <v>1</v>
      </c>
      <c r="E89" s="217"/>
      <c r="F89" s="218"/>
      <c r="G89" s="217"/>
      <c r="H89" s="222"/>
      <c r="I89" s="16" t="s">
        <v>102</v>
      </c>
      <c r="J89" s="30">
        <f ca="1">H85</f>
        <v>25</v>
      </c>
    </row>
    <row r="90" spans="1:10" ht="15.75" customHeight="1" x14ac:dyDescent="0.35">
      <c r="A90" s="105" t="s">
        <v>132</v>
      </c>
      <c r="B90" s="106"/>
      <c r="C90" s="65">
        <v>26</v>
      </c>
      <c r="D90" s="19">
        <f ca="1">((100/(D85+F85+H85))*C90)/100</f>
        <v>1</v>
      </c>
      <c r="E90" s="217"/>
      <c r="F90" s="218"/>
      <c r="G90" s="217"/>
      <c r="H90" s="222"/>
      <c r="I90" s="16" t="s">
        <v>103</v>
      </c>
      <c r="J90" s="31">
        <f ca="1">(IF(B85&gt;1,(H85/(B85+2)),H85/4))</f>
        <v>6.25</v>
      </c>
    </row>
    <row r="91" spans="1:10" ht="15.75" customHeight="1" x14ac:dyDescent="0.35">
      <c r="A91" s="105" t="s">
        <v>139</v>
      </c>
      <c r="B91" s="106" t="s">
        <v>133</v>
      </c>
      <c r="C91" s="65">
        <v>25</v>
      </c>
      <c r="D91" s="19">
        <f ca="1">((100/H85)*C91)/100</f>
        <v>1</v>
      </c>
      <c r="E91" s="217"/>
      <c r="F91" s="218"/>
      <c r="G91" s="217"/>
      <c r="H91" s="222"/>
      <c r="I91" s="16" t="s">
        <v>104</v>
      </c>
      <c r="J91" s="31">
        <f ca="1">(IF(B85&gt;1,(H85/(B85+2)+J90),H85/4+J90))</f>
        <v>12.5</v>
      </c>
    </row>
    <row r="92" spans="1:10" ht="15.75" customHeight="1" x14ac:dyDescent="0.35">
      <c r="A92" s="105" t="s">
        <v>140</v>
      </c>
      <c r="B92" s="106" t="s">
        <v>133</v>
      </c>
      <c r="C92" s="65">
        <v>25</v>
      </c>
      <c r="D92" s="19">
        <f ca="1">((100/H85)*C92)/100</f>
        <v>1</v>
      </c>
      <c r="E92" s="217"/>
      <c r="F92" s="218"/>
      <c r="G92" s="217"/>
      <c r="H92" s="222"/>
      <c r="I92" s="16" t="s">
        <v>149</v>
      </c>
      <c r="J92" s="31">
        <f>(IF(B85&gt;1,(H85/(B85+2)+J91),0))</f>
        <v>0</v>
      </c>
    </row>
    <row r="93" spans="1:10" ht="15" customHeight="1" x14ac:dyDescent="0.35">
      <c r="A93" s="105" t="s">
        <v>138</v>
      </c>
      <c r="B93" s="106" t="s">
        <v>135</v>
      </c>
      <c r="C93" s="65">
        <v>23</v>
      </c>
      <c r="D93" s="19">
        <f ca="1">((100/(H85))*C93)/100</f>
        <v>0.92</v>
      </c>
      <c r="E93" s="217"/>
      <c r="F93" s="218"/>
      <c r="G93" s="217"/>
      <c r="H93" s="222"/>
      <c r="I93" s="16" t="s">
        <v>146</v>
      </c>
      <c r="J93" s="31">
        <f>(IF(B85&gt;2,(H85/(B85+2)+J92),0))</f>
        <v>0</v>
      </c>
    </row>
    <row r="94" spans="1:10" ht="15.75" customHeight="1" x14ac:dyDescent="0.35">
      <c r="A94" s="105" t="s">
        <v>134</v>
      </c>
      <c r="B94" s="106" t="s">
        <v>134</v>
      </c>
      <c r="C94" s="65">
        <v>15</v>
      </c>
      <c r="D94" s="19">
        <f ca="1">((100/H85)*C94)/100</f>
        <v>0.6</v>
      </c>
      <c r="E94" s="217"/>
      <c r="F94" s="218"/>
      <c r="G94" s="217"/>
      <c r="H94" s="222"/>
      <c r="I94" s="16" t="s">
        <v>147</v>
      </c>
      <c r="J94" s="32">
        <f>(IF(B85&gt;3,(H85/(B85+2)+J93),0))</f>
        <v>0</v>
      </c>
    </row>
    <row r="95" spans="1:10" ht="15.75" customHeight="1" x14ac:dyDescent="0.35">
      <c r="A95" s="105" t="s">
        <v>141</v>
      </c>
      <c r="B95" s="106"/>
      <c r="C95" s="65">
        <v>12</v>
      </c>
      <c r="D95" s="19">
        <f ca="1">((100/H85)*C95)/100</f>
        <v>0.48</v>
      </c>
      <c r="E95" s="217"/>
      <c r="F95" s="218"/>
      <c r="G95" s="217"/>
      <c r="H95" s="222"/>
      <c r="I95" s="16" t="s">
        <v>148</v>
      </c>
      <c r="J95" s="31">
        <f>(IF(B85&gt;4,(H85/(B85+2)+J94),0))</f>
        <v>0</v>
      </c>
    </row>
    <row r="96" spans="1:10" ht="15.75" customHeight="1" x14ac:dyDescent="0.35">
      <c r="A96" s="105" t="s">
        <v>136</v>
      </c>
      <c r="B96" s="106" t="s">
        <v>136</v>
      </c>
      <c r="C96" s="65">
        <v>0</v>
      </c>
      <c r="D96" s="19">
        <f ca="1">((100/(H85))*C96)/100</f>
        <v>0</v>
      </c>
      <c r="E96" s="217"/>
      <c r="F96" s="218"/>
      <c r="G96" s="217"/>
      <c r="H96" s="222"/>
      <c r="I96" s="16" t="s">
        <v>150</v>
      </c>
      <c r="J96" s="31">
        <f ca="1">(IF(B85=1,(H85/(B85+3)+J91),IF(B85=0,(H85/4+J91),IF(B85&gt;1,0))))</f>
        <v>18.75</v>
      </c>
    </row>
    <row r="97" spans="1:10" ht="16" thickBot="1" x14ac:dyDescent="0.4">
      <c r="A97" s="127" t="s">
        <v>137</v>
      </c>
      <c r="B97" s="128"/>
      <c r="C97" s="66">
        <v>0</v>
      </c>
      <c r="D97" s="20">
        <f ca="1">((100/(H85))*C97)/100</f>
        <v>0</v>
      </c>
      <c r="E97" s="219"/>
      <c r="F97" s="220"/>
      <c r="G97" s="219"/>
      <c r="H97" s="223"/>
      <c r="I97" s="17" t="s">
        <v>105</v>
      </c>
      <c r="J97" s="33">
        <f ca="1">(IF(B85&gt;1.5,(H85/(B85+2)+J91+MAX(0,J92-J91)+MAX(0,J93-J92)+MAX(0,J94-J93)+MAX(0,J95-J94)+MAX(0,J96-J95)),IF(B85=1,(H85/(B85+3)+J96),IF(B85=0,H85/4+J96))))</f>
        <v>25</v>
      </c>
    </row>
    <row r="98" spans="1:10" ht="15.75" customHeight="1" x14ac:dyDescent="0.35">
      <c r="A98" s="129" t="s">
        <v>143</v>
      </c>
      <c r="B98" s="130"/>
      <c r="C98" s="131" t="s">
        <v>266</v>
      </c>
      <c r="D98" s="132"/>
      <c r="E98" s="132"/>
      <c r="F98" s="132"/>
      <c r="G98" s="132"/>
      <c r="H98" s="133"/>
      <c r="I98" s="47" t="str">
        <f ca="1">IF(D111=100%,"All work Completed. Possession granted to the Building.",IF(D110=100%,"All work Completed, Waiting for OC",I99&amp;""&amp;I100&amp;""&amp;J99&amp;""&amp;J98&amp;" "&amp;J100))</f>
        <v>Excavation, Plinth, RCC Slab, Brickwork, Internal Plaster, External Plaster Completed, Flooring upto 24 Floor, Painting upto 23 Floor, Finishing upto 2 Floor Completed</v>
      </c>
      <c r="J98" s="48" t="str">
        <f ca="1">(IF(C104=(D99+F99+H99),"",IF(C104&gt;0,", RCC upto "&amp;C104&amp;" Slab","")))&amp;(IF(C105=H99,"",IF(C105&gt;0,", Brickwork upto "&amp;C105&amp;" Floor","")))&amp;(IF(C106=H99,"",IF(C106&gt;0,", Internal Plaster upto "&amp;C106&amp;" Floor","")))&amp;(IF(C107=H99,"",IF(C107&gt;0,", External Plaster upto "&amp;C107&amp;" Floor","")))&amp;(IF(C108=H99,"",IF(C108&gt;0,", Flooring upto "&amp;C108&amp;" Floor","")))&amp;(IF(C109=H99,"",IF(C109&gt;0,", Painting upto "&amp;C109&amp;" Floor","")))&amp;(IF(C110=H99,"",IF(C110&gt;0,", Finishing upto "&amp;C110&amp;" Floor","")))&amp;(IF(C111=H99,"",IF(C111&gt;0,", Possession upto "&amp;C111&amp;" Floor","")))</f>
        <v>, Flooring upto 24 Floor, Painting upto 23 Floor, Finishing upto 2 Floor</v>
      </c>
    </row>
    <row r="99" spans="1:10" x14ac:dyDescent="0.35">
      <c r="A99" s="61" t="s">
        <v>145</v>
      </c>
      <c r="B99" s="62">
        <v>1</v>
      </c>
      <c r="C99" s="62" t="s">
        <v>75</v>
      </c>
      <c r="D99" s="62">
        <v>1</v>
      </c>
      <c r="E99" s="62" t="s">
        <v>74</v>
      </c>
      <c r="F99" s="62">
        <v>0</v>
      </c>
      <c r="G99" s="62" t="s">
        <v>84</v>
      </c>
      <c r="H99" s="63">
        <f ca="1">--TRIM(RIGHT(SUBSTITUTE(LEFT(C98,_xlfn.AGGREGATE(16,6,FIND({0,1,2,3,4,5,6,7,8,9},C98,ROW(INDIRECT("1:"&amp;LEN(C98)))),1))," ",REPT(" ",LEN(C98))),LEN(C98)))</f>
        <v>25</v>
      </c>
      <c r="I99" s="49" t="str">
        <f ca="1">IF(D102=100%,"Excavation","")&amp;IF(D103=100%,", Plinth","")&amp;IF(D104=100%,", RCC Slab","")&amp;IF(D105=100%,", Brickwork","")&amp;IF(D106=100%,", Internal Plaster","")&amp;IF(D107=100%,", External Plaster","")&amp;IF(D108=100%,", Flooring","")&amp;IF(D109=100%,", Painting","")&amp;IF(D110=100%,", Building common Amenities","")</f>
        <v>Excavation, Plinth, RCC Slab, Brickwork, Internal Plaster, External Plaster</v>
      </c>
      <c r="J99" s="50" t="str">
        <f ca="1">(IF(C102=0,"Work not yet Started.",IF(D102=25%,"Piling work in process",IF(D102=50%,"Excavation work in process",IF(D102=100%,"","0")))))&amp;(IF(C103=0%,"",IF(C103=J104,", Footing work is process",IF(C103=J105,", Footing work Completed",IF(C103=J106,", 1st Basement Completed",IF(C103=J107,", 1st &amp; 2nd Basement Completed",IF(C103=J108,", 1st to 3rd Basement Completed",IF(C103=J109,", 1st to 4th Basement Completed",IF(C103=J110,", Plinth work is process",IF(C103=J111,"","0"))))))))))</f>
        <v/>
      </c>
    </row>
    <row r="100" spans="1:10" ht="31.5" customHeight="1" x14ac:dyDescent="0.35">
      <c r="A100" s="134" t="s">
        <v>94</v>
      </c>
      <c r="B100" s="126"/>
      <c r="C100" s="125" t="str">
        <f ca="1">(IF($G$55="NA",I98,"All work Completed. OC Received."))</f>
        <v>Excavation, Plinth, RCC Slab, Brickwork, Internal Plaster, External Plaster Completed, Flooring upto 24 Floor, Painting upto 23 Floor, Finishing upto 2 Floor Completed</v>
      </c>
      <c r="D100" s="125"/>
      <c r="E100" s="125"/>
      <c r="F100" s="125"/>
      <c r="G100" s="125"/>
      <c r="H100" s="135"/>
      <c r="I100" s="49" t="str">
        <f ca="1">IF(I99&lt;&gt;""," Completed","")</f>
        <v xml:space="preserve"> Completed</v>
      </c>
      <c r="J100" s="50" t="str">
        <f ca="1">IF(J98&lt;&gt;"","Completed","")</f>
        <v>Completed</v>
      </c>
    </row>
    <row r="101" spans="1:10" ht="15.75" customHeight="1" x14ac:dyDescent="0.35">
      <c r="A101" s="105" t="s">
        <v>51</v>
      </c>
      <c r="B101" s="106"/>
      <c r="C101" s="72" t="s">
        <v>142</v>
      </c>
      <c r="D101" s="72" t="s">
        <v>87</v>
      </c>
      <c r="E101" s="106" t="s">
        <v>89</v>
      </c>
      <c r="F101" s="106"/>
      <c r="G101" s="106" t="s">
        <v>88</v>
      </c>
      <c r="H101" s="107"/>
      <c r="I101" s="16" t="s">
        <v>144</v>
      </c>
      <c r="J101" s="29">
        <f ca="1">H99*25%</f>
        <v>6.25</v>
      </c>
    </row>
    <row r="102" spans="1:10" x14ac:dyDescent="0.35">
      <c r="A102" s="106" t="s">
        <v>131</v>
      </c>
      <c r="B102" s="106"/>
      <c r="C102" s="99">
        <f ca="1">J103</f>
        <v>25</v>
      </c>
      <c r="D102" s="19">
        <f ca="1">((100/H99)*C102)/100</f>
        <v>1</v>
      </c>
      <c r="E102" s="108">
        <f ca="1">(((C103/H99*10)+(40/(D99+F99+H99)*C104)+(7.5/(H99)*C105)+(7.5/(H99)*C106)+(10/H99*C107)+(10/H99*C108)+(5/H99*C109)+(5/H99*C110)+(5/H99*C111))/100)</f>
        <v>0.89599999999999991</v>
      </c>
      <c r="F102" s="108"/>
      <c r="G102" s="108">
        <f ca="1">((((C102/H99)*20)+((C103/H99)*25)+(30/(H99+F99+D99)*C104)+(5/H99*C105)+(5/H99*C106)+(5/H99*C107)+(5/H99*C108)+(0/H99*C109)+(0/H99*C110)+(5/H99*C111))/100)</f>
        <v>0.94799999999999995</v>
      </c>
      <c r="H102" s="108"/>
      <c r="I102" s="16" t="s">
        <v>101</v>
      </c>
      <c r="J102" s="30">
        <f ca="1">H99*50%</f>
        <v>12.5</v>
      </c>
    </row>
    <row r="103" spans="1:10" x14ac:dyDescent="0.35">
      <c r="A103" s="106" t="s">
        <v>52</v>
      </c>
      <c r="B103" s="106"/>
      <c r="C103" s="53">
        <f ca="1">J111</f>
        <v>25</v>
      </c>
      <c r="D103" s="19">
        <f ca="1">((100/H99)*C103)/100</f>
        <v>1</v>
      </c>
      <c r="E103" s="108"/>
      <c r="F103" s="108"/>
      <c r="G103" s="108"/>
      <c r="H103" s="108"/>
      <c r="I103" s="16" t="s">
        <v>102</v>
      </c>
      <c r="J103" s="30">
        <f ca="1">H99</f>
        <v>25</v>
      </c>
    </row>
    <row r="104" spans="1:10" ht="15.75" customHeight="1" x14ac:dyDescent="0.35">
      <c r="A104" s="106" t="s">
        <v>132</v>
      </c>
      <c r="B104" s="106"/>
      <c r="C104" s="99">
        <f>26</f>
        <v>26</v>
      </c>
      <c r="D104" s="19">
        <f ca="1">((100/(D99+F99+H99))*C104)/100</f>
        <v>1</v>
      </c>
      <c r="E104" s="108"/>
      <c r="F104" s="108"/>
      <c r="G104" s="108"/>
      <c r="H104" s="108"/>
      <c r="I104" s="16" t="s">
        <v>103</v>
      </c>
      <c r="J104" s="31">
        <f ca="1">(IF(B99&gt;1,(H99/(B99+2)),H99/4))</f>
        <v>6.25</v>
      </c>
    </row>
    <row r="105" spans="1:10" ht="15.75" customHeight="1" x14ac:dyDescent="0.35">
      <c r="A105" s="106" t="s">
        <v>139</v>
      </c>
      <c r="B105" s="106" t="s">
        <v>133</v>
      </c>
      <c r="C105" s="99">
        <v>25</v>
      </c>
      <c r="D105" s="19">
        <f ca="1">((100/H99)*C105)/100</f>
        <v>1</v>
      </c>
      <c r="E105" s="108"/>
      <c r="F105" s="108"/>
      <c r="G105" s="108"/>
      <c r="H105" s="108"/>
      <c r="I105" s="16" t="s">
        <v>104</v>
      </c>
      <c r="J105" s="31">
        <f ca="1">(IF(B99&gt;1,(H99/(B99+2)+J104),H99/4+J104))</f>
        <v>12.5</v>
      </c>
    </row>
    <row r="106" spans="1:10" ht="15.75" customHeight="1" x14ac:dyDescent="0.35">
      <c r="A106" s="106" t="s">
        <v>140</v>
      </c>
      <c r="B106" s="106" t="s">
        <v>133</v>
      </c>
      <c r="C106" s="99">
        <v>25</v>
      </c>
      <c r="D106" s="19">
        <f ca="1">((100/H99)*C106)/100</f>
        <v>1</v>
      </c>
      <c r="E106" s="108"/>
      <c r="F106" s="108"/>
      <c r="G106" s="108"/>
      <c r="H106" s="108"/>
      <c r="I106" s="16" t="s">
        <v>149</v>
      </c>
      <c r="J106" s="31">
        <f>(IF(B99&gt;1,(H99/(B99+2)+J105),0))</f>
        <v>0</v>
      </c>
    </row>
    <row r="107" spans="1:10" ht="15" customHeight="1" x14ac:dyDescent="0.35">
      <c r="A107" s="106" t="s">
        <v>138</v>
      </c>
      <c r="B107" s="106" t="s">
        <v>135</v>
      </c>
      <c r="C107" s="99">
        <v>25</v>
      </c>
      <c r="D107" s="19">
        <f ca="1">((100/(H99))*C107)/100</f>
        <v>1</v>
      </c>
      <c r="E107" s="108"/>
      <c r="F107" s="108"/>
      <c r="G107" s="108"/>
      <c r="H107" s="108"/>
      <c r="I107" s="16" t="s">
        <v>146</v>
      </c>
      <c r="J107" s="31">
        <f>(IF(B99&gt;2,(H99/(B99+2)+J106),0))</f>
        <v>0</v>
      </c>
    </row>
    <row r="108" spans="1:10" ht="15.75" customHeight="1" x14ac:dyDescent="0.35">
      <c r="A108" s="106" t="s">
        <v>134</v>
      </c>
      <c r="B108" s="106" t="s">
        <v>134</v>
      </c>
      <c r="C108" s="99">
        <v>24</v>
      </c>
      <c r="D108" s="19">
        <f ca="1">((100/H99)*C108)/100</f>
        <v>0.96</v>
      </c>
      <c r="E108" s="108"/>
      <c r="F108" s="108"/>
      <c r="G108" s="108"/>
      <c r="H108" s="108"/>
      <c r="I108" s="16" t="s">
        <v>147</v>
      </c>
      <c r="J108" s="32">
        <f>(IF(B99&gt;3,(H99/(B99+2)+J107),0))</f>
        <v>0</v>
      </c>
    </row>
    <row r="109" spans="1:10" ht="15.75" customHeight="1" x14ac:dyDescent="0.35">
      <c r="A109" s="106" t="s">
        <v>141</v>
      </c>
      <c r="B109" s="106"/>
      <c r="C109" s="99">
        <v>23</v>
      </c>
      <c r="D109" s="19">
        <f ca="1">((100/H99)*C109)/100</f>
        <v>0.92</v>
      </c>
      <c r="E109" s="108"/>
      <c r="F109" s="108"/>
      <c r="G109" s="108"/>
      <c r="H109" s="108"/>
      <c r="I109" s="16" t="s">
        <v>148</v>
      </c>
      <c r="J109" s="31">
        <f>(IF(B99&gt;4,(H99/(B99+2)+J108),0))</f>
        <v>0</v>
      </c>
    </row>
    <row r="110" spans="1:10" ht="15.75" customHeight="1" x14ac:dyDescent="0.35">
      <c r="A110" s="106" t="s">
        <v>136</v>
      </c>
      <c r="B110" s="106" t="s">
        <v>136</v>
      </c>
      <c r="C110" s="99">
        <v>2</v>
      </c>
      <c r="D110" s="19">
        <f ca="1">((100/(H99))*C110)/100</f>
        <v>0.08</v>
      </c>
      <c r="E110" s="108"/>
      <c r="F110" s="108"/>
      <c r="G110" s="108"/>
      <c r="H110" s="108"/>
      <c r="I110" s="16" t="s">
        <v>150</v>
      </c>
      <c r="J110" s="31">
        <f ca="1">(IF(B99=1,(H99/(B99+3)+J105),IF(B99=0,(H99/4+J105),IF(B99&gt;1,0))))</f>
        <v>18.75</v>
      </c>
    </row>
    <row r="111" spans="1:10" ht="16" thickBot="1" x14ac:dyDescent="0.4">
      <c r="A111" s="106" t="s">
        <v>137</v>
      </c>
      <c r="B111" s="106"/>
      <c r="C111" s="99">
        <v>0</v>
      </c>
      <c r="D111" s="19">
        <f ca="1">((100/(H99))*C111)/100</f>
        <v>0</v>
      </c>
      <c r="E111" s="108"/>
      <c r="F111" s="108"/>
      <c r="G111" s="108"/>
      <c r="H111" s="108"/>
      <c r="I111" s="17" t="s">
        <v>105</v>
      </c>
      <c r="J111" s="33">
        <f ca="1">(IF(B99&gt;1.5,(H99/(B99+2)+J105+MAX(0,J106-J105)+MAX(0,J107-J106)+MAX(0,J108-J107)+MAX(0,J109-J108)+MAX(0,J110-J109)),IF(B99=1,(H99/(B99+3)+J110),IF(B99=0,H99/4+J110))))</f>
        <v>25</v>
      </c>
    </row>
    <row r="112" spans="1:10" ht="15.75" hidden="1" customHeight="1" x14ac:dyDescent="0.35">
      <c r="A112" s="125" t="s">
        <v>143</v>
      </c>
      <c r="B112" s="125"/>
      <c r="C112" s="125" t="s">
        <v>255</v>
      </c>
      <c r="D112" s="125"/>
      <c r="E112" s="125"/>
      <c r="F112" s="125"/>
      <c r="G112" s="125"/>
      <c r="H112" s="125"/>
      <c r="I112" s="76" t="str">
        <f ca="1">IF(D125=100%,"All work Completed. Possession granted to the Building.",IF(D124=100%,"All work Completed, Waiting for OC",I113&amp;""&amp;I114&amp;""&amp;J113&amp;""&amp;J112&amp;" "&amp;J114))</f>
        <v>Excavation, Plinth, RCC Slab, Brickwork Completed, Internal Plaster upto 24 Floor, External Plaster upto 17 Floor, Flooring upto 8 Floor Completed</v>
      </c>
      <c r="J112" s="48" t="str">
        <f ca="1">(IF(C118=(D113+F113+H113),"",IF(C118&gt;0,", RCC upto "&amp;C118&amp;" Slab","")))&amp;(IF(C119=H113,"",IF(C119&gt;0,", Brickwork upto "&amp;C119&amp;" Floor","")))&amp;(IF(C120=H113,"",IF(C120&gt;0,", Internal Plaster upto "&amp;C120&amp;" Floor","")))&amp;(IF(C121=H113,"",IF(C121&gt;0,", External Plaster upto "&amp;C121&amp;" Floor","")))&amp;(IF(C122=H113,"",IF(C122&gt;0,", Flooring upto "&amp;C122&amp;" Floor","")))&amp;(IF(C123=H113,"",IF(C123&gt;0,", Painting upto "&amp;C123&amp;" Floor","")))&amp;(IF(C124=H113,"",IF(C124&gt;0,", Finishing upto "&amp;C124&amp;" Floor","")))&amp;(IF(C125=H113,"",IF(C125&gt;0,", Possession upto "&amp;C125&amp;" Floor","")))</f>
        <v>, Internal Plaster upto 24 Floor, External Plaster upto 17 Floor, Flooring upto 8 Floor</v>
      </c>
    </row>
    <row r="113" spans="1:10" ht="16" hidden="1" thickBot="1" x14ac:dyDescent="0.4">
      <c r="A113" s="62" t="s">
        <v>145</v>
      </c>
      <c r="B113" s="62">
        <v>1</v>
      </c>
      <c r="C113" s="62" t="s">
        <v>75</v>
      </c>
      <c r="D113" s="62">
        <v>1</v>
      </c>
      <c r="E113" s="62" t="s">
        <v>74</v>
      </c>
      <c r="F113" s="62">
        <v>0</v>
      </c>
      <c r="G113" s="62" t="s">
        <v>84</v>
      </c>
      <c r="H113" s="62">
        <f ca="1">--TRIM(RIGHT(SUBSTITUTE(LEFT(C112,_xlfn.AGGREGATE(16,6,FIND({0,1,2,3,4,5,6,7,8,9},C112,ROW(INDIRECT("1:"&amp;LEN(C112)))),1))," ",REPT(" ",LEN(C112))),LEN(C112)))</f>
        <v>25</v>
      </c>
      <c r="I113" s="77" t="str">
        <f ca="1">IF(D116=100%,"Excavation","")&amp;IF(D117=100%,", Plinth","")&amp;IF(D118=100%,", RCC Slab","")&amp;IF(D119=100%,", Brickwork","")&amp;IF(D120=100%,", Internal Plaster","")&amp;IF(D121=100%,", External Plaster","")&amp;IF(D122=100%,", Flooring","")&amp;IF(D123=100%,", Painting","")&amp;IF(D124=100%,", Building common Amenities","")</f>
        <v>Excavation, Plinth, RCC Slab, Brickwork</v>
      </c>
      <c r="J113" s="50" t="str">
        <f ca="1">(IF(C116=0,"Work not yet Started.",IF(D116=25%,"Piling work in process",IF(D116=50%,"Excavation work in process",IF(D116=100%,"","0")))))&amp;(IF(C117=0%,"",IF(C117=J118,", Footing work is process",IF(C117=J119,", Footing work Completed",IF(C117=J120,", 1st Basement Completed",IF(C117=J121,", 1st &amp; 2nd Basement Completed",IF(C117=J122,", 1st to 3rd Basement Completed",IF(C117=J123,", 1st to 4th Basement Completed",IF(C117=J124,", Plinth work is process",IF(C117=J125,"","0"))))))))))</f>
        <v/>
      </c>
    </row>
    <row r="114" spans="1:10" ht="36.75" hidden="1" customHeight="1" x14ac:dyDescent="0.35">
      <c r="A114" s="126" t="s">
        <v>94</v>
      </c>
      <c r="B114" s="126"/>
      <c r="C114" s="125" t="str">
        <f ca="1">(IF($G$55="NA",I112,"All work Completed. OC Received."))</f>
        <v>Excavation, Plinth, RCC Slab, Brickwork Completed, Internal Plaster upto 24 Floor, External Plaster upto 17 Floor, Flooring upto 8 Floor Completed</v>
      </c>
      <c r="D114" s="125"/>
      <c r="E114" s="125"/>
      <c r="F114" s="125"/>
      <c r="G114" s="125"/>
      <c r="H114" s="125"/>
      <c r="I114" s="77" t="str">
        <f ca="1">IF(I113&lt;&gt;""," Completed","")</f>
        <v xml:space="preserve"> Completed</v>
      </c>
      <c r="J114" s="50" t="str">
        <f ca="1">IF(J112&lt;&gt;"","Completed","")</f>
        <v>Completed</v>
      </c>
    </row>
    <row r="115" spans="1:10" ht="15.75" hidden="1" customHeight="1" x14ac:dyDescent="0.35">
      <c r="A115" s="106" t="s">
        <v>51</v>
      </c>
      <c r="B115" s="106"/>
      <c r="C115" s="99" t="s">
        <v>142</v>
      </c>
      <c r="D115" s="99" t="s">
        <v>87</v>
      </c>
      <c r="E115" s="106" t="s">
        <v>89</v>
      </c>
      <c r="F115" s="106"/>
      <c r="G115" s="106" t="s">
        <v>88</v>
      </c>
      <c r="H115" s="106"/>
      <c r="I115" s="16" t="s">
        <v>144</v>
      </c>
      <c r="J115" s="29">
        <f ca="1">H113*25%</f>
        <v>6.25</v>
      </c>
    </row>
    <row r="116" spans="1:10" ht="16" hidden="1" thickBot="1" x14ac:dyDescent="0.4">
      <c r="A116" s="106" t="s">
        <v>131</v>
      </c>
      <c r="B116" s="106"/>
      <c r="C116" s="99">
        <f ca="1">J117</f>
        <v>25</v>
      </c>
      <c r="D116" s="19">
        <f ca="1">((100/H113)*C116)/100</f>
        <v>1</v>
      </c>
      <c r="E116" s="108">
        <f ca="1">(((C117/H113*10)+(40/(D113+F113+H113)*C118)+(7.5/(H113)*C119)+(7.5/(H113)*C120)+(10/H113*C121)+(10/H113*C122)+(5/H113*C123)+(5/H113*C124)+(5/H113*C125))/100)</f>
        <v>0.747</v>
      </c>
      <c r="F116" s="108"/>
      <c r="G116" s="108">
        <f ca="1">((((C116/H113)*20)+((C117/H113)*25)+(30/(H113+F113+D113)*C118)+(5/H113*C119)+(5/H113*C120)+(5/H113*C121)+(5/H113*C122)+(0/H113*C123)+(0/H113*C124)+(5/H113*C125))/100)</f>
        <v>0.89800000000000002</v>
      </c>
      <c r="H116" s="108"/>
      <c r="I116" s="16" t="s">
        <v>101</v>
      </c>
      <c r="J116" s="30">
        <f ca="1">H113*50%</f>
        <v>12.5</v>
      </c>
    </row>
    <row r="117" spans="1:10" ht="16" hidden="1" thickBot="1" x14ac:dyDescent="0.4">
      <c r="A117" s="106" t="s">
        <v>52</v>
      </c>
      <c r="B117" s="106"/>
      <c r="C117" s="53">
        <f ca="1">J125</f>
        <v>25</v>
      </c>
      <c r="D117" s="19">
        <f ca="1">((100/H113)*C117)/100</f>
        <v>1</v>
      </c>
      <c r="E117" s="108"/>
      <c r="F117" s="108"/>
      <c r="G117" s="108"/>
      <c r="H117" s="108"/>
      <c r="I117" s="16" t="s">
        <v>102</v>
      </c>
      <c r="J117" s="30">
        <f ca="1">H113</f>
        <v>25</v>
      </c>
    </row>
    <row r="118" spans="1:10" ht="15.75" hidden="1" customHeight="1" x14ac:dyDescent="0.35">
      <c r="A118" s="106" t="s">
        <v>132</v>
      </c>
      <c r="B118" s="106"/>
      <c r="C118" s="99">
        <v>26</v>
      </c>
      <c r="D118" s="19">
        <f ca="1">((100/(D113+F113+H113))*C118)/100</f>
        <v>1</v>
      </c>
      <c r="E118" s="108"/>
      <c r="F118" s="108"/>
      <c r="G118" s="108"/>
      <c r="H118" s="108"/>
      <c r="I118" s="16" t="s">
        <v>103</v>
      </c>
      <c r="J118" s="31">
        <f ca="1">(IF(B113&gt;1,(H113/(B113+2)),H113/4))</f>
        <v>6.25</v>
      </c>
    </row>
    <row r="119" spans="1:10" ht="15.75" hidden="1" customHeight="1" x14ac:dyDescent="0.35">
      <c r="A119" s="106" t="s">
        <v>139</v>
      </c>
      <c r="B119" s="106" t="s">
        <v>133</v>
      </c>
      <c r="C119" s="99">
        <v>25</v>
      </c>
      <c r="D119" s="19">
        <f ca="1">((100/H113)*C119)/100</f>
        <v>1</v>
      </c>
      <c r="E119" s="108"/>
      <c r="F119" s="108"/>
      <c r="G119" s="108"/>
      <c r="H119" s="108"/>
      <c r="I119" s="16" t="s">
        <v>104</v>
      </c>
      <c r="J119" s="31">
        <f ca="1">(IF(B113&gt;1,(H113/(B113+2)+J118),H113/4+J118))</f>
        <v>12.5</v>
      </c>
    </row>
    <row r="120" spans="1:10" ht="15.75" hidden="1" customHeight="1" x14ac:dyDescent="0.35">
      <c r="A120" s="106" t="s">
        <v>140</v>
      </c>
      <c r="B120" s="106" t="s">
        <v>133</v>
      </c>
      <c r="C120" s="99">
        <v>24</v>
      </c>
      <c r="D120" s="19">
        <f ca="1">((100/H113)*C120)/100</f>
        <v>0.96</v>
      </c>
      <c r="E120" s="108"/>
      <c r="F120" s="108"/>
      <c r="G120" s="108"/>
      <c r="H120" s="108"/>
      <c r="I120" s="16" t="s">
        <v>149</v>
      </c>
      <c r="J120" s="31">
        <f>(IF(B113&gt;1,(H113/(B113+2)+J119),0))</f>
        <v>0</v>
      </c>
    </row>
    <row r="121" spans="1:10" ht="15" hidden="1" customHeight="1" x14ac:dyDescent="0.35">
      <c r="A121" s="106" t="s">
        <v>138</v>
      </c>
      <c r="B121" s="106" t="s">
        <v>135</v>
      </c>
      <c r="C121" s="99">
        <v>17</v>
      </c>
      <c r="D121" s="19">
        <f ca="1">((100/(H113))*C121)/100</f>
        <v>0.68</v>
      </c>
      <c r="E121" s="108"/>
      <c r="F121" s="108"/>
      <c r="G121" s="108"/>
      <c r="H121" s="108"/>
      <c r="I121" s="16" t="s">
        <v>146</v>
      </c>
      <c r="J121" s="31">
        <f>(IF(B113&gt;2,(H113/(B113+2)+J120),0))</f>
        <v>0</v>
      </c>
    </row>
    <row r="122" spans="1:10" ht="15.75" hidden="1" customHeight="1" x14ac:dyDescent="0.35">
      <c r="A122" s="106" t="s">
        <v>134</v>
      </c>
      <c r="B122" s="106" t="s">
        <v>134</v>
      </c>
      <c r="C122" s="99">
        <v>8</v>
      </c>
      <c r="D122" s="19">
        <f ca="1">((100/H113)*C122)/100</f>
        <v>0.32</v>
      </c>
      <c r="E122" s="108"/>
      <c r="F122" s="108"/>
      <c r="G122" s="108"/>
      <c r="H122" s="108"/>
      <c r="I122" s="16" t="s">
        <v>147</v>
      </c>
      <c r="J122" s="32">
        <f>(IF(B113&gt;3,(H113/(B113+2)+J121),0))</f>
        <v>0</v>
      </c>
    </row>
    <row r="123" spans="1:10" ht="15.75" hidden="1" customHeight="1" x14ac:dyDescent="0.35">
      <c r="A123" s="106" t="s">
        <v>141</v>
      </c>
      <c r="B123" s="106"/>
      <c r="C123" s="99">
        <v>0</v>
      </c>
      <c r="D123" s="19">
        <f ca="1">((100/H113)*C123)/100</f>
        <v>0</v>
      </c>
      <c r="E123" s="108"/>
      <c r="F123" s="108"/>
      <c r="G123" s="108"/>
      <c r="H123" s="108"/>
      <c r="I123" s="16" t="s">
        <v>148</v>
      </c>
      <c r="J123" s="31">
        <f>(IF(B113&gt;4,(H113/(B113+2)+J122),0))</f>
        <v>0</v>
      </c>
    </row>
    <row r="124" spans="1:10" ht="15.75" hidden="1" customHeight="1" x14ac:dyDescent="0.35">
      <c r="A124" s="106" t="s">
        <v>136</v>
      </c>
      <c r="B124" s="106" t="s">
        <v>136</v>
      </c>
      <c r="C124" s="99">
        <v>0</v>
      </c>
      <c r="D124" s="19">
        <f ca="1">((100/(H113))*C124)/100</f>
        <v>0</v>
      </c>
      <c r="E124" s="108"/>
      <c r="F124" s="108"/>
      <c r="G124" s="108"/>
      <c r="H124" s="108"/>
      <c r="I124" s="16" t="s">
        <v>150</v>
      </c>
      <c r="J124" s="31">
        <f ca="1">(IF(B113=1,(H113/(B113+3)+J119),IF(B113=0,(H113/4+J119),IF(B113&gt;1,0))))</f>
        <v>18.75</v>
      </c>
    </row>
    <row r="125" spans="1:10" ht="16" hidden="1" thickBot="1" x14ac:dyDescent="0.4">
      <c r="A125" s="106" t="s">
        <v>137</v>
      </c>
      <c r="B125" s="106"/>
      <c r="C125" s="99">
        <v>0</v>
      </c>
      <c r="D125" s="19">
        <f ca="1">((100/(H113))*C125)/100</f>
        <v>0</v>
      </c>
      <c r="E125" s="108"/>
      <c r="F125" s="108"/>
      <c r="G125" s="108"/>
      <c r="H125" s="108"/>
      <c r="I125" s="17" t="s">
        <v>105</v>
      </c>
      <c r="J125" s="33">
        <f ca="1">(IF(B113&gt;1.5,(H113/(B113+2)+J119+MAX(0,J120-J119)+MAX(0,J121-J120)+MAX(0,J122-J121)+MAX(0,J123-J122)+MAX(0,J124-J123)),IF(B113=1,(H113/(B113+3)+J124),IF(B113=0,H113/4+J124))))</f>
        <v>25</v>
      </c>
    </row>
    <row r="126" spans="1:10" ht="15.75" hidden="1" customHeight="1" x14ac:dyDescent="0.35">
      <c r="A126" s="125" t="s">
        <v>143</v>
      </c>
      <c r="B126" s="125"/>
      <c r="C126" s="125" t="s">
        <v>217</v>
      </c>
      <c r="D126" s="125"/>
      <c r="E126" s="125"/>
      <c r="F126" s="125"/>
      <c r="G126" s="125"/>
      <c r="H126" s="125"/>
      <c r="I126" s="76" t="str">
        <f ca="1">IF(D139=100%,"All work Completed. Possession granted to the Building.",IF(D138=100%,"All work Completed, Waiting for OC",I127&amp;""&amp;I128&amp;""&amp;J127&amp;""&amp;J126&amp;" "&amp;J128))</f>
        <v>Excavation, Plinth Completed, RCC upto 20 Slab, Brickwork upto 11 Floor, Internal Plaster upto 8 Floor, External Plaster upto 5 Floor Completed</v>
      </c>
      <c r="J126" s="48" t="str">
        <f ca="1">(IF(C132=(D127+F127+H127),"",IF(C132&gt;0,", RCC upto "&amp;C132&amp;" Slab","")))&amp;(IF(C133=H127,"",IF(C133&gt;0,", Brickwork upto "&amp;C133&amp;" Floor","")))&amp;(IF(C134=H127,"",IF(C134&gt;0,", Internal Plaster upto "&amp;C134&amp;" Floor","")))&amp;(IF(C135=H127,"",IF(C135&gt;0,", External Plaster upto "&amp;C135&amp;" Floor","")))&amp;(IF(C136=H127,"",IF(C136&gt;0,", Flooring upto "&amp;C136&amp;" Floor","")))&amp;(IF(C137=H127,"",IF(C137&gt;0,", Painting upto "&amp;C137&amp;" Floor","")))&amp;(IF(C138=H127,"",IF(C138&gt;0,", Finishing upto "&amp;C138&amp;" Floor","")))&amp;(IF(C139=H127,"",IF(C139&gt;0,", Possession upto "&amp;C139&amp;" Floor","")))</f>
        <v>, RCC upto 20 Slab, Brickwork upto 11 Floor, Internal Plaster upto 8 Floor, External Plaster upto 5 Floor</v>
      </c>
    </row>
    <row r="127" spans="1:10" ht="16" hidden="1" thickBot="1" x14ac:dyDescent="0.4">
      <c r="A127" s="62" t="s">
        <v>145</v>
      </c>
      <c r="B127" s="62">
        <v>1</v>
      </c>
      <c r="C127" s="62" t="s">
        <v>75</v>
      </c>
      <c r="D127" s="62">
        <v>1</v>
      </c>
      <c r="E127" s="62" t="s">
        <v>74</v>
      </c>
      <c r="F127" s="62">
        <v>0</v>
      </c>
      <c r="G127" s="62" t="s">
        <v>84</v>
      </c>
      <c r="H127" s="62">
        <f ca="1">--TRIM(RIGHT(SUBSTITUTE(LEFT(C126,_xlfn.AGGREGATE(16,6,FIND({0,1,2,3,4,5,6,7,8,9},C126,ROW(INDIRECT("1:"&amp;LEN(C126)))),1))," ",REPT(" ",LEN(C126))),LEN(C126)))</f>
        <v>23</v>
      </c>
      <c r="I127" s="77" t="str">
        <f ca="1">IF(D130=100%,"Excavation","")&amp;IF(D131=100%,", Plinth","")&amp;IF(D132=100%,", RCC Slab","")&amp;IF(D133=100%,", Brickwork","")&amp;IF(D134=100%,", Internal Plaster","")&amp;IF(D135=100%,", External Plaster","")&amp;IF(D136=100%,", Flooring","")&amp;IF(D137=100%,", Painting","")&amp;IF(D138=100%,", Building common Amenities","")</f>
        <v>Excavation, Plinth</v>
      </c>
      <c r="J127" s="50" t="str">
        <f ca="1">(IF(C130=0,"Work not yet Started.",IF(D130=25%,"Piling work in process",IF(D130=50%,"Excavation work in process",IF(D130=100%,"","0")))))&amp;(IF(C131=0%,"",IF(C131=J132,", Footing work is process",IF(C131=J133,", Footing work Completed",IF(C131=J134,", 1st Basement Completed",IF(C131=J135,", 1st &amp; 2nd Basement Completed",IF(C131=J136,", 1st to 3rd Basement Completed",IF(C131=J137,", 1st to 4th Basement Completed",IF(C131=J138,", Plinth work is process",IF(C131=J139,"","0"))))))))))</f>
        <v/>
      </c>
    </row>
    <row r="128" spans="1:10" ht="32.25" hidden="1" customHeight="1" x14ac:dyDescent="0.35">
      <c r="A128" s="126" t="s">
        <v>94</v>
      </c>
      <c r="B128" s="126"/>
      <c r="C128" s="125" t="str">
        <f ca="1">(IF($G$55="NA",I126,"All work Completed. OC Received."))</f>
        <v>Excavation, Plinth Completed, RCC upto 20 Slab, Brickwork upto 11 Floor, Internal Plaster upto 8 Floor, External Plaster upto 5 Floor Completed</v>
      </c>
      <c r="D128" s="125"/>
      <c r="E128" s="125"/>
      <c r="F128" s="125"/>
      <c r="G128" s="125"/>
      <c r="H128" s="125"/>
      <c r="I128" s="77" t="str">
        <f ca="1">IF(I127&lt;&gt;""," Completed","")</f>
        <v xml:space="preserve"> Completed</v>
      </c>
      <c r="J128" s="50" t="str">
        <f ca="1">IF(J126&lt;&gt;"","Completed","")</f>
        <v>Completed</v>
      </c>
    </row>
    <row r="129" spans="1:10" ht="15.75" hidden="1" customHeight="1" x14ac:dyDescent="0.35">
      <c r="A129" s="106" t="s">
        <v>51</v>
      </c>
      <c r="B129" s="106"/>
      <c r="C129" s="99" t="s">
        <v>142</v>
      </c>
      <c r="D129" s="99" t="s">
        <v>87</v>
      </c>
      <c r="E129" s="106" t="s">
        <v>89</v>
      </c>
      <c r="F129" s="106"/>
      <c r="G129" s="106" t="s">
        <v>88</v>
      </c>
      <c r="H129" s="106"/>
      <c r="I129" s="16" t="s">
        <v>144</v>
      </c>
      <c r="J129" s="29">
        <f ca="1">H127*25%</f>
        <v>5.75</v>
      </c>
    </row>
    <row r="130" spans="1:10" ht="16" hidden="1" thickBot="1" x14ac:dyDescent="0.4">
      <c r="A130" s="106" t="s">
        <v>131</v>
      </c>
      <c r="B130" s="106"/>
      <c r="C130" s="99">
        <f ca="1">J131</f>
        <v>23</v>
      </c>
      <c r="D130" s="19">
        <f ca="1">((100/H127)*C130)/100</f>
        <v>1</v>
      </c>
      <c r="E130" s="108">
        <f ca="1">(((C131/H127*10)+(40/(D127+F127+H127)*C132)+(7.5/(H127)*C133)+(7.5/(H127)*C134)+(10/H127*C135)+(10/H127*C136)+(5/H127*C137)+(5/H127*C138)+(5/H127*C139))/100)</f>
        <v>0.51702898550724641</v>
      </c>
      <c r="F130" s="108"/>
      <c r="G130" s="108">
        <f ca="1">((((C130/H127)*20)+((C131/H127)*25)+(30/(H127+F127+D127)*C132)+(5/H127*C133)+(5/H127*C134)+(5/H127*C135)+(5/H127*C136)+(0/H127*C137)+(0/H127*C138)+(5/H127*C139))/100)</f>
        <v>0.75217391304347825</v>
      </c>
      <c r="H130" s="108"/>
      <c r="I130" s="16" t="s">
        <v>101</v>
      </c>
      <c r="J130" s="30">
        <f ca="1">H127*50%</f>
        <v>11.5</v>
      </c>
    </row>
    <row r="131" spans="1:10" ht="16" hidden="1" thickBot="1" x14ac:dyDescent="0.4">
      <c r="A131" s="106" t="s">
        <v>52</v>
      </c>
      <c r="B131" s="106"/>
      <c r="C131" s="53">
        <v>23</v>
      </c>
      <c r="D131" s="19">
        <f ca="1">((100/H127)*C131)/100</f>
        <v>1</v>
      </c>
      <c r="E131" s="108"/>
      <c r="F131" s="108"/>
      <c r="G131" s="108"/>
      <c r="H131" s="108"/>
      <c r="I131" s="16" t="s">
        <v>102</v>
      </c>
      <c r="J131" s="30">
        <f ca="1">H127</f>
        <v>23</v>
      </c>
    </row>
    <row r="132" spans="1:10" ht="15.75" hidden="1" customHeight="1" x14ac:dyDescent="0.35">
      <c r="A132" s="106" t="s">
        <v>132</v>
      </c>
      <c r="B132" s="106"/>
      <c r="C132" s="99">
        <v>20</v>
      </c>
      <c r="D132" s="19">
        <f ca="1">((100/(D127+F127+H127))*C132)/100</f>
        <v>0.83333333333333348</v>
      </c>
      <c r="E132" s="108"/>
      <c r="F132" s="108"/>
      <c r="G132" s="108"/>
      <c r="H132" s="108"/>
      <c r="I132" s="16" t="s">
        <v>103</v>
      </c>
      <c r="J132" s="31">
        <f ca="1">(IF(B127&gt;1,(H127/(B127+2)),H127/4))</f>
        <v>5.75</v>
      </c>
    </row>
    <row r="133" spans="1:10" ht="15.75" hidden="1" customHeight="1" x14ac:dyDescent="0.35">
      <c r="A133" s="106" t="s">
        <v>139</v>
      </c>
      <c r="B133" s="106" t="s">
        <v>133</v>
      </c>
      <c r="C133" s="99">
        <v>11</v>
      </c>
      <c r="D133" s="19">
        <f ca="1">((100/H127)*C133)/100</f>
        <v>0.47826086956521735</v>
      </c>
      <c r="E133" s="108"/>
      <c r="F133" s="108"/>
      <c r="G133" s="108"/>
      <c r="H133" s="108"/>
      <c r="I133" s="16" t="s">
        <v>104</v>
      </c>
      <c r="J133" s="31">
        <f ca="1">(IF(B127&gt;1,(H127/(B127+2)+J132),H127/4+J132))</f>
        <v>11.5</v>
      </c>
    </row>
    <row r="134" spans="1:10" ht="15.75" hidden="1" customHeight="1" x14ac:dyDescent="0.35">
      <c r="A134" s="106" t="s">
        <v>140</v>
      </c>
      <c r="B134" s="106" t="s">
        <v>133</v>
      </c>
      <c r="C134" s="99">
        <v>8</v>
      </c>
      <c r="D134" s="19">
        <f ca="1">((100/H127)*C134)/100</f>
        <v>0.34782608695652173</v>
      </c>
      <c r="E134" s="108"/>
      <c r="F134" s="108"/>
      <c r="G134" s="108"/>
      <c r="H134" s="108"/>
      <c r="I134" s="16" t="s">
        <v>149</v>
      </c>
      <c r="J134" s="31">
        <f>(IF(B127&gt;1,(H127/(B127+2)+J133),0))</f>
        <v>0</v>
      </c>
    </row>
    <row r="135" spans="1:10" ht="15" hidden="1" customHeight="1" x14ac:dyDescent="0.35">
      <c r="A135" s="106" t="s">
        <v>138</v>
      </c>
      <c r="B135" s="106" t="s">
        <v>135</v>
      </c>
      <c r="C135" s="99">
        <v>5</v>
      </c>
      <c r="D135" s="19">
        <f ca="1">((100/(H127))*C135)/100</f>
        <v>0.21739130434782608</v>
      </c>
      <c r="E135" s="108"/>
      <c r="F135" s="108"/>
      <c r="G135" s="108"/>
      <c r="H135" s="108"/>
      <c r="I135" s="16" t="s">
        <v>146</v>
      </c>
      <c r="J135" s="31">
        <f>(IF(B127&gt;2,(H127/(B127+2)+J134),0))</f>
        <v>0</v>
      </c>
    </row>
    <row r="136" spans="1:10" ht="15.75" hidden="1" customHeight="1" x14ac:dyDescent="0.35">
      <c r="A136" s="106" t="s">
        <v>134</v>
      </c>
      <c r="B136" s="106" t="s">
        <v>134</v>
      </c>
      <c r="C136" s="99">
        <v>0</v>
      </c>
      <c r="D136" s="19">
        <f ca="1">((100/H127)*C136)/100</f>
        <v>0</v>
      </c>
      <c r="E136" s="108"/>
      <c r="F136" s="108"/>
      <c r="G136" s="108"/>
      <c r="H136" s="108"/>
      <c r="I136" s="16" t="s">
        <v>147</v>
      </c>
      <c r="J136" s="32">
        <f>(IF(B127&gt;3,(H127/(B127+2)+J135),0))</f>
        <v>0</v>
      </c>
    </row>
    <row r="137" spans="1:10" ht="15.75" hidden="1" customHeight="1" x14ac:dyDescent="0.35">
      <c r="A137" s="106" t="s">
        <v>141</v>
      </c>
      <c r="B137" s="106"/>
      <c r="C137" s="99">
        <v>0</v>
      </c>
      <c r="D137" s="19">
        <f ca="1">((100/H127)*C137)/100</f>
        <v>0</v>
      </c>
      <c r="E137" s="108"/>
      <c r="F137" s="108"/>
      <c r="G137" s="108"/>
      <c r="H137" s="108"/>
      <c r="I137" s="16" t="s">
        <v>148</v>
      </c>
      <c r="J137" s="31">
        <f>(IF(B127&gt;4,(H127/(B127+2)+J136),0))</f>
        <v>0</v>
      </c>
    </row>
    <row r="138" spans="1:10" ht="15.75" hidden="1" customHeight="1" x14ac:dyDescent="0.35">
      <c r="A138" s="106" t="s">
        <v>136</v>
      </c>
      <c r="B138" s="106" t="s">
        <v>136</v>
      </c>
      <c r="C138" s="99">
        <v>0</v>
      </c>
      <c r="D138" s="19">
        <f ca="1">((100/(H127))*C138)/100</f>
        <v>0</v>
      </c>
      <c r="E138" s="108"/>
      <c r="F138" s="108"/>
      <c r="G138" s="108"/>
      <c r="H138" s="108"/>
      <c r="I138" s="16" t="s">
        <v>150</v>
      </c>
      <c r="J138" s="31">
        <f ca="1">(IF(B127=1,(H127/(B127+3)+J133),IF(B127=0,(H127/4+J133),IF(B127&gt;1,0))))</f>
        <v>17.25</v>
      </c>
    </row>
    <row r="139" spans="1:10" ht="16" hidden="1" thickBot="1" x14ac:dyDescent="0.4">
      <c r="A139" s="106" t="s">
        <v>137</v>
      </c>
      <c r="B139" s="106"/>
      <c r="C139" s="99">
        <v>0</v>
      </c>
      <c r="D139" s="19">
        <f ca="1">((100/(H127))*C139)/100</f>
        <v>0</v>
      </c>
      <c r="E139" s="108"/>
      <c r="F139" s="108"/>
      <c r="G139" s="108"/>
      <c r="H139" s="108"/>
      <c r="I139" s="17" t="s">
        <v>105</v>
      </c>
      <c r="J139" s="33">
        <f ca="1">(IF(B127&gt;1.5,(H127/(B127+2)+J133+MAX(0,J134-J133)+MAX(0,J135-J134)+MAX(0,J136-J135)+MAX(0,J137-J136)+MAX(0,J138-J137)),IF(B127=1,(H127/(B127+3)+J138),IF(B127=0,H127/4+J138))))</f>
        <v>23</v>
      </c>
    </row>
    <row r="140" spans="1:10" ht="15.75" hidden="1" customHeight="1" x14ac:dyDescent="0.35">
      <c r="A140" s="125" t="s">
        <v>143</v>
      </c>
      <c r="B140" s="125"/>
      <c r="C140" s="125" t="s">
        <v>261</v>
      </c>
      <c r="D140" s="125"/>
      <c r="E140" s="125"/>
      <c r="F140" s="125"/>
      <c r="G140" s="125"/>
      <c r="H140" s="125"/>
      <c r="I140" s="76" t="str">
        <f ca="1">IF(D153=100%,"All work Completed. Possession granted to the Building.",IF(D152=100%,"All work Completed, Waiting for OC",I141&amp;""&amp;I142&amp;""&amp;J141&amp;""&amp;J140&amp;" "&amp;J142))</f>
        <v>Excavation, Plinth, RCC Slab, Brickwork, Internal Plaster, External Plaster Completed, Flooring upto 23 Floor, Painting upto 23 Floor Completed</v>
      </c>
      <c r="J140" s="48" t="str">
        <f ca="1">(IF(C146=(D141+F141+H141),"",IF(C146&gt;0,", RCC upto "&amp;C146&amp;" Slab","")))&amp;(IF(C147=H141,"",IF(C147&gt;0,", Brickwork upto "&amp;C147&amp;" Floor","")))&amp;(IF(C148=H141,"",IF(C148&gt;0,", Internal Plaster upto "&amp;C148&amp;" Floor","")))&amp;(IF(C149=H141,"",IF(C149&gt;0,", External Plaster upto "&amp;C149&amp;" Floor","")))&amp;(IF(C150=H141,"",IF(C150&gt;0,", Flooring upto "&amp;C150&amp;" Floor","")))&amp;(IF(C151=H141,"",IF(C151&gt;0,", Painting upto "&amp;C151&amp;" Floor","")))&amp;(IF(C152=H141,"",IF(C152&gt;0,", Finishing upto "&amp;C152&amp;" Floor","")))&amp;(IF(C153=H141,"",IF(C153&gt;0,", Possession upto "&amp;C153&amp;" Floor","")))</f>
        <v>, Flooring upto 23 Floor, Painting upto 23 Floor</v>
      </c>
    </row>
    <row r="141" spans="1:10" ht="16" hidden="1" thickBot="1" x14ac:dyDescent="0.4">
      <c r="A141" s="62" t="s">
        <v>145</v>
      </c>
      <c r="B141" s="62">
        <v>1</v>
      </c>
      <c r="C141" s="62" t="s">
        <v>75</v>
      </c>
      <c r="D141" s="62">
        <v>1</v>
      </c>
      <c r="E141" s="62" t="s">
        <v>74</v>
      </c>
      <c r="F141" s="62">
        <v>0</v>
      </c>
      <c r="G141" s="62" t="s">
        <v>84</v>
      </c>
      <c r="H141" s="62">
        <f ca="1">--TRIM(RIGHT(SUBSTITUTE(LEFT(C140,_xlfn.AGGREGATE(16,6,FIND({0,1,2,3,4,5,6,7,8,9},C140,ROW(INDIRECT("1:"&amp;LEN(C140)))),1))," ",REPT(" ",LEN(C140))),LEN(C140)))</f>
        <v>25</v>
      </c>
      <c r="I141" s="77" t="str">
        <f ca="1">IF(D144=100%,"Excavation","")&amp;IF(D145=100%,", Plinth","")&amp;IF(D146=100%,", RCC Slab","")&amp;IF(D147=100%,", Brickwork","")&amp;IF(D148=100%,", Internal Plaster","")&amp;IF(D149=100%,", External Plaster","")&amp;IF(D150=100%,", Flooring","")&amp;IF(D151=100%,", Painting","")&amp;IF(D152=100%,", Building common Amenities","")</f>
        <v>Excavation, Plinth, RCC Slab, Brickwork, Internal Plaster, External Plaster</v>
      </c>
      <c r="J141" s="50" t="str">
        <f ca="1">(IF(C144=0,"Work not yet Started.",IF(D144=25%,"Piling work in process",IF(D144=50%,"Excavation work in process",IF(D144=100%,"","0")))))&amp;(IF(C145=0%,"",IF(C145=J146,", Footing work is process",IF(C145=J147,", Footing work Completed",IF(C145=J148,", 1st Basement Completed",IF(C145=J149,", 1st &amp; 2nd Basement Completed",IF(C145=J150,", 1st to 3rd Basement Completed",IF(C145=J151,", 1st to 4th Basement Completed",IF(C145=J152,", Plinth work is process",IF(C145=J153,"","0"))))))))))</f>
        <v/>
      </c>
    </row>
    <row r="142" spans="1:10" ht="33" hidden="1" customHeight="1" x14ac:dyDescent="0.35">
      <c r="A142" s="126" t="s">
        <v>94</v>
      </c>
      <c r="B142" s="126"/>
      <c r="C142" s="125" t="str">
        <f ca="1">(IF($G$55="NA",I140,"All work Completed. OC Received."))</f>
        <v>Excavation, Plinth, RCC Slab, Brickwork, Internal Plaster, External Plaster Completed, Flooring upto 23 Floor, Painting upto 23 Floor Completed</v>
      </c>
      <c r="D142" s="125"/>
      <c r="E142" s="125"/>
      <c r="F142" s="125"/>
      <c r="G142" s="125"/>
      <c r="H142" s="125"/>
      <c r="I142" s="77" t="str">
        <f ca="1">IF(I141&lt;&gt;""," Completed","")</f>
        <v xml:space="preserve"> Completed</v>
      </c>
      <c r="J142" s="50" t="str">
        <f ca="1">IF(J140&lt;&gt;"","Completed","")</f>
        <v>Completed</v>
      </c>
    </row>
    <row r="143" spans="1:10" ht="15.75" hidden="1" customHeight="1" x14ac:dyDescent="0.35">
      <c r="A143" s="106" t="s">
        <v>51</v>
      </c>
      <c r="B143" s="106"/>
      <c r="C143" s="99" t="s">
        <v>142</v>
      </c>
      <c r="D143" s="99" t="s">
        <v>87</v>
      </c>
      <c r="E143" s="106" t="s">
        <v>89</v>
      </c>
      <c r="F143" s="106"/>
      <c r="G143" s="106" t="s">
        <v>88</v>
      </c>
      <c r="H143" s="106"/>
      <c r="I143" s="16" t="s">
        <v>144</v>
      </c>
      <c r="J143" s="29">
        <f ca="1">H141*25%</f>
        <v>6.25</v>
      </c>
    </row>
    <row r="144" spans="1:10" ht="16" hidden="1" thickBot="1" x14ac:dyDescent="0.4">
      <c r="A144" s="106" t="s">
        <v>131</v>
      </c>
      <c r="B144" s="106"/>
      <c r="C144" s="99">
        <f ca="1">J145</f>
        <v>25</v>
      </c>
      <c r="D144" s="19">
        <f ca="1">((100/H141)*C144)/100</f>
        <v>1</v>
      </c>
      <c r="E144" s="108">
        <f ca="1">(((C145/H141*10)+(40/(D141+F141+H141)*C146)+(7.5/(H141)*C147)+(7.5/(H141)*C148)+(10/H141*C149)+(10/H141*C150)+(5/H141*C151)+(5/H141*C152)+(5/H141*C153))/100)</f>
        <v>0.88800000000000001</v>
      </c>
      <c r="F144" s="108"/>
      <c r="G144" s="108">
        <f ca="1">((((C144/H141)*20)+((C145/H141)*25)+(30/(H141+F141+D141)*C146)+(5/H141*C147)+(5/H141*C148)+(5/H141*C149)+(5/H141*C150)+(0/H141*C151)+(0/H141*C152)+(5/H141*C153))/100)</f>
        <v>0.94599999999999995</v>
      </c>
      <c r="H144" s="108"/>
      <c r="I144" s="16" t="s">
        <v>101</v>
      </c>
      <c r="J144" s="30">
        <f ca="1">H141*50%</f>
        <v>12.5</v>
      </c>
    </row>
    <row r="145" spans="1:10" ht="16" hidden="1" thickBot="1" x14ac:dyDescent="0.4">
      <c r="A145" s="106" t="s">
        <v>52</v>
      </c>
      <c r="B145" s="106"/>
      <c r="C145" s="53">
        <f ca="1">J153</f>
        <v>25</v>
      </c>
      <c r="D145" s="19">
        <f ca="1">((100/H141)*C145)/100</f>
        <v>1</v>
      </c>
      <c r="E145" s="108"/>
      <c r="F145" s="108"/>
      <c r="G145" s="108"/>
      <c r="H145" s="108"/>
      <c r="I145" s="16" t="s">
        <v>102</v>
      </c>
      <c r="J145" s="30">
        <f ca="1">H141</f>
        <v>25</v>
      </c>
    </row>
    <row r="146" spans="1:10" ht="15.75" hidden="1" customHeight="1" x14ac:dyDescent="0.35">
      <c r="A146" s="106" t="s">
        <v>132</v>
      </c>
      <c r="B146" s="106"/>
      <c r="C146" s="99">
        <v>26</v>
      </c>
      <c r="D146" s="19">
        <f ca="1">((100/(D141+F141+H141))*C146)/100</f>
        <v>1</v>
      </c>
      <c r="E146" s="108"/>
      <c r="F146" s="108"/>
      <c r="G146" s="108"/>
      <c r="H146" s="108"/>
      <c r="I146" s="16" t="s">
        <v>103</v>
      </c>
      <c r="J146" s="31">
        <f ca="1">(IF(B141&gt;1,(H141/(B141+2)),H141/4))</f>
        <v>6.25</v>
      </c>
    </row>
    <row r="147" spans="1:10" ht="15.75" hidden="1" customHeight="1" x14ac:dyDescent="0.35">
      <c r="A147" s="106" t="s">
        <v>139</v>
      </c>
      <c r="B147" s="106" t="s">
        <v>133</v>
      </c>
      <c r="C147" s="99">
        <v>25</v>
      </c>
      <c r="D147" s="19">
        <f ca="1">((100/H141)*C147)/100</f>
        <v>1</v>
      </c>
      <c r="E147" s="108"/>
      <c r="F147" s="108"/>
      <c r="G147" s="108"/>
      <c r="H147" s="108"/>
      <c r="I147" s="16" t="s">
        <v>104</v>
      </c>
      <c r="J147" s="31">
        <f ca="1">(IF(B141&gt;1,(H141/(B141+2)+J146),H141/4+J146))</f>
        <v>12.5</v>
      </c>
    </row>
    <row r="148" spans="1:10" ht="15.75" hidden="1" customHeight="1" x14ac:dyDescent="0.35">
      <c r="A148" s="106" t="s">
        <v>140</v>
      </c>
      <c r="B148" s="106" t="s">
        <v>133</v>
      </c>
      <c r="C148" s="99">
        <v>25</v>
      </c>
      <c r="D148" s="19">
        <f ca="1">((100/H141)*C148)/100</f>
        <v>1</v>
      </c>
      <c r="E148" s="108"/>
      <c r="F148" s="108"/>
      <c r="G148" s="108"/>
      <c r="H148" s="108"/>
      <c r="I148" s="16" t="s">
        <v>149</v>
      </c>
      <c r="J148" s="31">
        <f>(IF(B141&gt;1,(H141/(B141+2)+J147),0))</f>
        <v>0</v>
      </c>
    </row>
    <row r="149" spans="1:10" ht="15" hidden="1" customHeight="1" x14ac:dyDescent="0.35">
      <c r="A149" s="106" t="s">
        <v>138</v>
      </c>
      <c r="B149" s="106" t="s">
        <v>135</v>
      </c>
      <c r="C149" s="99">
        <v>25</v>
      </c>
      <c r="D149" s="19">
        <f ca="1">((100/(H141))*C149)/100</f>
        <v>1</v>
      </c>
      <c r="E149" s="108"/>
      <c r="F149" s="108"/>
      <c r="G149" s="108"/>
      <c r="H149" s="108"/>
      <c r="I149" s="16" t="s">
        <v>146</v>
      </c>
      <c r="J149" s="31">
        <f>(IF(B141&gt;2,(H141/(B141+2)+J148),0))</f>
        <v>0</v>
      </c>
    </row>
    <row r="150" spans="1:10" ht="15.75" hidden="1" customHeight="1" x14ac:dyDescent="0.35">
      <c r="A150" s="106" t="s">
        <v>134</v>
      </c>
      <c r="B150" s="106" t="s">
        <v>134</v>
      </c>
      <c r="C150" s="99">
        <v>23</v>
      </c>
      <c r="D150" s="19">
        <f ca="1">((100/H141)*C150)/100</f>
        <v>0.92</v>
      </c>
      <c r="E150" s="108"/>
      <c r="F150" s="108"/>
      <c r="G150" s="108"/>
      <c r="H150" s="108"/>
      <c r="I150" s="16" t="s">
        <v>147</v>
      </c>
      <c r="J150" s="32">
        <f>(IF(B141&gt;3,(H141/(B141+2)+J149),0))</f>
        <v>0</v>
      </c>
    </row>
    <row r="151" spans="1:10" ht="15.75" hidden="1" customHeight="1" x14ac:dyDescent="0.35">
      <c r="A151" s="106" t="s">
        <v>141</v>
      </c>
      <c r="B151" s="106"/>
      <c r="C151" s="99">
        <v>23</v>
      </c>
      <c r="D151" s="19">
        <f ca="1">((100/H141)*C151)/100</f>
        <v>0.92</v>
      </c>
      <c r="E151" s="108"/>
      <c r="F151" s="108"/>
      <c r="G151" s="108"/>
      <c r="H151" s="108"/>
      <c r="I151" s="16" t="s">
        <v>148</v>
      </c>
      <c r="J151" s="31">
        <f>(IF(B141&gt;4,(H141/(B141+2)+J150),0))</f>
        <v>0</v>
      </c>
    </row>
    <row r="152" spans="1:10" ht="15.75" hidden="1" customHeight="1" x14ac:dyDescent="0.35">
      <c r="A152" s="106" t="s">
        <v>136</v>
      </c>
      <c r="B152" s="106" t="s">
        <v>136</v>
      </c>
      <c r="C152" s="99">
        <v>0</v>
      </c>
      <c r="D152" s="19">
        <f ca="1">((100/(H141))*C152)/100</f>
        <v>0</v>
      </c>
      <c r="E152" s="108"/>
      <c r="F152" s="108"/>
      <c r="G152" s="108"/>
      <c r="H152" s="108"/>
      <c r="I152" s="16" t="s">
        <v>150</v>
      </c>
      <c r="J152" s="31">
        <f ca="1">(IF(B141=1,(H141/(B141+3)+J147),IF(B141=0,(H141/4+J147),IF(B141&gt;1,0))))</f>
        <v>18.75</v>
      </c>
    </row>
    <row r="153" spans="1:10" ht="16" hidden="1" thickBot="1" x14ac:dyDescent="0.4">
      <c r="A153" s="106" t="s">
        <v>137</v>
      </c>
      <c r="B153" s="106"/>
      <c r="C153" s="99">
        <v>0</v>
      </c>
      <c r="D153" s="19">
        <f ca="1">((100/(H141))*C153)/100</f>
        <v>0</v>
      </c>
      <c r="E153" s="108"/>
      <c r="F153" s="108"/>
      <c r="G153" s="108"/>
      <c r="H153" s="108"/>
      <c r="I153" s="17" t="s">
        <v>105</v>
      </c>
      <c r="J153" s="33">
        <f ca="1">(IF(B141&gt;1.5,(H141/(B141+2)+J147+MAX(0,J148-J147)+MAX(0,J149-J148)+MAX(0,J150-J149)+MAX(0,J151-J150)+MAX(0,J152-J151)),IF(B141=1,(H141/(B141+3)+J152),IF(B141=0,H141/4+J152))))</f>
        <v>25</v>
      </c>
    </row>
    <row r="154" spans="1:10" ht="15.75" customHeight="1" x14ac:dyDescent="0.35">
      <c r="A154" s="189" t="s">
        <v>143</v>
      </c>
      <c r="B154" s="189"/>
      <c r="C154" s="189" t="s">
        <v>262</v>
      </c>
      <c r="D154" s="189"/>
      <c r="E154" s="189"/>
      <c r="F154" s="189"/>
      <c r="G154" s="189"/>
      <c r="H154" s="189"/>
      <c r="I154" s="76" t="str">
        <f ca="1">IF(D167=100%,"All work Completed. Possession granted to the Building.",IF(D166=100%,"All work Completed, Waiting for OC",I155&amp;""&amp;I156&amp;""&amp;J155&amp;""&amp;J154&amp;" "&amp;J156))</f>
        <v>Excavation, Plinth, RCC Slab, Brickwork, Internal Plaster Completed, External Plaster upto 18 Floor, Flooring upto 7 Floor Completed</v>
      </c>
      <c r="J154" s="48" t="str">
        <f ca="1">(IF(C160=(D155+F155+H155),"",IF(C160&gt;0,", RCC upto "&amp;C160&amp;" Slab","")))&amp;(IF(C161=H155,"",IF(C161&gt;0,", Brickwork upto "&amp;C161&amp;" Floor","")))&amp;(IF(C162=H155,"",IF(C162&gt;0,", Internal Plaster upto "&amp;C162&amp;" Floor","")))&amp;(IF(C163=H155,"",IF(C163&gt;0,", External Plaster upto "&amp;C163&amp;" Floor","")))&amp;(IF(C164=H155,"",IF(C164&gt;0,", Flooring upto "&amp;C164&amp;" Floor","")))&amp;(IF(C165=H155,"",IF(C165&gt;0,", Painting upto "&amp;C165&amp;" Floor","")))&amp;(IF(C166=H155,"",IF(C166&gt;0,", Finishing upto "&amp;C166&amp;" Floor","")))&amp;(IF(C167=H155,"",IF(C167&gt;0,", Possession upto "&amp;C167&amp;" Floor","")))</f>
        <v>, External Plaster upto 18 Floor, Flooring upto 7 Floor</v>
      </c>
    </row>
    <row r="155" spans="1:10" x14ac:dyDescent="0.35">
      <c r="A155" s="101" t="s">
        <v>145</v>
      </c>
      <c r="B155" s="101">
        <v>1</v>
      </c>
      <c r="C155" s="101" t="s">
        <v>75</v>
      </c>
      <c r="D155" s="101">
        <v>1</v>
      </c>
      <c r="E155" s="101" t="s">
        <v>74</v>
      </c>
      <c r="F155" s="101">
        <v>0</v>
      </c>
      <c r="G155" s="101" t="s">
        <v>84</v>
      </c>
      <c r="H155" s="101">
        <f ca="1">--TRIM(RIGHT(SUBSTITUTE(LEFT(C154,_xlfn.AGGREGATE(16,6,FIND({0,1,2,3,4,5,6,7,8,9},C154,ROW(INDIRECT("1:"&amp;LEN(C154)))),1))," ",REPT(" ",LEN(C154))),LEN(C154)))</f>
        <v>25</v>
      </c>
      <c r="I155" s="77" t="str">
        <f ca="1">IF(D158=100%,"Excavation","")&amp;IF(D159=100%,", Plinth","")&amp;IF(D160=100%,", RCC Slab","")&amp;IF(D161=100%,", Brickwork","")&amp;IF(D162=100%,", Internal Plaster","")&amp;IF(D163=100%,", External Plaster","")&amp;IF(D164=100%,", Flooring","")&amp;IF(D165=100%,", Painting","")&amp;IF(D166=100%,", Building common Amenities","")</f>
        <v>Excavation, Plinth, RCC Slab, Brickwork, Internal Plaster</v>
      </c>
      <c r="J155" s="50" t="str">
        <f ca="1">(IF(C158=0,"Work not yet Started.",IF(D158=25%,"Piling work in process",IF(D158=50%,"Excavation work in process",IF(D158=100%,"","0")))))&amp;(IF(C159=0%,"",IF(C159=J160,", Footing work is process",IF(C159=J161,", Footing work Completed",IF(C159=J162,", 1st Basement Completed",IF(C159=J163,", 1st &amp; 2nd Basement Completed",IF(C159=J164,", 1st to 3rd Basement Completed",IF(C159=J165,", 1st to 4th Basement Completed",IF(C159=J166,", Plinth work is process",IF(C159=J167,"","0"))))))))))</f>
        <v/>
      </c>
    </row>
    <row r="156" spans="1:10" ht="33.75" customHeight="1" x14ac:dyDescent="0.35">
      <c r="A156" s="244" t="s">
        <v>94</v>
      </c>
      <c r="B156" s="244"/>
      <c r="C156" s="189" t="str">
        <f ca="1">(IF($G$55="NA",I154,"All work Completed. OC Received."))</f>
        <v>Excavation, Plinth, RCC Slab, Brickwork, Internal Plaster Completed, External Plaster upto 18 Floor, Flooring upto 7 Floor Completed</v>
      </c>
      <c r="D156" s="189"/>
      <c r="E156" s="189"/>
      <c r="F156" s="189"/>
      <c r="G156" s="189"/>
      <c r="H156" s="189"/>
      <c r="I156" s="77" t="str">
        <f ca="1">IF(I155&lt;&gt;""," Completed","")</f>
        <v xml:space="preserve"> Completed</v>
      </c>
      <c r="J156" s="50" t="str">
        <f ca="1">IF(J154&lt;&gt;"","Completed","")</f>
        <v>Completed</v>
      </c>
    </row>
    <row r="157" spans="1:10" ht="15.75" customHeight="1" x14ac:dyDescent="0.35">
      <c r="A157" s="194" t="s">
        <v>51</v>
      </c>
      <c r="B157" s="194"/>
      <c r="C157" s="100" t="s">
        <v>142</v>
      </c>
      <c r="D157" s="100" t="s">
        <v>87</v>
      </c>
      <c r="E157" s="194" t="s">
        <v>89</v>
      </c>
      <c r="F157" s="194"/>
      <c r="G157" s="194" t="s">
        <v>88</v>
      </c>
      <c r="H157" s="194"/>
      <c r="I157" s="16" t="s">
        <v>144</v>
      </c>
      <c r="J157" s="29">
        <f ca="1">H155*25%</f>
        <v>6.25</v>
      </c>
    </row>
    <row r="158" spans="1:10" x14ac:dyDescent="0.35">
      <c r="A158" s="194" t="s">
        <v>131</v>
      </c>
      <c r="B158" s="194"/>
      <c r="C158" s="100">
        <f ca="1">J159</f>
        <v>25</v>
      </c>
      <c r="D158" s="96">
        <f ca="1">((100/H155)*C158)/100</f>
        <v>1</v>
      </c>
      <c r="E158" s="245">
        <f ca="1">(((C159/H155*10)+(40/(D155+F155+H155)*C160)+(7.5/(H155)*C161)+(7.5/(H155)*C162)+(10/H155*C163)+(10/H155*C164)+(5/H155*C165)+(5/H155*C166)+(5/H155*C167))/100)</f>
        <v>0.75</v>
      </c>
      <c r="F158" s="245"/>
      <c r="G158" s="245">
        <f ca="1">((((C158/H155)*20)+((C159/H155)*25)+(30/(H155+F155+D155)*C160)+(5/H155*C161)+(5/H155*C162)+(5/H155*C163)+(5/H155*C164)+(0/H155*C165)+(0/H155*C166)+(5/H155*C167))/100)</f>
        <v>0.9</v>
      </c>
      <c r="H158" s="245"/>
      <c r="I158" s="16" t="s">
        <v>101</v>
      </c>
      <c r="J158" s="30">
        <f ca="1">H155*50%</f>
        <v>12.5</v>
      </c>
    </row>
    <row r="159" spans="1:10" x14ac:dyDescent="0.35">
      <c r="A159" s="194" t="s">
        <v>52</v>
      </c>
      <c r="B159" s="194"/>
      <c r="C159" s="97">
        <v>25</v>
      </c>
      <c r="D159" s="96">
        <f ca="1">((100/H155)*C159)/100</f>
        <v>1</v>
      </c>
      <c r="E159" s="245"/>
      <c r="F159" s="245"/>
      <c r="G159" s="245"/>
      <c r="H159" s="245"/>
      <c r="I159" s="16" t="s">
        <v>102</v>
      </c>
      <c r="J159" s="30">
        <f ca="1">H155</f>
        <v>25</v>
      </c>
    </row>
    <row r="160" spans="1:10" ht="15.75" customHeight="1" x14ac:dyDescent="0.35">
      <c r="A160" s="194" t="s">
        <v>132</v>
      </c>
      <c r="B160" s="194"/>
      <c r="C160" s="100">
        <v>26</v>
      </c>
      <c r="D160" s="96">
        <f ca="1">((100/(D155+F155+H155))*C160)/100</f>
        <v>1</v>
      </c>
      <c r="E160" s="245"/>
      <c r="F160" s="245"/>
      <c r="G160" s="245"/>
      <c r="H160" s="245"/>
      <c r="I160" s="16" t="s">
        <v>103</v>
      </c>
      <c r="J160" s="31">
        <f ca="1">(IF(B155&gt;1,(H155/(B155+2)),H155/4))</f>
        <v>6.25</v>
      </c>
    </row>
    <row r="161" spans="1:10" ht="15.75" customHeight="1" x14ac:dyDescent="0.35">
      <c r="A161" s="194" t="s">
        <v>139</v>
      </c>
      <c r="B161" s="194" t="s">
        <v>133</v>
      </c>
      <c r="C161" s="100">
        <v>25</v>
      </c>
      <c r="D161" s="96">
        <f ca="1">((100/H155)*C161)/100</f>
        <v>1</v>
      </c>
      <c r="E161" s="245"/>
      <c r="F161" s="245"/>
      <c r="G161" s="245"/>
      <c r="H161" s="245"/>
      <c r="I161" s="16" t="s">
        <v>104</v>
      </c>
      <c r="J161" s="31">
        <f ca="1">(IF(B155&gt;1,(H155/(B155+2)+J160),H155/4+J160))</f>
        <v>12.5</v>
      </c>
    </row>
    <row r="162" spans="1:10" ht="15.75" customHeight="1" x14ac:dyDescent="0.35">
      <c r="A162" s="194" t="s">
        <v>140</v>
      </c>
      <c r="B162" s="194" t="s">
        <v>133</v>
      </c>
      <c r="C162" s="100">
        <v>25</v>
      </c>
      <c r="D162" s="96">
        <f ca="1">((100/H155)*C162)/100</f>
        <v>1</v>
      </c>
      <c r="E162" s="245"/>
      <c r="F162" s="245"/>
      <c r="G162" s="245"/>
      <c r="H162" s="245"/>
      <c r="I162" s="16" t="s">
        <v>149</v>
      </c>
      <c r="J162" s="31">
        <f>(IF(B155&gt;1,(H155/(B155+2)+J161),0))</f>
        <v>0</v>
      </c>
    </row>
    <row r="163" spans="1:10" ht="15" customHeight="1" x14ac:dyDescent="0.35">
      <c r="A163" s="194" t="s">
        <v>138</v>
      </c>
      <c r="B163" s="194" t="s">
        <v>135</v>
      </c>
      <c r="C163" s="100">
        <v>18</v>
      </c>
      <c r="D163" s="96">
        <f ca="1">((100/(H155))*C163)/100</f>
        <v>0.72</v>
      </c>
      <c r="E163" s="245"/>
      <c r="F163" s="245"/>
      <c r="G163" s="245"/>
      <c r="H163" s="245"/>
      <c r="I163" s="16" t="s">
        <v>146</v>
      </c>
      <c r="J163" s="31">
        <f>(IF(B155&gt;2,(H155/(B155+2)+J162),0))</f>
        <v>0</v>
      </c>
    </row>
    <row r="164" spans="1:10" ht="15.75" customHeight="1" x14ac:dyDescent="0.35">
      <c r="A164" s="194" t="s">
        <v>134</v>
      </c>
      <c r="B164" s="194" t="s">
        <v>134</v>
      </c>
      <c r="C164" s="100">
        <v>7</v>
      </c>
      <c r="D164" s="96">
        <f ca="1">((100/H155)*C164)/100</f>
        <v>0.28000000000000003</v>
      </c>
      <c r="E164" s="245"/>
      <c r="F164" s="245"/>
      <c r="G164" s="245"/>
      <c r="H164" s="245"/>
      <c r="I164" s="16" t="s">
        <v>147</v>
      </c>
      <c r="J164" s="32">
        <f>(IF(B155&gt;3,(H155/(B155+2)+J163),0))</f>
        <v>0</v>
      </c>
    </row>
    <row r="165" spans="1:10" ht="15.75" customHeight="1" x14ac:dyDescent="0.35">
      <c r="A165" s="194" t="s">
        <v>141</v>
      </c>
      <c r="B165" s="194"/>
      <c r="C165" s="100">
        <v>0</v>
      </c>
      <c r="D165" s="96">
        <f ca="1">((100/H155)*C165)/100</f>
        <v>0</v>
      </c>
      <c r="E165" s="245"/>
      <c r="F165" s="245"/>
      <c r="G165" s="245"/>
      <c r="H165" s="245"/>
      <c r="I165" s="16" t="s">
        <v>148</v>
      </c>
      <c r="J165" s="31">
        <f>(IF(B155&gt;4,(H155/(B155+2)+J164),0))</f>
        <v>0</v>
      </c>
    </row>
    <row r="166" spans="1:10" ht="15.75" customHeight="1" x14ac:dyDescent="0.35">
      <c r="A166" s="194" t="s">
        <v>136</v>
      </c>
      <c r="B166" s="194" t="s">
        <v>136</v>
      </c>
      <c r="C166" s="100">
        <v>0</v>
      </c>
      <c r="D166" s="96">
        <f ca="1">((100/(H155))*C166)/100</f>
        <v>0</v>
      </c>
      <c r="E166" s="245"/>
      <c r="F166" s="245"/>
      <c r="G166" s="245"/>
      <c r="H166" s="245"/>
      <c r="I166" s="16" t="s">
        <v>150</v>
      </c>
      <c r="J166" s="31">
        <f ca="1">(IF(B155=1,(H155/(B155+3)+J161),IF(B155=0,(H155/4+J161),IF(B155&gt;1,0))))</f>
        <v>18.75</v>
      </c>
    </row>
    <row r="167" spans="1:10" ht="16" thickBot="1" x14ac:dyDescent="0.4">
      <c r="A167" s="194" t="s">
        <v>137</v>
      </c>
      <c r="B167" s="194"/>
      <c r="C167" s="100">
        <v>0</v>
      </c>
      <c r="D167" s="96">
        <f ca="1">((100/(H155))*C167)/100</f>
        <v>0</v>
      </c>
      <c r="E167" s="245"/>
      <c r="F167" s="245"/>
      <c r="G167" s="245"/>
      <c r="H167" s="245"/>
      <c r="I167" s="17" t="s">
        <v>105</v>
      </c>
      <c r="J167" s="33">
        <f ca="1">(IF(B155&gt;1.5,(H155/(B155+2)+J161+MAX(0,J162-J161)+MAX(0,J163-J162)+MAX(0,J164-J163)+MAX(0,J165-J164)+MAX(0,J166-J165)),IF(B155=1,(H155/(B155+3)+J166),IF(B155=0,H155/4+J166))))</f>
        <v>25</v>
      </c>
    </row>
    <row r="168" spans="1:10" s="22" customFormat="1" ht="15.75" hidden="1" customHeight="1" x14ac:dyDescent="0.35">
      <c r="A168" s="112" t="s">
        <v>143</v>
      </c>
      <c r="B168" s="113"/>
      <c r="C168" s="114" t="s">
        <v>241</v>
      </c>
      <c r="D168" s="115"/>
      <c r="E168" s="115"/>
      <c r="F168" s="115"/>
      <c r="G168" s="115"/>
      <c r="H168" s="116"/>
      <c r="I168" s="85" t="str">
        <f ca="1">IF(D181=100%,"All work Completed. Possession granted to the Building.",IF(D180=100%,"All work Completed, Waiting for OC",I169&amp;""&amp;I170&amp;""&amp;J169&amp;""&amp;J168&amp;" "&amp;J170))</f>
        <v>Excavation, Plinth Completed, RCC upto 24 Slab, Brickwork upto 16 Floor, Internal Plaster upto 8 Floor, External Plaster upto 5 Floor Completed</v>
      </c>
      <c r="J168" s="86" t="str">
        <f ca="1">(IF(C174=(D169+F169+H169),"",IF(C174&gt;0,", RCC upto "&amp;C174&amp;" Slab","")))&amp;(IF(C175=H169,"",IF(C175&gt;0,", Brickwork upto "&amp;C175&amp;" Floor","")))&amp;(IF(C176=H169,"",IF(C176&gt;0,", Internal Plaster upto "&amp;C176&amp;" Floor","")))&amp;(IF(C177=H169,"",IF(C177&gt;0,", External Plaster upto "&amp;C177&amp;" Floor","")))&amp;(IF(C178=H169,"",IF(C178&gt;0,", Flooring upto "&amp;C178&amp;" Floor","")))&amp;(IF(C179=H169,"",IF(C179&gt;0,", Painting upto "&amp;C179&amp;" Floor","")))&amp;(IF(C180=H169,"",IF(C180&gt;0,", Finishing upto "&amp;C180&amp;" Floor","")))&amp;(IF(C181=H169,"",IF(C181&gt;0,", Possession upto "&amp;C181&amp;" Floor","")))</f>
        <v>, RCC upto 24 Slab, Brickwork upto 16 Floor, Internal Plaster upto 8 Floor, External Plaster upto 5 Floor</v>
      </c>
    </row>
    <row r="169" spans="1:10" s="22" customFormat="1" hidden="1" x14ac:dyDescent="0.35">
      <c r="A169" s="79" t="s">
        <v>145</v>
      </c>
      <c r="B169" s="80">
        <v>1</v>
      </c>
      <c r="C169" s="80" t="s">
        <v>75</v>
      </c>
      <c r="D169" s="80">
        <v>1</v>
      </c>
      <c r="E169" s="80" t="s">
        <v>74</v>
      </c>
      <c r="F169" s="80">
        <v>0</v>
      </c>
      <c r="G169" s="80" t="s">
        <v>84</v>
      </c>
      <c r="H169" s="81">
        <f ca="1">--TRIM(RIGHT(SUBSTITUTE(LEFT(C168,_xlfn.AGGREGATE(16,6,FIND({0,1,2,3,4,5,6,7,8,9},C168,ROW(INDIRECT("1:"&amp;LEN(C168)))),1))," ",REPT(" ",LEN(C168))),LEN(C168)))</f>
        <v>25</v>
      </c>
      <c r="I169" s="87" t="str">
        <f ca="1">IF(D172=100%,"Excavation","")&amp;IF(D173=100%,", Plinth","")&amp;IF(D174=100%,", RCC Slab","")&amp;IF(D175=100%,", Brickwork","")&amp;IF(D176=100%,", Internal Plaster","")&amp;IF(D177=100%,", External Plaster","")&amp;IF(D178=100%,", Flooring","")&amp;IF(D179=100%,", Painting","")&amp;IF(D180=100%,", Building common Amenities","")</f>
        <v>Excavation, Plinth</v>
      </c>
      <c r="J169" s="88" t="str">
        <f ca="1">(IF(C172=0,"Work not yet Started.",IF(D172=25%,"Piling work in process",IF(D172=50%,"Excavation work in process",IF(D172=100%,"","0")))))&amp;(IF(C173=0%,"",IF(C173=J174,", Footing work is process",IF(C173=J175,", Footing work Completed",IF(C173=J176,", 1st Basement Completed",IF(C173=J177,", 1st &amp; 2nd Basement Completed",IF(C173=J178,", 1st to 3rd Basement Completed",IF(C173=J179,", 1st to 4th Basement Completed",IF(C173=J180,", Plinth work is process",IF(C173=J181,"","0"))))))))))</f>
        <v/>
      </c>
    </row>
    <row r="170" spans="1:10" s="22" customFormat="1" ht="36" hidden="1" customHeight="1" x14ac:dyDescent="0.35">
      <c r="A170" s="117" t="s">
        <v>94</v>
      </c>
      <c r="B170" s="118"/>
      <c r="C170" s="119" t="str">
        <f ca="1">(IF($G$55="NA",I168,"All work Completed. OC Received."))</f>
        <v>Excavation, Plinth Completed, RCC upto 24 Slab, Brickwork upto 16 Floor, Internal Plaster upto 8 Floor, External Plaster upto 5 Floor Completed</v>
      </c>
      <c r="D170" s="119"/>
      <c r="E170" s="119"/>
      <c r="F170" s="119"/>
      <c r="G170" s="119"/>
      <c r="H170" s="120"/>
      <c r="I170" s="87" t="str">
        <f ca="1">IF(I169&lt;&gt;""," Completed","")</f>
        <v xml:space="preserve"> Completed</v>
      </c>
      <c r="J170" s="88" t="str">
        <f ca="1">IF(J168&lt;&gt;"","Completed","")</f>
        <v>Completed</v>
      </c>
    </row>
    <row r="171" spans="1:10" s="22" customFormat="1" ht="15.75" hidden="1" customHeight="1" x14ac:dyDescent="0.35">
      <c r="A171" s="121" t="s">
        <v>51</v>
      </c>
      <c r="B171" s="122"/>
      <c r="C171" s="82" t="s">
        <v>142</v>
      </c>
      <c r="D171" s="82" t="s">
        <v>87</v>
      </c>
      <c r="E171" s="122" t="s">
        <v>89</v>
      </c>
      <c r="F171" s="122"/>
      <c r="G171" s="122" t="s">
        <v>88</v>
      </c>
      <c r="H171" s="123"/>
      <c r="I171" s="89" t="s">
        <v>144</v>
      </c>
      <c r="J171" s="90">
        <f ca="1">H169*25%</f>
        <v>6.25</v>
      </c>
    </row>
    <row r="172" spans="1:10" s="22" customFormat="1" hidden="1" x14ac:dyDescent="0.35">
      <c r="A172" s="122" t="s">
        <v>131</v>
      </c>
      <c r="B172" s="122"/>
      <c r="C172" s="82">
        <f ca="1">J173</f>
        <v>25</v>
      </c>
      <c r="D172" s="83">
        <f ca="1">((100/H169)*C172)/100</f>
        <v>1</v>
      </c>
      <c r="E172" s="124">
        <f ca="1">(((C173/H169*10)+(40/(D169+F169+H169)*C174)+(7.5/(H169)*C175)+(7.5/(H169)*C176)+(10/H169*C177)+(10/H169*C178)+(5/H169*C179)+(5/H169*C180)+(5/H169*C181))/100)</f>
        <v>0.5612307692307692</v>
      </c>
      <c r="F172" s="124"/>
      <c r="G172" s="124">
        <f ca="1">((((C172/H169)*20)+((C173/H169)*25)+(30/(H169+F169+D169)*C174)+(5/H169*C175)+(5/H169*C176)+(5/H169*C177)+(5/H169*C178)+(0/H169*C179)+(0/H169*C180)+(5/H169*C181))/100)</f>
        <v>0.78492307692307695</v>
      </c>
      <c r="H172" s="124"/>
      <c r="I172" s="89" t="s">
        <v>101</v>
      </c>
      <c r="J172" s="91">
        <f ca="1">H169*50%</f>
        <v>12.5</v>
      </c>
    </row>
    <row r="173" spans="1:10" s="22" customFormat="1" hidden="1" x14ac:dyDescent="0.35">
      <c r="A173" s="122" t="s">
        <v>52</v>
      </c>
      <c r="B173" s="122"/>
      <c r="C173" s="84">
        <v>25</v>
      </c>
      <c r="D173" s="83">
        <f ca="1">((100/H169)*C173)/100</f>
        <v>1</v>
      </c>
      <c r="E173" s="124"/>
      <c r="F173" s="124"/>
      <c r="G173" s="124"/>
      <c r="H173" s="124"/>
      <c r="I173" s="89" t="s">
        <v>102</v>
      </c>
      <c r="J173" s="91">
        <f ca="1">H169</f>
        <v>25</v>
      </c>
    </row>
    <row r="174" spans="1:10" s="22" customFormat="1" ht="15.75" hidden="1" customHeight="1" x14ac:dyDescent="0.35">
      <c r="A174" s="122" t="s">
        <v>132</v>
      </c>
      <c r="B174" s="122"/>
      <c r="C174" s="82">
        <v>24</v>
      </c>
      <c r="D174" s="83">
        <f ca="1">((100/(D169+F169+H169))*C174)/100</f>
        <v>0.92307692307692302</v>
      </c>
      <c r="E174" s="124"/>
      <c r="F174" s="124"/>
      <c r="G174" s="124"/>
      <c r="H174" s="124"/>
      <c r="I174" s="89" t="s">
        <v>103</v>
      </c>
      <c r="J174" s="92">
        <f ca="1">(IF(B169&gt;1,(H169/(B169+2)),H169/4))</f>
        <v>6.25</v>
      </c>
    </row>
    <row r="175" spans="1:10" s="22" customFormat="1" ht="15.75" hidden="1" customHeight="1" x14ac:dyDescent="0.35">
      <c r="A175" s="122" t="s">
        <v>139</v>
      </c>
      <c r="B175" s="122" t="s">
        <v>133</v>
      </c>
      <c r="C175" s="82">
        <v>16</v>
      </c>
      <c r="D175" s="83">
        <f ca="1">((100/H169)*C175)/100</f>
        <v>0.64</v>
      </c>
      <c r="E175" s="124"/>
      <c r="F175" s="124"/>
      <c r="G175" s="124"/>
      <c r="H175" s="124"/>
      <c r="I175" s="89" t="s">
        <v>104</v>
      </c>
      <c r="J175" s="92">
        <f ca="1">(IF(B169&gt;1,(H169/(B169+2)+J174),H169/4+J174))</f>
        <v>12.5</v>
      </c>
    </row>
    <row r="176" spans="1:10" s="22" customFormat="1" ht="15.75" hidden="1" customHeight="1" x14ac:dyDescent="0.35">
      <c r="A176" s="122" t="s">
        <v>140</v>
      </c>
      <c r="B176" s="122" t="s">
        <v>133</v>
      </c>
      <c r="C176" s="82">
        <v>8</v>
      </c>
      <c r="D176" s="83">
        <f ca="1">((100/H169)*C176)/100</f>
        <v>0.32</v>
      </c>
      <c r="E176" s="124"/>
      <c r="F176" s="124"/>
      <c r="G176" s="124"/>
      <c r="H176" s="124"/>
      <c r="I176" s="89" t="s">
        <v>149</v>
      </c>
      <c r="J176" s="92">
        <f>(IF(B169&gt;1,(H169/(B169+2)+J175),0))</f>
        <v>0</v>
      </c>
    </row>
    <row r="177" spans="1:14" s="22" customFormat="1" ht="15" hidden="1" customHeight="1" x14ac:dyDescent="0.35">
      <c r="A177" s="122" t="s">
        <v>138</v>
      </c>
      <c r="B177" s="122" t="s">
        <v>135</v>
      </c>
      <c r="C177" s="82">
        <v>5</v>
      </c>
      <c r="D177" s="83">
        <f ca="1">((100/(H169))*C177)/100</f>
        <v>0.2</v>
      </c>
      <c r="E177" s="124"/>
      <c r="F177" s="124"/>
      <c r="G177" s="124"/>
      <c r="H177" s="124"/>
      <c r="I177" s="89" t="s">
        <v>146</v>
      </c>
      <c r="J177" s="92">
        <f>(IF(B169&gt;2,(H169/(B169+2)+J176),0))</f>
        <v>0</v>
      </c>
    </row>
    <row r="178" spans="1:14" s="22" customFormat="1" ht="15.75" hidden="1" customHeight="1" x14ac:dyDescent="0.35">
      <c r="A178" s="122" t="s">
        <v>134</v>
      </c>
      <c r="B178" s="122" t="s">
        <v>134</v>
      </c>
      <c r="C178" s="82">
        <v>0</v>
      </c>
      <c r="D178" s="83">
        <f ca="1">((100/H169)*C178)/100</f>
        <v>0</v>
      </c>
      <c r="E178" s="124"/>
      <c r="F178" s="124"/>
      <c r="G178" s="124"/>
      <c r="H178" s="124"/>
      <c r="I178" s="89" t="s">
        <v>147</v>
      </c>
      <c r="J178" s="93">
        <f>(IF(B169&gt;3,(H169/(B169+2)+J177),0))</f>
        <v>0</v>
      </c>
    </row>
    <row r="179" spans="1:14" s="22" customFormat="1" ht="15.75" hidden="1" customHeight="1" x14ac:dyDescent="0.35">
      <c r="A179" s="122" t="s">
        <v>141</v>
      </c>
      <c r="B179" s="122"/>
      <c r="C179" s="82">
        <v>0</v>
      </c>
      <c r="D179" s="83">
        <f ca="1">((100/H169)*C179)/100</f>
        <v>0</v>
      </c>
      <c r="E179" s="124"/>
      <c r="F179" s="124"/>
      <c r="G179" s="124"/>
      <c r="H179" s="124"/>
      <c r="I179" s="89" t="s">
        <v>148</v>
      </c>
      <c r="J179" s="92">
        <f>(IF(B169&gt;4,(H169/(B169+2)+J178),0))</f>
        <v>0</v>
      </c>
    </row>
    <row r="180" spans="1:14" s="22" customFormat="1" ht="15.75" hidden="1" customHeight="1" x14ac:dyDescent="0.35">
      <c r="A180" s="122" t="s">
        <v>136</v>
      </c>
      <c r="B180" s="122" t="s">
        <v>136</v>
      </c>
      <c r="C180" s="82">
        <v>0</v>
      </c>
      <c r="D180" s="83">
        <f ca="1">((100/(H169))*C180)/100</f>
        <v>0</v>
      </c>
      <c r="E180" s="124"/>
      <c r="F180" s="124"/>
      <c r="G180" s="124"/>
      <c r="H180" s="124"/>
      <c r="I180" s="89" t="s">
        <v>150</v>
      </c>
      <c r="J180" s="92">
        <f ca="1">(IF(B169=1,(H169/(B169+3)+J175),IF(B169=0,(H169/4+J175),IF(B169&gt;1,0))))</f>
        <v>18.75</v>
      </c>
    </row>
    <row r="181" spans="1:14" s="22" customFormat="1" ht="16" hidden="1" thickBot="1" x14ac:dyDescent="0.4">
      <c r="A181" s="122" t="s">
        <v>137</v>
      </c>
      <c r="B181" s="122"/>
      <c r="C181" s="82">
        <v>0</v>
      </c>
      <c r="D181" s="83">
        <f ca="1">((100/(H169))*C181)/100</f>
        <v>0</v>
      </c>
      <c r="E181" s="124"/>
      <c r="F181" s="124"/>
      <c r="G181" s="124"/>
      <c r="H181" s="124"/>
      <c r="I181" s="94" t="s">
        <v>105</v>
      </c>
      <c r="J181" s="95">
        <f ca="1">(IF(B169&gt;1.5,(H169/(B169+2)+J175+MAX(0,J176-J175)+MAX(0,J177-J176)+MAX(0,J178-J177)+MAX(0,J179-J178)+MAX(0,J180-J179)),IF(B169=1,(H169/(B169+3)+J180),IF(B169=0,H169/4+J180))))</f>
        <v>25</v>
      </c>
    </row>
    <row r="182" spans="1:14" s="22" customFormat="1" ht="15.75" hidden="1" customHeight="1" x14ac:dyDescent="0.35">
      <c r="A182" s="110" t="s">
        <v>242</v>
      </c>
      <c r="B182" s="110"/>
      <c r="C182" s="109">
        <f ca="1">AVERAGE(E158,E172)</f>
        <v>0.6556153846153846</v>
      </c>
      <c r="D182" s="110"/>
      <c r="E182" s="111" t="s">
        <v>243</v>
      </c>
      <c r="F182" s="111"/>
      <c r="G182" s="109">
        <f ca="1">AVERAGE(G158,G172)</f>
        <v>0.84246153846153848</v>
      </c>
      <c r="H182" s="110"/>
      <c r="I182" s="89" t="s">
        <v>150</v>
      </c>
      <c r="J182" s="92">
        <f>(IF(B171=1,(H171/(B171+3)+J177),IF(B171=0,(H171/4+J177),IF(B171&gt;1,0))))</f>
        <v>0</v>
      </c>
    </row>
    <row r="183" spans="1:14" s="22" customFormat="1" ht="16" hidden="1" thickBot="1" x14ac:dyDescent="0.4">
      <c r="A183" s="110"/>
      <c r="B183" s="110"/>
      <c r="C183" s="110"/>
      <c r="D183" s="110"/>
      <c r="E183" s="111"/>
      <c r="F183" s="111"/>
      <c r="G183" s="110"/>
      <c r="H183" s="110"/>
      <c r="I183" s="94" t="s">
        <v>105</v>
      </c>
      <c r="J183" s="95">
        <f>(IF(B171&gt;1.5,(H171/(B171+2)+J177+MAX(0,J178-J177)+MAX(0,J179-J178)+MAX(0,J180-J179)+MAX(0,J181-J180)+MAX(0,J182-J181)),IF(B171=1,(H171/(B171+3)+J182),IF(B171=0,H171/4+J182))))</f>
        <v>0</v>
      </c>
    </row>
    <row r="184" spans="1:14" x14ac:dyDescent="0.35">
      <c r="A184" s="181" t="s">
        <v>161</v>
      </c>
      <c r="B184" s="181"/>
      <c r="C184" s="181"/>
      <c r="D184" s="181"/>
      <c r="E184" s="181"/>
      <c r="F184" s="188" t="s">
        <v>164</v>
      </c>
      <c r="G184" s="188"/>
      <c r="H184" s="188"/>
    </row>
    <row r="185" spans="1:14" x14ac:dyDescent="0.35">
      <c r="A185" s="151" t="s">
        <v>163</v>
      </c>
      <c r="B185" s="151"/>
      <c r="C185" s="151"/>
      <c r="D185" s="151"/>
      <c r="E185" s="151"/>
      <c r="F185" s="162">
        <v>6500</v>
      </c>
      <c r="G185" s="162"/>
      <c r="H185" s="162"/>
      <c r="I185" s="67" t="s">
        <v>220</v>
      </c>
      <c r="J185" s="67" t="s">
        <v>221</v>
      </c>
      <c r="K185" s="67" t="s">
        <v>222</v>
      </c>
      <c r="L185" s="68">
        <v>44870</v>
      </c>
    </row>
    <row r="186" spans="1:14" x14ac:dyDescent="0.35">
      <c r="A186" s="151" t="s">
        <v>162</v>
      </c>
      <c r="B186" s="151"/>
      <c r="C186" s="151"/>
      <c r="D186" s="151"/>
      <c r="E186" s="151"/>
      <c r="F186" s="162">
        <v>9000</v>
      </c>
      <c r="G186" s="162"/>
      <c r="H186" s="162"/>
      <c r="I186" s="67" t="s">
        <v>244</v>
      </c>
      <c r="J186" s="67"/>
      <c r="K186" s="67"/>
      <c r="L186" s="68">
        <v>45572</v>
      </c>
      <c r="M186" s="21" t="s">
        <v>245</v>
      </c>
      <c r="N186" s="21" t="s">
        <v>246</v>
      </c>
    </row>
    <row r="187" spans="1:14" s="34" customFormat="1" x14ac:dyDescent="0.3">
      <c r="A187" s="151" t="s">
        <v>248</v>
      </c>
      <c r="B187" s="151"/>
      <c r="C187" s="151"/>
      <c r="D187" s="151"/>
      <c r="E187" s="151"/>
      <c r="F187" s="162">
        <v>10</v>
      </c>
      <c r="G187" s="162"/>
      <c r="H187" s="162"/>
    </row>
    <row r="188" spans="1:14" s="34" customFormat="1" x14ac:dyDescent="0.3">
      <c r="A188" s="151" t="s">
        <v>249</v>
      </c>
      <c r="B188" s="151"/>
      <c r="C188" s="151"/>
      <c r="D188" s="151"/>
      <c r="E188" s="151"/>
      <c r="F188" s="162">
        <v>15</v>
      </c>
      <c r="G188" s="162"/>
      <c r="H188" s="162"/>
    </row>
    <row r="189" spans="1:14" s="34" customFormat="1" x14ac:dyDescent="0.3">
      <c r="A189" s="151" t="s">
        <v>250</v>
      </c>
      <c r="B189" s="151"/>
      <c r="C189" s="151"/>
      <c r="D189" s="151"/>
      <c r="E189" s="151"/>
      <c r="F189" s="162">
        <v>20</v>
      </c>
      <c r="G189" s="162"/>
      <c r="H189" s="162"/>
    </row>
    <row r="190" spans="1:14" s="34" customFormat="1" ht="35.25" customHeight="1" x14ac:dyDescent="0.3">
      <c r="A190" s="167" t="s">
        <v>247</v>
      </c>
      <c r="B190" s="167"/>
      <c r="C190" s="167"/>
      <c r="D190" s="167"/>
      <c r="E190" s="167"/>
      <c r="F190" s="162">
        <v>200000</v>
      </c>
      <c r="G190" s="162"/>
      <c r="H190" s="162"/>
    </row>
    <row r="191" spans="1:14" s="34" customFormat="1" x14ac:dyDescent="0.3">
      <c r="A191" s="151" t="s">
        <v>99</v>
      </c>
      <c r="B191" s="151"/>
      <c r="C191" s="151"/>
      <c r="D191" s="151"/>
      <c r="E191" s="151"/>
      <c r="F191" s="162">
        <v>150000</v>
      </c>
      <c r="G191" s="162"/>
      <c r="H191" s="162"/>
    </row>
    <row r="192" spans="1:14" s="34" customFormat="1" hidden="1" x14ac:dyDescent="0.3">
      <c r="A192" s="151" t="s">
        <v>100</v>
      </c>
      <c r="B192" s="151"/>
      <c r="C192" s="151"/>
      <c r="D192" s="151"/>
      <c r="E192" s="151"/>
      <c r="F192" s="162"/>
      <c r="G192" s="162"/>
      <c r="H192" s="162"/>
    </row>
    <row r="193" spans="1:8" x14ac:dyDescent="0.35">
      <c r="A193" s="151" t="s">
        <v>53</v>
      </c>
      <c r="B193" s="151"/>
      <c r="C193" s="151"/>
      <c r="D193" s="151"/>
      <c r="E193" s="151"/>
      <c r="F193" s="162">
        <v>400000</v>
      </c>
      <c r="G193" s="162"/>
      <c r="H193" s="162"/>
    </row>
    <row r="194" spans="1:8" s="35" customFormat="1" x14ac:dyDescent="0.35">
      <c r="A194" s="181" t="s">
        <v>54</v>
      </c>
      <c r="B194" s="181"/>
      <c r="C194" s="181"/>
      <c r="D194" s="181"/>
      <c r="E194" s="181"/>
      <c r="F194" s="162">
        <f>F185*0.8</f>
        <v>5200</v>
      </c>
      <c r="G194" s="162"/>
      <c r="H194" s="162"/>
    </row>
    <row r="195" spans="1:8" s="36" customFormat="1" ht="15.75" customHeight="1" x14ac:dyDescent="0.35">
      <c r="A195" s="180" t="s">
        <v>79</v>
      </c>
      <c r="B195" s="180"/>
      <c r="C195" s="180"/>
      <c r="D195" s="180"/>
      <c r="E195" s="180"/>
      <c r="F195" s="180"/>
      <c r="G195" s="180"/>
      <c r="H195" s="180"/>
    </row>
    <row r="196" spans="1:8" s="36" customFormat="1" ht="15.75" customHeight="1" x14ac:dyDescent="0.35">
      <c r="A196" s="153" t="s">
        <v>55</v>
      </c>
      <c r="B196" s="153"/>
      <c r="C196" s="225" t="s">
        <v>82</v>
      </c>
      <c r="D196" s="225"/>
      <c r="E196" s="183" t="s">
        <v>56</v>
      </c>
      <c r="F196" s="183"/>
      <c r="G196" s="153" t="s">
        <v>57</v>
      </c>
      <c r="H196" s="153"/>
    </row>
    <row r="197" spans="1:8" s="36" customFormat="1" x14ac:dyDescent="0.35">
      <c r="A197" s="182" t="s">
        <v>203</v>
      </c>
      <c r="B197" s="182"/>
      <c r="C197" s="226">
        <f>COUNT(D217:D229)</f>
        <v>13</v>
      </c>
      <c r="D197" s="224"/>
      <c r="E197" s="163">
        <f>SUM(D217:D229)</f>
        <v>1987.9170479999998</v>
      </c>
      <c r="F197" s="164"/>
      <c r="G197" s="163">
        <f>SUM(F217:F229)</f>
        <v>3180.6672767999999</v>
      </c>
      <c r="H197" s="164"/>
    </row>
    <row r="198" spans="1:8" s="36" customFormat="1" x14ac:dyDescent="0.35">
      <c r="A198" s="182" t="s">
        <v>204</v>
      </c>
      <c r="B198" s="182"/>
      <c r="C198" s="226">
        <f>COUNT(D233:D237)</f>
        <v>5</v>
      </c>
      <c r="D198" s="224"/>
      <c r="E198" s="163">
        <f>SUM(D233:D237)</f>
        <v>1097.1583739999999</v>
      </c>
      <c r="F198" s="164"/>
      <c r="G198" s="163">
        <f>SUM(F233:F237)</f>
        <v>1755.4533984</v>
      </c>
      <c r="H198" s="164"/>
    </row>
    <row r="199" spans="1:8" s="36" customFormat="1" x14ac:dyDescent="0.35">
      <c r="A199" s="180" t="s">
        <v>154</v>
      </c>
      <c r="B199" s="180"/>
      <c r="C199" s="231">
        <f>SUM(C197:C198)</f>
        <v>18</v>
      </c>
      <c r="D199" s="225"/>
      <c r="E199" s="230">
        <f>SUM(E197:E198)</f>
        <v>3085.0754219999999</v>
      </c>
      <c r="F199" s="183"/>
      <c r="G199" s="153">
        <f>SUM(G197:G198)</f>
        <v>4936.1206751999998</v>
      </c>
      <c r="H199" s="153"/>
    </row>
    <row r="200" spans="1:8" s="36" customFormat="1" x14ac:dyDescent="0.35">
      <c r="A200" s="180" t="s">
        <v>73</v>
      </c>
      <c r="B200" s="180"/>
      <c r="C200" s="180"/>
      <c r="D200" s="180"/>
      <c r="E200" s="180"/>
      <c r="F200" s="180"/>
      <c r="G200" s="180"/>
      <c r="H200" s="180"/>
    </row>
    <row r="201" spans="1:8" s="36" customFormat="1" ht="15.75" customHeight="1" x14ac:dyDescent="0.35">
      <c r="A201" s="153" t="s">
        <v>55</v>
      </c>
      <c r="B201" s="153"/>
      <c r="C201" s="225" t="s">
        <v>82</v>
      </c>
      <c r="D201" s="225"/>
      <c r="E201" s="183" t="s">
        <v>56</v>
      </c>
      <c r="F201" s="183"/>
      <c r="G201" s="153" t="s">
        <v>57</v>
      </c>
      <c r="H201" s="153"/>
    </row>
    <row r="202" spans="1:8" s="36" customFormat="1" x14ac:dyDescent="0.35">
      <c r="A202" s="182" t="s">
        <v>203</v>
      </c>
      <c r="B202" s="182"/>
      <c r="C202" s="224">
        <f>COUNT(D244:D253)+COUNT(D255:D264)*18+COUNT(D266:D267,D270:D275)*4</f>
        <v>222</v>
      </c>
      <c r="D202" s="224"/>
      <c r="E202" s="163">
        <f>SUM(D244:D253)+SUM(D255:D264)*18+SUM(D266:D267,D270:D275)*4</f>
        <v>114339.30908399998</v>
      </c>
      <c r="F202" s="163"/>
      <c r="G202" s="163">
        <f>SUM(F244:F253)+SUM(F255:F264)*18+SUM(F266:F267,F270:F275)*4</f>
        <v>177536.14756019996</v>
      </c>
      <c r="H202" s="163"/>
    </row>
    <row r="203" spans="1:8" s="36" customFormat="1" x14ac:dyDescent="0.35">
      <c r="A203" s="182" t="s">
        <v>204</v>
      </c>
      <c r="B203" s="182"/>
      <c r="C203" s="224">
        <f>COUNT(D279:D283)+COUNT(D285:D289)*18+COUNT(D291:D293,D295)*4</f>
        <v>111</v>
      </c>
      <c r="D203" s="224"/>
      <c r="E203" s="163">
        <f>SUM(D279:D283)+SUM(D285:D289)*18+SUM(D291:D293,D295)*4</f>
        <v>57019.456915199989</v>
      </c>
      <c r="F203" s="163"/>
      <c r="G203" s="163">
        <f>SUM(F279:F283)+SUM(F285:F289)*18+SUM(F291:F293,F295)*4</f>
        <v>88515.999898559981</v>
      </c>
      <c r="H203" s="163"/>
    </row>
    <row r="204" spans="1:8" s="36" customFormat="1" x14ac:dyDescent="0.35">
      <c r="A204" s="182" t="s">
        <v>205</v>
      </c>
      <c r="B204" s="182"/>
      <c r="C204" s="224">
        <f>COUNT(D300:D303)+COUNT(D305:D308)*18+COUNT(D310:D312)*4</f>
        <v>88</v>
      </c>
      <c r="D204" s="224"/>
      <c r="E204" s="163">
        <f>SUM(D300:D303)+SUM(D305:D308)*18+SUM(D310:D312)*4</f>
        <v>42168.454379999981</v>
      </c>
      <c r="F204" s="163"/>
      <c r="G204" s="163">
        <f>SUM(F300:F303)+SUM(F305:F308)*18+SUM(F310:F312)*4</f>
        <v>65361.104288999981</v>
      </c>
      <c r="H204" s="163"/>
    </row>
    <row r="205" spans="1:8" s="36" customFormat="1" x14ac:dyDescent="0.35">
      <c r="A205" s="182" t="s">
        <v>206</v>
      </c>
      <c r="B205" s="182"/>
      <c r="C205" s="228">
        <f>COUNT(D318:D321)+COUNT(D323:D326)*18+COUNT(D328:D330)*4</f>
        <v>88</v>
      </c>
      <c r="D205" s="228"/>
      <c r="E205" s="229">
        <f>SUM(D318:D321)+SUM(D323:D326)*18+SUM(D328:D330)*4</f>
        <v>42168.454379999981</v>
      </c>
      <c r="F205" s="229"/>
      <c r="G205" s="229">
        <f>SUM(F318:F321)+SUM(F323:F326)*18+SUM(F328:F330)*4</f>
        <v>65361.104288999981</v>
      </c>
      <c r="H205" s="229"/>
    </row>
    <row r="206" spans="1:8" s="36" customFormat="1" x14ac:dyDescent="0.35">
      <c r="A206" s="182" t="s">
        <v>207</v>
      </c>
      <c r="B206" s="182"/>
      <c r="C206" s="228">
        <f>COUNT(D336:D339)+COUNT(D341:D344)*12+COUNT(D346:D349)*2+COUNT(D351:D354)+COUNT(D356:D359)*5+COUNT(D361:D364)+COUNT(D366:D369)</f>
        <v>92</v>
      </c>
      <c r="D206" s="228"/>
      <c r="E206" s="229">
        <f>SUM(D336:D339)+SUM(D341:D344)*12+SUM(D346:D349)*2+SUM(D351:D354)+SUM(D356:D359)*5+SUM(D361:D364)+SUM(D366:D369)</f>
        <v>46315.522187999988</v>
      </c>
      <c r="F206" s="229"/>
      <c r="G206" s="229">
        <f>SUM(F336:F339)+SUM(F341:F344)*12+SUM(F346:F349)*2+SUM(F351:F354)+SUM(F356:F359)*5+SUM(F361:F364)+SUM(F366:F369)</f>
        <v>71818.926243899987</v>
      </c>
      <c r="H206" s="229"/>
    </row>
    <row r="207" spans="1:8" s="36" customFormat="1" x14ac:dyDescent="0.35">
      <c r="A207" s="182" t="s">
        <v>238</v>
      </c>
      <c r="B207" s="182"/>
      <c r="C207" s="228">
        <f>COUNT(D374:D382)+COUNT(D384:D392)*19+COUNT(D394:D395,D398:D402)*2+COUNT(D404:D412)*2+COUNT(D414:D415,D418:D422)</f>
        <v>219</v>
      </c>
      <c r="D207" s="228"/>
      <c r="E207" s="229">
        <f>SUM(D374:D382)+SUM(D384:D392)*19+SUM(D394:D395,D398:D402)*2+SUM(D404:D412)*2+SUM(D414:D415,D418:D422)</f>
        <v>134116.37226</v>
      </c>
      <c r="F207" s="229"/>
      <c r="G207" s="229">
        <f>SUM(F374:F382)+SUM(F384:F392)*19+SUM(F394:F395,F398:F402)*2+SUM(F404:F412)*2+SUM(F414:F415,F418:F422)</f>
        <v>207880.37700300003</v>
      </c>
      <c r="H207" s="229"/>
    </row>
    <row r="208" spans="1:8" s="36" customFormat="1" x14ac:dyDescent="0.35">
      <c r="A208" s="180" t="s">
        <v>154</v>
      </c>
      <c r="B208" s="180"/>
      <c r="C208" s="225">
        <f>SUM(C202:C207)</f>
        <v>820</v>
      </c>
      <c r="D208" s="225"/>
      <c r="E208" s="230">
        <f>SUM(E202:E207)</f>
        <v>436127.56920719997</v>
      </c>
      <c r="F208" s="183"/>
      <c r="G208" s="153">
        <f>SUM(G202:G207)</f>
        <v>676473.65928365989</v>
      </c>
      <c r="H208" s="153"/>
    </row>
    <row r="209" spans="1:14" s="35" customFormat="1" x14ac:dyDescent="0.35">
      <c r="A209" s="188" t="s">
        <v>58</v>
      </c>
      <c r="B209" s="188"/>
      <c r="C209" s="188"/>
      <c r="D209" s="188"/>
      <c r="E209" s="188"/>
      <c r="F209" s="188"/>
      <c r="G209" s="188"/>
      <c r="H209" s="188"/>
    </row>
    <row r="210" spans="1:14" x14ac:dyDescent="0.35">
      <c r="A210" s="188" t="s">
        <v>59</v>
      </c>
      <c r="B210" s="188"/>
      <c r="C210" s="188"/>
      <c r="D210" s="188"/>
      <c r="E210" s="188"/>
      <c r="F210" s="188"/>
      <c r="G210" s="188"/>
      <c r="H210" s="188"/>
    </row>
    <row r="211" spans="1:14" ht="47.25" customHeight="1" x14ac:dyDescent="0.35">
      <c r="A211" s="154" t="s">
        <v>121</v>
      </c>
      <c r="B211" s="154" t="s">
        <v>120</v>
      </c>
      <c r="C211" s="154" t="s">
        <v>60</v>
      </c>
      <c r="D211" s="154" t="s">
        <v>61</v>
      </c>
      <c r="E211" s="156" t="s">
        <v>160</v>
      </c>
      <c r="F211" s="44" t="s">
        <v>153</v>
      </c>
      <c r="G211" s="158" t="s">
        <v>63</v>
      </c>
      <c r="H211" s="159"/>
    </row>
    <row r="212" spans="1:14" s="46" customFormat="1" x14ac:dyDescent="0.35">
      <c r="A212" s="155"/>
      <c r="B212" s="155"/>
      <c r="C212" s="155"/>
      <c r="D212" s="155"/>
      <c r="E212" s="157"/>
      <c r="F212" s="15">
        <v>0.6</v>
      </c>
      <c r="G212" s="160"/>
      <c r="H212" s="161"/>
    </row>
    <row r="213" spans="1:14" s="58" customFormat="1" x14ac:dyDescent="0.35">
      <c r="A213" s="138" t="s">
        <v>216</v>
      </c>
      <c r="B213" s="139"/>
      <c r="C213" s="139"/>
      <c r="D213" s="139"/>
      <c r="E213" s="139"/>
      <c r="F213" s="139"/>
      <c r="G213" s="139"/>
      <c r="H213" s="140"/>
      <c r="J213" s="37"/>
    </row>
    <row r="214" spans="1:14" s="52" customFormat="1" x14ac:dyDescent="0.35">
      <c r="A214" s="138" t="s">
        <v>184</v>
      </c>
      <c r="B214" s="139"/>
      <c r="C214" s="139"/>
      <c r="D214" s="139"/>
      <c r="E214" s="139"/>
      <c r="F214" s="139"/>
      <c r="G214" s="139"/>
      <c r="H214" s="140"/>
      <c r="J214" s="37"/>
    </row>
    <row r="215" spans="1:14" s="58" customFormat="1" x14ac:dyDescent="0.35">
      <c r="A215" s="138" t="s">
        <v>212</v>
      </c>
      <c r="B215" s="139"/>
      <c r="C215" s="139"/>
      <c r="D215" s="139"/>
      <c r="E215" s="139"/>
      <c r="F215" s="139"/>
      <c r="G215" s="139"/>
      <c r="H215" s="140"/>
      <c r="J215" s="37"/>
    </row>
    <row r="216" spans="1:14" s="46" customFormat="1" x14ac:dyDescent="0.35">
      <c r="A216" s="138" t="s">
        <v>211</v>
      </c>
      <c r="B216" s="139"/>
      <c r="C216" s="139"/>
      <c r="D216" s="139"/>
      <c r="E216" s="139"/>
      <c r="F216" s="139"/>
      <c r="G216" s="139"/>
      <c r="H216" s="140"/>
      <c r="J216" s="37"/>
    </row>
    <row r="217" spans="1:14" s="46" customFormat="1" ht="15.75" customHeight="1" x14ac:dyDescent="0.35">
      <c r="A217" s="136">
        <v>7</v>
      </c>
      <c r="B217" s="137"/>
      <c r="C217" s="43" t="s">
        <v>185</v>
      </c>
      <c r="D217" s="43">
        <f>(5.32*2.83)*10.764</f>
        <v>162.05847840000001</v>
      </c>
      <c r="E217" s="43">
        <v>0</v>
      </c>
      <c r="F217" s="43">
        <f>(D217+E217)*(($F$212)+1)</f>
        <v>259.29356544000001</v>
      </c>
      <c r="G217" s="143" t="str">
        <f>A216</f>
        <v>Ground Floor For Commercial</v>
      </c>
      <c r="H217" s="144"/>
      <c r="I217" s="37"/>
      <c r="L217" s="150"/>
      <c r="M217" s="150"/>
      <c r="N217" s="37"/>
    </row>
    <row r="218" spans="1:14" s="46" customFormat="1" ht="15.75" customHeight="1" x14ac:dyDescent="0.35">
      <c r="A218" s="136">
        <v>8</v>
      </c>
      <c r="B218" s="137"/>
      <c r="C218" s="51" t="s">
        <v>185</v>
      </c>
      <c r="D218" s="43">
        <f>(5.47*2.15)*10.764</f>
        <v>126.59002199999998</v>
      </c>
      <c r="E218" s="43">
        <v>0</v>
      </c>
      <c r="F218" s="43">
        <f t="shared" ref="F218:F220" si="0">(D218+E218)*(($F$212)+1)</f>
        <v>202.54403519999997</v>
      </c>
      <c r="G218" s="145"/>
      <c r="H218" s="146"/>
      <c r="I218" s="37"/>
      <c r="L218" s="150"/>
      <c r="M218" s="150"/>
      <c r="N218" s="37"/>
    </row>
    <row r="219" spans="1:14" s="46" customFormat="1" ht="15.75" customHeight="1" x14ac:dyDescent="0.35">
      <c r="A219" s="136">
        <v>9</v>
      </c>
      <c r="B219" s="137"/>
      <c r="C219" s="51" t="s">
        <v>185</v>
      </c>
      <c r="D219" s="51">
        <f>(5.63*2.9)*10.764</f>
        <v>175.74382799999998</v>
      </c>
      <c r="E219" s="43">
        <v>0</v>
      </c>
      <c r="F219" s="43">
        <f t="shared" si="0"/>
        <v>281.19012479999998</v>
      </c>
      <c r="G219" s="145"/>
      <c r="H219" s="146"/>
      <c r="I219" s="37"/>
      <c r="L219" s="150"/>
      <c r="M219" s="150"/>
      <c r="N219" s="37"/>
    </row>
    <row r="220" spans="1:14" s="46" customFormat="1" ht="15.75" customHeight="1" x14ac:dyDescent="0.35">
      <c r="A220" s="136">
        <v>10</v>
      </c>
      <c r="B220" s="137"/>
      <c r="C220" s="51" t="s">
        <v>185</v>
      </c>
      <c r="D220" s="51">
        <f>(4.61*2.56)*10.764</f>
        <v>127.0324224</v>
      </c>
      <c r="E220" s="43">
        <v>0</v>
      </c>
      <c r="F220" s="43">
        <f t="shared" si="0"/>
        <v>203.25187584000003</v>
      </c>
      <c r="G220" s="145"/>
      <c r="H220" s="146"/>
      <c r="I220" s="37"/>
      <c r="L220" s="150"/>
      <c r="M220" s="150"/>
      <c r="N220" s="37"/>
    </row>
    <row r="221" spans="1:14" s="52" customFormat="1" ht="15.75" customHeight="1" x14ac:dyDescent="0.35">
      <c r="A221" s="136">
        <v>11</v>
      </c>
      <c r="B221" s="137"/>
      <c r="C221" s="51" t="s">
        <v>185</v>
      </c>
      <c r="D221" s="51">
        <f>(4.77*2.57)*10.764</f>
        <v>131.95479959999997</v>
      </c>
      <c r="E221" s="51">
        <v>0</v>
      </c>
      <c r="F221" s="51">
        <f>(D221+E221)*(($F$212)+1)</f>
        <v>211.12767935999997</v>
      </c>
      <c r="G221" s="145"/>
      <c r="H221" s="146"/>
      <c r="I221" s="37"/>
      <c r="L221" s="150"/>
      <c r="M221" s="150"/>
      <c r="N221" s="37"/>
    </row>
    <row r="222" spans="1:14" s="52" customFormat="1" ht="15.75" customHeight="1" x14ac:dyDescent="0.35">
      <c r="A222" s="136">
        <v>12</v>
      </c>
      <c r="B222" s="137"/>
      <c r="C222" s="51" t="s">
        <v>185</v>
      </c>
      <c r="D222" s="51">
        <f>(4.94*2.79)*10.764</f>
        <v>148.35590640000001</v>
      </c>
      <c r="E222" s="51">
        <v>0</v>
      </c>
      <c r="F222" s="51">
        <f t="shared" ref="F222:F224" si="1">(D222+E222)*(($F$212)+1)</f>
        <v>237.36945024000002</v>
      </c>
      <c r="G222" s="145"/>
      <c r="H222" s="146"/>
      <c r="I222" s="37"/>
      <c r="L222" s="150"/>
      <c r="M222" s="150"/>
      <c r="N222" s="37"/>
    </row>
    <row r="223" spans="1:14" s="52" customFormat="1" ht="15.75" customHeight="1" x14ac:dyDescent="0.35">
      <c r="A223" s="136">
        <v>13</v>
      </c>
      <c r="B223" s="137"/>
      <c r="C223" s="51" t="s">
        <v>185</v>
      </c>
      <c r="D223" s="51">
        <f>(5.11*2.79)*10.764</f>
        <v>153.4612716</v>
      </c>
      <c r="E223" s="51">
        <v>0</v>
      </c>
      <c r="F223" s="51">
        <f t="shared" si="1"/>
        <v>245.53803456000003</v>
      </c>
      <c r="G223" s="145"/>
      <c r="H223" s="146"/>
      <c r="I223" s="37"/>
      <c r="L223" s="150"/>
      <c r="M223" s="150"/>
      <c r="N223" s="37"/>
    </row>
    <row r="224" spans="1:14" s="52" customFormat="1" ht="15.75" customHeight="1" x14ac:dyDescent="0.35">
      <c r="A224" s="136">
        <v>14</v>
      </c>
      <c r="B224" s="137"/>
      <c r="C224" s="51" t="s">
        <v>185</v>
      </c>
      <c r="D224" s="51">
        <f>(5.28*2.56)*10.764</f>
        <v>145.49483520000001</v>
      </c>
      <c r="E224" s="51">
        <v>0</v>
      </c>
      <c r="F224" s="51">
        <f t="shared" si="1"/>
        <v>232.79173632000004</v>
      </c>
      <c r="G224" s="145"/>
      <c r="H224" s="146"/>
      <c r="I224" s="37"/>
      <c r="L224" s="150"/>
      <c r="M224" s="150"/>
      <c r="N224" s="37"/>
    </row>
    <row r="225" spans="1:14" s="52" customFormat="1" ht="15.75" customHeight="1" x14ac:dyDescent="0.35">
      <c r="A225" s="136">
        <v>15</v>
      </c>
      <c r="B225" s="137"/>
      <c r="C225" s="51" t="s">
        <v>185</v>
      </c>
      <c r="D225" s="51">
        <f>(5.44*2.57)*10.764</f>
        <v>150.48933119999998</v>
      </c>
      <c r="E225" s="51">
        <v>0</v>
      </c>
      <c r="F225" s="51">
        <f>(D225+E225)*(($F$212)+1)</f>
        <v>240.78292991999999</v>
      </c>
      <c r="G225" s="145"/>
      <c r="H225" s="146"/>
      <c r="I225" s="37"/>
      <c r="L225" s="150"/>
      <c r="M225" s="150"/>
      <c r="N225" s="37"/>
    </row>
    <row r="226" spans="1:14" s="52" customFormat="1" ht="15.75" customHeight="1" x14ac:dyDescent="0.35">
      <c r="A226" s="136">
        <v>16</v>
      </c>
      <c r="B226" s="137"/>
      <c r="C226" s="51" t="s">
        <v>185</v>
      </c>
      <c r="D226" s="51">
        <f>(5.61*2.9)*10.764</f>
        <v>175.119516</v>
      </c>
      <c r="E226" s="51">
        <v>0</v>
      </c>
      <c r="F226" s="51">
        <f t="shared" ref="F226:F228" si="2">(D226+E226)*(($F$212)+1)</f>
        <v>280.1912256</v>
      </c>
      <c r="G226" s="145"/>
      <c r="H226" s="146"/>
      <c r="I226" s="37"/>
      <c r="L226" s="150"/>
      <c r="M226" s="150"/>
      <c r="N226" s="37"/>
    </row>
    <row r="227" spans="1:14" s="52" customFormat="1" ht="15.75" customHeight="1" x14ac:dyDescent="0.35">
      <c r="A227" s="136">
        <v>17</v>
      </c>
      <c r="B227" s="137"/>
      <c r="C227" s="51" t="s">
        <v>185</v>
      </c>
      <c r="D227" s="51">
        <f>(5.76*2.05)*10.764</f>
        <v>127.10131199999996</v>
      </c>
      <c r="E227" s="51">
        <v>0</v>
      </c>
      <c r="F227" s="51">
        <f t="shared" si="2"/>
        <v>203.36209919999996</v>
      </c>
      <c r="G227" s="145"/>
      <c r="H227" s="146"/>
      <c r="I227" s="37"/>
      <c r="L227" s="150"/>
      <c r="M227" s="150"/>
      <c r="N227" s="37"/>
    </row>
    <row r="228" spans="1:14" s="52" customFormat="1" ht="15.75" customHeight="1" x14ac:dyDescent="0.35">
      <c r="A228" s="136">
        <v>18</v>
      </c>
      <c r="B228" s="137"/>
      <c r="C228" s="51" t="s">
        <v>185</v>
      </c>
      <c r="D228" s="51">
        <f>(5.91*2.75)*10.764</f>
        <v>174.94191000000001</v>
      </c>
      <c r="E228" s="51">
        <v>0</v>
      </c>
      <c r="F228" s="51">
        <f t="shared" si="2"/>
        <v>279.90705600000001</v>
      </c>
      <c r="G228" s="145"/>
      <c r="H228" s="146"/>
      <c r="I228" s="37"/>
      <c r="L228" s="150"/>
      <c r="M228" s="150"/>
      <c r="N228" s="37"/>
    </row>
    <row r="229" spans="1:14" s="52" customFormat="1" ht="15.75" customHeight="1" x14ac:dyDescent="0.35">
      <c r="A229" s="136">
        <v>19</v>
      </c>
      <c r="B229" s="137"/>
      <c r="C229" s="51" t="s">
        <v>185</v>
      </c>
      <c r="D229" s="51">
        <f>(5.91*2.98)*10.764</f>
        <v>189.57341519999997</v>
      </c>
      <c r="E229" s="51">
        <v>0</v>
      </c>
      <c r="F229" s="51">
        <f t="shared" ref="F229" si="3">(D229+E229)*(($F$212)+1)</f>
        <v>303.31746431999994</v>
      </c>
      <c r="G229" s="147"/>
      <c r="H229" s="148"/>
      <c r="I229" s="37">
        <f>3200000/F229</f>
        <v>10550.002477351583</v>
      </c>
      <c r="L229" s="150"/>
      <c r="M229" s="150"/>
      <c r="N229" s="37"/>
    </row>
    <row r="230" spans="1:14" s="52" customFormat="1" x14ac:dyDescent="0.35">
      <c r="A230" s="138" t="s">
        <v>186</v>
      </c>
      <c r="B230" s="139"/>
      <c r="C230" s="139"/>
      <c r="D230" s="139"/>
      <c r="E230" s="139"/>
      <c r="F230" s="139"/>
      <c r="G230" s="139"/>
      <c r="H230" s="140"/>
      <c r="J230" s="37"/>
    </row>
    <row r="231" spans="1:14" s="58" customFormat="1" x14ac:dyDescent="0.35">
      <c r="A231" s="138" t="s">
        <v>212</v>
      </c>
      <c r="B231" s="139"/>
      <c r="C231" s="139"/>
      <c r="D231" s="139"/>
      <c r="E231" s="139"/>
      <c r="F231" s="139"/>
      <c r="G231" s="139"/>
      <c r="H231" s="140"/>
      <c r="J231" s="37"/>
    </row>
    <row r="232" spans="1:14" s="52" customFormat="1" ht="15.75" customHeight="1" x14ac:dyDescent="0.35">
      <c r="A232" s="138" t="s">
        <v>211</v>
      </c>
      <c r="B232" s="139"/>
      <c r="C232" s="139"/>
      <c r="D232" s="139"/>
      <c r="E232" s="139"/>
      <c r="F232" s="139"/>
      <c r="G232" s="139"/>
      <c r="H232" s="140"/>
      <c r="J232" s="37"/>
    </row>
    <row r="233" spans="1:14" s="52" customFormat="1" ht="15.75" customHeight="1" x14ac:dyDescent="0.35">
      <c r="A233" s="136">
        <v>20</v>
      </c>
      <c r="B233" s="137"/>
      <c r="C233" s="51" t="s">
        <v>185</v>
      </c>
      <c r="D233" s="51">
        <f>(5.12*5.13)*10.764</f>
        <v>282.72291839999997</v>
      </c>
      <c r="E233" s="51">
        <v>0</v>
      </c>
      <c r="F233" s="51">
        <f>(D233+E233)*(($F$212)+1)</f>
        <v>452.35666943999996</v>
      </c>
      <c r="G233" s="143" t="str">
        <f>A232</f>
        <v>Ground Floor For Commercial</v>
      </c>
      <c r="H233" s="144"/>
      <c r="I233" s="37"/>
      <c r="L233" s="150"/>
      <c r="M233" s="150"/>
      <c r="N233" s="37"/>
    </row>
    <row r="234" spans="1:14" s="52" customFormat="1" ht="15.75" customHeight="1" x14ac:dyDescent="0.35">
      <c r="A234" s="136">
        <v>21</v>
      </c>
      <c r="B234" s="137"/>
      <c r="C234" s="51" t="s">
        <v>185</v>
      </c>
      <c r="D234" s="51">
        <f>(4.13*2.98)*10.764</f>
        <v>132.4768536</v>
      </c>
      <c r="E234" s="51">
        <v>0</v>
      </c>
      <c r="F234" s="51">
        <f t="shared" ref="F234:F236" si="4">(D234+E234)*(($F$212)+1)</f>
        <v>211.96296576</v>
      </c>
      <c r="G234" s="145"/>
      <c r="H234" s="146"/>
      <c r="I234" s="37"/>
      <c r="L234" s="150"/>
      <c r="M234" s="150"/>
      <c r="N234" s="37"/>
    </row>
    <row r="235" spans="1:14" s="52" customFormat="1" ht="15.75" customHeight="1" x14ac:dyDescent="0.35">
      <c r="A235" s="136">
        <v>22</v>
      </c>
      <c r="B235" s="137"/>
      <c r="C235" s="51" t="s">
        <v>185</v>
      </c>
      <c r="D235" s="51">
        <f>(4.37*4.85)*10.764</f>
        <v>228.13759799999997</v>
      </c>
      <c r="E235" s="51">
        <v>0</v>
      </c>
      <c r="F235" s="51">
        <f t="shared" si="4"/>
        <v>365.0201568</v>
      </c>
      <c r="G235" s="145"/>
      <c r="H235" s="146"/>
      <c r="I235" s="37"/>
      <c r="L235" s="150"/>
      <c r="M235" s="150"/>
      <c r="N235" s="37"/>
    </row>
    <row r="236" spans="1:14" s="52" customFormat="1" ht="15.75" customHeight="1" x14ac:dyDescent="0.35">
      <c r="A236" s="136">
        <v>23</v>
      </c>
      <c r="B236" s="137"/>
      <c r="C236" s="51" t="s">
        <v>185</v>
      </c>
      <c r="D236" s="51">
        <f>(4.61*2.9)*10.764</f>
        <v>143.90391599999998</v>
      </c>
      <c r="E236" s="51">
        <v>0</v>
      </c>
      <c r="F236" s="51">
        <f t="shared" si="4"/>
        <v>230.24626559999999</v>
      </c>
      <c r="G236" s="145"/>
      <c r="H236" s="146"/>
      <c r="I236" s="37"/>
      <c r="L236" s="150"/>
      <c r="M236" s="150"/>
      <c r="N236" s="37"/>
    </row>
    <row r="237" spans="1:14" s="52" customFormat="1" ht="15.75" customHeight="1" x14ac:dyDescent="0.35">
      <c r="A237" s="136">
        <v>24</v>
      </c>
      <c r="B237" s="137"/>
      <c r="C237" s="51" t="s">
        <v>185</v>
      </c>
      <c r="D237" s="51">
        <f>(4.88*5.9)*10.764</f>
        <v>309.91708799999998</v>
      </c>
      <c r="E237" s="51">
        <v>0</v>
      </c>
      <c r="F237" s="51">
        <f>(D237+E237)*(($F$212)+1)</f>
        <v>495.86734079999997</v>
      </c>
      <c r="G237" s="147"/>
      <c r="H237" s="148"/>
      <c r="I237" s="37"/>
      <c r="L237" s="150"/>
      <c r="M237" s="150"/>
      <c r="N237" s="37"/>
    </row>
    <row r="238" spans="1:14" s="46" customFormat="1" x14ac:dyDescent="0.35">
      <c r="A238" s="136"/>
      <c r="B238" s="149"/>
      <c r="C238" s="149"/>
      <c r="D238" s="149"/>
      <c r="E238" s="149"/>
      <c r="F238" s="149"/>
      <c r="G238" s="149"/>
      <c r="H238" s="137"/>
      <c r="I238" s="37"/>
      <c r="N238" s="37"/>
    </row>
    <row r="239" spans="1:14" ht="47.25" customHeight="1" x14ac:dyDescent="0.35">
      <c r="A239" s="158" t="s">
        <v>122</v>
      </c>
      <c r="B239" s="158" t="s">
        <v>123</v>
      </c>
      <c r="C239" s="154" t="s">
        <v>60</v>
      </c>
      <c r="D239" s="154" t="s">
        <v>61</v>
      </c>
      <c r="E239" s="156" t="s">
        <v>62</v>
      </c>
      <c r="F239" s="44" t="s">
        <v>153</v>
      </c>
      <c r="G239" s="158" t="s">
        <v>63</v>
      </c>
      <c r="H239" s="159"/>
      <c r="I239" s="37"/>
    </row>
    <row r="240" spans="1:14" s="46" customFormat="1" x14ac:dyDescent="0.35">
      <c r="A240" s="160"/>
      <c r="B240" s="160"/>
      <c r="C240" s="155"/>
      <c r="D240" s="155"/>
      <c r="E240" s="157"/>
      <c r="F240" s="15">
        <v>0.55000000000000004</v>
      </c>
      <c r="G240" s="160"/>
      <c r="H240" s="161"/>
      <c r="I240" s="37"/>
    </row>
    <row r="241" spans="1:14" s="52" customFormat="1" x14ac:dyDescent="0.35">
      <c r="A241" s="138" t="s">
        <v>184</v>
      </c>
      <c r="B241" s="139"/>
      <c r="C241" s="139"/>
      <c r="D241" s="139"/>
      <c r="E241" s="139"/>
      <c r="F241" s="139"/>
      <c r="G241" s="139"/>
      <c r="H241" s="140"/>
      <c r="J241" s="37"/>
    </row>
    <row r="242" spans="1:14" s="58" customFormat="1" x14ac:dyDescent="0.35">
      <c r="A242" s="138" t="s">
        <v>212</v>
      </c>
      <c r="B242" s="139"/>
      <c r="C242" s="139"/>
      <c r="D242" s="139"/>
      <c r="E242" s="139"/>
      <c r="F242" s="139"/>
      <c r="G242" s="139"/>
      <c r="H242" s="140"/>
      <c r="J242" s="37"/>
    </row>
    <row r="243" spans="1:14" s="52" customFormat="1" x14ac:dyDescent="0.35">
      <c r="A243" s="141" t="s">
        <v>187</v>
      </c>
      <c r="B243" s="141"/>
      <c r="C243" s="141"/>
      <c r="D243" s="141"/>
      <c r="E243" s="141"/>
      <c r="F243" s="141"/>
      <c r="G243" s="141"/>
      <c r="H243" s="141"/>
      <c r="J243" s="37"/>
    </row>
    <row r="244" spans="1:14" s="52" customFormat="1" ht="15.75" customHeight="1" x14ac:dyDescent="0.35">
      <c r="A244" s="142">
        <v>1</v>
      </c>
      <c r="B244" s="142"/>
      <c r="C244" s="98" t="s">
        <v>188</v>
      </c>
      <c r="D244" s="98">
        <f>(4.55*2.9+3.15*2.15+3.15*2.75+2*1.2+1.2*2+0.75*2.15+0.6*(2.75+2.9))*10.764</f>
        <v>413.68742999999989</v>
      </c>
      <c r="E244" s="98">
        <v>0</v>
      </c>
      <c r="F244" s="98">
        <f t="shared" ref="F244:F253" si="5">D244*(($F$240)+1)+(IF(E244&lt;101,E244,IF(E244&lt;201,E244/2,IF(E244&lt;=301,E244/3,E244/4))))</f>
        <v>641.21551649999981</v>
      </c>
      <c r="G244" s="142" t="s">
        <v>187</v>
      </c>
      <c r="H244" s="142"/>
      <c r="I244" s="37"/>
      <c r="L244" s="150"/>
      <c r="M244" s="150"/>
      <c r="N244" s="37"/>
    </row>
    <row r="245" spans="1:14" s="52" customFormat="1" ht="15.75" customHeight="1" x14ac:dyDescent="0.35">
      <c r="A245" s="142">
        <f t="shared" ref="A245:A253" si="6">A244+1</f>
        <v>2</v>
      </c>
      <c r="B245" s="142"/>
      <c r="C245" s="98" t="s">
        <v>188</v>
      </c>
      <c r="D245" s="98">
        <f>(4.55*2.9+3.15*2.15+3.15*2.75+2*1.2+1.2*2)*10.764</f>
        <v>359.84051999999991</v>
      </c>
      <c r="E245" s="60">
        <f>(15.7)*10.764</f>
        <v>168.99479999999997</v>
      </c>
      <c r="F245" s="98">
        <f t="shared" si="5"/>
        <v>642.25020599999982</v>
      </c>
      <c r="G245" s="142"/>
      <c r="H245" s="142"/>
      <c r="I245" s="37"/>
      <c r="L245" s="150"/>
      <c r="M245" s="150"/>
      <c r="N245" s="37"/>
    </row>
    <row r="246" spans="1:14" s="52" customFormat="1" ht="15.75" customHeight="1" x14ac:dyDescent="0.35">
      <c r="A246" s="142">
        <f t="shared" si="6"/>
        <v>3</v>
      </c>
      <c r="B246" s="142"/>
      <c r="C246" s="98" t="s">
        <v>188</v>
      </c>
      <c r="D246" s="98">
        <f>(4.55*2.9+1.35*0.9+3.2*2.15+3.2*2.75+1.25*2+1.25*2)*10.764</f>
        <v>377.70876000000004</v>
      </c>
      <c r="E246" s="60">
        <f>(10.38)*10.764</f>
        <v>111.73032000000001</v>
      </c>
      <c r="F246" s="98">
        <f t="shared" si="5"/>
        <v>641.31373800000006</v>
      </c>
      <c r="G246" s="142"/>
      <c r="H246" s="142"/>
      <c r="I246" s="37"/>
      <c r="L246" s="150"/>
      <c r="M246" s="150"/>
      <c r="N246" s="37"/>
    </row>
    <row r="247" spans="1:14" s="52" customFormat="1" ht="15.75" customHeight="1" x14ac:dyDescent="0.35">
      <c r="A247" s="142">
        <f t="shared" si="6"/>
        <v>4</v>
      </c>
      <c r="B247" s="142"/>
      <c r="C247" s="98" t="s">
        <v>188</v>
      </c>
      <c r="D247" s="98">
        <f>(4.55*2.9+1.4*0.9+3.2*2.15+3.15*2.75+1.25*2+1.25*2)*10.764</f>
        <v>376.71308999999991</v>
      </c>
      <c r="E247" s="60">
        <f>(14.36)*10.764</f>
        <v>154.57103999999998</v>
      </c>
      <c r="F247" s="98">
        <f t="shared" si="5"/>
        <v>661.19080949999989</v>
      </c>
      <c r="G247" s="142"/>
      <c r="H247" s="142"/>
      <c r="I247" s="37"/>
      <c r="L247" s="150"/>
      <c r="M247" s="150"/>
      <c r="N247" s="37"/>
    </row>
    <row r="248" spans="1:14" s="52" customFormat="1" ht="15.75" customHeight="1" x14ac:dyDescent="0.35">
      <c r="A248" s="142">
        <f t="shared" si="6"/>
        <v>5</v>
      </c>
      <c r="B248" s="142"/>
      <c r="C248" s="98" t="s">
        <v>190</v>
      </c>
      <c r="D248" s="98">
        <f>(4.6*2.9+3.15*2.05+3.05*2.75+3.05*2.9+0.9*1.05+1.8*0.6+2*0.9+2*1.2+2*1.2)*10.764</f>
        <v>491.43041999999991</v>
      </c>
      <c r="E248" s="60">
        <f>(34.4)*10.764</f>
        <v>370.28159999999997</v>
      </c>
      <c r="F248" s="98">
        <f t="shared" si="5"/>
        <v>854.28755099999978</v>
      </c>
      <c r="G248" s="142"/>
      <c r="H248" s="142"/>
      <c r="I248" s="37">
        <f>3100000/F248</f>
        <v>3628.7547399833302</v>
      </c>
      <c r="J248" s="51">
        <f>(4.6*2.9+3.15*2.05+2*0.9+3.05*2.75+3.05*2.9+0.9*1.05+1.8*0.6+2*1.2+2*1.2+0.6*2.9)*10.764</f>
        <v>510.1597799999999</v>
      </c>
      <c r="L248" s="150"/>
      <c r="M248" s="150"/>
      <c r="N248" s="37"/>
    </row>
    <row r="249" spans="1:14" s="52" customFormat="1" ht="15.75" customHeight="1" x14ac:dyDescent="0.35">
      <c r="A249" s="142">
        <f t="shared" si="6"/>
        <v>6</v>
      </c>
      <c r="B249" s="142"/>
      <c r="C249" s="98" t="s">
        <v>190</v>
      </c>
      <c r="D249" s="98">
        <f>(4.6*2.9+3.15*2.05+2*0.9+3.05*2.75+3.05*2.9+0.9*1.05+1.8*0.6+2*1.2+2*1.2+0.6*(2.9+2.05+2.75+2.9))*10.764</f>
        <v>559.88945999999987</v>
      </c>
      <c r="E249" s="98">
        <v>0</v>
      </c>
      <c r="F249" s="98">
        <f t="shared" si="5"/>
        <v>867.82866299999978</v>
      </c>
      <c r="G249" s="142"/>
      <c r="H249" s="142"/>
      <c r="I249" s="37"/>
      <c r="L249" s="150"/>
      <c r="M249" s="150"/>
      <c r="N249" s="37"/>
    </row>
    <row r="250" spans="1:14" s="52" customFormat="1" ht="15.75" customHeight="1" x14ac:dyDescent="0.35">
      <c r="A250" s="142">
        <f t="shared" si="6"/>
        <v>7</v>
      </c>
      <c r="B250" s="142"/>
      <c r="C250" s="98" t="s">
        <v>190</v>
      </c>
      <c r="D250" s="98">
        <f>(4.55*2.9+2.05*3.15+2.75*3.05+2.97*0.9+2.9*3.65+1.63*0.6+2*1.2+1.2*2+0.6*(2.9+2.05+2.75+2.9))*10.764</f>
        <v>575.18510399999991</v>
      </c>
      <c r="E250" s="98">
        <v>0</v>
      </c>
      <c r="F250" s="98">
        <f t="shared" si="5"/>
        <v>891.53691119999985</v>
      </c>
      <c r="G250" s="142"/>
      <c r="H250" s="142"/>
      <c r="I250" s="37"/>
      <c r="L250" s="150"/>
      <c r="M250" s="150"/>
      <c r="N250" s="37"/>
    </row>
    <row r="251" spans="1:14" s="52" customFormat="1" ht="15.75" customHeight="1" x14ac:dyDescent="0.35">
      <c r="A251" s="142">
        <f t="shared" si="6"/>
        <v>8</v>
      </c>
      <c r="B251" s="142"/>
      <c r="C251" s="98" t="s">
        <v>190</v>
      </c>
      <c r="D251" s="98">
        <f>(4.55*2.9+2.05*3.15+2.75*3.05+3.05*2.9+1.05*0.9+2*0.9+1.8*0.6+2*1.2+1.2*2+0.6*(2.9+2.75+2.05+2.9))*10.764</f>
        <v>558.32867999999974</v>
      </c>
      <c r="E251" s="98">
        <v>0</v>
      </c>
      <c r="F251" s="98">
        <f t="shared" si="5"/>
        <v>865.40945399999964</v>
      </c>
      <c r="G251" s="142"/>
      <c r="H251" s="142"/>
      <c r="I251" s="37">
        <f>4260000/F251</f>
        <v>4922.5253783742482</v>
      </c>
      <c r="L251" s="150"/>
      <c r="M251" s="150"/>
      <c r="N251" s="37"/>
    </row>
    <row r="252" spans="1:14" s="52" customFormat="1" ht="15.75" customHeight="1" x14ac:dyDescent="0.35">
      <c r="A252" s="142">
        <f t="shared" si="6"/>
        <v>9</v>
      </c>
      <c r="B252" s="142"/>
      <c r="C252" s="98" t="s">
        <v>190</v>
      </c>
      <c r="D252" s="98">
        <f>(4.55*2.9+2.05*3.15+2.75*3.05+3.05*2.9+1.05*0.9+2*0.9+1.8*0.6+2*1.2+1.2*2+0.6*(2.9+2.75+2.05+2.9))*10.764</f>
        <v>558.32867999999974</v>
      </c>
      <c r="E252" s="98">
        <v>0</v>
      </c>
      <c r="F252" s="98">
        <f t="shared" si="5"/>
        <v>865.40945399999964</v>
      </c>
      <c r="G252" s="142"/>
      <c r="H252" s="142"/>
      <c r="I252" s="37"/>
      <c r="L252" s="150"/>
      <c r="M252" s="150"/>
      <c r="N252" s="37"/>
    </row>
    <row r="253" spans="1:14" s="52" customFormat="1" ht="15.75" customHeight="1" x14ac:dyDescent="0.35">
      <c r="A253" s="142">
        <f t="shared" si="6"/>
        <v>10</v>
      </c>
      <c r="B253" s="142"/>
      <c r="C253" s="98" t="s">
        <v>190</v>
      </c>
      <c r="D253" s="98">
        <f>(4.55*2.9+2.05*3.15+2.75*3.05+2.97*0.9+2.9*3.65+1.63*0.6+2*1.2+1.2*2+0.6*(2.9+2.05+2.75+2.9))*10.764</f>
        <v>575.18510399999991</v>
      </c>
      <c r="E253" s="98">
        <v>0</v>
      </c>
      <c r="F253" s="98">
        <f t="shared" si="5"/>
        <v>891.53691119999985</v>
      </c>
      <c r="G253" s="142"/>
      <c r="H253" s="142"/>
      <c r="I253" s="37"/>
      <c r="L253" s="150"/>
      <c r="M253" s="150"/>
      <c r="N253" s="37"/>
    </row>
    <row r="254" spans="1:14" s="56" customFormat="1" x14ac:dyDescent="0.35">
      <c r="A254" s="138" t="s">
        <v>191</v>
      </c>
      <c r="B254" s="139"/>
      <c r="C254" s="139"/>
      <c r="D254" s="139"/>
      <c r="E254" s="139"/>
      <c r="F254" s="139"/>
      <c r="G254" s="139"/>
      <c r="H254" s="140"/>
      <c r="J254" s="37"/>
    </row>
    <row r="255" spans="1:14" s="56" customFormat="1" ht="15.75" customHeight="1" x14ac:dyDescent="0.35">
      <c r="A255" s="136">
        <v>1</v>
      </c>
      <c r="B255" s="137"/>
      <c r="C255" s="57" t="s">
        <v>188</v>
      </c>
      <c r="D255" s="57">
        <f>(4.55*2.9+3.15*2.15+3.15*2.75+2*1.2+1.2*2+0.75*2.15+0.6*(2.75+2.9))*10.764</f>
        <v>413.68742999999989</v>
      </c>
      <c r="E255" s="57">
        <v>0</v>
      </c>
      <c r="F255" s="57">
        <f t="shared" ref="F255:F264" si="7">D255*(($F$240)+1)+(IF(E255&lt;101,E255,IF(E255&lt;201,E255/2,IF(E255&lt;=301,E255/3,E255/4))))</f>
        <v>641.21551649999981</v>
      </c>
      <c r="G255" s="143" t="s">
        <v>187</v>
      </c>
      <c r="H255" s="144"/>
      <c r="I255" s="37"/>
      <c r="L255" s="150"/>
      <c r="M255" s="150"/>
      <c r="N255" s="37"/>
    </row>
    <row r="256" spans="1:14" s="56" customFormat="1" ht="15.75" customHeight="1" x14ac:dyDescent="0.35">
      <c r="A256" s="136">
        <f t="shared" ref="A256:A264" si="8">A255+1</f>
        <v>2</v>
      </c>
      <c r="B256" s="137"/>
      <c r="C256" s="57" t="s">
        <v>188</v>
      </c>
      <c r="D256" s="57">
        <f>(4.55*2.9+3.15*2.15+3.15*2.75+2*1.2+1.2*2+0.75*2.15+0.6*(2.75+2.9))*10.764</f>
        <v>413.68742999999989</v>
      </c>
      <c r="E256" s="57">
        <v>0</v>
      </c>
      <c r="F256" s="57">
        <f t="shared" si="7"/>
        <v>641.21551649999981</v>
      </c>
      <c r="G256" s="145"/>
      <c r="H256" s="146"/>
      <c r="I256" s="37"/>
      <c r="L256" s="150"/>
      <c r="M256" s="150"/>
      <c r="N256" s="37"/>
    </row>
    <row r="257" spans="1:14" s="56" customFormat="1" ht="15.75" customHeight="1" x14ac:dyDescent="0.35">
      <c r="A257" s="136">
        <f t="shared" si="8"/>
        <v>3</v>
      </c>
      <c r="B257" s="137"/>
      <c r="C257" s="57" t="s">
        <v>188</v>
      </c>
      <c r="D257" s="57">
        <f>(4.55*2.9+1.35*0.9+3.2*2.15+3.2*2.75+1.25*2+1.25*2+0.75*2.15+0.6*(2.9+2.75))*10.764</f>
        <v>431.55566999999996</v>
      </c>
      <c r="E257" s="57">
        <v>0</v>
      </c>
      <c r="F257" s="57">
        <f t="shared" si="7"/>
        <v>668.91128849999996</v>
      </c>
      <c r="G257" s="145"/>
      <c r="H257" s="146"/>
      <c r="I257" s="37">
        <f>3300000/F257</f>
        <v>4933.3896089570926</v>
      </c>
      <c r="J257" s="56">
        <f>5200*F257</f>
        <v>3478338.7001999998</v>
      </c>
      <c r="L257" s="150"/>
      <c r="M257" s="150"/>
      <c r="N257" s="37"/>
    </row>
    <row r="258" spans="1:14" s="56" customFormat="1" ht="15.75" customHeight="1" x14ac:dyDescent="0.35">
      <c r="A258" s="136">
        <f t="shared" si="8"/>
        <v>4</v>
      </c>
      <c r="B258" s="137"/>
      <c r="C258" s="57" t="s">
        <v>188</v>
      </c>
      <c r="D258" s="57">
        <f>(4.55*2.9+1.4*0.9+3.2*2.15+3.15*2.75+1.25*2+1.25*2+0.75*2.15+0.6*(2.9+2.75))*10.764</f>
        <v>430.55999999999989</v>
      </c>
      <c r="E258" s="57">
        <v>0</v>
      </c>
      <c r="F258" s="57">
        <f t="shared" si="7"/>
        <v>667.36799999999982</v>
      </c>
      <c r="G258" s="145"/>
      <c r="H258" s="146"/>
      <c r="I258" s="37"/>
      <c r="L258" s="150"/>
      <c r="M258" s="150"/>
      <c r="N258" s="37"/>
    </row>
    <row r="259" spans="1:14" s="56" customFormat="1" ht="15.75" customHeight="1" x14ac:dyDescent="0.35">
      <c r="A259" s="136">
        <f t="shared" si="8"/>
        <v>5</v>
      </c>
      <c r="B259" s="137"/>
      <c r="C259" s="57" t="s">
        <v>190</v>
      </c>
      <c r="D259" s="59">
        <f>(4.6*2.9+3.15*2.05+2*0.9+3.05*2.75+3.05*2.9+0.9*1.05+1.8*0.6+2*0.9+2*1.2+2*1.2+2.05*0.75+0.6*(2.9+2.75+2.9))*10.764</f>
        <v>582.57458999999994</v>
      </c>
      <c r="E259" s="57">
        <v>0</v>
      </c>
      <c r="F259" s="57">
        <f t="shared" si="7"/>
        <v>902.99061449999999</v>
      </c>
      <c r="G259" s="145"/>
      <c r="H259" s="146"/>
      <c r="I259" s="37"/>
      <c r="J259" s="57">
        <f>(4.6*2.9+3.15*2.05+2*0.9+3.05*2.75+3.05*2.9+0.9*1.05+1.8*0.6+2*1.2+2*1.2+0.6*2.9)*10.764</f>
        <v>510.1597799999999</v>
      </c>
      <c r="L259" s="150"/>
      <c r="M259" s="150"/>
      <c r="N259" s="37"/>
    </row>
    <row r="260" spans="1:14" s="56" customFormat="1" ht="15.75" customHeight="1" x14ac:dyDescent="0.35">
      <c r="A260" s="136">
        <f t="shared" si="8"/>
        <v>6</v>
      </c>
      <c r="B260" s="137"/>
      <c r="C260" s="57" t="s">
        <v>190</v>
      </c>
      <c r="D260" s="57">
        <f>(4.6*2.9+3.15*2.05+2*0.9+3.05*2.75+3.05*2.9+0.9*1.05+1.8*0.6+2*0.9+2*1.2+2*1.2+2.05*0.75+0.6*(2.9+2.75+2.9))*10.764</f>
        <v>582.57458999999994</v>
      </c>
      <c r="E260" s="57">
        <v>0</v>
      </c>
      <c r="F260" s="57">
        <f t="shared" si="7"/>
        <v>902.99061449999999</v>
      </c>
      <c r="G260" s="145"/>
      <c r="H260" s="146"/>
      <c r="I260" s="37"/>
      <c r="L260" s="150"/>
      <c r="M260" s="150"/>
      <c r="N260" s="37"/>
    </row>
    <row r="261" spans="1:14" s="56" customFormat="1" ht="15.75" customHeight="1" x14ac:dyDescent="0.35">
      <c r="A261" s="136">
        <f t="shared" si="8"/>
        <v>7</v>
      </c>
      <c r="B261" s="137"/>
      <c r="C261" s="57" t="s">
        <v>190</v>
      </c>
      <c r="D261" s="57">
        <f>(4.55*2.9+2.05*3.15+2.75*3.05+2.97*0.9+2.9*3.65+1.63*0.6+2*1.2+1.2*2+0.75*2.05+0.6*(2.9+2.75+2.9))*10.764</f>
        <v>578.49503399999992</v>
      </c>
      <c r="E261" s="57">
        <v>0</v>
      </c>
      <c r="F261" s="57">
        <f t="shared" si="7"/>
        <v>896.66730269999994</v>
      </c>
      <c r="G261" s="145"/>
      <c r="H261" s="146"/>
      <c r="I261" s="37"/>
      <c r="L261" s="150"/>
      <c r="M261" s="150"/>
      <c r="N261" s="37"/>
    </row>
    <row r="262" spans="1:14" s="56" customFormat="1" ht="15.75" customHeight="1" x14ac:dyDescent="0.35">
      <c r="A262" s="136">
        <f t="shared" si="8"/>
        <v>8</v>
      </c>
      <c r="B262" s="137"/>
      <c r="C262" s="57" t="s">
        <v>190</v>
      </c>
      <c r="D262" s="57">
        <f>(4.55*2.9+2.05*3.15+2.75*3.05+3.05*2.9+1.05*0.9+2*0.9+1.8*0.6+2*1.2+1.2*2+0.75*2.05+0.6*(2.9+2.75+2.9))*10.764</f>
        <v>561.63860999999986</v>
      </c>
      <c r="E262" s="57">
        <v>0</v>
      </c>
      <c r="F262" s="57">
        <f t="shared" si="7"/>
        <v>870.53984549999984</v>
      </c>
      <c r="G262" s="145"/>
      <c r="H262" s="146"/>
      <c r="I262" s="37"/>
      <c r="L262" s="150"/>
      <c r="M262" s="150"/>
      <c r="N262" s="37"/>
    </row>
    <row r="263" spans="1:14" s="56" customFormat="1" ht="15.75" customHeight="1" x14ac:dyDescent="0.35">
      <c r="A263" s="136">
        <f t="shared" si="8"/>
        <v>9</v>
      </c>
      <c r="B263" s="137"/>
      <c r="C263" s="57" t="s">
        <v>190</v>
      </c>
      <c r="D263" s="57">
        <f>(4.55*2.9+2.05*3.15+2.75*3.05+3.05*2.9+1.05*0.9+2*0.9+1.8*0.6+2*1.2+1.2*2+0.75*2.05+0.6*(2.9+2.75+2.9))*10.764</f>
        <v>561.63860999999986</v>
      </c>
      <c r="E263" s="57">
        <v>0</v>
      </c>
      <c r="F263" s="57">
        <f t="shared" si="7"/>
        <v>870.53984549999984</v>
      </c>
      <c r="G263" s="145"/>
      <c r="H263" s="146"/>
      <c r="I263" s="37"/>
      <c r="L263" s="150"/>
      <c r="M263" s="150"/>
      <c r="N263" s="37"/>
    </row>
    <row r="264" spans="1:14" s="56" customFormat="1" ht="15.75" customHeight="1" x14ac:dyDescent="0.35">
      <c r="A264" s="136">
        <f t="shared" si="8"/>
        <v>10</v>
      </c>
      <c r="B264" s="137"/>
      <c r="C264" s="57" t="s">
        <v>190</v>
      </c>
      <c r="D264" s="57">
        <f>(4.55*2.9+2.05*3.15+2.75*3.05+2.97*0.9+2.9*3.65+1.63*0.6+2*1.2+1.2*2+0.75*2.05+0.6*(2.9+2.75+2.9))*10.764</f>
        <v>578.49503399999992</v>
      </c>
      <c r="E264" s="57">
        <v>0</v>
      </c>
      <c r="F264" s="57">
        <f t="shared" si="7"/>
        <v>896.66730269999994</v>
      </c>
      <c r="G264" s="147"/>
      <c r="H264" s="148"/>
      <c r="I264" s="37"/>
      <c r="L264" s="150"/>
      <c r="M264" s="150"/>
      <c r="N264" s="37"/>
    </row>
    <row r="265" spans="1:14" s="55" customFormat="1" x14ac:dyDescent="0.35">
      <c r="A265" s="138" t="s">
        <v>192</v>
      </c>
      <c r="B265" s="139"/>
      <c r="C265" s="139"/>
      <c r="D265" s="139"/>
      <c r="E265" s="139"/>
      <c r="F265" s="139"/>
      <c r="G265" s="139"/>
      <c r="H265" s="140"/>
      <c r="J265" s="37"/>
    </row>
    <row r="266" spans="1:14" s="55" customFormat="1" ht="15.75" customHeight="1" x14ac:dyDescent="0.35">
      <c r="A266" s="136">
        <v>1</v>
      </c>
      <c r="B266" s="137"/>
      <c r="C266" s="54" t="s">
        <v>188</v>
      </c>
      <c r="D266" s="57">
        <f>(4.55*2.9+3.15*2.15+3.15*2.75+2*1.2+1.2*2+0.75*2.15+0.6*(2.75+2.9))*10.764</f>
        <v>413.68742999999989</v>
      </c>
      <c r="E266" s="54">
        <v>0</v>
      </c>
      <c r="F266" s="54">
        <f t="shared" ref="F266:F275" si="9">D266*(($F$240)+1)+(IF(E266&lt;101,E266,IF(E266&lt;201,E266/2,IF(E266&lt;=301,E266/3,E266/4))))</f>
        <v>641.21551649999981</v>
      </c>
      <c r="G266" s="143" t="s">
        <v>192</v>
      </c>
      <c r="H266" s="144"/>
      <c r="I266" s="37"/>
      <c r="J266" s="56"/>
      <c r="K266" s="56"/>
      <c r="L266" s="150"/>
      <c r="M266" s="150"/>
      <c r="N266" s="37"/>
    </row>
    <row r="267" spans="1:14" s="55" customFormat="1" ht="15.75" customHeight="1" x14ac:dyDescent="0.35">
      <c r="A267" s="136">
        <f t="shared" ref="A267:A275" si="10">A266+1</f>
        <v>2</v>
      </c>
      <c r="B267" s="137"/>
      <c r="C267" s="54" t="s">
        <v>188</v>
      </c>
      <c r="D267" s="57">
        <f>(4.55*2.9+3.15*2.15+3.15*2.75+2*1.2+1.2*2+0.75*2.15+0.6*(2.75+2.9))*10.764</f>
        <v>413.68742999999989</v>
      </c>
      <c r="E267" s="54">
        <v>0</v>
      </c>
      <c r="F267" s="54">
        <f t="shared" si="9"/>
        <v>641.21551649999981</v>
      </c>
      <c r="G267" s="145"/>
      <c r="H267" s="146"/>
      <c r="I267" s="37"/>
      <c r="L267" s="150"/>
      <c r="M267" s="150"/>
      <c r="N267" s="37"/>
    </row>
    <row r="268" spans="1:14" s="55" customFormat="1" ht="15.75" customHeight="1" x14ac:dyDescent="0.35">
      <c r="A268" s="136">
        <f t="shared" si="10"/>
        <v>3</v>
      </c>
      <c r="B268" s="137"/>
      <c r="C268" s="143" t="s">
        <v>193</v>
      </c>
      <c r="D268" s="176"/>
      <c r="E268" s="176"/>
      <c r="F268" s="144"/>
      <c r="G268" s="145"/>
      <c r="H268" s="146"/>
      <c r="I268" s="37"/>
      <c r="L268" s="150"/>
      <c r="M268" s="150"/>
      <c r="N268" s="37"/>
    </row>
    <row r="269" spans="1:14" s="55" customFormat="1" ht="15.75" customHeight="1" x14ac:dyDescent="0.35">
      <c r="A269" s="136">
        <f t="shared" si="10"/>
        <v>4</v>
      </c>
      <c r="B269" s="137"/>
      <c r="C269" s="147"/>
      <c r="D269" s="177"/>
      <c r="E269" s="177"/>
      <c r="F269" s="148"/>
      <c r="G269" s="145"/>
      <c r="H269" s="146"/>
      <c r="I269" s="37"/>
      <c r="L269" s="150"/>
      <c r="M269" s="150"/>
      <c r="N269" s="37"/>
    </row>
    <row r="270" spans="1:14" s="55" customFormat="1" ht="15.75" customHeight="1" x14ac:dyDescent="0.35">
      <c r="A270" s="136">
        <f t="shared" si="10"/>
        <v>5</v>
      </c>
      <c r="B270" s="137"/>
      <c r="C270" s="54" t="s">
        <v>190</v>
      </c>
      <c r="D270" s="57">
        <f>(4.6*2.9+3.15*2.05+2*0.9+3.05*2.75+3.05*2.9+0.9*1.05+1.8*0.6+2*0.9+2*1.2+2*1.2+0.6*(2.9+2.05+2.75+2.9))*10.764</f>
        <v>579.26465999999982</v>
      </c>
      <c r="E270" s="54">
        <v>0</v>
      </c>
      <c r="F270" s="54">
        <f t="shared" si="9"/>
        <v>897.86022299999979</v>
      </c>
      <c r="G270" s="145"/>
      <c r="H270" s="146"/>
      <c r="I270" s="37"/>
      <c r="J270" s="54">
        <f>(4.6*2.9+3.15*2.05+2*0.9+3.05*2.75+3.05*2.9+0.9*1.05+1.8*0.6+2*1.2+2*1.2+0.6*2.9)*10.764</f>
        <v>510.1597799999999</v>
      </c>
      <c r="L270" s="150"/>
      <c r="M270" s="150"/>
      <c r="N270" s="37"/>
    </row>
    <row r="271" spans="1:14" s="55" customFormat="1" ht="15.75" customHeight="1" x14ac:dyDescent="0.35">
      <c r="A271" s="136">
        <f t="shared" si="10"/>
        <v>6</v>
      </c>
      <c r="B271" s="137"/>
      <c r="C271" s="54" t="s">
        <v>190</v>
      </c>
      <c r="D271" s="57">
        <f>(4.6*2.9+3.15*2.05+2*0.9+3.05*2.75+3.05*2.9+0.9*1.05+1.8*0.6+2*0.9+2*1.2+2*1.2+0.6*(2.9+2.05+2.75+2.9))*10.764</f>
        <v>579.26465999999982</v>
      </c>
      <c r="E271" s="54">
        <v>0</v>
      </c>
      <c r="F271" s="54">
        <f t="shared" si="9"/>
        <v>897.86022299999979</v>
      </c>
      <c r="G271" s="145"/>
      <c r="H271" s="146"/>
      <c r="I271" s="37"/>
      <c r="L271" s="150"/>
      <c r="M271" s="150"/>
      <c r="N271" s="37"/>
    </row>
    <row r="272" spans="1:14" s="55" customFormat="1" ht="15.75" customHeight="1" x14ac:dyDescent="0.35">
      <c r="A272" s="136">
        <f t="shared" si="10"/>
        <v>7</v>
      </c>
      <c r="B272" s="137"/>
      <c r="C272" s="54" t="s">
        <v>190</v>
      </c>
      <c r="D272" s="57">
        <f>(4.55*2.9+2.05*3.15+2.75*3.05+2.97*0.9+2.9*3.65+1.63*0.6+2*1.2+1.2*2+0.75*2.05+0.6*(2.9+2.75+2.9))*10.764</f>
        <v>578.49503399999992</v>
      </c>
      <c r="E272" s="54">
        <v>0</v>
      </c>
      <c r="F272" s="54">
        <f t="shared" si="9"/>
        <v>896.66730269999994</v>
      </c>
      <c r="G272" s="145"/>
      <c r="H272" s="146"/>
      <c r="I272" s="37"/>
      <c r="L272" s="150"/>
      <c r="M272" s="150"/>
      <c r="N272" s="37"/>
    </row>
    <row r="273" spans="1:14" s="55" customFormat="1" ht="15.75" customHeight="1" x14ac:dyDescent="0.35">
      <c r="A273" s="136">
        <f t="shared" si="10"/>
        <v>8</v>
      </c>
      <c r="B273" s="137"/>
      <c r="C273" s="54" t="s">
        <v>190</v>
      </c>
      <c r="D273" s="57">
        <f>(4.55*2.9+2.05*3.15+2.75*3.05+3.05*2.9+1.05*0.9+2*0.9+1.8*0.6+2*1.2+1.2*2+0.75*2.05+0.6*(2.9+2.75+2.9))*10.764</f>
        <v>561.63860999999986</v>
      </c>
      <c r="E273" s="54">
        <v>0</v>
      </c>
      <c r="F273" s="54">
        <f t="shared" si="9"/>
        <v>870.53984549999984</v>
      </c>
      <c r="G273" s="145"/>
      <c r="H273" s="146"/>
      <c r="I273" s="37"/>
      <c r="L273" s="150"/>
      <c r="M273" s="150"/>
      <c r="N273" s="37"/>
    </row>
    <row r="274" spans="1:14" s="55" customFormat="1" ht="15.75" customHeight="1" x14ac:dyDescent="0.35">
      <c r="A274" s="136">
        <f t="shared" si="10"/>
        <v>9</v>
      </c>
      <c r="B274" s="137"/>
      <c r="C274" s="54" t="s">
        <v>190</v>
      </c>
      <c r="D274" s="57">
        <f>(4.55*2.9+2.05*3.15+2.75*3.05+3.05*2.9+1.05*0.9+2*0.9+1.8*0.6+2*1.2+1.2*2+0.75*2.05+0.6*(2.9+2.75+2.9))*10.764</f>
        <v>561.63860999999986</v>
      </c>
      <c r="E274" s="54">
        <v>0</v>
      </c>
      <c r="F274" s="54">
        <f t="shared" si="9"/>
        <v>870.53984549999984</v>
      </c>
      <c r="G274" s="145"/>
      <c r="H274" s="146"/>
      <c r="I274" s="37"/>
      <c r="L274" s="150"/>
      <c r="M274" s="150"/>
      <c r="N274" s="37"/>
    </row>
    <row r="275" spans="1:14" s="55" customFormat="1" ht="15.75" customHeight="1" x14ac:dyDescent="0.35">
      <c r="A275" s="136">
        <f t="shared" si="10"/>
        <v>10</v>
      </c>
      <c r="B275" s="137"/>
      <c r="C275" s="54" t="s">
        <v>190</v>
      </c>
      <c r="D275" s="57">
        <f>(4.55*2.9+2.05*3.15+2.75*3.05+2.97*0.9+2.9*3.65+1.63*0.6+2*1.2+1.2*2+0.75*2.05+0.6*(2.9+2.75+2.9))*10.764</f>
        <v>578.49503399999992</v>
      </c>
      <c r="E275" s="54">
        <v>0</v>
      </c>
      <c r="F275" s="54">
        <f t="shared" si="9"/>
        <v>896.66730269999994</v>
      </c>
      <c r="G275" s="147"/>
      <c r="H275" s="148"/>
      <c r="I275" s="37"/>
      <c r="L275" s="150"/>
      <c r="M275" s="150"/>
      <c r="N275" s="37"/>
    </row>
    <row r="276" spans="1:14" s="52" customFormat="1" x14ac:dyDescent="0.35">
      <c r="A276" s="138" t="s">
        <v>186</v>
      </c>
      <c r="B276" s="139"/>
      <c r="C276" s="139"/>
      <c r="D276" s="139"/>
      <c r="E276" s="139"/>
      <c r="F276" s="139"/>
      <c r="G276" s="139"/>
      <c r="H276" s="140"/>
      <c r="J276" s="37"/>
    </row>
    <row r="277" spans="1:14" s="58" customFormat="1" x14ac:dyDescent="0.35">
      <c r="A277" s="138" t="s">
        <v>212</v>
      </c>
      <c r="B277" s="139"/>
      <c r="C277" s="139"/>
      <c r="D277" s="139"/>
      <c r="E277" s="139"/>
      <c r="F277" s="139"/>
      <c r="G277" s="139"/>
      <c r="H277" s="140"/>
      <c r="J277" s="37"/>
    </row>
    <row r="278" spans="1:14" s="46" customFormat="1" x14ac:dyDescent="0.35">
      <c r="A278" s="138" t="s">
        <v>187</v>
      </c>
      <c r="B278" s="139"/>
      <c r="C278" s="139"/>
      <c r="D278" s="139"/>
      <c r="E278" s="139"/>
      <c r="F278" s="139"/>
      <c r="G278" s="139"/>
      <c r="H278" s="140"/>
      <c r="J278" s="37"/>
    </row>
    <row r="279" spans="1:14" s="46" customFormat="1" ht="15.75" customHeight="1" x14ac:dyDescent="0.35">
      <c r="A279" s="136">
        <v>1</v>
      </c>
      <c r="B279" s="137"/>
      <c r="C279" s="43" t="s">
        <v>188</v>
      </c>
      <c r="D279" s="43">
        <f>(4.55*2.9+3.15*2.15+3.15*2.75+2*1.2+1.2*2+0.75*2.15+0.6*(2.75+2.9))*10.764</f>
        <v>413.68742999999989</v>
      </c>
      <c r="E279" s="43">
        <v>0</v>
      </c>
      <c r="F279" s="43">
        <f>D279*(($F$240)+1)+(IF(E279&lt;101,E279,IF(E279&lt;201,E279/2,IF(E279&lt;=301,E279/3,E279/4))))</f>
        <v>641.21551649999981</v>
      </c>
      <c r="G279" s="143" t="str">
        <f>A278</f>
        <v>1st Floor For Residential</v>
      </c>
      <c r="H279" s="144"/>
      <c r="I279" s="37"/>
      <c r="L279" s="150"/>
      <c r="M279" s="150"/>
      <c r="N279" s="37"/>
    </row>
    <row r="280" spans="1:14" s="46" customFormat="1" ht="15.75" customHeight="1" x14ac:dyDescent="0.35">
      <c r="A280" s="136">
        <f t="shared" ref="A280:A283" si="11">A279+1</f>
        <v>2</v>
      </c>
      <c r="B280" s="137"/>
      <c r="C280" s="43" t="s">
        <v>188</v>
      </c>
      <c r="D280" s="43">
        <f>(4.55*2.9+3.15*2.15+3.15*2.75+2*1.2+1.2*2)*10.764</f>
        <v>359.84051999999991</v>
      </c>
      <c r="E280" s="60">
        <f>(9.7)*10.764</f>
        <v>104.41079999999998</v>
      </c>
      <c r="F280" s="43">
        <f>D280*(($F$240)+1)+(IF(E280&lt;101,E280,IF(E280&lt;201,E280/2,IF(E280&lt;=301,E280/3,E280/4))))</f>
        <v>609.95820599999979</v>
      </c>
      <c r="G280" s="145"/>
      <c r="H280" s="146"/>
      <c r="I280" s="37"/>
      <c r="L280" s="150"/>
      <c r="M280" s="150"/>
      <c r="N280" s="37"/>
    </row>
    <row r="281" spans="1:14" s="46" customFormat="1" ht="15.75" customHeight="1" x14ac:dyDescent="0.35">
      <c r="A281" s="136">
        <f t="shared" si="11"/>
        <v>3</v>
      </c>
      <c r="B281" s="137"/>
      <c r="C281" s="43" t="s">
        <v>189</v>
      </c>
      <c r="D281" s="43">
        <f>(3.05*5.42+2.48*2.6+2.33*2.67+3.2*2.67+2.05*0.38+2.15*1.38+2.15*1.2+3.05*2.9+3.5*3.35+2.4*1.35+6.43*1+0.6*(3.05+2.33+3.2))*10.764</f>
        <v>855.2869883999997</v>
      </c>
      <c r="E281" s="60">
        <f>(31.08)*10.764</f>
        <v>334.54511999999994</v>
      </c>
      <c r="F281" s="43">
        <f>D281*(($F$240)+1)+(IF(E281&lt;101,E281,IF(E281&lt;201,E281/2,IF(E281&lt;=301,E281/3,E281/4))))</f>
        <v>1409.3311120199994</v>
      </c>
      <c r="G281" s="145"/>
      <c r="H281" s="146"/>
      <c r="I281" s="37"/>
      <c r="L281" s="150"/>
      <c r="M281" s="150"/>
      <c r="N281" s="37"/>
    </row>
    <row r="282" spans="1:14" s="46" customFormat="1" ht="15.75" customHeight="1" x14ac:dyDescent="0.35">
      <c r="A282" s="136">
        <f t="shared" si="11"/>
        <v>4</v>
      </c>
      <c r="B282" s="137"/>
      <c r="C282" s="43" t="s">
        <v>188</v>
      </c>
      <c r="D282" s="43">
        <f>(2.9*4.55+2.15*3.15+2.75*3.15+2*1.2+1.2*2+0.6*(2.9+2.15+2.75))*10.764</f>
        <v>410.21603999999991</v>
      </c>
      <c r="E282" s="43">
        <v>0</v>
      </c>
      <c r="F282" s="43">
        <f>D282*(($F$240)+1)+(IF(E282&lt;101,E282,IF(E282&lt;201,E282/2,IF(E282&lt;=301,E282/3,E282/4))))</f>
        <v>635.83486199999993</v>
      </c>
      <c r="G282" s="145"/>
      <c r="H282" s="146"/>
      <c r="I282" s="37"/>
      <c r="K282" s="60">
        <v>10.763999999999999</v>
      </c>
      <c r="L282" s="150"/>
      <c r="M282" s="150"/>
      <c r="N282" s="37"/>
    </row>
    <row r="283" spans="1:14" s="52" customFormat="1" ht="15.75" customHeight="1" x14ac:dyDescent="0.35">
      <c r="A283" s="136">
        <f t="shared" si="11"/>
        <v>5</v>
      </c>
      <c r="B283" s="137"/>
      <c r="C283" s="51" t="s">
        <v>188</v>
      </c>
      <c r="D283" s="57">
        <f>(2.9*4.55+2.15*3.15+2.75*3.15+2*1.2+1.2*2+0.6*(2.9+2.15+2.75))*10.764</f>
        <v>410.21603999999991</v>
      </c>
      <c r="E283" s="51">
        <v>0</v>
      </c>
      <c r="F283" s="51">
        <f>D283*(($F$240)+1)+(IF(E283&lt;101,E283,IF(E283&lt;201,E283/2,IF(E283&lt;=301,E283/3,E283/4))))</f>
        <v>635.83486199999993</v>
      </c>
      <c r="G283" s="147"/>
      <c r="H283" s="148"/>
      <c r="I283" s="37"/>
      <c r="L283" s="150"/>
      <c r="M283" s="150"/>
      <c r="N283" s="37"/>
    </row>
    <row r="284" spans="1:14" s="55" customFormat="1" ht="15.75" customHeight="1" x14ac:dyDescent="0.35">
      <c r="A284" s="138" t="s">
        <v>191</v>
      </c>
      <c r="B284" s="139"/>
      <c r="C284" s="139"/>
      <c r="D284" s="139"/>
      <c r="E284" s="139"/>
      <c r="F284" s="139"/>
      <c r="G284" s="139"/>
      <c r="H284" s="140"/>
      <c r="J284" s="37"/>
    </row>
    <row r="285" spans="1:14" s="55" customFormat="1" ht="15.75" customHeight="1" x14ac:dyDescent="0.35">
      <c r="A285" s="136">
        <v>1</v>
      </c>
      <c r="B285" s="137"/>
      <c r="C285" s="54" t="s">
        <v>188</v>
      </c>
      <c r="D285" s="57">
        <f>(4.55*2.9+3.15*2.15+3.15*2.75+2*1.2+1.2*2+0.75*2.15+0.6*(2.75+2.9))*10.764</f>
        <v>413.68742999999989</v>
      </c>
      <c r="E285" s="54">
        <v>0</v>
      </c>
      <c r="F285" s="54">
        <f>D285*(($F$240)+1)+(IF(E285&lt;101,E285,IF(E285&lt;201,E285/2,IF(E285&lt;=301,E285/3,E285/4))))</f>
        <v>641.21551649999981</v>
      </c>
      <c r="G285" s="143" t="str">
        <f>A284</f>
        <v>2nd to 7th ,9th to 11th, 13th to 15th, 17th to 19th, 21st to 23rd For Residential</v>
      </c>
      <c r="H285" s="144"/>
      <c r="I285" s="37"/>
      <c r="L285" s="150"/>
      <c r="M285" s="150"/>
      <c r="N285" s="37"/>
    </row>
    <row r="286" spans="1:14" s="55" customFormat="1" ht="15.75" customHeight="1" x14ac:dyDescent="0.35">
      <c r="A286" s="136">
        <f t="shared" ref="A286:A289" si="12">A285+1</f>
        <v>2</v>
      </c>
      <c r="B286" s="137"/>
      <c r="C286" s="54" t="s">
        <v>188</v>
      </c>
      <c r="D286" s="57">
        <f>(4.55*2.9+3.15*2.15+3.15*2.75+2*1.2+1.2*2+0.75*2.15+0.6*(2.75+2.9))*10.764</f>
        <v>413.68742999999989</v>
      </c>
      <c r="E286" s="54">
        <v>0</v>
      </c>
      <c r="F286" s="54">
        <f>D286*(($F$240)+1)+(IF(E286&lt;101,E286,IF(E286&lt;201,E286/2,IF(E286&lt;=301,E286/3,E286/4))))</f>
        <v>641.21551649999981</v>
      </c>
      <c r="G286" s="145"/>
      <c r="H286" s="146"/>
      <c r="I286" s="37"/>
      <c r="L286" s="150"/>
      <c r="M286" s="150"/>
      <c r="N286" s="37"/>
    </row>
    <row r="287" spans="1:14" s="55" customFormat="1" ht="15.75" customHeight="1" x14ac:dyDescent="0.35">
      <c r="A287" s="136">
        <f t="shared" si="12"/>
        <v>3</v>
      </c>
      <c r="B287" s="137"/>
      <c r="C287" s="54" t="s">
        <v>189</v>
      </c>
      <c r="D287" s="57">
        <f>(3.05*5.42+2.48*2.6+2.33*2.67+3.2*2.67+2.05*0.38+2.15*1.2+2.15*1.2+3.05*2.9+3.5*3.35+2.4*1.35+6.43*1+0.75*(3.05+2.33)+0.6*(3.2+3.35+2.9))*10.764</f>
        <v>900.17286839999963</v>
      </c>
      <c r="E287" s="54">
        <v>0</v>
      </c>
      <c r="F287" s="54">
        <f>D287*(($F$240)+1)+(IF(E287&lt;101,E287,IF(E287&lt;201,E287/2,IF(E287&lt;=301,E287/3,E287/4))))</f>
        <v>1395.2679460199995</v>
      </c>
      <c r="G287" s="145"/>
      <c r="H287" s="146"/>
      <c r="I287" s="37"/>
      <c r="L287" s="150"/>
      <c r="M287" s="150"/>
      <c r="N287" s="37"/>
    </row>
    <row r="288" spans="1:14" s="55" customFormat="1" ht="15.75" customHeight="1" x14ac:dyDescent="0.35">
      <c r="A288" s="136">
        <f t="shared" si="12"/>
        <v>4</v>
      </c>
      <c r="B288" s="137"/>
      <c r="C288" s="54" t="s">
        <v>188</v>
      </c>
      <c r="D288" s="57">
        <f>(2.9*4.55+2.15*3.15+2.75*3.15+2*1.2+1.2*2+0.75*2.15+0.6*(2.9+2.75))*10.764</f>
        <v>413.68742999999989</v>
      </c>
      <c r="E288" s="54">
        <v>0</v>
      </c>
      <c r="F288" s="54">
        <f>D288*(($F$240)+1)+(IF(E288&lt;101,E288,IF(E288&lt;201,E288/2,IF(E288&lt;=301,E288/3,E288/4))))</f>
        <v>641.21551649999981</v>
      </c>
      <c r="G288" s="145"/>
      <c r="H288" s="146"/>
      <c r="I288" s="37"/>
      <c r="L288" s="150"/>
      <c r="M288" s="150"/>
      <c r="N288" s="37"/>
    </row>
    <row r="289" spans="1:16" s="55" customFormat="1" ht="15.75" customHeight="1" x14ac:dyDescent="0.35">
      <c r="A289" s="136">
        <f t="shared" si="12"/>
        <v>5</v>
      </c>
      <c r="B289" s="137"/>
      <c r="C289" s="54" t="s">
        <v>188</v>
      </c>
      <c r="D289" s="57">
        <f>(2.9*4.55+2.15*3.15+2.75*3.15+2*1.2+1.2*2+0.75*2.15+0.6*(2.9+2.75))*10.764</f>
        <v>413.68742999999989</v>
      </c>
      <c r="E289" s="54">
        <v>0</v>
      </c>
      <c r="F289" s="54">
        <f>D289*(($F$240)+1)+(IF(E289&lt;101,E289,IF(E289&lt;201,E289/2,IF(E289&lt;=301,E289/3,E289/4))))</f>
        <v>641.21551649999981</v>
      </c>
      <c r="G289" s="147"/>
      <c r="H289" s="148"/>
      <c r="I289" s="37"/>
      <c r="L289" s="150"/>
      <c r="M289" s="150"/>
      <c r="N289" s="37"/>
    </row>
    <row r="290" spans="1:16" s="46" customFormat="1" x14ac:dyDescent="0.35">
      <c r="A290" s="141" t="s">
        <v>192</v>
      </c>
      <c r="B290" s="141"/>
      <c r="C290" s="141"/>
      <c r="D290" s="141"/>
      <c r="E290" s="141"/>
      <c r="F290" s="141"/>
      <c r="G290" s="141"/>
      <c r="H290" s="141"/>
      <c r="I290" s="37"/>
      <c r="L290" s="150"/>
      <c r="M290" s="150"/>
    </row>
    <row r="291" spans="1:16" s="46" customFormat="1" ht="15.75" customHeight="1" x14ac:dyDescent="0.35">
      <c r="A291" s="142">
        <v>1</v>
      </c>
      <c r="B291" s="142"/>
      <c r="C291" s="57" t="s">
        <v>188</v>
      </c>
      <c r="D291" s="57">
        <f>(4.55*2.9+3.15*2.15+3.15*2.75+2*1.2+1.2*2+0.75*2.15+0.6*(2.75+2.9))*10.764</f>
        <v>413.68742999999989</v>
      </c>
      <c r="E291" s="43">
        <v>0</v>
      </c>
      <c r="F291" s="43">
        <f t="shared" ref="F291:F292" si="13">D291*(($F$240)+1)+(IF(E291&lt;101,E291,IF(E291&lt;201,E291/2,IF(E291&lt;=301,E291/3,E291/4))))</f>
        <v>641.21551649999981</v>
      </c>
      <c r="G291" s="143" t="str">
        <f>A290</f>
        <v>8th, 12th, 16th &amp; 20th Floor (Part Refuge Area)</v>
      </c>
      <c r="H291" s="144"/>
      <c r="I291" s="37"/>
      <c r="N291" s="37"/>
    </row>
    <row r="292" spans="1:16" s="46" customFormat="1" ht="15.75" customHeight="1" x14ac:dyDescent="0.35">
      <c r="A292" s="142">
        <f>A291+1</f>
        <v>2</v>
      </c>
      <c r="B292" s="142"/>
      <c r="C292" s="57" t="s">
        <v>188</v>
      </c>
      <c r="D292" s="57">
        <f>(4.55*2.9+3.15*2.15+3.15*2.75+2*1.2+1.2*2+0.75*2.15+0.6*(2.75+2.9))*10.764</f>
        <v>413.68742999999989</v>
      </c>
      <c r="E292" s="43">
        <v>0</v>
      </c>
      <c r="F292" s="43">
        <f t="shared" si="13"/>
        <v>641.21551649999981</v>
      </c>
      <c r="G292" s="145"/>
      <c r="H292" s="146"/>
      <c r="I292" s="37"/>
      <c r="N292" s="37"/>
    </row>
    <row r="293" spans="1:16" s="46" customFormat="1" ht="15.75" customHeight="1" x14ac:dyDescent="0.35">
      <c r="A293" s="142">
        <f>A292+1</f>
        <v>3</v>
      </c>
      <c r="B293" s="142"/>
      <c r="C293" s="57" t="s">
        <v>189</v>
      </c>
      <c r="D293" s="57">
        <f>(3.05*5.42+2.48*2.6+2.33*2.67+3.2*2.67+2.05*0.38+2.15*1.38+2.15*1.2+3.05*2.9+3.5*3.35+2.4*1.35+6.43*1+0.75*(3.05+2.33)+0.6*(3.2+3.35+2.9))*10.764</f>
        <v>904.33853639999973</v>
      </c>
      <c r="E293" s="43">
        <v>0</v>
      </c>
      <c r="F293" s="43">
        <f>D293*(($F$240)+1)+(IF(E293&lt;101,E293,IF(E293&lt;201,E293/2,IF(E293&lt;=301,E293/3,E293/4))))</f>
        <v>1401.7247314199997</v>
      </c>
      <c r="G293" s="145"/>
      <c r="H293" s="146"/>
      <c r="I293" s="37"/>
      <c r="N293" s="37"/>
    </row>
    <row r="294" spans="1:16" s="46" customFormat="1" ht="15.75" customHeight="1" x14ac:dyDescent="0.35">
      <c r="A294" s="142">
        <f>A293+1</f>
        <v>4</v>
      </c>
      <c r="B294" s="142"/>
      <c r="C294" s="136" t="s">
        <v>193</v>
      </c>
      <c r="D294" s="149"/>
      <c r="E294" s="149"/>
      <c r="F294" s="137"/>
      <c r="G294" s="145"/>
      <c r="H294" s="146"/>
      <c r="I294" s="37"/>
      <c r="N294" s="37"/>
    </row>
    <row r="295" spans="1:16" s="46" customFormat="1" ht="15.75" customHeight="1" x14ac:dyDescent="0.35">
      <c r="A295" s="142">
        <f>A294+1</f>
        <v>5</v>
      </c>
      <c r="B295" s="142"/>
      <c r="C295" s="57" t="s">
        <v>188</v>
      </c>
      <c r="D295" s="57">
        <f>(2.9*4.55+2.15*3.15+2.75*3.15+2*1.2+1.2*2+0.75*2.15+0.6*(2.9+2.75))*10.764</f>
        <v>413.68742999999989</v>
      </c>
      <c r="E295" s="43">
        <v>0</v>
      </c>
      <c r="F295" s="43">
        <f>D295*(($F$240)+1)+(IF(E295&lt;101,E295,IF(E295&lt;201,E295/2,IF(E295&lt;=301,E295/3,E295/4))))</f>
        <v>641.21551649999981</v>
      </c>
      <c r="G295" s="147"/>
      <c r="H295" s="148"/>
      <c r="I295" s="37"/>
      <c r="N295" s="37"/>
    </row>
    <row r="296" spans="1:16" s="56" customFormat="1" ht="15.75" customHeight="1" x14ac:dyDescent="0.35">
      <c r="A296" s="138" t="s">
        <v>194</v>
      </c>
      <c r="B296" s="139"/>
      <c r="C296" s="139"/>
      <c r="D296" s="139"/>
      <c r="E296" s="139"/>
      <c r="F296" s="139"/>
      <c r="G296" s="139"/>
      <c r="H296" s="140"/>
      <c r="I296" s="37"/>
      <c r="P296" s="38"/>
    </row>
    <row r="297" spans="1:16" s="58" customFormat="1" x14ac:dyDescent="0.35">
      <c r="A297" s="138" t="s">
        <v>212</v>
      </c>
      <c r="B297" s="139"/>
      <c r="C297" s="139"/>
      <c r="D297" s="139"/>
      <c r="E297" s="139"/>
      <c r="F297" s="139"/>
      <c r="G297" s="139"/>
      <c r="H297" s="140"/>
      <c r="J297" s="37"/>
    </row>
    <row r="298" spans="1:16" s="56" customFormat="1" ht="15.75" customHeight="1" x14ac:dyDescent="0.35">
      <c r="A298" s="138" t="s">
        <v>195</v>
      </c>
      <c r="B298" s="139"/>
      <c r="C298" s="139"/>
      <c r="D298" s="139"/>
      <c r="E298" s="139"/>
      <c r="F298" s="139"/>
      <c r="G298" s="139"/>
      <c r="H298" s="140"/>
      <c r="I298" s="37"/>
      <c r="P298" s="38"/>
    </row>
    <row r="299" spans="1:16" s="56" customFormat="1" ht="15.75" customHeight="1" x14ac:dyDescent="0.35">
      <c r="A299" s="138" t="s">
        <v>187</v>
      </c>
      <c r="B299" s="139"/>
      <c r="C299" s="139"/>
      <c r="D299" s="139"/>
      <c r="E299" s="139"/>
      <c r="F299" s="139"/>
      <c r="G299" s="139"/>
      <c r="H299" s="140"/>
      <c r="I299" s="37"/>
      <c r="P299" s="38"/>
    </row>
    <row r="300" spans="1:16" s="56" customFormat="1" ht="15.75" customHeight="1" x14ac:dyDescent="0.35">
      <c r="A300" s="136">
        <v>1</v>
      </c>
      <c r="B300" s="137"/>
      <c r="C300" s="57" t="s">
        <v>190</v>
      </c>
      <c r="D300" s="57">
        <f>(2.9*4.55+2.05*3.15+1.2*0.9+2.75*2.1+1.85*0.9+1.8*0.6+2.9*3.05+1.2*2+1.2*2+0.6*(2.9+2.05+2.75+2.9))*10.764</f>
        <v>530.20772999999986</v>
      </c>
      <c r="E300" s="57">
        <v>0</v>
      </c>
      <c r="F300" s="57">
        <f>D300*(($F$240)+1)+(IF(E300&lt;101,E300,IF(E300&lt;201,E300/2,IF(E300&lt;=301,E300/3,E300/4))))</f>
        <v>821.82198149999977</v>
      </c>
      <c r="G300" s="143" t="str">
        <f>A299</f>
        <v>1st Floor For Residential</v>
      </c>
      <c r="H300" s="144"/>
      <c r="I300" s="37"/>
    </row>
    <row r="301" spans="1:16" s="56" customFormat="1" ht="15.75" customHeight="1" x14ac:dyDescent="0.35">
      <c r="A301" s="136">
        <v>2</v>
      </c>
      <c r="B301" s="137"/>
      <c r="C301" s="57" t="s">
        <v>190</v>
      </c>
      <c r="D301" s="57">
        <f>(2.9*4.55+2.05*3.15+1.2*0.9+2.75*2.1+1.85*0.9+1.8*0.6+2.9*3.05+1.2*2+1.2*2+0.6*(2.9+2.05+2.75+2.9))*10.764</f>
        <v>530.20772999999986</v>
      </c>
      <c r="E301" s="57">
        <v>0</v>
      </c>
      <c r="F301" s="57">
        <f>D301*(($F$240)+1)+(IF(E301&lt;101,E301,IF(E301&lt;201,E301/2,IF(E301&lt;=301,E301/3,E301/4))))</f>
        <v>821.82198149999977</v>
      </c>
      <c r="G301" s="145"/>
      <c r="H301" s="146"/>
      <c r="I301" s="37"/>
    </row>
    <row r="302" spans="1:16" s="56" customFormat="1" ht="15.75" customHeight="1" x14ac:dyDescent="0.35">
      <c r="A302" s="136">
        <v>3</v>
      </c>
      <c r="B302" s="137"/>
      <c r="C302" s="57" t="s">
        <v>188</v>
      </c>
      <c r="D302" s="57">
        <f>(2.9*4.55+2.15*2.15+2.75*3.15+2*1.2+2*1.2+0.6*(2.9+2.15+2.75))*10.764</f>
        <v>387.07343999999989</v>
      </c>
      <c r="E302" s="57">
        <v>0</v>
      </c>
      <c r="F302" s="57">
        <f>D302*(($F$240)+1)+(IF(E302&lt;101,E302,IF(E302&lt;201,E302/2,IF(E302&lt;=301,E302/3,E302/4))))</f>
        <v>599.9638319999998</v>
      </c>
      <c r="G302" s="145"/>
      <c r="H302" s="146"/>
      <c r="I302" s="37"/>
    </row>
    <row r="303" spans="1:16" s="56" customFormat="1" ht="15.75" customHeight="1" x14ac:dyDescent="0.35">
      <c r="A303" s="136">
        <v>4</v>
      </c>
      <c r="B303" s="137"/>
      <c r="C303" s="57" t="s">
        <v>188</v>
      </c>
      <c r="D303" s="57">
        <f>(2.9*4.55+2.15*2.15+2.75*3.15+2*1.2+2*1.2+0.6*(2.9+2.15+2.75))*10.764</f>
        <v>387.07343999999989</v>
      </c>
      <c r="E303" s="57">
        <v>0</v>
      </c>
      <c r="F303" s="57">
        <f>D303*(($F$240)+1)+(IF(E303&lt;101,E303,IF(E303&lt;201,E303/2,IF(E303&lt;=301,E303/3,E303/4))))</f>
        <v>599.9638319999998</v>
      </c>
      <c r="G303" s="147"/>
      <c r="H303" s="148"/>
      <c r="I303" s="37"/>
    </row>
    <row r="304" spans="1:16" s="56" customFormat="1" ht="15.75" customHeight="1" x14ac:dyDescent="0.35">
      <c r="A304" s="138" t="s">
        <v>196</v>
      </c>
      <c r="B304" s="139"/>
      <c r="C304" s="139"/>
      <c r="D304" s="139"/>
      <c r="E304" s="139"/>
      <c r="F304" s="139"/>
      <c r="G304" s="139"/>
      <c r="H304" s="140"/>
      <c r="I304" s="37"/>
      <c r="P304" s="38"/>
    </row>
    <row r="305" spans="1:16" s="56" customFormat="1" ht="15.75" customHeight="1" x14ac:dyDescent="0.35">
      <c r="A305" s="136">
        <v>1</v>
      </c>
      <c r="B305" s="137"/>
      <c r="C305" s="57" t="s">
        <v>190</v>
      </c>
      <c r="D305" s="57">
        <f>(2.9*4.55+2.05*3.15+1.2*0.9+2.75*3.05+1.85*0.9+1.8*0.6+2.9*3.05+1.2*2+1.2*2+0.75*2.05+0.6*(2.9+2.75+2.9))*10.764</f>
        <v>561.63860999999986</v>
      </c>
      <c r="E305" s="57">
        <v>0</v>
      </c>
      <c r="F305" s="57">
        <f>D305*(($F$240)+1)+(IF(E305&lt;101,E305,IF(E305&lt;201,E305/2,IF(E305&lt;=301,E305/3,E305/4))))</f>
        <v>870.53984549999984</v>
      </c>
      <c r="G305" s="143" t="str">
        <f>A304</f>
        <v>2nd to 7th ,9th to 11th, 13th to 15th, 17th to 19th, 21st to 23rd Floor</v>
      </c>
      <c r="H305" s="144"/>
      <c r="I305" s="37"/>
    </row>
    <row r="306" spans="1:16" s="56" customFormat="1" ht="15.75" customHeight="1" x14ac:dyDescent="0.35">
      <c r="A306" s="136">
        <v>2</v>
      </c>
      <c r="B306" s="137"/>
      <c r="C306" s="57" t="s">
        <v>190</v>
      </c>
      <c r="D306" s="59">
        <f>(2.9*4.55+2.05*3.15+1.2*0.9+2.75*3.05+1.85*0.9+1.8*0.6+2.9*3.05+1.2*2+1.2*2+0.75*2.05+0.6*(2.9+2.75+2.9))*10.764</f>
        <v>561.63860999999986</v>
      </c>
      <c r="E306" s="57">
        <v>0</v>
      </c>
      <c r="F306" s="57">
        <f>D306*(($F$240)+1)+(IF(E306&lt;101,E306,IF(E306&lt;201,E306/2,IF(E306&lt;=301,E306/3,E306/4))))</f>
        <v>870.53984549999984</v>
      </c>
      <c r="G306" s="145"/>
      <c r="H306" s="146"/>
      <c r="I306" s="37"/>
    </row>
    <row r="307" spans="1:16" s="56" customFormat="1" ht="15.75" customHeight="1" x14ac:dyDescent="0.35">
      <c r="A307" s="136">
        <v>3</v>
      </c>
      <c r="B307" s="137"/>
      <c r="C307" s="57" t="s">
        <v>188</v>
      </c>
      <c r="D307" s="57">
        <f>(2.9*4.55+2.15*2.15+2.75*3.15+2*1.2+2*1.2+0.75*2.15+0.6*(2.9+2.75))*10.764</f>
        <v>390.54482999999988</v>
      </c>
      <c r="E307" s="57">
        <v>0</v>
      </c>
      <c r="F307" s="57">
        <f>D307*(($F$240)+1)+(IF(E307&lt;101,E307,IF(E307&lt;201,E307/2,IF(E307&lt;=301,E307/3,E307/4))))</f>
        <v>605.34448649999979</v>
      </c>
      <c r="G307" s="145"/>
      <c r="H307" s="146"/>
      <c r="I307" s="37"/>
    </row>
    <row r="308" spans="1:16" s="56" customFormat="1" ht="15.75" customHeight="1" x14ac:dyDescent="0.35">
      <c r="A308" s="136">
        <v>4</v>
      </c>
      <c r="B308" s="137"/>
      <c r="C308" s="57" t="s">
        <v>188</v>
      </c>
      <c r="D308" s="57">
        <f>(2.9*4.55+2.15*2.15+2.75*3.15+2*1.2+2*1.2+0.75*2.15+0.6*(2.9+2.75))*10.764</f>
        <v>390.54482999999988</v>
      </c>
      <c r="E308" s="57">
        <v>0</v>
      </c>
      <c r="F308" s="57">
        <f>D308*(($F$240)+1)+(IF(E308&lt;101,E308,IF(E308&lt;201,E308/2,IF(E308&lt;=301,E308/3,E308/4))))</f>
        <v>605.34448649999979</v>
      </c>
      <c r="G308" s="147"/>
      <c r="H308" s="148"/>
      <c r="I308" s="37"/>
    </row>
    <row r="309" spans="1:16" s="56" customFormat="1" ht="15.75" customHeight="1" x14ac:dyDescent="0.35">
      <c r="A309" s="138" t="s">
        <v>192</v>
      </c>
      <c r="B309" s="139"/>
      <c r="C309" s="139"/>
      <c r="D309" s="139"/>
      <c r="E309" s="139"/>
      <c r="F309" s="139"/>
      <c r="G309" s="139"/>
      <c r="H309" s="140"/>
      <c r="I309" s="37"/>
      <c r="P309" s="38"/>
    </row>
    <row r="310" spans="1:16" s="56" customFormat="1" ht="15.75" customHeight="1" x14ac:dyDescent="0.35">
      <c r="A310" s="136">
        <v>1</v>
      </c>
      <c r="B310" s="137"/>
      <c r="C310" s="57" t="s">
        <v>190</v>
      </c>
      <c r="D310" s="59">
        <f t="shared" ref="D310:D311" si="14">(2.9*4.55+2.05*3.15+1.2*0.9+2.75*3.05+1.85*0.9+1.8*0.6+2.9*3.05+1.2*2+1.2*2+0.75*2.05+0.6*(2.9+2.75+2.9))*10.764</f>
        <v>561.63860999999986</v>
      </c>
      <c r="E310" s="57">
        <v>0</v>
      </c>
      <c r="F310" s="57">
        <f>D310*(($F$240)+1)+(IF(E310&lt;101,E310,IF(E310&lt;201,E310/2,IF(E310&lt;=301,E310/3,E310/4))))</f>
        <v>870.53984549999984</v>
      </c>
      <c r="G310" s="143" t="str">
        <f>A309</f>
        <v>8th, 12th, 16th &amp; 20th Floor (Part Refuge Area)</v>
      </c>
      <c r="H310" s="144"/>
      <c r="I310" s="37"/>
    </row>
    <row r="311" spans="1:16" s="56" customFormat="1" ht="15.75" customHeight="1" x14ac:dyDescent="0.35">
      <c r="A311" s="136">
        <v>2</v>
      </c>
      <c r="B311" s="137"/>
      <c r="C311" s="57" t="s">
        <v>190</v>
      </c>
      <c r="D311" s="59">
        <f t="shared" si="14"/>
        <v>561.63860999999986</v>
      </c>
      <c r="E311" s="57">
        <v>0</v>
      </c>
      <c r="F311" s="57">
        <f>D311*(($F$240)+1)+(IF(E311&lt;101,E311,IF(E311&lt;201,E311/2,IF(E311&lt;=301,E311/3,E311/4))))</f>
        <v>870.53984549999984</v>
      </c>
      <c r="G311" s="145"/>
      <c r="H311" s="146"/>
      <c r="I311" s="37"/>
    </row>
    <row r="312" spans="1:16" s="56" customFormat="1" ht="15.75" customHeight="1" x14ac:dyDescent="0.35">
      <c r="A312" s="136">
        <v>3</v>
      </c>
      <c r="B312" s="137"/>
      <c r="C312" s="57" t="s">
        <v>188</v>
      </c>
      <c r="D312" s="57">
        <f>(2.9*4.55+2.15*2.15+2.75*3.15+2*1.2+2*1.2+0.75*2.15+0.6*(2.9+2.75))*10.764</f>
        <v>390.54482999999988</v>
      </c>
      <c r="E312" s="57">
        <v>0</v>
      </c>
      <c r="F312" s="57">
        <f>D312*(($F$240)+1)+(IF(E312&lt;101,E312,IF(E312&lt;201,E312/2,IF(E312&lt;=301,E312/3,E312/4))))</f>
        <v>605.34448649999979</v>
      </c>
      <c r="G312" s="145"/>
      <c r="H312" s="146"/>
      <c r="I312" s="37"/>
    </row>
    <row r="313" spans="1:16" s="56" customFormat="1" ht="15.75" customHeight="1" x14ac:dyDescent="0.35">
      <c r="A313" s="136">
        <v>4</v>
      </c>
      <c r="B313" s="137"/>
      <c r="C313" s="136" t="s">
        <v>193</v>
      </c>
      <c r="D313" s="149"/>
      <c r="E313" s="149"/>
      <c r="F313" s="137"/>
      <c r="G313" s="147"/>
      <c r="H313" s="148"/>
      <c r="I313" s="37"/>
    </row>
    <row r="314" spans="1:16" s="56" customFormat="1" ht="15.75" customHeight="1" x14ac:dyDescent="0.35">
      <c r="A314" s="138" t="s">
        <v>197</v>
      </c>
      <c r="B314" s="139"/>
      <c r="C314" s="139"/>
      <c r="D314" s="139"/>
      <c r="E314" s="139"/>
      <c r="F314" s="139"/>
      <c r="G314" s="139"/>
      <c r="H314" s="140"/>
      <c r="I314" s="37"/>
      <c r="P314" s="38"/>
    </row>
    <row r="315" spans="1:16" s="58" customFormat="1" x14ac:dyDescent="0.35">
      <c r="A315" s="138" t="s">
        <v>212</v>
      </c>
      <c r="B315" s="139"/>
      <c r="C315" s="139"/>
      <c r="D315" s="139"/>
      <c r="E315" s="139"/>
      <c r="F315" s="139"/>
      <c r="G315" s="139"/>
      <c r="H315" s="140"/>
      <c r="J315" s="37"/>
    </row>
    <row r="316" spans="1:16" s="56" customFormat="1" ht="15.75" customHeight="1" x14ac:dyDescent="0.35">
      <c r="A316" s="138" t="s">
        <v>195</v>
      </c>
      <c r="B316" s="139"/>
      <c r="C316" s="139"/>
      <c r="D316" s="139"/>
      <c r="E316" s="139"/>
      <c r="F316" s="139"/>
      <c r="G316" s="139"/>
      <c r="H316" s="140"/>
      <c r="I316" s="37"/>
      <c r="P316" s="38"/>
    </row>
    <row r="317" spans="1:16" s="56" customFormat="1" ht="15.75" customHeight="1" x14ac:dyDescent="0.35">
      <c r="A317" s="138" t="s">
        <v>187</v>
      </c>
      <c r="B317" s="139"/>
      <c r="C317" s="139"/>
      <c r="D317" s="139"/>
      <c r="E317" s="139"/>
      <c r="F317" s="139"/>
      <c r="G317" s="139"/>
      <c r="H317" s="140"/>
      <c r="I317" s="37"/>
      <c r="P317" s="38"/>
    </row>
    <row r="318" spans="1:16" s="56" customFormat="1" ht="15.75" customHeight="1" x14ac:dyDescent="0.35">
      <c r="A318" s="136">
        <v>1</v>
      </c>
      <c r="B318" s="137"/>
      <c r="C318" s="57" t="s">
        <v>190</v>
      </c>
      <c r="D318" s="57">
        <f>(2.9*4.55+2.05*3.15+1.2*0.9+2.75*2.1+1.85*0.9+1.8*0.6+2.9*3.05+1.2*2+1.2*2+0.6*(2.9+2.05+2.75+2.9))*10.764</f>
        <v>530.20772999999986</v>
      </c>
      <c r="E318" s="57">
        <v>0</v>
      </c>
      <c r="F318" s="57">
        <f>D318*(($F$240)+1)+(IF(E318&lt;101,E318,IF(E318&lt;201,E318/2,IF(E318&lt;=301,E318/3,E318/4))))</f>
        <v>821.82198149999977</v>
      </c>
      <c r="G318" s="143" t="str">
        <f>A317</f>
        <v>1st Floor For Residential</v>
      </c>
      <c r="H318" s="144"/>
      <c r="I318" s="37"/>
    </row>
    <row r="319" spans="1:16" s="56" customFormat="1" ht="15.75" customHeight="1" x14ac:dyDescent="0.35">
      <c r="A319" s="136">
        <v>2</v>
      </c>
      <c r="B319" s="137"/>
      <c r="C319" s="57" t="s">
        <v>190</v>
      </c>
      <c r="D319" s="57">
        <f>(2.9*4.55+2.05*3.15+1.2*0.9+2.75*2.1+1.85*0.9+1.8*0.6+2.9*3.05+1.2*2+1.2*2+0.6*(2.9+2.05+2.75+2.9))*10.764</f>
        <v>530.20772999999986</v>
      </c>
      <c r="E319" s="57">
        <v>0</v>
      </c>
      <c r="F319" s="57">
        <f>D319*(($F$240)+1)+(IF(E319&lt;101,E319,IF(E319&lt;201,E319/2,IF(E319&lt;=301,E319/3,E319/4))))</f>
        <v>821.82198149999977</v>
      </c>
      <c r="G319" s="145"/>
      <c r="H319" s="146"/>
      <c r="I319" s="37"/>
    </row>
    <row r="320" spans="1:16" s="56" customFormat="1" ht="15.75" customHeight="1" x14ac:dyDescent="0.35">
      <c r="A320" s="136">
        <v>3</v>
      </c>
      <c r="B320" s="137"/>
      <c r="C320" s="57" t="s">
        <v>188</v>
      </c>
      <c r="D320" s="57">
        <f>(2.9*4.55+2.15*2.15+2.75*3.15+2*1.2+2*1.2+0.6*(2.9+2.15+2.75))*10.764</f>
        <v>387.07343999999989</v>
      </c>
      <c r="E320" s="57">
        <v>0</v>
      </c>
      <c r="F320" s="57">
        <f>D320*(($F$240)+1)+(IF(E320&lt;101,E320,IF(E320&lt;201,E320/2,IF(E320&lt;=301,E320/3,E320/4))))</f>
        <v>599.9638319999998</v>
      </c>
      <c r="G320" s="145"/>
      <c r="H320" s="146"/>
      <c r="I320" s="37"/>
    </row>
    <row r="321" spans="1:16" s="56" customFormat="1" ht="15.75" customHeight="1" x14ac:dyDescent="0.35">
      <c r="A321" s="136">
        <v>4</v>
      </c>
      <c r="B321" s="137"/>
      <c r="C321" s="57" t="s">
        <v>188</v>
      </c>
      <c r="D321" s="57">
        <f>(2.9*4.55+2.15*2.15+2.75*3.15+2*1.2+2*1.2+0.6*(2.9+2.15+2.75))*10.764</f>
        <v>387.07343999999989</v>
      </c>
      <c r="E321" s="57">
        <v>0</v>
      </c>
      <c r="F321" s="57">
        <f>D321*(($F$240)+1)+(IF(E321&lt;101,E321,IF(E321&lt;201,E321/2,IF(E321&lt;=301,E321/3,E321/4))))</f>
        <v>599.9638319999998</v>
      </c>
      <c r="G321" s="147"/>
      <c r="H321" s="148"/>
      <c r="I321" s="37"/>
    </row>
    <row r="322" spans="1:16" s="56" customFormat="1" ht="15.75" customHeight="1" x14ac:dyDescent="0.35">
      <c r="A322" s="138" t="s">
        <v>196</v>
      </c>
      <c r="B322" s="139"/>
      <c r="C322" s="139"/>
      <c r="D322" s="139"/>
      <c r="E322" s="139"/>
      <c r="F322" s="139"/>
      <c r="G322" s="139"/>
      <c r="H322" s="140"/>
      <c r="I322" s="37"/>
      <c r="P322" s="38"/>
    </row>
    <row r="323" spans="1:16" s="56" customFormat="1" ht="15.75" customHeight="1" x14ac:dyDescent="0.35">
      <c r="A323" s="136">
        <v>1</v>
      </c>
      <c r="B323" s="137"/>
      <c r="C323" s="57" t="s">
        <v>190</v>
      </c>
      <c r="D323" s="59">
        <f t="shared" ref="D323:D324" si="15">(2.9*4.55+2.05*3.15+1.2*0.9+2.75*3.05+1.85*0.9+1.8*0.6+2.9*3.05+1.2*2+1.2*2+0.75*2.05+0.6*(2.9+2.75+2.9))*10.764</f>
        <v>561.63860999999986</v>
      </c>
      <c r="E323" s="57">
        <v>0</v>
      </c>
      <c r="F323" s="57">
        <f>D323*(($F$240)+1)+(IF(E323&lt;101,E323,IF(E323&lt;201,E323/2,IF(E323&lt;=301,E323/3,E323/4))))</f>
        <v>870.53984549999984</v>
      </c>
      <c r="G323" s="143" t="str">
        <f>A322</f>
        <v>2nd to 7th ,9th to 11th, 13th to 15th, 17th to 19th, 21st to 23rd Floor</v>
      </c>
      <c r="H323" s="144"/>
      <c r="I323" s="37"/>
    </row>
    <row r="324" spans="1:16" s="56" customFormat="1" ht="15.75" customHeight="1" x14ac:dyDescent="0.35">
      <c r="A324" s="136">
        <v>2</v>
      </c>
      <c r="B324" s="137"/>
      <c r="C324" s="57" t="s">
        <v>190</v>
      </c>
      <c r="D324" s="59">
        <f t="shared" si="15"/>
        <v>561.63860999999986</v>
      </c>
      <c r="E324" s="57">
        <v>0</v>
      </c>
      <c r="F324" s="57">
        <f>D324*(($F$240)+1)+(IF(E324&lt;101,E324,IF(E324&lt;201,E324/2,IF(E324&lt;=301,E324/3,E324/4))))</f>
        <v>870.53984549999984</v>
      </c>
      <c r="G324" s="145"/>
      <c r="H324" s="146"/>
      <c r="I324" s="37"/>
    </row>
    <row r="325" spans="1:16" s="56" customFormat="1" ht="15.75" customHeight="1" x14ac:dyDescent="0.35">
      <c r="A325" s="136">
        <v>3</v>
      </c>
      <c r="B325" s="137"/>
      <c r="C325" s="57" t="s">
        <v>188</v>
      </c>
      <c r="D325" s="57">
        <f>(2.9*4.55+2.15*2.15+2.75*3.15+2*1.2+2*1.2+0.75*2.15+0.6*(2.9+2.75))*10.764</f>
        <v>390.54482999999988</v>
      </c>
      <c r="E325" s="57">
        <v>0</v>
      </c>
      <c r="F325" s="57">
        <f>D325*(($F$240)+1)+(IF(E325&lt;101,E325,IF(E325&lt;201,E325/2,IF(E325&lt;=301,E325/3,E325/4))))</f>
        <v>605.34448649999979</v>
      </c>
      <c r="G325" s="145"/>
      <c r="H325" s="146"/>
      <c r="I325" s="37"/>
    </row>
    <row r="326" spans="1:16" s="56" customFormat="1" ht="15.75" customHeight="1" x14ac:dyDescent="0.35">
      <c r="A326" s="136">
        <v>4</v>
      </c>
      <c r="B326" s="137"/>
      <c r="C326" s="57" t="s">
        <v>188</v>
      </c>
      <c r="D326" s="57">
        <f>(2.9*4.55+2.15*2.15+2.75*3.15+2*1.2+2*1.2+0.75*2.15+0.6*(2.9+2.75))*10.764</f>
        <v>390.54482999999988</v>
      </c>
      <c r="E326" s="57">
        <v>0</v>
      </c>
      <c r="F326" s="57">
        <f>D326*(($F$240)+1)+(IF(E326&lt;101,E326,IF(E326&lt;201,E326/2,IF(E326&lt;=301,E326/3,E326/4))))</f>
        <v>605.34448649999979</v>
      </c>
      <c r="G326" s="147"/>
      <c r="H326" s="148"/>
      <c r="I326" s="37"/>
    </row>
    <row r="327" spans="1:16" s="46" customFormat="1" ht="15.75" customHeight="1" x14ac:dyDescent="0.35">
      <c r="A327" s="138" t="s">
        <v>192</v>
      </c>
      <c r="B327" s="139"/>
      <c r="C327" s="139"/>
      <c r="D327" s="139"/>
      <c r="E327" s="139"/>
      <c r="F327" s="139"/>
      <c r="G327" s="139"/>
      <c r="H327" s="140"/>
      <c r="I327" s="37"/>
      <c r="P327" s="38"/>
    </row>
    <row r="328" spans="1:16" s="46" customFormat="1" ht="15.75" customHeight="1" x14ac:dyDescent="0.35">
      <c r="A328" s="136">
        <v>1</v>
      </c>
      <c r="B328" s="137"/>
      <c r="C328" s="43" t="s">
        <v>190</v>
      </c>
      <c r="D328" s="59">
        <f t="shared" ref="D328:D329" si="16">(2.9*4.55+2.05*3.15+1.2*0.9+2.75*3.05+1.85*0.9+1.8*0.6+2.9*3.05+1.2*2+1.2*2+0.75*2.05+0.6*(2.9+2.75+2.9))*10.764</f>
        <v>561.63860999999986</v>
      </c>
      <c r="E328" s="43">
        <v>0</v>
      </c>
      <c r="F328" s="43">
        <f>D328*(($F$240)+1)+(IF(E328&lt;101,E328,IF(E328&lt;201,E328/2,IF(E328&lt;=301,E328/3,E328/4))))</f>
        <v>870.53984549999984</v>
      </c>
      <c r="G328" s="143" t="str">
        <f>A327</f>
        <v>8th, 12th, 16th &amp; 20th Floor (Part Refuge Area)</v>
      </c>
      <c r="H328" s="144"/>
      <c r="I328" s="37"/>
    </row>
    <row r="329" spans="1:16" s="46" customFormat="1" ht="15.75" customHeight="1" x14ac:dyDescent="0.35">
      <c r="A329" s="136">
        <v>2</v>
      </c>
      <c r="B329" s="137"/>
      <c r="C329" s="57" t="s">
        <v>190</v>
      </c>
      <c r="D329" s="59">
        <f t="shared" si="16"/>
        <v>561.63860999999986</v>
      </c>
      <c r="E329" s="43">
        <v>0</v>
      </c>
      <c r="F329" s="43">
        <f>D329*(($F$240)+1)+(IF(E329&lt;101,E329,IF(E329&lt;201,E329/2,IF(E329&lt;=301,E329/3,E329/4))))</f>
        <v>870.53984549999984</v>
      </c>
      <c r="G329" s="145"/>
      <c r="H329" s="146"/>
      <c r="I329" s="37"/>
    </row>
    <row r="330" spans="1:16" s="46" customFormat="1" ht="15.75" customHeight="1" x14ac:dyDescent="0.35">
      <c r="A330" s="136">
        <v>3</v>
      </c>
      <c r="B330" s="137"/>
      <c r="C330" s="43" t="s">
        <v>188</v>
      </c>
      <c r="D330" s="43">
        <f>(2.9*4.55+2.15*2.15+2.75*3.15+2*1.2+2*1.2+0.75*2.15+0.6*(2.9+2.75))*10.764</f>
        <v>390.54482999999988</v>
      </c>
      <c r="E330" s="43">
        <v>0</v>
      </c>
      <c r="F330" s="43">
        <f>D330*(($F$240)+1)+(IF(E330&lt;101,E330,IF(E330&lt;201,E330/2,IF(E330&lt;=301,E330/3,E330/4))))</f>
        <v>605.34448649999979</v>
      </c>
      <c r="G330" s="145"/>
      <c r="H330" s="146"/>
      <c r="I330" s="37"/>
    </row>
    <row r="331" spans="1:16" s="46" customFormat="1" ht="15.75" customHeight="1" x14ac:dyDescent="0.35">
      <c r="A331" s="136">
        <v>4</v>
      </c>
      <c r="B331" s="137"/>
      <c r="C331" s="136" t="s">
        <v>193</v>
      </c>
      <c r="D331" s="149"/>
      <c r="E331" s="149"/>
      <c r="F331" s="137"/>
      <c r="G331" s="147"/>
      <c r="H331" s="148"/>
      <c r="I331" s="37"/>
    </row>
    <row r="332" spans="1:16" s="56" customFormat="1" x14ac:dyDescent="0.35">
      <c r="A332" s="138" t="s">
        <v>198</v>
      </c>
      <c r="B332" s="139"/>
      <c r="C332" s="139"/>
      <c r="D332" s="139"/>
      <c r="E332" s="139"/>
      <c r="F332" s="139"/>
      <c r="G332" s="139"/>
      <c r="H332" s="140"/>
      <c r="I332" s="37"/>
      <c r="P332" s="38"/>
    </row>
    <row r="333" spans="1:16" s="58" customFormat="1" x14ac:dyDescent="0.35">
      <c r="A333" s="138" t="s">
        <v>212</v>
      </c>
      <c r="B333" s="139"/>
      <c r="C333" s="139"/>
      <c r="D333" s="139"/>
      <c r="E333" s="139"/>
      <c r="F333" s="139"/>
      <c r="G333" s="139"/>
      <c r="H333" s="140"/>
      <c r="J333" s="37"/>
    </row>
    <row r="334" spans="1:16" s="56" customFormat="1" x14ac:dyDescent="0.35">
      <c r="A334" s="138" t="s">
        <v>195</v>
      </c>
      <c r="B334" s="139"/>
      <c r="C334" s="139"/>
      <c r="D334" s="139"/>
      <c r="E334" s="139"/>
      <c r="F334" s="139"/>
      <c r="G334" s="139"/>
      <c r="H334" s="140"/>
      <c r="I334" s="37"/>
      <c r="P334" s="38"/>
    </row>
    <row r="335" spans="1:16" s="56" customFormat="1" x14ac:dyDescent="0.35">
      <c r="A335" s="138" t="s">
        <v>187</v>
      </c>
      <c r="B335" s="139"/>
      <c r="C335" s="139"/>
      <c r="D335" s="139"/>
      <c r="E335" s="139"/>
      <c r="F335" s="139"/>
      <c r="G335" s="139"/>
      <c r="H335" s="140"/>
      <c r="I335" s="37"/>
      <c r="P335" s="38"/>
    </row>
    <row r="336" spans="1:16" s="56" customFormat="1" ht="15.75" customHeight="1" x14ac:dyDescent="0.35">
      <c r="A336" s="136">
        <v>1</v>
      </c>
      <c r="B336" s="137"/>
      <c r="C336" s="57" t="s">
        <v>188</v>
      </c>
      <c r="D336" s="57">
        <f>(2.9*4.55+1.85*0.9+2.15*2.15+2.75*3.15+0.6*0.9+1.2*2+2*1.2+0.75*2.15+0.6*(2.9+2.75))*10.764</f>
        <v>414.27944999999988</v>
      </c>
      <c r="E336" s="57">
        <v>0</v>
      </c>
      <c r="F336" s="57">
        <f>D336*(($F$240)+1)+(IF(E336&lt;101,E336,IF(E336&lt;201,E336/2,IF(E336&lt;=301,E336/3,E336/4))))</f>
        <v>642.13314749999984</v>
      </c>
      <c r="G336" s="143" t="str">
        <f>A335</f>
        <v>1st Floor For Residential</v>
      </c>
      <c r="H336" s="144"/>
      <c r="I336" s="37"/>
    </row>
    <row r="337" spans="1:16" s="56" customFormat="1" ht="15.75" customHeight="1" x14ac:dyDescent="0.35">
      <c r="A337" s="136">
        <v>2</v>
      </c>
      <c r="B337" s="137"/>
      <c r="C337" s="57" t="s">
        <v>189</v>
      </c>
      <c r="D337" s="57">
        <f>(3.05*5.3+2.9*3.35+2.05*3.15+2.75*2.1+2.9*3.05+1.2*0.9+1.85*0.9+2.19*0.6+1.35*2.15+1.2*2+1.2*2+0.6*(2.9+2.9))*10.764</f>
        <v>669.5100359999999</v>
      </c>
      <c r="E337" s="57">
        <v>0</v>
      </c>
      <c r="F337" s="57">
        <f>D337*(($F$240)+1)+(IF(E337&lt;101,E337,IF(E337&lt;201,E337/2,IF(E337&lt;=301,E337/3,E337/4))))</f>
        <v>1037.7405557999998</v>
      </c>
      <c r="G337" s="145"/>
      <c r="H337" s="146"/>
      <c r="I337" s="37">
        <f>4200000/F337</f>
        <v>4047.2543705899566</v>
      </c>
    </row>
    <row r="338" spans="1:16" s="56" customFormat="1" ht="15.75" customHeight="1" x14ac:dyDescent="0.35">
      <c r="A338" s="136">
        <v>3</v>
      </c>
      <c r="B338" s="137"/>
      <c r="C338" s="57" t="s">
        <v>190</v>
      </c>
      <c r="D338" s="57">
        <f>(4.55*2.9+2.15*2.15+3.15*2.75+2*1.2+3.2*3.35+2.15*1.35+0.75*2.15+0.6*(2.75+2.9))*10.764</f>
        <v>511.34381999999994</v>
      </c>
      <c r="E338" s="57">
        <v>0</v>
      </c>
      <c r="F338" s="57">
        <f>D338*(($F$240)+1)+(IF(E338&lt;101,E338,IF(E338&lt;201,E338/2,IF(E338&lt;=301,E338/3,E338/4))))</f>
        <v>792.58292099999994</v>
      </c>
      <c r="G338" s="145"/>
      <c r="H338" s="146"/>
      <c r="I338" s="37"/>
    </row>
    <row r="339" spans="1:16" s="56" customFormat="1" ht="15.75" customHeight="1" x14ac:dyDescent="0.35">
      <c r="A339" s="136">
        <v>4</v>
      </c>
      <c r="B339" s="137"/>
      <c r="C339" s="57" t="s">
        <v>188</v>
      </c>
      <c r="D339" s="57">
        <f>(4.55*2.9+2.15*2.15+3.15*2.75+2*1.2+1.2*2+0.75*2.15+0.6*(2.75+2.9))*10.764</f>
        <v>390.54482999999988</v>
      </c>
      <c r="E339" s="57">
        <v>0</v>
      </c>
      <c r="F339" s="57">
        <f>D339*(($F$240)+1)+(IF(E339&lt;101,E339,IF(E339&lt;201,E339/2,IF(E339&lt;=301,E339/3,E339/4))))</f>
        <v>605.34448649999979</v>
      </c>
      <c r="G339" s="147"/>
      <c r="H339" s="148"/>
      <c r="I339" s="37"/>
    </row>
    <row r="340" spans="1:16" s="46" customFormat="1" x14ac:dyDescent="0.35">
      <c r="A340" s="138" t="s">
        <v>199</v>
      </c>
      <c r="B340" s="139"/>
      <c r="C340" s="139"/>
      <c r="D340" s="139"/>
      <c r="E340" s="139"/>
      <c r="F340" s="139"/>
      <c r="G340" s="139"/>
      <c r="H340" s="140"/>
      <c r="I340" s="37"/>
      <c r="P340" s="38"/>
    </row>
    <row r="341" spans="1:16" s="46" customFormat="1" ht="15.75" customHeight="1" x14ac:dyDescent="0.35">
      <c r="A341" s="136">
        <v>1</v>
      </c>
      <c r="B341" s="137"/>
      <c r="C341" s="43" t="s">
        <v>188</v>
      </c>
      <c r="D341" s="57">
        <f>(2.9*4.55+1.85*0.9+2.15*2.15+2.75*3.15+0.6*0.9+1.2*2+2*1.2+0.75*2.15+0.6*(2.9+2.75))*10.764</f>
        <v>414.27944999999988</v>
      </c>
      <c r="E341" s="43">
        <v>0</v>
      </c>
      <c r="F341" s="43">
        <f>D341*(($F$240)+1)+(IF(E341&lt;101,E341,IF(E341&lt;201,E341/2,IF(E341&lt;=301,E341/3,E341/4))))</f>
        <v>642.13314749999984</v>
      </c>
      <c r="G341" s="143" t="str">
        <f>A340</f>
        <v>2nd to 7th, 9th to 11th, 13th to 15th Floor</v>
      </c>
      <c r="H341" s="144"/>
      <c r="I341" s="37"/>
    </row>
    <row r="342" spans="1:16" s="46" customFormat="1" ht="15.75" customHeight="1" x14ac:dyDescent="0.35">
      <c r="A342" s="136">
        <v>2</v>
      </c>
      <c r="B342" s="137"/>
      <c r="C342" s="43" t="s">
        <v>189</v>
      </c>
      <c r="D342" s="43">
        <f>(3.05*5.3+2.9*3.35+2.05*3.15+2.75*2.1+2.9*3.05+1.2*0.9+1.85*0.9+2.19*0.6+1.35*2.15+1.2*2+1.2*2+0.75*2.05+0.6*(2.9+2.75+3.05+2.9))*10.764</f>
        <v>723.51840599999991</v>
      </c>
      <c r="E342" s="43">
        <v>0</v>
      </c>
      <c r="F342" s="43">
        <f>D342*(($F$240)+1)+(IF(E342&lt;101,E342,IF(E342&lt;201,E342/2,IF(E342&lt;=301,E342/3,E342/4))))</f>
        <v>1121.4535292999999</v>
      </c>
      <c r="G342" s="145"/>
      <c r="H342" s="146"/>
      <c r="I342" s="37"/>
    </row>
    <row r="343" spans="1:16" s="46" customFormat="1" ht="15.75" customHeight="1" x14ac:dyDescent="0.35">
      <c r="A343" s="136">
        <v>3</v>
      </c>
      <c r="B343" s="137"/>
      <c r="C343" s="43" t="s">
        <v>190</v>
      </c>
      <c r="D343" s="43">
        <f>(4.55*2.9+2.15*2.15+3.15*2.75+2*1.2+3.2*3.35+2.15*1.35+0.75*2.15+0.6*(2.75+2.9))*10.764</f>
        <v>511.34381999999994</v>
      </c>
      <c r="E343" s="43">
        <v>0</v>
      </c>
      <c r="F343" s="43">
        <f>D343*(($F$240)+1)+(IF(E343&lt;101,E343,IF(E343&lt;201,E343/2,IF(E343&lt;=301,E343/3,E343/4))))</f>
        <v>792.58292099999994</v>
      </c>
      <c r="G343" s="145"/>
      <c r="H343" s="146"/>
      <c r="I343" s="37"/>
    </row>
    <row r="344" spans="1:16" s="46" customFormat="1" ht="15.75" customHeight="1" x14ac:dyDescent="0.35">
      <c r="A344" s="136">
        <v>4</v>
      </c>
      <c r="B344" s="137"/>
      <c r="C344" s="43" t="s">
        <v>188</v>
      </c>
      <c r="D344" s="43">
        <f>(4.55*2.9+2.15*2.15+3.15*2.75+2*1.2+1.2*2+0.75*2.15+0.6*(2.75+2.9))*10.764</f>
        <v>390.54482999999988</v>
      </c>
      <c r="E344" s="43">
        <v>0</v>
      </c>
      <c r="F344" s="43">
        <f>D344*(($F$240)+1)+(IF(E344&lt;101,E344,IF(E344&lt;201,E344/2,IF(E344&lt;=301,E344/3,E344/4))))</f>
        <v>605.34448649999979</v>
      </c>
      <c r="G344" s="147"/>
      <c r="H344" s="148"/>
      <c r="I344" s="37"/>
    </row>
    <row r="345" spans="1:16" s="56" customFormat="1" x14ac:dyDescent="0.35">
      <c r="A345" s="138" t="s">
        <v>200</v>
      </c>
      <c r="B345" s="139"/>
      <c r="C345" s="139"/>
      <c r="D345" s="139"/>
      <c r="E345" s="139"/>
      <c r="F345" s="139"/>
      <c r="G345" s="139"/>
      <c r="H345" s="140"/>
      <c r="I345" s="37"/>
      <c r="P345" s="38"/>
    </row>
    <row r="346" spans="1:16" s="56" customFormat="1" ht="15.75" customHeight="1" x14ac:dyDescent="0.35">
      <c r="A346" s="136">
        <v>1</v>
      </c>
      <c r="B346" s="137"/>
      <c r="C346" s="57" t="s">
        <v>188</v>
      </c>
      <c r="D346" s="57">
        <f>(2.9*4.55+1.85*0.9+2.15*2.15+2.75*3.15+0.6*0.9+1.2*2+2*1.2+0.75*2.15+0.6*(2.9+2.75))*10.764</f>
        <v>414.27944999999988</v>
      </c>
      <c r="E346" s="57">
        <v>0</v>
      </c>
      <c r="F346" s="57">
        <f>D346*(($F$240)+1)+(IF(E346&lt;101,E346,IF(E346&lt;201,E346/2,IF(E346&lt;=301,E346/3,E346/4))))</f>
        <v>642.13314749999984</v>
      </c>
      <c r="G346" s="143" t="str">
        <f>A345</f>
        <v>8th &amp; 12th Floor (Part Refuge Area)</v>
      </c>
      <c r="H346" s="144"/>
      <c r="I346" s="37"/>
    </row>
    <row r="347" spans="1:16" s="56" customFormat="1" ht="15.75" customHeight="1" x14ac:dyDescent="0.35">
      <c r="A347" s="136">
        <v>2</v>
      </c>
      <c r="B347" s="137"/>
      <c r="C347" s="57" t="s">
        <v>190</v>
      </c>
      <c r="D347" s="57">
        <f>(3.05*5.3+2.05*3.15+2.75*2.1+2.9*3.05+1.2*0.9+1.85*0.9+2.19*0.6+1.2*2+1.2*2+0.75*2.05+0.6*(2.9+2.75+3.05+2.9))*10.764</f>
        <v>587.70363599999996</v>
      </c>
      <c r="E347" s="57">
        <v>0</v>
      </c>
      <c r="F347" s="57">
        <f>D347*(($F$240)+1)+(IF(E347&lt;101,E347,IF(E347&lt;201,E347/2,IF(E347&lt;=301,E347/3,E347/4))))</f>
        <v>910.9406358</v>
      </c>
      <c r="G347" s="145"/>
      <c r="H347" s="146"/>
      <c r="I347" s="37"/>
    </row>
    <row r="348" spans="1:16" s="56" customFormat="1" ht="15.75" customHeight="1" x14ac:dyDescent="0.35">
      <c r="A348" s="136">
        <v>3</v>
      </c>
      <c r="B348" s="137"/>
      <c r="C348" s="57" t="s">
        <v>190</v>
      </c>
      <c r="D348" s="57">
        <f>(4.55*2.9+2.15*2.15+3.15*2.75+2*1.2+3.2*3.35+2.15*1.35+0.75*2.15+0.6*(2.75+2.9))*10.764</f>
        <v>511.34381999999994</v>
      </c>
      <c r="E348" s="57">
        <v>0</v>
      </c>
      <c r="F348" s="57">
        <f>D348*(($F$240)+1)+(IF(E348&lt;101,E348,IF(E348&lt;201,E348/2,IF(E348&lt;=301,E348/3,E348/4))))</f>
        <v>792.58292099999994</v>
      </c>
      <c r="G348" s="145"/>
      <c r="H348" s="146"/>
      <c r="I348" s="37"/>
    </row>
    <row r="349" spans="1:16" s="56" customFormat="1" ht="15.75" customHeight="1" x14ac:dyDescent="0.35">
      <c r="A349" s="136">
        <v>4</v>
      </c>
      <c r="B349" s="137"/>
      <c r="C349" s="57" t="s">
        <v>188</v>
      </c>
      <c r="D349" s="57">
        <f>(4.55*2.9+2.15*2.15+3.15*2.75+2*1.2+1.2*2+0.75*2.15+0.6*(2.75+2.9))*10.764</f>
        <v>390.54482999999988</v>
      </c>
      <c r="E349" s="57">
        <v>0</v>
      </c>
      <c r="F349" s="57">
        <f>D349*(($F$240)+1)+(IF(E349&lt;101,E349,IF(E349&lt;201,E349/2,IF(E349&lt;=301,E349/3,E349/4))))</f>
        <v>605.34448649999979</v>
      </c>
      <c r="G349" s="147"/>
      <c r="H349" s="148"/>
      <c r="I349" s="37"/>
    </row>
    <row r="350" spans="1:16" s="56" customFormat="1" x14ac:dyDescent="0.35">
      <c r="A350" s="138" t="s">
        <v>201</v>
      </c>
      <c r="B350" s="139"/>
      <c r="C350" s="139"/>
      <c r="D350" s="139"/>
      <c r="E350" s="139"/>
      <c r="F350" s="139"/>
      <c r="G350" s="139"/>
      <c r="H350" s="140"/>
      <c r="I350" s="37"/>
      <c r="P350" s="38"/>
    </row>
    <row r="351" spans="1:16" s="56" customFormat="1" ht="15.75" customHeight="1" x14ac:dyDescent="0.35">
      <c r="A351" s="136">
        <v>1</v>
      </c>
      <c r="B351" s="137"/>
      <c r="C351" s="57" t="s">
        <v>188</v>
      </c>
      <c r="D351" s="57">
        <f>(2.9*4.55+1.85*0.9+2.15*2.15+2.75*3.15+0.6*0.9+1.2*2+2*1.2+0.75*2.15+0.6*(2.9+2.75))*10.764</f>
        <v>414.27944999999988</v>
      </c>
      <c r="E351" s="57">
        <v>0</v>
      </c>
      <c r="F351" s="57">
        <f>D351*(($F$240)+1)+(IF(E351&lt;101,E351,IF(E351&lt;201,E351/2,IF(E351&lt;=301,E351/3,E351/4))))</f>
        <v>642.13314749999984</v>
      </c>
      <c r="G351" s="143" t="str">
        <f>A350</f>
        <v>16th Floor (Part Refuge Area)</v>
      </c>
      <c r="H351" s="144"/>
      <c r="I351" s="37"/>
    </row>
    <row r="352" spans="1:16" s="56" customFormat="1" ht="15.75" customHeight="1" x14ac:dyDescent="0.35">
      <c r="A352" s="136">
        <v>2</v>
      </c>
      <c r="B352" s="137"/>
      <c r="C352" s="57" t="s">
        <v>190</v>
      </c>
      <c r="D352" s="59">
        <f>(3.05*5.3+2.05*3.15+2.75*2.1+2.9*3.05+1.2*0.9+1.85*0.9+2.19*0.6+1.2*2+1.2*2+0.75*2.05+0.6*(2.9+2.75+3.05+2.9))*10.764</f>
        <v>587.70363599999996</v>
      </c>
      <c r="E352" s="57">
        <v>0</v>
      </c>
      <c r="F352" s="57">
        <f>D352*(($F$240)+1)+(IF(E352&lt;101,E352,IF(E352&lt;201,E352/2,IF(E352&lt;=301,E352/3,E352/4))))</f>
        <v>910.9406358</v>
      </c>
      <c r="G352" s="145"/>
      <c r="H352" s="146"/>
      <c r="I352" s="37"/>
    </row>
    <row r="353" spans="1:16" s="56" customFormat="1" ht="15.75" customHeight="1" x14ac:dyDescent="0.35">
      <c r="A353" s="136">
        <v>3</v>
      </c>
      <c r="B353" s="137"/>
      <c r="C353" s="57" t="s">
        <v>190</v>
      </c>
      <c r="D353" s="57">
        <f>(4.55*2.9+2.15*2.15+3.15*2.75+2*1.2+3.2*3.35+2.15*1.35+0.75*2.15+0.6*(2.75+2.9))*10.764</f>
        <v>511.34381999999994</v>
      </c>
      <c r="E353" s="57">
        <v>0</v>
      </c>
      <c r="F353" s="57">
        <f>D353*(($F$240)+1)+(IF(E353&lt;101,E353,IF(E353&lt;201,E353/2,IF(E353&lt;=301,E353/3,E353/4))))</f>
        <v>792.58292099999994</v>
      </c>
      <c r="G353" s="145"/>
      <c r="H353" s="146"/>
      <c r="I353" s="37"/>
    </row>
    <row r="354" spans="1:16" s="56" customFormat="1" ht="15.75" customHeight="1" x14ac:dyDescent="0.35">
      <c r="A354" s="136">
        <v>4</v>
      </c>
      <c r="B354" s="137"/>
      <c r="C354" s="57" t="s">
        <v>188</v>
      </c>
      <c r="D354" s="57">
        <f>(4.55*2.9+2.15*2.15+3.15*2.75+2*1.2+1.2*2+0.75*2.15+0.6*(2.75+2.9))*10.764</f>
        <v>390.54482999999988</v>
      </c>
      <c r="E354" s="57">
        <v>0</v>
      </c>
      <c r="F354" s="57">
        <f>D354*(($F$240)+1)+(IF(E354&lt;101,E354,IF(E354&lt;201,E354/2,IF(E354&lt;=301,E354/3,E354/4))))</f>
        <v>605.34448649999979</v>
      </c>
      <c r="G354" s="147"/>
      <c r="H354" s="148"/>
      <c r="I354" s="37"/>
    </row>
    <row r="355" spans="1:16" s="56" customFormat="1" x14ac:dyDescent="0.35">
      <c r="A355" s="141" t="s">
        <v>257</v>
      </c>
      <c r="B355" s="141"/>
      <c r="C355" s="141"/>
      <c r="D355" s="141"/>
      <c r="E355" s="141"/>
      <c r="F355" s="141"/>
      <c r="G355" s="141"/>
      <c r="H355" s="141"/>
      <c r="I355" s="37"/>
      <c r="P355" s="38"/>
    </row>
    <row r="356" spans="1:16" s="56" customFormat="1" ht="15.75" customHeight="1" x14ac:dyDescent="0.35">
      <c r="A356" s="142">
        <v>1</v>
      </c>
      <c r="B356" s="142"/>
      <c r="C356" s="75" t="s">
        <v>188</v>
      </c>
      <c r="D356" s="75">
        <f>(2.9*4.55+1.85*0.9+2.15*2.15+2.75*3.15+0.6*0.9+1.2*2+2*1.2+0.75*2.15+0.6*(2.9+2.75))*10.764</f>
        <v>414.27944999999988</v>
      </c>
      <c r="E356" s="75">
        <v>0</v>
      </c>
      <c r="F356" s="75">
        <f>D356*(($F$240)+1)+(IF(E356&lt;101,E356,IF(E356&lt;201,E356/2,IF(E356&lt;=301,E356/3,E356/4))))</f>
        <v>642.13314749999984</v>
      </c>
      <c r="G356" s="142" t="str">
        <f>A355</f>
        <v>17th, 19th, 21st to 23rd Floor Plan</v>
      </c>
      <c r="H356" s="142"/>
      <c r="I356" s="37"/>
    </row>
    <row r="357" spans="1:16" s="56" customFormat="1" ht="15.75" customHeight="1" x14ac:dyDescent="0.35">
      <c r="A357" s="142">
        <v>2</v>
      </c>
      <c r="B357" s="142"/>
      <c r="C357" s="75" t="s">
        <v>189</v>
      </c>
      <c r="D357" s="75">
        <f>(3.05*5.3+2.9*3.35+2.05*3.15+2.75*2.1+2.9*3.05+1.2*0.9+1.85*0.9+2.19*0.6+1.35*2.15+1.2*2+1.2*2+0.75*2.05+0.6*(2.9+2.75+3.05+2.9))*10.764</f>
        <v>723.51840599999991</v>
      </c>
      <c r="E357" s="75">
        <v>0</v>
      </c>
      <c r="F357" s="75">
        <f>D357*(($F$240)+1)+(IF(E357&lt;101,E357,IF(E357&lt;201,E357/2,IF(E357&lt;=301,E357/3,E357/4))))</f>
        <v>1121.4535292999999</v>
      </c>
      <c r="G357" s="142"/>
      <c r="H357" s="142"/>
      <c r="I357" s="37"/>
    </row>
    <row r="358" spans="1:16" s="56" customFormat="1" ht="15.75" customHeight="1" x14ac:dyDescent="0.35">
      <c r="A358" s="142">
        <v>3</v>
      </c>
      <c r="B358" s="142"/>
      <c r="C358" s="75" t="s">
        <v>190</v>
      </c>
      <c r="D358" s="75">
        <f>(4.55*2.9+2.15*2.15+3.15*2.75+2*1.2+3.2*3.35+2.15*1.35+0.75*2.15+0.6*(2.75+2.9))*10.764</f>
        <v>511.34381999999994</v>
      </c>
      <c r="E358" s="75">
        <v>0</v>
      </c>
      <c r="F358" s="75">
        <f>D358*(($F$240)+1)+(IF(E358&lt;101,E358,IF(E358&lt;201,E358/2,IF(E358&lt;=301,E358/3,E358/4))))</f>
        <v>792.58292099999994</v>
      </c>
      <c r="G358" s="142"/>
      <c r="H358" s="142"/>
      <c r="I358" s="37"/>
    </row>
    <row r="359" spans="1:16" s="56" customFormat="1" ht="15.75" customHeight="1" x14ac:dyDescent="0.35">
      <c r="A359" s="142">
        <v>4</v>
      </c>
      <c r="B359" s="142"/>
      <c r="C359" s="75" t="s">
        <v>188</v>
      </c>
      <c r="D359" s="75">
        <f>(4.55*2.9+2.15*2.15+3.15*2.75+2*1.2+1.2*2+0.75*2.15+0.6*(2.75+2.9))*10.764</f>
        <v>390.54482999999988</v>
      </c>
      <c r="E359" s="75">
        <v>0</v>
      </c>
      <c r="F359" s="75">
        <f>D359*(($F$240)+1)+(IF(E359&lt;101,E359,IF(E359&lt;201,E359/2,IF(E359&lt;=301,E359/3,E359/4))))</f>
        <v>605.34448649999979</v>
      </c>
      <c r="G359" s="142"/>
      <c r="H359" s="142"/>
      <c r="I359" s="37"/>
    </row>
    <row r="360" spans="1:16" s="74" customFormat="1" x14ac:dyDescent="0.35">
      <c r="A360" s="141" t="s">
        <v>258</v>
      </c>
      <c r="B360" s="141"/>
      <c r="C360" s="141"/>
      <c r="D360" s="141"/>
      <c r="E360" s="141"/>
      <c r="F360" s="141"/>
      <c r="G360" s="141"/>
      <c r="H360" s="141"/>
      <c r="I360" s="37"/>
      <c r="P360" s="38"/>
    </row>
    <row r="361" spans="1:16" s="74" customFormat="1" ht="15.75" customHeight="1" x14ac:dyDescent="0.35">
      <c r="A361" s="142">
        <v>1</v>
      </c>
      <c r="B361" s="142"/>
      <c r="C361" s="75" t="s">
        <v>188</v>
      </c>
      <c r="D361" s="75">
        <f>(2.9*4.55+1.85*0.9+2.15*2.15+2.75*3.15+0.6*0.9+1.2*2+2*1.2+0.75*2.15+0.6*(2.9+2.75))*10.764</f>
        <v>414.27944999999988</v>
      </c>
      <c r="E361" s="75">
        <v>0</v>
      </c>
      <c r="F361" s="75">
        <v>672</v>
      </c>
      <c r="G361" s="142" t="str">
        <f>A360</f>
        <v>18th Floor</v>
      </c>
      <c r="H361" s="142"/>
      <c r="I361" s="78" t="s">
        <v>259</v>
      </c>
    </row>
    <row r="362" spans="1:16" s="74" customFormat="1" ht="15.75" customHeight="1" x14ac:dyDescent="0.35">
      <c r="A362" s="142">
        <v>2</v>
      </c>
      <c r="B362" s="142"/>
      <c r="C362" s="75" t="s">
        <v>189</v>
      </c>
      <c r="D362" s="75">
        <f>(3.05*5.3+2.9*3.35+2.05*3.15+2.75*2.1+2.9*3.05+1.2*0.9+1.85*0.9+2.19*0.6+1.35*2.15+1.2*2+1.2*2+0.75*2.05+0.6*(2.9+2.75+3.05+2.9))*10.764</f>
        <v>723.51840599999991</v>
      </c>
      <c r="E362" s="75">
        <v>0</v>
      </c>
      <c r="F362" s="75">
        <f>D362*(($F$240)+1)+(IF(E362&lt;101,E362,IF(E362&lt;201,E362/2,IF(E362&lt;=301,E362/3,E362/4))))</f>
        <v>1121.4535292999999</v>
      </c>
      <c r="G362" s="142"/>
      <c r="H362" s="142"/>
      <c r="I362" s="37"/>
    </row>
    <row r="363" spans="1:16" s="74" customFormat="1" ht="15.75" customHeight="1" x14ac:dyDescent="0.35">
      <c r="A363" s="142">
        <v>3</v>
      </c>
      <c r="B363" s="142"/>
      <c r="C363" s="75" t="s">
        <v>190</v>
      </c>
      <c r="D363" s="75">
        <f>(4.55*2.9+2.15*2.15+3.15*2.75+2*1.2+3.2*3.35+2.15*1.35+0.75*2.15+0.6*(2.75+2.9))*10.764</f>
        <v>511.34381999999994</v>
      </c>
      <c r="E363" s="75">
        <v>0</v>
      </c>
      <c r="F363" s="75">
        <f>D363*(($F$240)+1)+(IF(E363&lt;101,E363,IF(E363&lt;201,E363/2,IF(E363&lt;=301,E363/3,E363/4))))</f>
        <v>792.58292099999994</v>
      </c>
      <c r="G363" s="142"/>
      <c r="H363" s="142"/>
      <c r="I363" s="37"/>
    </row>
    <row r="364" spans="1:16" s="74" customFormat="1" ht="15.75" customHeight="1" x14ac:dyDescent="0.35">
      <c r="A364" s="142">
        <v>4</v>
      </c>
      <c r="B364" s="142"/>
      <c r="C364" s="75" t="s">
        <v>188</v>
      </c>
      <c r="D364" s="75">
        <f>(4.55*2.9+2.15*2.15+3.15*2.75+2*1.2+1.2*2+0.75*2.15+0.6*(2.75+2.9))*10.764</f>
        <v>390.54482999999988</v>
      </c>
      <c r="E364" s="75">
        <v>0</v>
      </c>
      <c r="F364" s="75">
        <f>D364*(($F$240)+1)+(IF(E364&lt;101,E364,IF(E364&lt;201,E364/2,IF(E364&lt;=301,E364/3,E364/4))))</f>
        <v>605.34448649999979</v>
      </c>
      <c r="G364" s="142"/>
      <c r="H364" s="142"/>
      <c r="I364" s="37"/>
    </row>
    <row r="365" spans="1:16" s="56" customFormat="1" x14ac:dyDescent="0.35">
      <c r="A365" s="138" t="s">
        <v>202</v>
      </c>
      <c r="B365" s="139"/>
      <c r="C365" s="139"/>
      <c r="D365" s="139"/>
      <c r="E365" s="139"/>
      <c r="F365" s="139"/>
      <c r="G365" s="139"/>
      <c r="H365" s="140"/>
      <c r="I365" s="37"/>
      <c r="P365" s="38"/>
    </row>
    <row r="366" spans="1:16" s="56" customFormat="1" ht="15.75" customHeight="1" x14ac:dyDescent="0.35">
      <c r="A366" s="136">
        <v>1</v>
      </c>
      <c r="B366" s="137"/>
      <c r="C366" s="57" t="s">
        <v>188</v>
      </c>
      <c r="D366" s="57">
        <f>(2.9*4.55+1.85*0.9+2.15*2.15+2.75*3.15+0.6*0.9+1.2*2+2*1.2+0.75*2.15+0.6*(2.9+2.75))*10.764</f>
        <v>414.27944999999988</v>
      </c>
      <c r="E366" s="57">
        <v>0</v>
      </c>
      <c r="F366" s="57">
        <f>D366*(($F$240)+1)+(IF(E366&lt;101,E366,IF(E366&lt;201,E366/2,IF(E366&lt;=301,E366/3,E366/4))))</f>
        <v>642.13314749999984</v>
      </c>
      <c r="G366" s="143" t="str">
        <f>A365</f>
        <v>20th Floor (Part Refuge Area)</v>
      </c>
      <c r="H366" s="144"/>
      <c r="I366" s="37"/>
    </row>
    <row r="367" spans="1:16" s="56" customFormat="1" ht="15.75" customHeight="1" x14ac:dyDescent="0.35">
      <c r="A367" s="136">
        <v>2</v>
      </c>
      <c r="B367" s="137"/>
      <c r="C367" s="57" t="s">
        <v>190</v>
      </c>
      <c r="D367" s="59">
        <f>(3.05*5.3+2.05*3.15+2.75*2.1+2.9*3.05+1.2*0.9+1.85*0.9+2.19*0.6+1.2*2+1.2*2+0.75*2.05+0.6*(2.9+2.75+3.05+2.9))*10.764</f>
        <v>587.70363599999996</v>
      </c>
      <c r="E367" s="57">
        <v>0</v>
      </c>
      <c r="F367" s="57">
        <f>D367*(($F$240)+1)+(IF(E367&lt;101,E367,IF(E367&lt;201,E367/2,IF(E367&lt;=301,E367/3,E367/4))))</f>
        <v>910.9406358</v>
      </c>
      <c r="G367" s="145"/>
      <c r="H367" s="146"/>
      <c r="I367" s="37"/>
    </row>
    <row r="368" spans="1:16" s="56" customFormat="1" ht="15.75" customHeight="1" x14ac:dyDescent="0.35">
      <c r="A368" s="136">
        <v>3</v>
      </c>
      <c r="B368" s="137"/>
      <c r="C368" s="57" t="s">
        <v>190</v>
      </c>
      <c r="D368" s="57">
        <f>(4.55*2.9+2.15*2.15+3.15*2.75+2*1.2+3.2*3.35+2.15*1.35+0.75*2.15+0.6*(2.75+2.9))*10.764</f>
        <v>511.34381999999994</v>
      </c>
      <c r="E368" s="57">
        <v>0</v>
      </c>
      <c r="F368" s="57">
        <f>D368*(($F$240)+1)+(IF(E368&lt;101,E368,IF(E368&lt;201,E368/2,IF(E368&lt;=301,E368/3,E368/4))))</f>
        <v>792.58292099999994</v>
      </c>
      <c r="G368" s="145"/>
      <c r="H368" s="146"/>
      <c r="I368" s="37"/>
    </row>
    <row r="369" spans="1:16" s="56" customFormat="1" ht="15.75" customHeight="1" x14ac:dyDescent="0.35">
      <c r="A369" s="136">
        <v>4</v>
      </c>
      <c r="B369" s="137"/>
      <c r="C369" s="57" t="s">
        <v>188</v>
      </c>
      <c r="D369" s="57">
        <f>(4.55*2.9+2.15*2.15+3.15*2.75+2*1.2+1.2*2+0.75*2.15+0.6*(2.75+2.9))*10.764</f>
        <v>390.54482999999988</v>
      </c>
      <c r="E369" s="57">
        <v>0</v>
      </c>
      <c r="F369" s="57">
        <f>D369*(($F$240)+1)+(IF(E369&lt;101,E369,IF(E369&lt;201,E369/2,IF(E369&lt;=301,E369/3,E369/4))))</f>
        <v>605.34448649999979</v>
      </c>
      <c r="G369" s="147"/>
      <c r="H369" s="148"/>
      <c r="I369" s="37"/>
    </row>
    <row r="370" spans="1:16" s="69" customFormat="1" x14ac:dyDescent="0.35">
      <c r="A370" s="138" t="s">
        <v>233</v>
      </c>
      <c r="B370" s="139"/>
      <c r="C370" s="139"/>
      <c r="D370" s="139"/>
      <c r="E370" s="139"/>
      <c r="F370" s="139"/>
      <c r="G370" s="139"/>
      <c r="H370" s="140"/>
      <c r="I370" s="37"/>
      <c r="P370" s="38"/>
    </row>
    <row r="371" spans="1:16" s="69" customFormat="1" x14ac:dyDescent="0.35">
      <c r="A371" s="138" t="s">
        <v>212</v>
      </c>
      <c r="B371" s="139"/>
      <c r="C371" s="139"/>
      <c r="D371" s="139"/>
      <c r="E371" s="139"/>
      <c r="F371" s="139"/>
      <c r="G371" s="139"/>
      <c r="H371" s="140"/>
      <c r="J371" s="37"/>
    </row>
    <row r="372" spans="1:16" s="69" customFormat="1" x14ac:dyDescent="0.35">
      <c r="A372" s="138" t="s">
        <v>195</v>
      </c>
      <c r="B372" s="139"/>
      <c r="C372" s="139"/>
      <c r="D372" s="139"/>
      <c r="E372" s="139"/>
      <c r="F372" s="139"/>
      <c r="G372" s="139"/>
      <c r="H372" s="140"/>
      <c r="I372" s="37"/>
      <c r="P372" s="38"/>
    </row>
    <row r="373" spans="1:16" s="69" customFormat="1" x14ac:dyDescent="0.35">
      <c r="A373" s="138" t="s">
        <v>187</v>
      </c>
      <c r="B373" s="139"/>
      <c r="C373" s="139"/>
      <c r="D373" s="139"/>
      <c r="E373" s="139"/>
      <c r="F373" s="139"/>
      <c r="G373" s="139"/>
      <c r="H373" s="140"/>
      <c r="I373" s="37"/>
      <c r="P373" s="38"/>
    </row>
    <row r="374" spans="1:16" s="69" customFormat="1" ht="15.75" customHeight="1" x14ac:dyDescent="0.35">
      <c r="A374" s="136">
        <v>1</v>
      </c>
      <c r="B374" s="137"/>
      <c r="C374" s="70" t="s">
        <v>190</v>
      </c>
      <c r="D374" s="70">
        <f>(49.1+0.75*(2.9+2.75+2.9))*10.764</f>
        <v>597.53655000000003</v>
      </c>
      <c r="E374" s="70">
        <v>0</v>
      </c>
      <c r="F374" s="70">
        <f t="shared" ref="F374:F382" si="17">D374*(($F$240)+1)+(IF(E374&lt;101,E374,IF(E374&lt;201,E374/2,IF(E374&lt;=301,E374/3,E374/4))))</f>
        <v>926.18165250000004</v>
      </c>
      <c r="G374" s="143" t="str">
        <f>A373</f>
        <v>1st Floor For Residential</v>
      </c>
      <c r="H374" s="144"/>
      <c r="I374" s="37"/>
    </row>
    <row r="375" spans="1:16" s="69" customFormat="1" ht="15.75" customHeight="1" x14ac:dyDescent="0.35">
      <c r="A375" s="136">
        <v>2</v>
      </c>
      <c r="B375" s="137"/>
      <c r="C375" s="70" t="s">
        <v>190</v>
      </c>
      <c r="D375" s="70">
        <f>(49.1+0.75*(2.9+2.75+2.9))*10.764</f>
        <v>597.53655000000003</v>
      </c>
      <c r="E375" s="70">
        <v>0</v>
      </c>
      <c r="F375" s="70">
        <f t="shared" si="17"/>
        <v>926.18165250000004</v>
      </c>
      <c r="G375" s="145"/>
      <c r="H375" s="146"/>
      <c r="I375" s="37">
        <f>4200000/F375</f>
        <v>4534.7475721022229</v>
      </c>
      <c r="J375" s="69">
        <f>2.05*0.9+4.55*2.9+3.15*2.05+3.05*2.75+3.05*2.9+1.2*2+2*1.2+1.8*0.8+1.22*0.9+1.4*0.9</f>
        <v>47.327999999999989</v>
      </c>
    </row>
    <row r="376" spans="1:16" s="69" customFormat="1" ht="15.75" customHeight="1" x14ac:dyDescent="0.35">
      <c r="A376" s="136">
        <v>3</v>
      </c>
      <c r="B376" s="137"/>
      <c r="C376" s="70" t="s">
        <v>188</v>
      </c>
      <c r="D376" s="70">
        <f>(37.79+0.75*(2.75+2.9))*10.764</f>
        <v>452.38400999999999</v>
      </c>
      <c r="E376" s="70">
        <v>0</v>
      </c>
      <c r="F376" s="70">
        <f t="shared" si="17"/>
        <v>701.19521550000002</v>
      </c>
      <c r="G376" s="145"/>
      <c r="H376" s="146"/>
      <c r="I376" s="37"/>
    </row>
    <row r="377" spans="1:16" s="69" customFormat="1" ht="15.75" customHeight="1" x14ac:dyDescent="0.35">
      <c r="A377" s="136">
        <v>4</v>
      </c>
      <c r="B377" s="137"/>
      <c r="C377" s="70" t="s">
        <v>188</v>
      </c>
      <c r="D377" s="70">
        <f>(41.46+0.75*(2.75+2.9))*10.764</f>
        <v>491.88789000000003</v>
      </c>
      <c r="E377" s="70">
        <v>0</v>
      </c>
      <c r="F377" s="70">
        <f t="shared" si="17"/>
        <v>762.42622950000009</v>
      </c>
      <c r="G377" s="145"/>
      <c r="H377" s="146"/>
      <c r="I377" s="37"/>
    </row>
    <row r="378" spans="1:16" s="69" customFormat="1" ht="15.75" customHeight="1" x14ac:dyDescent="0.35">
      <c r="A378" s="136">
        <v>5</v>
      </c>
      <c r="B378" s="137"/>
      <c r="C378" s="70" t="s">
        <v>189</v>
      </c>
      <c r="D378" s="70">
        <f>(76.37+0.75*(2.75+2.9+2.98+3.13))*10.764</f>
        <v>916.98515999999995</v>
      </c>
      <c r="E378" s="70">
        <v>0</v>
      </c>
      <c r="F378" s="70">
        <f t="shared" si="17"/>
        <v>1421.326998</v>
      </c>
      <c r="G378" s="145"/>
      <c r="H378" s="146"/>
      <c r="I378" s="37">
        <f>4200000/F378</f>
        <v>2954.9850287161012</v>
      </c>
    </row>
    <row r="379" spans="1:16" s="69" customFormat="1" ht="15.75" customHeight="1" x14ac:dyDescent="0.35">
      <c r="A379" s="136">
        <v>6</v>
      </c>
      <c r="B379" s="137"/>
      <c r="C379" s="70" t="s">
        <v>190</v>
      </c>
      <c r="D379" s="70">
        <f>(47.54+0.75*(2.9+5.25+2.9))*10.764</f>
        <v>600.92720999999995</v>
      </c>
      <c r="E379" s="70">
        <v>0</v>
      </c>
      <c r="F379" s="70">
        <f t="shared" si="17"/>
        <v>931.43717549999997</v>
      </c>
      <c r="G379" s="145"/>
      <c r="H379" s="146"/>
      <c r="I379" s="37"/>
    </row>
    <row r="380" spans="1:16" s="69" customFormat="1" ht="15.75" customHeight="1" x14ac:dyDescent="0.35">
      <c r="A380" s="136">
        <v>7</v>
      </c>
      <c r="B380" s="137"/>
      <c r="C380" s="70" t="s">
        <v>190</v>
      </c>
      <c r="D380" s="70">
        <f>(46.01+0.75*(5.25+2.9+2.9))*10.764</f>
        <v>584.45828999999992</v>
      </c>
      <c r="E380" s="70">
        <v>0</v>
      </c>
      <c r="F380" s="70">
        <f t="shared" si="17"/>
        <v>905.91034949999994</v>
      </c>
      <c r="G380" s="145"/>
      <c r="H380" s="146"/>
      <c r="I380" s="37">
        <f>2.9*4.55+2.05*3.15+2.75*3.05+2.9*3.65+1.202+1.2*2+1.63*0.6+3*1</f>
        <v>46.204999999999991</v>
      </c>
    </row>
    <row r="381" spans="1:16" s="69" customFormat="1" ht="15.75" customHeight="1" x14ac:dyDescent="0.35">
      <c r="A381" s="136">
        <v>8</v>
      </c>
      <c r="B381" s="137"/>
      <c r="C381" s="70" t="s">
        <v>190</v>
      </c>
      <c r="D381" s="70">
        <f>(46.01+0.6*(5.25+2.75+2.9))*10.764</f>
        <v>565.64819999999997</v>
      </c>
      <c r="E381" s="70">
        <v>0</v>
      </c>
      <c r="F381" s="70">
        <f t="shared" si="17"/>
        <v>876.75470999999993</v>
      </c>
      <c r="G381" s="145"/>
      <c r="H381" s="146"/>
      <c r="I381" s="37"/>
    </row>
    <row r="382" spans="1:16" s="69" customFormat="1" ht="15.75" customHeight="1" x14ac:dyDescent="0.35">
      <c r="A382" s="136">
        <v>9</v>
      </c>
      <c r="B382" s="137"/>
      <c r="C382" s="70" t="s">
        <v>190</v>
      </c>
      <c r="D382" s="70">
        <f>(47.54+0.75*(5.25+2.75+2.9))*10.764</f>
        <v>599.71626000000003</v>
      </c>
      <c r="E382" s="70">
        <v>0</v>
      </c>
      <c r="F382" s="70">
        <f t="shared" si="17"/>
        <v>929.56020300000012</v>
      </c>
      <c r="G382" s="147"/>
      <c r="H382" s="148"/>
      <c r="I382" s="37"/>
    </row>
    <row r="383" spans="1:16" s="69" customFormat="1" x14ac:dyDescent="0.35">
      <c r="A383" s="138" t="s">
        <v>234</v>
      </c>
      <c r="B383" s="139"/>
      <c r="C383" s="139"/>
      <c r="D383" s="139"/>
      <c r="E383" s="139"/>
      <c r="F383" s="139"/>
      <c r="G383" s="139"/>
      <c r="H383" s="140"/>
      <c r="I383" s="37"/>
      <c r="P383" s="38"/>
    </row>
    <row r="384" spans="1:16" s="69" customFormat="1" ht="15.75" customHeight="1" x14ac:dyDescent="0.35">
      <c r="A384" s="136">
        <v>1</v>
      </c>
      <c r="B384" s="137"/>
      <c r="C384" s="70" t="s">
        <v>190</v>
      </c>
      <c r="D384" s="70">
        <f>(49.1+0.75*(2.9+2.75+2.9))*10.764</f>
        <v>597.53655000000003</v>
      </c>
      <c r="E384" s="70">
        <v>0</v>
      </c>
      <c r="F384" s="70">
        <f t="shared" ref="F384:F392" si="18">D384*(($F$240)+1)+(IF(E384&lt;101,E384,IF(E384&lt;201,E384/2,IF(E384&lt;=301,E384/3,E384/4))))</f>
        <v>926.18165250000004</v>
      </c>
      <c r="G384" s="143" t="str">
        <f>A383</f>
        <v>2nd to 7th, 9th to 11th, 13th, 15th, 17th, 18th, 19th, 21st to 25th Floor</v>
      </c>
      <c r="H384" s="144"/>
      <c r="I384" s="37"/>
    </row>
    <row r="385" spans="1:16" s="69" customFormat="1" ht="15.75" customHeight="1" x14ac:dyDescent="0.35">
      <c r="A385" s="136">
        <v>2</v>
      </c>
      <c r="B385" s="137"/>
      <c r="C385" s="70" t="s">
        <v>190</v>
      </c>
      <c r="D385" s="70">
        <f>(49.1+0.75*(2.9+2.75+2.9))*10.764</f>
        <v>597.53655000000003</v>
      </c>
      <c r="E385" s="70">
        <v>0</v>
      </c>
      <c r="F385" s="70">
        <f t="shared" si="18"/>
        <v>926.18165250000004</v>
      </c>
      <c r="G385" s="145"/>
      <c r="H385" s="146"/>
      <c r="I385" s="37">
        <f>4200000/F385</f>
        <v>4534.7475721022229</v>
      </c>
      <c r="J385" s="69">
        <f>2.05*0.9+4.55*2.9+3.15*2.05+3.05*2.75+3.05*2.9+1.2*2+2*1.2+1.8*0.8+1.22*0.9+1.4*0.9</f>
        <v>47.327999999999989</v>
      </c>
    </row>
    <row r="386" spans="1:16" s="69" customFormat="1" ht="15.75" customHeight="1" x14ac:dyDescent="0.35">
      <c r="A386" s="136">
        <v>3</v>
      </c>
      <c r="B386" s="137"/>
      <c r="C386" s="70" t="s">
        <v>188</v>
      </c>
      <c r="D386" s="70">
        <f>(37.79+0.75*(2.75+2.9))*10.764</f>
        <v>452.38400999999999</v>
      </c>
      <c r="E386" s="70">
        <v>0</v>
      </c>
      <c r="F386" s="70">
        <f t="shared" si="18"/>
        <v>701.19521550000002</v>
      </c>
      <c r="G386" s="145"/>
      <c r="H386" s="146"/>
      <c r="I386" s="37"/>
    </row>
    <row r="387" spans="1:16" s="69" customFormat="1" ht="15.75" customHeight="1" x14ac:dyDescent="0.35">
      <c r="A387" s="136">
        <v>4</v>
      </c>
      <c r="B387" s="137"/>
      <c r="C387" s="70" t="s">
        <v>188</v>
      </c>
      <c r="D387" s="70">
        <f>(41.46+0.75*(2.75+2.9))*10.764</f>
        <v>491.88789000000003</v>
      </c>
      <c r="E387" s="70">
        <v>0</v>
      </c>
      <c r="F387" s="70">
        <f t="shared" si="18"/>
        <v>762.42622950000009</v>
      </c>
      <c r="G387" s="145"/>
      <c r="H387" s="146"/>
      <c r="I387" s="37"/>
    </row>
    <row r="388" spans="1:16" s="69" customFormat="1" ht="15.75" customHeight="1" x14ac:dyDescent="0.35">
      <c r="A388" s="136">
        <v>5</v>
      </c>
      <c r="B388" s="137"/>
      <c r="C388" s="70" t="s">
        <v>189</v>
      </c>
      <c r="D388" s="70">
        <f>(76.37+0.75*(2.75+2.9+2.98+3.13))*10.764</f>
        <v>916.98515999999995</v>
      </c>
      <c r="E388" s="70">
        <v>0</v>
      </c>
      <c r="F388" s="70">
        <f t="shared" si="18"/>
        <v>1421.326998</v>
      </c>
      <c r="G388" s="145"/>
      <c r="H388" s="146"/>
      <c r="I388" s="37">
        <f>4200000/F388</f>
        <v>2954.9850287161012</v>
      </c>
    </row>
    <row r="389" spans="1:16" s="69" customFormat="1" ht="15.75" customHeight="1" x14ac:dyDescent="0.35">
      <c r="A389" s="136">
        <v>6</v>
      </c>
      <c r="B389" s="137"/>
      <c r="C389" s="70" t="s">
        <v>190</v>
      </c>
      <c r="D389" s="70">
        <f>(50.7+0.75*(2.9+2.75+2.9))*10.764</f>
        <v>614.75895000000003</v>
      </c>
      <c r="E389" s="70">
        <v>0</v>
      </c>
      <c r="F389" s="70">
        <f t="shared" si="18"/>
        <v>952.87637250000012</v>
      </c>
      <c r="G389" s="145"/>
      <c r="H389" s="146"/>
      <c r="I389" s="37"/>
    </row>
    <row r="390" spans="1:16" s="69" customFormat="1" ht="15.75" customHeight="1" x14ac:dyDescent="0.35">
      <c r="A390" s="136">
        <v>7</v>
      </c>
      <c r="B390" s="137"/>
      <c r="C390" s="70" t="s">
        <v>190</v>
      </c>
      <c r="D390" s="70">
        <f>(49.1+0.75*(2.9+2.75+2.9))*10.764</f>
        <v>597.53655000000003</v>
      </c>
      <c r="E390" s="70">
        <v>0</v>
      </c>
      <c r="F390" s="70">
        <f t="shared" si="18"/>
        <v>926.18165250000004</v>
      </c>
      <c r="G390" s="145"/>
      <c r="H390" s="146"/>
      <c r="I390" s="37">
        <f>2.9*4.55+2.05*3.15+2.75*3.05+2.9*3.65+1.202+1.2*2+1.63*0.6+3*1</f>
        <v>46.204999999999991</v>
      </c>
    </row>
    <row r="391" spans="1:16" s="69" customFormat="1" ht="15.75" customHeight="1" x14ac:dyDescent="0.35">
      <c r="A391" s="136">
        <v>8</v>
      </c>
      <c r="B391" s="137"/>
      <c r="C391" s="70" t="s">
        <v>190</v>
      </c>
      <c r="D391" s="70">
        <f>(49.1+0.75*(2.9+2.75+2.9))*10.764</f>
        <v>597.53655000000003</v>
      </c>
      <c r="E391" s="70">
        <v>0</v>
      </c>
      <c r="F391" s="70">
        <f t="shared" si="18"/>
        <v>926.18165250000004</v>
      </c>
      <c r="G391" s="145"/>
      <c r="H391" s="146"/>
      <c r="I391" s="37"/>
    </row>
    <row r="392" spans="1:16" s="69" customFormat="1" ht="15.75" customHeight="1" x14ac:dyDescent="0.35">
      <c r="A392" s="136">
        <v>9</v>
      </c>
      <c r="B392" s="137"/>
      <c r="C392" s="70" t="s">
        <v>190</v>
      </c>
      <c r="D392" s="70">
        <f>(50.7+0.75*(2.9+2.75+2.9))*10.764</f>
        <v>614.75895000000003</v>
      </c>
      <c r="E392" s="70">
        <v>0</v>
      </c>
      <c r="F392" s="70">
        <f t="shared" si="18"/>
        <v>952.87637250000012</v>
      </c>
      <c r="G392" s="147"/>
      <c r="H392" s="148"/>
      <c r="I392" s="37"/>
    </row>
    <row r="393" spans="1:16" s="69" customFormat="1" x14ac:dyDescent="0.35">
      <c r="A393" s="138" t="s">
        <v>235</v>
      </c>
      <c r="B393" s="139"/>
      <c r="C393" s="139"/>
      <c r="D393" s="139"/>
      <c r="E393" s="139"/>
      <c r="F393" s="139"/>
      <c r="G393" s="139"/>
      <c r="H393" s="140"/>
      <c r="I393" s="37"/>
      <c r="P393" s="38"/>
    </row>
    <row r="394" spans="1:16" s="69" customFormat="1" ht="15.75" customHeight="1" x14ac:dyDescent="0.35">
      <c r="A394" s="136">
        <v>1</v>
      </c>
      <c r="B394" s="137"/>
      <c r="C394" s="70" t="s">
        <v>190</v>
      </c>
      <c r="D394" s="70">
        <f>(49.1+0.75*(2.9+2.75+2.9))*10.764</f>
        <v>597.53655000000003</v>
      </c>
      <c r="E394" s="70">
        <v>0</v>
      </c>
      <c r="F394" s="70">
        <f>D394*(($F$240)+1)+(IF(E394&lt;101,E394,IF(E394&lt;201,E394/2,IF(E394&lt;=301,E394/3,E394/4))))</f>
        <v>926.18165250000004</v>
      </c>
      <c r="G394" s="143" t="str">
        <f>A393</f>
        <v>8th &amp; 20th Floor (Part Refuge Area)</v>
      </c>
      <c r="H394" s="144"/>
      <c r="I394" s="37"/>
    </row>
    <row r="395" spans="1:16" s="69" customFormat="1" ht="15.75" customHeight="1" x14ac:dyDescent="0.35">
      <c r="A395" s="136">
        <v>2</v>
      </c>
      <c r="B395" s="137"/>
      <c r="C395" s="70" t="s">
        <v>190</v>
      </c>
      <c r="D395" s="70">
        <f>(49.1+0.75*(2.9+2.75+2.9))*10.764</f>
        <v>597.53655000000003</v>
      </c>
      <c r="E395" s="70">
        <v>0</v>
      </c>
      <c r="F395" s="70">
        <f>D395*(($F$240)+1)+(IF(E395&lt;101,E395,IF(E395&lt;201,E395/2,IF(E395&lt;=301,E395/3,E395/4))))</f>
        <v>926.18165250000004</v>
      </c>
      <c r="G395" s="145"/>
      <c r="H395" s="146"/>
      <c r="I395" s="37">
        <f>4200000/F395</f>
        <v>4534.7475721022229</v>
      </c>
      <c r="J395" s="69">
        <f>2.05*0.9+4.55*2.9+3.15*2.05+3.05*2.75+3.05*2.9+1.2*2+2*1.2+1.8*0.8+1.22*0.9+1.4*0.9</f>
        <v>47.327999999999989</v>
      </c>
    </row>
    <row r="396" spans="1:16" s="69" customFormat="1" ht="15.75" customHeight="1" x14ac:dyDescent="0.35">
      <c r="A396" s="136">
        <v>3</v>
      </c>
      <c r="B396" s="137"/>
      <c r="C396" s="143" t="s">
        <v>193</v>
      </c>
      <c r="D396" s="176"/>
      <c r="E396" s="176"/>
      <c r="F396" s="144"/>
      <c r="G396" s="145"/>
      <c r="H396" s="146"/>
      <c r="I396" s="37"/>
    </row>
    <row r="397" spans="1:16" s="69" customFormat="1" ht="15.75" customHeight="1" x14ac:dyDescent="0.35">
      <c r="A397" s="136">
        <v>4</v>
      </c>
      <c r="B397" s="137"/>
      <c r="C397" s="147"/>
      <c r="D397" s="177"/>
      <c r="E397" s="177"/>
      <c r="F397" s="148"/>
      <c r="G397" s="145"/>
      <c r="H397" s="146"/>
      <c r="I397" s="37"/>
    </row>
    <row r="398" spans="1:16" s="69" customFormat="1" ht="15.75" customHeight="1" x14ac:dyDescent="0.35">
      <c r="A398" s="136">
        <v>5</v>
      </c>
      <c r="B398" s="137"/>
      <c r="C398" s="70" t="s">
        <v>189</v>
      </c>
      <c r="D398" s="70">
        <f>(76.37+0.75*(2.75+2.9+2.98+3.13))*10.764</f>
        <v>916.98515999999995</v>
      </c>
      <c r="E398" s="70">
        <v>0</v>
      </c>
      <c r="F398" s="70">
        <f>D398*(($F$240)+1)+(IF(E398&lt;101,E398,IF(E398&lt;201,E398/2,IF(E398&lt;=301,E398/3,E398/4))))</f>
        <v>1421.326998</v>
      </c>
      <c r="G398" s="145"/>
      <c r="H398" s="146"/>
      <c r="I398" s="37">
        <f>4200000/F398</f>
        <v>2954.9850287161012</v>
      </c>
    </row>
    <row r="399" spans="1:16" s="69" customFormat="1" ht="15.75" customHeight="1" x14ac:dyDescent="0.35">
      <c r="A399" s="136">
        <v>6</v>
      </c>
      <c r="B399" s="137"/>
      <c r="C399" s="70" t="s">
        <v>190</v>
      </c>
      <c r="D399" s="70">
        <f>(50.7+0.75*(2.9+2.75+2.9))*10.764</f>
        <v>614.75895000000003</v>
      </c>
      <c r="E399" s="70">
        <v>0</v>
      </c>
      <c r="F399" s="70">
        <f>D399*(($F$240)+1)+(IF(E399&lt;101,E399,IF(E399&lt;201,E399/2,IF(E399&lt;=301,E399/3,E399/4))))</f>
        <v>952.87637250000012</v>
      </c>
      <c r="G399" s="145"/>
      <c r="H399" s="146"/>
      <c r="I399" s="37"/>
    </row>
    <row r="400" spans="1:16" s="69" customFormat="1" ht="15.75" customHeight="1" x14ac:dyDescent="0.35">
      <c r="A400" s="136">
        <v>7</v>
      </c>
      <c r="B400" s="137"/>
      <c r="C400" s="70" t="s">
        <v>190</v>
      </c>
      <c r="D400" s="70">
        <f>(49.1+0.75*(2.9+2.75+2.9))*10.764</f>
        <v>597.53655000000003</v>
      </c>
      <c r="E400" s="70">
        <v>0</v>
      </c>
      <c r="F400" s="70">
        <f>D400*(($F$240)+1)+(IF(E400&lt;101,E400,IF(E400&lt;201,E400/2,IF(E400&lt;=301,E400/3,E400/4))))</f>
        <v>926.18165250000004</v>
      </c>
      <c r="G400" s="145"/>
      <c r="H400" s="146"/>
      <c r="I400" s="37">
        <f>2.9*4.55+2.05*3.15+2.75*3.05+2.9*3.65+1.202+1.2*2+1.63*0.6+3*1</f>
        <v>46.204999999999991</v>
      </c>
    </row>
    <row r="401" spans="1:16" s="69" customFormat="1" ht="15.75" customHeight="1" x14ac:dyDescent="0.35">
      <c r="A401" s="136">
        <v>8</v>
      </c>
      <c r="B401" s="137"/>
      <c r="C401" s="70" t="s">
        <v>190</v>
      </c>
      <c r="D401" s="70">
        <f>(49.1+0.75*(2.9+2.75+2.9))*10.764</f>
        <v>597.53655000000003</v>
      </c>
      <c r="E401" s="70">
        <v>0</v>
      </c>
      <c r="F401" s="70">
        <f>D401*(($F$240)+1)+(IF(E401&lt;101,E401,IF(E401&lt;201,E401/2,IF(E401&lt;=301,E401/3,E401/4))))</f>
        <v>926.18165250000004</v>
      </c>
      <c r="G401" s="145"/>
      <c r="H401" s="146"/>
      <c r="I401" s="37"/>
    </row>
    <row r="402" spans="1:16" s="69" customFormat="1" ht="15.75" customHeight="1" x14ac:dyDescent="0.35">
      <c r="A402" s="136">
        <v>9</v>
      </c>
      <c r="B402" s="137"/>
      <c r="C402" s="70" t="s">
        <v>190</v>
      </c>
      <c r="D402" s="70">
        <f>(50.7+0.75*(2.9+2.75+2.9))*10.764</f>
        <v>614.75895000000003</v>
      </c>
      <c r="E402" s="70">
        <v>0</v>
      </c>
      <c r="F402" s="70">
        <f>D402*(($F$240)+1)+(IF(E402&lt;101,E402,IF(E402&lt;201,E402/2,IF(E402&lt;=301,E402/3,E402/4))))</f>
        <v>952.87637250000012</v>
      </c>
      <c r="G402" s="147"/>
      <c r="H402" s="148"/>
      <c r="I402" s="37"/>
    </row>
    <row r="403" spans="1:16" s="69" customFormat="1" x14ac:dyDescent="0.35">
      <c r="A403" s="138" t="s">
        <v>236</v>
      </c>
      <c r="B403" s="139"/>
      <c r="C403" s="139"/>
      <c r="D403" s="139"/>
      <c r="E403" s="139"/>
      <c r="F403" s="139"/>
      <c r="G403" s="139"/>
      <c r="H403" s="140"/>
      <c r="I403" s="37"/>
      <c r="P403" s="38"/>
    </row>
    <row r="404" spans="1:16" s="69" customFormat="1" ht="15.75" customHeight="1" x14ac:dyDescent="0.35">
      <c r="A404" s="136">
        <v>1</v>
      </c>
      <c r="B404" s="137"/>
      <c r="C404" s="70" t="s">
        <v>190</v>
      </c>
      <c r="D404" s="70">
        <f>(49.1+0.75*(2.9+2.75+2.9))*10.764</f>
        <v>597.53655000000003</v>
      </c>
      <c r="E404" s="70">
        <v>0</v>
      </c>
      <c r="F404" s="70">
        <f t="shared" ref="F404:F412" si="19">D404*(($F$240)+1)+(IF(E404&lt;101,E404,IF(E404&lt;201,E404/2,IF(E404&lt;=301,E404/3,E404/4))))</f>
        <v>926.18165250000004</v>
      </c>
      <c r="G404" s="143" t="str">
        <f>A403</f>
        <v>12th &amp; 16th Floor</v>
      </c>
      <c r="H404" s="144"/>
      <c r="I404" s="37"/>
    </row>
    <row r="405" spans="1:16" s="69" customFormat="1" ht="15.75" customHeight="1" x14ac:dyDescent="0.35">
      <c r="A405" s="136">
        <v>2</v>
      </c>
      <c r="B405" s="137"/>
      <c r="C405" s="70" t="s">
        <v>190</v>
      </c>
      <c r="D405" s="70">
        <f>(49.1+0.75*(2.9+2.75+2.9))*10.764</f>
        <v>597.53655000000003</v>
      </c>
      <c r="E405" s="70">
        <v>0</v>
      </c>
      <c r="F405" s="70">
        <f t="shared" si="19"/>
        <v>926.18165250000004</v>
      </c>
      <c r="G405" s="145"/>
      <c r="H405" s="146"/>
      <c r="I405" s="37">
        <f>4200000/F405</f>
        <v>4534.7475721022229</v>
      </c>
      <c r="J405" s="69">
        <f>2.05*0.9+4.55*2.9+3.15*2.05+3.05*2.75+3.05*2.9+1.2*2+2*1.2+1.8*0.8+1.22*0.9+1.4*0.9</f>
        <v>47.327999999999989</v>
      </c>
    </row>
    <row r="406" spans="1:16" s="69" customFormat="1" ht="15.75" customHeight="1" x14ac:dyDescent="0.35">
      <c r="A406" s="136">
        <v>3</v>
      </c>
      <c r="B406" s="137"/>
      <c r="C406" s="70" t="s">
        <v>188</v>
      </c>
      <c r="D406" s="70">
        <f>(37.79+0.75*(2.75+2.9))*10.764</f>
        <v>452.38400999999999</v>
      </c>
      <c r="E406" s="70">
        <v>0</v>
      </c>
      <c r="F406" s="70">
        <f t="shared" si="19"/>
        <v>701.19521550000002</v>
      </c>
      <c r="G406" s="145"/>
      <c r="H406" s="146"/>
      <c r="I406" s="37"/>
    </row>
    <row r="407" spans="1:16" s="69" customFormat="1" ht="15.75" customHeight="1" x14ac:dyDescent="0.35">
      <c r="A407" s="136">
        <v>4</v>
      </c>
      <c r="B407" s="137"/>
      <c r="C407" s="70" t="s">
        <v>188</v>
      </c>
      <c r="D407" s="70">
        <f>(41.46+0.75*(2.75+2.9))*10.764</f>
        <v>491.88789000000003</v>
      </c>
      <c r="E407" s="70">
        <v>0</v>
      </c>
      <c r="F407" s="70">
        <f t="shared" si="19"/>
        <v>762.42622950000009</v>
      </c>
      <c r="G407" s="145"/>
      <c r="H407" s="146"/>
      <c r="I407" s="37"/>
    </row>
    <row r="408" spans="1:16" s="69" customFormat="1" ht="15.75" customHeight="1" x14ac:dyDescent="0.35">
      <c r="A408" s="136">
        <v>5</v>
      </c>
      <c r="B408" s="137"/>
      <c r="C408" s="70" t="s">
        <v>189</v>
      </c>
      <c r="D408" s="70">
        <f>(76.37+0.75*(2.75+2.9+2.98+3.13))*10.764</f>
        <v>916.98515999999995</v>
      </c>
      <c r="E408" s="70">
        <v>0</v>
      </c>
      <c r="F408" s="70">
        <f t="shared" si="19"/>
        <v>1421.326998</v>
      </c>
      <c r="G408" s="145"/>
      <c r="H408" s="146"/>
      <c r="I408" s="37">
        <f>4200000/F408</f>
        <v>2954.9850287161012</v>
      </c>
    </row>
    <row r="409" spans="1:16" s="69" customFormat="1" ht="15.75" customHeight="1" x14ac:dyDescent="0.35">
      <c r="A409" s="136">
        <v>6</v>
      </c>
      <c r="B409" s="137"/>
      <c r="C409" s="70" t="s">
        <v>190</v>
      </c>
      <c r="D409" s="70">
        <f>(50.7+0.75*(2.9+2.75+2.9))*10.764</f>
        <v>614.75895000000003</v>
      </c>
      <c r="E409" s="70">
        <v>0</v>
      </c>
      <c r="F409" s="70">
        <f t="shared" si="19"/>
        <v>952.87637250000012</v>
      </c>
      <c r="G409" s="145"/>
      <c r="H409" s="146"/>
      <c r="I409" s="37"/>
    </row>
    <row r="410" spans="1:16" s="69" customFormat="1" ht="15.75" customHeight="1" x14ac:dyDescent="0.35">
      <c r="A410" s="136">
        <v>7</v>
      </c>
      <c r="B410" s="137"/>
      <c r="C410" s="70" t="s">
        <v>190</v>
      </c>
      <c r="D410" s="70">
        <f>(49.1+0.75*(2.9+2.75+2.9))*10.764</f>
        <v>597.53655000000003</v>
      </c>
      <c r="E410" s="70">
        <v>0</v>
      </c>
      <c r="F410" s="70">
        <f t="shared" si="19"/>
        <v>926.18165250000004</v>
      </c>
      <c r="G410" s="145"/>
      <c r="H410" s="146"/>
      <c r="I410" s="37">
        <f>2.9*4.55+2.05*3.15+2.75*3.05+2.9*3.65+1.202+1.2*2+1.63*0.6+3*1</f>
        <v>46.204999999999991</v>
      </c>
    </row>
    <row r="411" spans="1:16" s="69" customFormat="1" ht="15.75" customHeight="1" x14ac:dyDescent="0.35">
      <c r="A411" s="136">
        <v>8</v>
      </c>
      <c r="B411" s="137"/>
      <c r="C411" s="70" t="s">
        <v>190</v>
      </c>
      <c r="D411" s="70">
        <f>(49.1+0.75*(2.9+2.75+2.9))*10.764</f>
        <v>597.53655000000003</v>
      </c>
      <c r="E411" s="70">
        <v>0</v>
      </c>
      <c r="F411" s="70">
        <f t="shared" si="19"/>
        <v>926.18165250000004</v>
      </c>
      <c r="G411" s="145"/>
      <c r="H411" s="146"/>
      <c r="I411" s="37"/>
    </row>
    <row r="412" spans="1:16" s="69" customFormat="1" ht="15.75" customHeight="1" x14ac:dyDescent="0.35">
      <c r="A412" s="136">
        <v>9</v>
      </c>
      <c r="B412" s="137"/>
      <c r="C412" s="70" t="s">
        <v>190</v>
      </c>
      <c r="D412" s="70">
        <f>(50.7+0.75*(2.9+2.75+2.9))*10.764</f>
        <v>614.75895000000003</v>
      </c>
      <c r="E412" s="70">
        <v>0</v>
      </c>
      <c r="F412" s="70">
        <f t="shared" si="19"/>
        <v>952.87637250000012</v>
      </c>
      <c r="G412" s="147"/>
      <c r="H412" s="148"/>
      <c r="I412" s="37"/>
    </row>
    <row r="413" spans="1:16" s="69" customFormat="1" x14ac:dyDescent="0.35">
      <c r="A413" s="138" t="s">
        <v>237</v>
      </c>
      <c r="B413" s="139"/>
      <c r="C413" s="139"/>
      <c r="D413" s="139"/>
      <c r="E413" s="139"/>
      <c r="F413" s="139"/>
      <c r="G413" s="139"/>
      <c r="H413" s="140"/>
      <c r="I413" s="37"/>
      <c r="P413" s="38"/>
    </row>
    <row r="414" spans="1:16" s="69" customFormat="1" ht="15.75" customHeight="1" x14ac:dyDescent="0.35">
      <c r="A414" s="136">
        <v>1</v>
      </c>
      <c r="B414" s="137"/>
      <c r="C414" s="70" t="s">
        <v>190</v>
      </c>
      <c r="D414" s="70">
        <f>(49.1+0.75*(2.9+2.75+2.9))*10.764</f>
        <v>597.53655000000003</v>
      </c>
      <c r="E414" s="70">
        <v>0</v>
      </c>
      <c r="F414" s="70">
        <f>D414*(($F$240)+1)+(IF(E414&lt;101,E414,IF(E414&lt;201,E414/2,IF(E414&lt;=301,E414/3,E414/4))))</f>
        <v>926.18165250000004</v>
      </c>
      <c r="G414" s="143" t="str">
        <f>A413</f>
        <v>14th Floor (Part Refuge Area)</v>
      </c>
      <c r="H414" s="144"/>
      <c r="I414" s="37"/>
    </row>
    <row r="415" spans="1:16" s="69" customFormat="1" ht="15.75" customHeight="1" x14ac:dyDescent="0.35">
      <c r="A415" s="136">
        <v>2</v>
      </c>
      <c r="B415" s="137"/>
      <c r="C415" s="70" t="s">
        <v>190</v>
      </c>
      <c r="D415" s="70">
        <f>(49.1+0.75*(2.9+2.75+2.9))*10.764</f>
        <v>597.53655000000003</v>
      </c>
      <c r="E415" s="70">
        <v>0</v>
      </c>
      <c r="F415" s="70">
        <f>D415*(($F$240)+1)+(IF(E415&lt;101,E415,IF(E415&lt;201,E415/2,IF(E415&lt;=301,E415/3,E415/4))))</f>
        <v>926.18165250000004</v>
      </c>
      <c r="G415" s="145"/>
      <c r="H415" s="146"/>
      <c r="I415" s="37">
        <f>4200000/F415</f>
        <v>4534.7475721022229</v>
      </c>
      <c r="J415" s="69">
        <f>2.05*0.9+4.55*2.9+3.15*2.05+3.05*2.75+3.05*2.9+1.2*2+2*1.2+1.8*0.8+1.22*0.9+1.4*0.9</f>
        <v>47.327999999999989</v>
      </c>
    </row>
    <row r="416" spans="1:16" s="69" customFormat="1" ht="15.75" customHeight="1" x14ac:dyDescent="0.35">
      <c r="A416" s="136">
        <v>3</v>
      </c>
      <c r="B416" s="137"/>
      <c r="C416" s="143" t="s">
        <v>193</v>
      </c>
      <c r="D416" s="176"/>
      <c r="E416" s="176"/>
      <c r="F416" s="144"/>
      <c r="G416" s="145"/>
      <c r="H416" s="146"/>
      <c r="I416" s="37"/>
    </row>
    <row r="417" spans="1:9" s="69" customFormat="1" ht="15.75" customHeight="1" x14ac:dyDescent="0.35">
      <c r="A417" s="136">
        <v>4</v>
      </c>
      <c r="B417" s="137"/>
      <c r="C417" s="147"/>
      <c r="D417" s="177"/>
      <c r="E417" s="177"/>
      <c r="F417" s="148"/>
      <c r="G417" s="145"/>
      <c r="H417" s="146"/>
      <c r="I417" s="37"/>
    </row>
    <row r="418" spans="1:9" s="69" customFormat="1" ht="15.75" customHeight="1" x14ac:dyDescent="0.35">
      <c r="A418" s="136">
        <v>5</v>
      </c>
      <c r="B418" s="137"/>
      <c r="C418" s="70" t="s">
        <v>189</v>
      </c>
      <c r="D418" s="70">
        <f>(76.37+0.75*(2.75+2.9+2.98+3.13))*10.764</f>
        <v>916.98515999999995</v>
      </c>
      <c r="E418" s="70">
        <v>0</v>
      </c>
      <c r="F418" s="70">
        <f>D418*(($F$240)+1)+(IF(E418&lt;101,E418,IF(E418&lt;201,E418/2,IF(E418&lt;=301,E418/3,E418/4))))</f>
        <v>1421.326998</v>
      </c>
      <c r="G418" s="145"/>
      <c r="H418" s="146"/>
      <c r="I418" s="37">
        <f>4200000/F418</f>
        <v>2954.9850287161012</v>
      </c>
    </row>
    <row r="419" spans="1:9" s="69" customFormat="1" ht="15.75" customHeight="1" x14ac:dyDescent="0.35">
      <c r="A419" s="136">
        <v>6</v>
      </c>
      <c r="B419" s="137"/>
      <c r="C419" s="70" t="s">
        <v>190</v>
      </c>
      <c r="D419" s="70">
        <f>(50.7+0.75*(2.9+2.75+2.9))*10.764</f>
        <v>614.75895000000003</v>
      </c>
      <c r="E419" s="70">
        <v>0</v>
      </c>
      <c r="F419" s="70">
        <f>D419*(($F$240)+1)+(IF(E419&lt;101,E419,IF(E419&lt;201,E419/2,IF(E419&lt;=301,E419/3,E419/4))))</f>
        <v>952.87637250000012</v>
      </c>
      <c r="G419" s="145"/>
      <c r="H419" s="146"/>
      <c r="I419" s="37"/>
    </row>
    <row r="420" spans="1:9" s="69" customFormat="1" ht="15.75" customHeight="1" x14ac:dyDescent="0.35">
      <c r="A420" s="136">
        <v>7</v>
      </c>
      <c r="B420" s="137"/>
      <c r="C420" s="70" t="s">
        <v>190</v>
      </c>
      <c r="D420" s="70">
        <f>(49.1+0.75*(2.9+2.75+2.9))*10.764</f>
        <v>597.53655000000003</v>
      </c>
      <c r="E420" s="70">
        <v>0</v>
      </c>
      <c r="F420" s="70">
        <f>D420*(($F$240)+1)+(IF(E420&lt;101,E420,IF(E420&lt;201,E420/2,IF(E420&lt;=301,E420/3,E420/4))))</f>
        <v>926.18165250000004</v>
      </c>
      <c r="G420" s="145"/>
      <c r="H420" s="146"/>
      <c r="I420" s="37">
        <f>2.9*4.55+2.05*3.15+2.75*3.05+2.9*3.65+1.202+1.2*2+1.63*0.6+3*1</f>
        <v>46.204999999999991</v>
      </c>
    </row>
    <row r="421" spans="1:9" s="69" customFormat="1" ht="15.75" customHeight="1" x14ac:dyDescent="0.35">
      <c r="A421" s="136">
        <v>8</v>
      </c>
      <c r="B421" s="137"/>
      <c r="C421" s="70" t="s">
        <v>190</v>
      </c>
      <c r="D421" s="70">
        <f>(49.1+0.75*(2.9+2.75+2.9))*10.764</f>
        <v>597.53655000000003</v>
      </c>
      <c r="E421" s="70">
        <v>0</v>
      </c>
      <c r="F421" s="70">
        <f>D421*(($F$240)+1)+(IF(E421&lt;101,E421,IF(E421&lt;201,E421/2,IF(E421&lt;=301,E421/3,E421/4))))</f>
        <v>926.18165250000004</v>
      </c>
      <c r="G421" s="145"/>
      <c r="H421" s="146"/>
      <c r="I421" s="37"/>
    </row>
    <row r="422" spans="1:9" s="69" customFormat="1" ht="15.75" customHeight="1" x14ac:dyDescent="0.35">
      <c r="A422" s="136">
        <v>9</v>
      </c>
      <c r="B422" s="137"/>
      <c r="C422" s="70" t="s">
        <v>190</v>
      </c>
      <c r="D422" s="70">
        <f>(50.7+0.75*(2.9+2.75+2.9))*10.764</f>
        <v>614.75895000000003</v>
      </c>
      <c r="E422" s="70">
        <v>0</v>
      </c>
      <c r="F422" s="70">
        <f>D422*(($F$240)+1)+(IF(E422&lt;101,E422,IF(E422&lt;201,E422/2,IF(E422&lt;=301,E422/3,E422/4))))</f>
        <v>952.87637250000012</v>
      </c>
      <c r="G422" s="147"/>
      <c r="H422" s="148"/>
      <c r="I422" s="37"/>
    </row>
    <row r="423" spans="1:9" s="36" customFormat="1" x14ac:dyDescent="0.35">
      <c r="A423" s="227" t="s">
        <v>71</v>
      </c>
      <c r="B423" s="227"/>
      <c r="C423" s="227"/>
      <c r="D423" s="227"/>
      <c r="E423" s="227"/>
      <c r="F423" s="227"/>
      <c r="G423" s="227"/>
      <c r="H423" s="227"/>
    </row>
    <row r="424" spans="1:9" s="36" customFormat="1" ht="32.5" customHeight="1" x14ac:dyDescent="0.35">
      <c r="A424" s="64" t="s">
        <v>157</v>
      </c>
      <c r="B424" s="102" t="s">
        <v>267</v>
      </c>
      <c r="C424" s="103"/>
      <c r="D424" s="103"/>
      <c r="E424" s="103"/>
      <c r="F424" s="103"/>
      <c r="G424" s="103"/>
      <c r="H424" s="104"/>
    </row>
    <row r="425" spans="1:9" s="36" customFormat="1" x14ac:dyDescent="0.35">
      <c r="A425" s="64" t="s">
        <v>157</v>
      </c>
      <c r="B425" s="102" t="str">
        <f>(IF(F239="Saleable area Loading :","We have considered Saleable area of Flats as per our Calculation.","We considered Saleable area of Flat as per Builder area Sheet."))</f>
        <v>We have considered Saleable area of Flats as per our Calculation.</v>
      </c>
      <c r="C425" s="103"/>
      <c r="D425" s="103"/>
      <c r="E425" s="103"/>
      <c r="F425" s="103"/>
      <c r="G425" s="103"/>
      <c r="H425" s="104"/>
    </row>
    <row r="426" spans="1:9" s="36" customFormat="1" x14ac:dyDescent="0.35">
      <c r="A426" s="64" t="s">
        <v>157</v>
      </c>
      <c r="B426" s="102" t="str">
        <f>(IF(F211="Saleable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26" s="103"/>
      <c r="D426" s="103"/>
      <c r="E426" s="103"/>
      <c r="F426" s="103"/>
      <c r="G426" s="103"/>
      <c r="H426" s="104"/>
    </row>
    <row r="427" spans="1:9" s="36" customFormat="1" x14ac:dyDescent="0.35">
      <c r="A427" s="64" t="s">
        <v>157</v>
      </c>
      <c r="B427" s="102" t="s">
        <v>126</v>
      </c>
      <c r="C427" s="103"/>
      <c r="D427" s="103"/>
      <c r="E427" s="103"/>
      <c r="F427" s="103"/>
      <c r="G427" s="103"/>
      <c r="H427" s="104"/>
    </row>
    <row r="428" spans="1:9" s="36" customFormat="1" x14ac:dyDescent="0.35">
      <c r="A428" s="64" t="s">
        <v>157</v>
      </c>
      <c r="B428" s="102" t="s">
        <v>182</v>
      </c>
      <c r="C428" s="103"/>
      <c r="D428" s="103"/>
      <c r="E428" s="103"/>
      <c r="F428" s="103"/>
      <c r="G428" s="103"/>
      <c r="H428" s="104"/>
    </row>
    <row r="429" spans="1:9" s="36" customFormat="1" x14ac:dyDescent="0.35">
      <c r="A429" s="64" t="s">
        <v>157</v>
      </c>
      <c r="B429" s="102" t="s">
        <v>156</v>
      </c>
      <c r="C429" s="103"/>
      <c r="D429" s="103"/>
      <c r="E429" s="103"/>
      <c r="F429" s="103"/>
      <c r="G429" s="103"/>
      <c r="H429" s="104"/>
    </row>
    <row r="430" spans="1:9" s="36" customFormat="1" x14ac:dyDescent="0.35">
      <c r="A430" s="64" t="s">
        <v>157</v>
      </c>
      <c r="B430" s="102" t="s">
        <v>127</v>
      </c>
      <c r="C430" s="103"/>
      <c r="D430" s="103"/>
      <c r="E430" s="103"/>
      <c r="F430" s="103"/>
      <c r="G430" s="103"/>
      <c r="H430" s="104"/>
    </row>
    <row r="431" spans="1:9" s="36" customFormat="1" ht="34.5" customHeight="1" x14ac:dyDescent="0.35">
      <c r="A431" s="64" t="s">
        <v>157</v>
      </c>
      <c r="B431" s="102" t="s">
        <v>158</v>
      </c>
      <c r="C431" s="103"/>
      <c r="D431" s="103"/>
      <c r="E431" s="103"/>
      <c r="F431" s="103"/>
      <c r="G431" s="103"/>
      <c r="H431" s="104"/>
    </row>
    <row r="432" spans="1:9" s="36" customFormat="1" x14ac:dyDescent="0.35">
      <c r="A432" s="64" t="s">
        <v>157</v>
      </c>
      <c r="B432" s="102" t="s">
        <v>128</v>
      </c>
      <c r="C432" s="103"/>
      <c r="D432" s="103"/>
      <c r="E432" s="103"/>
      <c r="F432" s="103"/>
      <c r="G432" s="103"/>
      <c r="H432" s="104"/>
    </row>
    <row r="433" spans="1:8" s="36" customFormat="1" ht="30.75" customHeight="1" x14ac:dyDescent="0.35">
      <c r="A433" s="71" t="s">
        <v>157</v>
      </c>
      <c r="B433" s="184" t="s">
        <v>260</v>
      </c>
      <c r="C433" s="185"/>
      <c r="D433" s="185"/>
      <c r="E433" s="185"/>
      <c r="F433" s="185"/>
      <c r="G433" s="185"/>
      <c r="H433" s="186"/>
    </row>
    <row r="434" spans="1:8" s="36" customFormat="1" x14ac:dyDescent="0.35">
      <c r="A434" s="64" t="s">
        <v>157</v>
      </c>
      <c r="B434" s="102" t="s">
        <v>240</v>
      </c>
      <c r="C434" s="103"/>
      <c r="D434" s="103"/>
      <c r="E434" s="103"/>
      <c r="F434" s="103"/>
      <c r="G434" s="103"/>
      <c r="H434" s="104"/>
    </row>
    <row r="435" spans="1:8" s="36" customFormat="1" x14ac:dyDescent="0.35">
      <c r="A435" s="64" t="s">
        <v>157</v>
      </c>
      <c r="B435" s="102" t="s">
        <v>256</v>
      </c>
      <c r="C435" s="103"/>
      <c r="D435" s="103"/>
      <c r="E435" s="103"/>
      <c r="F435" s="103"/>
      <c r="G435" s="103"/>
      <c r="H435" s="104"/>
    </row>
    <row r="436" spans="1:8" x14ac:dyDescent="0.35">
      <c r="A436" s="172" t="s">
        <v>64</v>
      </c>
      <c r="B436" s="172"/>
      <c r="C436" s="172"/>
      <c r="D436" s="172"/>
      <c r="E436" s="172"/>
      <c r="F436" s="172"/>
      <c r="G436" s="172"/>
      <c r="H436" s="172"/>
    </row>
    <row r="437" spans="1:8" x14ac:dyDescent="0.35">
      <c r="A437" s="151" t="s">
        <v>65</v>
      </c>
      <c r="B437" s="151"/>
      <c r="C437" s="151"/>
      <c r="D437" s="151"/>
      <c r="E437" s="151"/>
      <c r="F437" s="151"/>
      <c r="G437" s="151"/>
      <c r="H437" s="151"/>
    </row>
    <row r="438" spans="1:8" ht="15.75" customHeight="1" x14ac:dyDescent="0.35">
      <c r="A438" s="152" t="s">
        <v>66</v>
      </c>
      <c r="B438" s="152"/>
      <c r="C438" s="152"/>
      <c r="D438" s="152"/>
      <c r="E438" s="152"/>
      <c r="F438" s="152"/>
      <c r="G438" s="152"/>
      <c r="H438" s="152"/>
    </row>
    <row r="439" spans="1:8" x14ac:dyDescent="0.35">
      <c r="A439" s="151" t="s">
        <v>67</v>
      </c>
      <c r="B439" s="151"/>
      <c r="C439" s="151"/>
      <c r="D439" s="151"/>
      <c r="E439" s="151"/>
      <c r="F439" s="151"/>
      <c r="G439" s="151"/>
      <c r="H439" s="151"/>
    </row>
    <row r="440" spans="1:8" x14ac:dyDescent="0.35">
      <c r="A440" s="151" t="s">
        <v>68</v>
      </c>
      <c r="B440" s="151"/>
      <c r="C440" s="151"/>
      <c r="D440" s="151"/>
      <c r="E440" s="151"/>
      <c r="F440" s="151"/>
      <c r="G440" s="151"/>
      <c r="H440" s="151"/>
    </row>
    <row r="441" spans="1:8" x14ac:dyDescent="0.35">
      <c r="A441" s="151" t="s">
        <v>129</v>
      </c>
      <c r="B441" s="151"/>
      <c r="C441" s="151"/>
      <c r="D441" s="151"/>
      <c r="E441" s="151"/>
      <c r="F441" s="151"/>
      <c r="G441" s="151"/>
      <c r="H441" s="151"/>
    </row>
    <row r="442" spans="1:8" ht="35.25" customHeight="1" x14ac:dyDescent="0.35">
      <c r="A442" s="167" t="s">
        <v>130</v>
      </c>
      <c r="B442" s="167"/>
      <c r="C442" s="167"/>
      <c r="D442" s="167"/>
      <c r="E442" s="167"/>
      <c r="F442" s="167"/>
      <c r="G442" s="167"/>
      <c r="H442" s="167"/>
    </row>
    <row r="443" spans="1:8" x14ac:dyDescent="0.35">
      <c r="A443" s="179" t="s">
        <v>81</v>
      </c>
      <c r="B443" s="179"/>
      <c r="C443" s="179" t="s">
        <v>181</v>
      </c>
      <c r="D443" s="179"/>
      <c r="E443" s="179" t="s">
        <v>107</v>
      </c>
      <c r="F443" s="179"/>
      <c r="G443" s="179" t="s">
        <v>265</v>
      </c>
      <c r="H443" s="179"/>
    </row>
    <row r="444" spans="1:8" x14ac:dyDescent="0.35">
      <c r="A444" s="178" t="s">
        <v>83</v>
      </c>
      <c r="B444" s="178"/>
      <c r="C444" s="178"/>
      <c r="D444" s="178"/>
      <c r="E444" s="178"/>
      <c r="F444" s="178"/>
      <c r="G444" s="178"/>
      <c r="H444" s="178"/>
    </row>
    <row r="445" spans="1:8" x14ac:dyDescent="0.35">
      <c r="A445" s="178"/>
      <c r="B445" s="178"/>
      <c r="C445" s="178"/>
      <c r="D445" s="178"/>
      <c r="E445" s="178"/>
      <c r="F445" s="178"/>
      <c r="G445" s="178"/>
      <c r="H445" s="178"/>
    </row>
    <row r="446" spans="1:8" x14ac:dyDescent="0.35">
      <c r="A446" s="178"/>
      <c r="B446" s="178"/>
      <c r="C446" s="178"/>
      <c r="D446" s="178"/>
      <c r="E446" s="178"/>
      <c r="F446" s="178"/>
      <c r="G446" s="178"/>
      <c r="H446" s="178"/>
    </row>
    <row r="447" spans="1:8" x14ac:dyDescent="0.35">
      <c r="A447" s="178"/>
      <c r="B447" s="178"/>
      <c r="C447" s="178"/>
      <c r="D447" s="178"/>
      <c r="E447" s="178"/>
      <c r="F447" s="178"/>
      <c r="G447" s="178"/>
      <c r="H447" s="178"/>
    </row>
    <row r="448" spans="1:8" x14ac:dyDescent="0.35">
      <c r="A448" s="39" t="s">
        <v>69</v>
      </c>
      <c r="B448" s="40"/>
      <c r="C448" s="40"/>
      <c r="D448" s="39" t="str">
        <f>E8</f>
        <v>Vinay Unique Residency Building No. 10 known as Sky</v>
      </c>
      <c r="F448" s="40"/>
      <c r="G448" s="40"/>
      <c r="H448" s="40"/>
    </row>
    <row r="449" spans="1:8" x14ac:dyDescent="0.35">
      <c r="A449" s="40"/>
      <c r="B449" s="40"/>
      <c r="C449" s="40"/>
      <c r="D449" s="40"/>
      <c r="E449" s="40"/>
      <c r="F449" s="40"/>
      <c r="G449" s="40"/>
      <c r="H449" s="40"/>
    </row>
    <row r="450" spans="1:8" x14ac:dyDescent="0.35">
      <c r="A450" s="40"/>
      <c r="B450" s="40"/>
      <c r="C450" s="40"/>
      <c r="D450" s="40"/>
      <c r="E450" s="40"/>
      <c r="F450" s="40"/>
      <c r="G450" s="40"/>
      <c r="H450" s="40"/>
    </row>
    <row r="451" spans="1:8" ht="15" customHeight="1" x14ac:dyDescent="0.35"/>
    <row r="492" spans="1:8" x14ac:dyDescent="0.35">
      <c r="A492" s="39" t="s">
        <v>69</v>
      </c>
      <c r="B492" s="40"/>
      <c r="C492" s="40"/>
      <c r="D492" s="39" t="str">
        <f>E8</f>
        <v>Vinay Unique Residency Building No. 10 known as Sky</v>
      </c>
      <c r="F492" s="40"/>
      <c r="G492" s="40"/>
      <c r="H492" s="40"/>
    </row>
    <row r="493" spans="1:8" x14ac:dyDescent="0.35">
      <c r="A493" s="40"/>
      <c r="B493" s="40"/>
      <c r="C493" s="40"/>
      <c r="D493" s="40"/>
      <c r="E493" s="40"/>
      <c r="F493" s="40"/>
      <c r="G493" s="40"/>
      <c r="H493" s="40"/>
    </row>
    <row r="494" spans="1:8" x14ac:dyDescent="0.35">
      <c r="A494" s="40"/>
      <c r="B494" s="40"/>
      <c r="C494" s="40"/>
      <c r="D494" s="40"/>
      <c r="E494" s="40"/>
      <c r="F494" s="40"/>
      <c r="G494" s="40"/>
      <c r="H494" s="40"/>
    </row>
    <row r="495" spans="1:8" ht="15" customHeight="1" x14ac:dyDescent="0.35"/>
    <row r="536" spans="1:1" x14ac:dyDescent="0.35">
      <c r="A536" s="42" t="s">
        <v>70</v>
      </c>
    </row>
  </sheetData>
  <mergeCells count="713">
    <mergeCell ref="B435:H435"/>
    <mergeCell ref="G217:H229"/>
    <mergeCell ref="G233:H237"/>
    <mergeCell ref="G244:H253"/>
    <mergeCell ref="G255:H264"/>
    <mergeCell ref="G266:H275"/>
    <mergeCell ref="G279:H283"/>
    <mergeCell ref="G300:H303"/>
    <mergeCell ref="G318:H321"/>
    <mergeCell ref="G328:H331"/>
    <mergeCell ref="G336:H339"/>
    <mergeCell ref="G346:H349"/>
    <mergeCell ref="G351:H354"/>
    <mergeCell ref="G356:H359"/>
    <mergeCell ref="G366:H369"/>
    <mergeCell ref="G374:H382"/>
    <mergeCell ref="G384:H392"/>
    <mergeCell ref="G394:H402"/>
    <mergeCell ref="G404:H412"/>
    <mergeCell ref="A420:B420"/>
    <mergeCell ref="A421:B421"/>
    <mergeCell ref="A422:B422"/>
    <mergeCell ref="G414:H422"/>
    <mergeCell ref="A409:B409"/>
    <mergeCell ref="G207:H207"/>
    <mergeCell ref="C396:F397"/>
    <mergeCell ref="A408:B408"/>
    <mergeCell ref="C416:F417"/>
    <mergeCell ref="A418:B418"/>
    <mergeCell ref="A419:B419"/>
    <mergeCell ref="A389:B389"/>
    <mergeCell ref="A390:B390"/>
    <mergeCell ref="A391:B391"/>
    <mergeCell ref="A392:B392"/>
    <mergeCell ref="A394:B394"/>
    <mergeCell ref="A384:B384"/>
    <mergeCell ref="A385:B385"/>
    <mergeCell ref="A386:B386"/>
    <mergeCell ref="A387:B387"/>
    <mergeCell ref="A388:B388"/>
    <mergeCell ref="A413:H413"/>
    <mergeCell ref="A414:B414"/>
    <mergeCell ref="A415:B415"/>
    <mergeCell ref="A416:B416"/>
    <mergeCell ref="A417:B417"/>
    <mergeCell ref="A410:B410"/>
    <mergeCell ref="A411:B411"/>
    <mergeCell ref="A412:B412"/>
    <mergeCell ref="A403:H403"/>
    <mergeCell ref="A404:B404"/>
    <mergeCell ref="A405:B405"/>
    <mergeCell ref="A406:B406"/>
    <mergeCell ref="A407:B407"/>
    <mergeCell ref="A393:H393"/>
    <mergeCell ref="A395:B395"/>
    <mergeCell ref="A396:B396"/>
    <mergeCell ref="A397:B397"/>
    <mergeCell ref="A398:B398"/>
    <mergeCell ref="A399:B399"/>
    <mergeCell ref="A400:B400"/>
    <mergeCell ref="A401:B401"/>
    <mergeCell ref="A402:B402"/>
    <mergeCell ref="A375:B375"/>
    <mergeCell ref="A376:B376"/>
    <mergeCell ref="A377:B377"/>
    <mergeCell ref="A383:H383"/>
    <mergeCell ref="A378:B378"/>
    <mergeCell ref="A379:B379"/>
    <mergeCell ref="A380:B380"/>
    <mergeCell ref="A381:B381"/>
    <mergeCell ref="A382:B382"/>
    <mergeCell ref="A370:H370"/>
    <mergeCell ref="A371:H371"/>
    <mergeCell ref="A372:H372"/>
    <mergeCell ref="A373:H373"/>
    <mergeCell ref="A374:B374"/>
    <mergeCell ref="A156:B156"/>
    <mergeCell ref="C156:H156"/>
    <mergeCell ref="A157:B157"/>
    <mergeCell ref="E157:F157"/>
    <mergeCell ref="G157:H157"/>
    <mergeCell ref="A158:B158"/>
    <mergeCell ref="E158:F167"/>
    <mergeCell ref="G158:H167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207:B207"/>
    <mergeCell ref="C207:D207"/>
    <mergeCell ref="E207:F207"/>
    <mergeCell ref="A154:B154"/>
    <mergeCell ref="C154:H154"/>
    <mergeCell ref="D62:H62"/>
    <mergeCell ref="A61:C62"/>
    <mergeCell ref="A69:C69"/>
    <mergeCell ref="D69:H69"/>
    <mergeCell ref="A67:C67"/>
    <mergeCell ref="D67:H67"/>
    <mergeCell ref="A68:C68"/>
    <mergeCell ref="D68:H68"/>
    <mergeCell ref="A74:B74"/>
    <mergeCell ref="G73:H73"/>
    <mergeCell ref="E73:F73"/>
    <mergeCell ref="A66:C66"/>
    <mergeCell ref="A84:B84"/>
    <mergeCell ref="C84:H84"/>
    <mergeCell ref="A86:B86"/>
    <mergeCell ref="A64:C64"/>
    <mergeCell ref="D63:H63"/>
    <mergeCell ref="E74:F83"/>
    <mergeCell ref="G74:H83"/>
    <mergeCell ref="A82:B82"/>
    <mergeCell ref="A83:B83"/>
    <mergeCell ref="D64:H64"/>
    <mergeCell ref="A333:H333"/>
    <mergeCell ref="A213:H213"/>
    <mergeCell ref="C52:H52"/>
    <mergeCell ref="A225:B225"/>
    <mergeCell ref="A226:B226"/>
    <mergeCell ref="A227:B227"/>
    <mergeCell ref="A228:B228"/>
    <mergeCell ref="A229:B229"/>
    <mergeCell ref="A233:B233"/>
    <mergeCell ref="A234:B234"/>
    <mergeCell ref="A235:B235"/>
    <mergeCell ref="A236:B236"/>
    <mergeCell ref="A231:H231"/>
    <mergeCell ref="A215:H215"/>
    <mergeCell ref="A217:B217"/>
    <mergeCell ref="A218:B218"/>
    <mergeCell ref="A219:B219"/>
    <mergeCell ref="A220:B220"/>
    <mergeCell ref="A221:B221"/>
    <mergeCell ref="A167:B167"/>
    <mergeCell ref="A53:B54"/>
    <mergeCell ref="C53:E53"/>
    <mergeCell ref="G53:H53"/>
    <mergeCell ref="A59:C60"/>
    <mergeCell ref="L225:M225"/>
    <mergeCell ref="L226:M226"/>
    <mergeCell ref="L227:M227"/>
    <mergeCell ref="L228:M228"/>
    <mergeCell ref="L229:M229"/>
    <mergeCell ref="L251:M251"/>
    <mergeCell ref="A252:B252"/>
    <mergeCell ref="L252:M252"/>
    <mergeCell ref="L244:M244"/>
    <mergeCell ref="A241:H241"/>
    <mergeCell ref="A243:H243"/>
    <mergeCell ref="A249:B249"/>
    <mergeCell ref="L249:M249"/>
    <mergeCell ref="A250:B250"/>
    <mergeCell ref="L250:M250"/>
    <mergeCell ref="L248:M248"/>
    <mergeCell ref="L233:M233"/>
    <mergeCell ref="L235:M235"/>
    <mergeCell ref="L236:M236"/>
    <mergeCell ref="L237:M237"/>
    <mergeCell ref="B431:H431"/>
    <mergeCell ref="A47:B47"/>
    <mergeCell ref="C47:H47"/>
    <mergeCell ref="B429:H429"/>
    <mergeCell ref="F186:H186"/>
    <mergeCell ref="A186:E186"/>
    <mergeCell ref="D211:D212"/>
    <mergeCell ref="A187:E187"/>
    <mergeCell ref="A188:E188"/>
    <mergeCell ref="F187:H187"/>
    <mergeCell ref="F191:H191"/>
    <mergeCell ref="A282:B282"/>
    <mergeCell ref="A198:B198"/>
    <mergeCell ref="A339:B339"/>
    <mergeCell ref="A331:B331"/>
    <mergeCell ref="A328:B328"/>
    <mergeCell ref="A279:B279"/>
    <mergeCell ref="A244:B244"/>
    <mergeCell ref="A189:E189"/>
    <mergeCell ref="F189:H189"/>
    <mergeCell ref="A190:E190"/>
    <mergeCell ref="A278:H278"/>
    <mergeCell ref="A245:B245"/>
    <mergeCell ref="A192:E192"/>
    <mergeCell ref="E196:F196"/>
    <mergeCell ref="A196:B196"/>
    <mergeCell ref="E198:F198"/>
    <mergeCell ref="G198:H198"/>
    <mergeCell ref="A199:B199"/>
    <mergeCell ref="C199:D199"/>
    <mergeCell ref="E199:F199"/>
    <mergeCell ref="G199:H199"/>
    <mergeCell ref="A206:B206"/>
    <mergeCell ref="C206:D206"/>
    <mergeCell ref="E206:F206"/>
    <mergeCell ref="G201:H201"/>
    <mergeCell ref="G202:H202"/>
    <mergeCell ref="G206:H206"/>
    <mergeCell ref="C201:D201"/>
    <mergeCell ref="G205:H205"/>
    <mergeCell ref="G196:H196"/>
    <mergeCell ref="A222:B222"/>
    <mergeCell ref="C197:D197"/>
    <mergeCell ref="E197:F197"/>
    <mergeCell ref="B211:B212"/>
    <mergeCell ref="A211:A212"/>
    <mergeCell ref="C239:C240"/>
    <mergeCell ref="C208:D208"/>
    <mergeCell ref="A202:B202"/>
    <mergeCell ref="C202:D202"/>
    <mergeCell ref="E202:F202"/>
    <mergeCell ref="A203:B203"/>
    <mergeCell ref="C203:D203"/>
    <mergeCell ref="E203:F203"/>
    <mergeCell ref="A205:B205"/>
    <mergeCell ref="C205:D205"/>
    <mergeCell ref="E205:F205"/>
    <mergeCell ref="A223:B223"/>
    <mergeCell ref="A224:B224"/>
    <mergeCell ref="A208:B208"/>
    <mergeCell ref="E208:F208"/>
    <mergeCell ref="A296:H296"/>
    <mergeCell ref="A298:H298"/>
    <mergeCell ref="A299:H299"/>
    <mergeCell ref="A300:B300"/>
    <mergeCell ref="A230:H230"/>
    <mergeCell ref="A232:H232"/>
    <mergeCell ref="A253:B253"/>
    <mergeCell ref="A272:B272"/>
    <mergeCell ref="A271:B271"/>
    <mergeCell ref="A288:B288"/>
    <mergeCell ref="A284:H284"/>
    <mergeCell ref="A289:B289"/>
    <mergeCell ref="A285:B285"/>
    <mergeCell ref="A264:B264"/>
    <mergeCell ref="A273:B273"/>
    <mergeCell ref="B239:B240"/>
    <mergeCell ref="A281:B281"/>
    <mergeCell ref="A274:B274"/>
    <mergeCell ref="A275:B275"/>
    <mergeCell ref="A251:B251"/>
    <mergeCell ref="L221:M221"/>
    <mergeCell ref="L222:M222"/>
    <mergeCell ref="L223:M223"/>
    <mergeCell ref="L224:M224"/>
    <mergeCell ref="B428:H428"/>
    <mergeCell ref="A423:H423"/>
    <mergeCell ref="L290:M290"/>
    <mergeCell ref="A238:H238"/>
    <mergeCell ref="A239:A240"/>
    <mergeCell ref="A295:B295"/>
    <mergeCell ref="A292:B292"/>
    <mergeCell ref="A293:B293"/>
    <mergeCell ref="A341:B341"/>
    <mergeCell ref="A342:B342"/>
    <mergeCell ref="A343:B343"/>
    <mergeCell ref="A294:B294"/>
    <mergeCell ref="L282:M282"/>
    <mergeCell ref="L279:M279"/>
    <mergeCell ref="A280:B280"/>
    <mergeCell ref="L234:M234"/>
    <mergeCell ref="B426:H426"/>
    <mergeCell ref="A329:B329"/>
    <mergeCell ref="A340:H340"/>
    <mergeCell ref="A327:H327"/>
    <mergeCell ref="L220:M220"/>
    <mergeCell ref="L219:M219"/>
    <mergeCell ref="L218:M218"/>
    <mergeCell ref="L217:M217"/>
    <mergeCell ref="A81:B81"/>
    <mergeCell ref="C204:D204"/>
    <mergeCell ref="E204:F204"/>
    <mergeCell ref="G204:H204"/>
    <mergeCell ref="A185:E185"/>
    <mergeCell ref="A216:H216"/>
    <mergeCell ref="E211:E212"/>
    <mergeCell ref="G211:H212"/>
    <mergeCell ref="F184:H184"/>
    <mergeCell ref="F188:H188"/>
    <mergeCell ref="C211:C212"/>
    <mergeCell ref="A209:H209"/>
    <mergeCell ref="A210:H210"/>
    <mergeCell ref="A184:E184"/>
    <mergeCell ref="C196:D196"/>
    <mergeCell ref="F192:H192"/>
    <mergeCell ref="G203:H203"/>
    <mergeCell ref="F190:H190"/>
    <mergeCell ref="G208:H208"/>
    <mergeCell ref="C198:D198"/>
    <mergeCell ref="A80:B80"/>
    <mergeCell ref="A73:B73"/>
    <mergeCell ref="A76:B76"/>
    <mergeCell ref="A72:B72"/>
    <mergeCell ref="A70:B70"/>
    <mergeCell ref="C70:H70"/>
    <mergeCell ref="A78:B78"/>
    <mergeCell ref="A65:C65"/>
    <mergeCell ref="D65:H65"/>
    <mergeCell ref="C72:H72"/>
    <mergeCell ref="A75:B75"/>
    <mergeCell ref="A77:B77"/>
    <mergeCell ref="A191:E191"/>
    <mergeCell ref="D66:H66"/>
    <mergeCell ref="A42:D42"/>
    <mergeCell ref="E42:H42"/>
    <mergeCell ref="E43:H43"/>
    <mergeCell ref="E44:H44"/>
    <mergeCell ref="E45:H45"/>
    <mergeCell ref="A43:D43"/>
    <mergeCell ref="C86:H86"/>
    <mergeCell ref="A87:B87"/>
    <mergeCell ref="E87:F87"/>
    <mergeCell ref="G87:H87"/>
    <mergeCell ref="A88:B88"/>
    <mergeCell ref="E88:F97"/>
    <mergeCell ref="G88:H97"/>
    <mergeCell ref="A89:B89"/>
    <mergeCell ref="A90:B90"/>
    <mergeCell ref="A91:B91"/>
    <mergeCell ref="A92:B92"/>
    <mergeCell ref="A93:B93"/>
    <mergeCell ref="A94:B94"/>
    <mergeCell ref="A95:B95"/>
    <mergeCell ref="A96:B96"/>
    <mergeCell ref="A63:C63"/>
    <mergeCell ref="A44:D44"/>
    <mergeCell ref="A45:D45"/>
    <mergeCell ref="A46:H46"/>
    <mergeCell ref="D59:H59"/>
    <mergeCell ref="G49:H49"/>
    <mergeCell ref="A51:B52"/>
    <mergeCell ref="G48:H48"/>
    <mergeCell ref="G51:H51"/>
    <mergeCell ref="D57:H57"/>
    <mergeCell ref="C51:E51"/>
    <mergeCell ref="D61:H61"/>
    <mergeCell ref="C49:E49"/>
    <mergeCell ref="A55:B55"/>
    <mergeCell ref="C55:E55"/>
    <mergeCell ref="C54:H54"/>
    <mergeCell ref="D60:H60"/>
    <mergeCell ref="A50:B50"/>
    <mergeCell ref="C50:E50"/>
    <mergeCell ref="G50:H50"/>
    <mergeCell ref="A35:B35"/>
    <mergeCell ref="C35:E35"/>
    <mergeCell ref="A40:D40"/>
    <mergeCell ref="E40:H40"/>
    <mergeCell ref="A38:B38"/>
    <mergeCell ref="C38:H38"/>
    <mergeCell ref="F32:H32"/>
    <mergeCell ref="F33:H33"/>
    <mergeCell ref="A39:H39"/>
    <mergeCell ref="F35:H35"/>
    <mergeCell ref="A37:B37"/>
    <mergeCell ref="E37:F37"/>
    <mergeCell ref="C37:D37"/>
    <mergeCell ref="G37:H37"/>
    <mergeCell ref="C33:E33"/>
    <mergeCell ref="A34:B34"/>
    <mergeCell ref="C34:E34"/>
    <mergeCell ref="A36:H36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E20:F20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E13:H13"/>
    <mergeCell ref="A14:B14"/>
    <mergeCell ref="C14:H14"/>
    <mergeCell ref="C15:H15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444:H447"/>
    <mergeCell ref="A443:B443"/>
    <mergeCell ref="E443:F443"/>
    <mergeCell ref="C443:D443"/>
    <mergeCell ref="G443:H443"/>
    <mergeCell ref="A195:H195"/>
    <mergeCell ref="A193:E193"/>
    <mergeCell ref="F193:H193"/>
    <mergeCell ref="A194:E194"/>
    <mergeCell ref="F194:H194"/>
    <mergeCell ref="A290:H290"/>
    <mergeCell ref="A204:B204"/>
    <mergeCell ref="A330:B330"/>
    <mergeCell ref="A197:B197"/>
    <mergeCell ref="A439:H439"/>
    <mergeCell ref="A200:H200"/>
    <mergeCell ref="A442:H442"/>
    <mergeCell ref="A440:H440"/>
    <mergeCell ref="A436:H436"/>
    <mergeCell ref="A437:H437"/>
    <mergeCell ref="E201:F201"/>
    <mergeCell ref="B432:H432"/>
    <mergeCell ref="B433:H433"/>
    <mergeCell ref="B430:H430"/>
    <mergeCell ref="B424:H424"/>
    <mergeCell ref="B425:H425"/>
    <mergeCell ref="B427:H427"/>
    <mergeCell ref="A302:B302"/>
    <mergeCell ref="A303:B303"/>
    <mergeCell ref="A309:H309"/>
    <mergeCell ref="A49:B49"/>
    <mergeCell ref="A56:H56"/>
    <mergeCell ref="A57:C57"/>
    <mergeCell ref="A58:C58"/>
    <mergeCell ref="D58:H58"/>
    <mergeCell ref="G55:H55"/>
    <mergeCell ref="A315:H315"/>
    <mergeCell ref="C331:F331"/>
    <mergeCell ref="C268:F269"/>
    <mergeCell ref="A332:H332"/>
    <mergeCell ref="A334:H334"/>
    <mergeCell ref="A324:B324"/>
    <mergeCell ref="A325:B325"/>
    <mergeCell ref="A326:B326"/>
    <mergeCell ref="A304:H304"/>
    <mergeCell ref="A305:B305"/>
    <mergeCell ref="A306:B306"/>
    <mergeCell ref="A307:B307"/>
    <mergeCell ref="A16:B16"/>
    <mergeCell ref="C16:H16"/>
    <mergeCell ref="E41:H41"/>
    <mergeCell ref="A41:D41"/>
    <mergeCell ref="A48:B48"/>
    <mergeCell ref="C48:E48"/>
    <mergeCell ref="A21:D22"/>
    <mergeCell ref="E21:H22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A441:H441"/>
    <mergeCell ref="A438:H438"/>
    <mergeCell ref="A291:B291"/>
    <mergeCell ref="A201:B201"/>
    <mergeCell ref="D239:D240"/>
    <mergeCell ref="E239:E240"/>
    <mergeCell ref="G239:H240"/>
    <mergeCell ref="A79:B79"/>
    <mergeCell ref="F185:H185"/>
    <mergeCell ref="G197:H197"/>
    <mergeCell ref="A214:H214"/>
    <mergeCell ref="A276:H276"/>
    <mergeCell ref="A283:B283"/>
    <mergeCell ref="A262:B262"/>
    <mergeCell ref="A247:B247"/>
    <mergeCell ref="A259:B259"/>
    <mergeCell ref="A310:B310"/>
    <mergeCell ref="A261:B261"/>
    <mergeCell ref="A301:B301"/>
    <mergeCell ref="A316:H316"/>
    <mergeCell ref="A317:H317"/>
    <mergeCell ref="A318:B318"/>
    <mergeCell ref="A319:B319"/>
    <mergeCell ref="A320:B320"/>
    <mergeCell ref="L261:M261"/>
    <mergeCell ref="L255:M255"/>
    <mergeCell ref="A256:B256"/>
    <mergeCell ref="L256:M256"/>
    <mergeCell ref="A257:B257"/>
    <mergeCell ref="L257:M257"/>
    <mergeCell ref="A237:B237"/>
    <mergeCell ref="A242:H242"/>
    <mergeCell ref="L245:M245"/>
    <mergeCell ref="A246:B246"/>
    <mergeCell ref="L246:M246"/>
    <mergeCell ref="L247:M247"/>
    <mergeCell ref="A248:B248"/>
    <mergeCell ref="L253:M253"/>
    <mergeCell ref="A258:B258"/>
    <mergeCell ref="L258:M258"/>
    <mergeCell ref="L259:M259"/>
    <mergeCell ref="A260:B260"/>
    <mergeCell ref="L260:M260"/>
    <mergeCell ref="A254:H254"/>
    <mergeCell ref="A255:B255"/>
    <mergeCell ref="L262:M262"/>
    <mergeCell ref="A263:B263"/>
    <mergeCell ref="L263:M263"/>
    <mergeCell ref="L264:M264"/>
    <mergeCell ref="L283:M283"/>
    <mergeCell ref="L281:M281"/>
    <mergeCell ref="L273:M273"/>
    <mergeCell ref="L280:M280"/>
    <mergeCell ref="L271:M271"/>
    <mergeCell ref="L272:M272"/>
    <mergeCell ref="L266:M266"/>
    <mergeCell ref="A265:H265"/>
    <mergeCell ref="A266:B266"/>
    <mergeCell ref="A267:B267"/>
    <mergeCell ref="A277:H277"/>
    <mergeCell ref="L267:M267"/>
    <mergeCell ref="A268:B268"/>
    <mergeCell ref="L268:M268"/>
    <mergeCell ref="A269:B269"/>
    <mergeCell ref="L269:M269"/>
    <mergeCell ref="A270:B270"/>
    <mergeCell ref="L270:M270"/>
    <mergeCell ref="L274:M274"/>
    <mergeCell ref="L275:M275"/>
    <mergeCell ref="L288:M288"/>
    <mergeCell ref="L289:M289"/>
    <mergeCell ref="L285:M285"/>
    <mergeCell ref="A286:B286"/>
    <mergeCell ref="L286:M286"/>
    <mergeCell ref="A287:B287"/>
    <mergeCell ref="L287:M287"/>
    <mergeCell ref="G285:H289"/>
    <mergeCell ref="G291:H295"/>
    <mergeCell ref="C294:F294"/>
    <mergeCell ref="A308:B308"/>
    <mergeCell ref="C313:F313"/>
    <mergeCell ref="A311:B311"/>
    <mergeCell ref="A297:H297"/>
    <mergeCell ref="A312:B312"/>
    <mergeCell ref="A313:B313"/>
    <mergeCell ref="A322:H322"/>
    <mergeCell ref="A323:B323"/>
    <mergeCell ref="A321:B321"/>
    <mergeCell ref="A314:H314"/>
    <mergeCell ref="G305:H308"/>
    <mergeCell ref="G310:H313"/>
    <mergeCell ref="G323:H326"/>
    <mergeCell ref="A335:H335"/>
    <mergeCell ref="A336:B336"/>
    <mergeCell ref="A337:B337"/>
    <mergeCell ref="A338:B338"/>
    <mergeCell ref="A345:H345"/>
    <mergeCell ref="A346:B346"/>
    <mergeCell ref="A344:B344"/>
    <mergeCell ref="A347:B347"/>
    <mergeCell ref="A348:B348"/>
    <mergeCell ref="G341:H344"/>
    <mergeCell ref="A349:B349"/>
    <mergeCell ref="A365:H365"/>
    <mergeCell ref="A366:B366"/>
    <mergeCell ref="A367:B367"/>
    <mergeCell ref="A368:B368"/>
    <mergeCell ref="A369:B369"/>
    <mergeCell ref="A350:H350"/>
    <mergeCell ref="A351:B351"/>
    <mergeCell ref="A352:B352"/>
    <mergeCell ref="A353:B353"/>
    <mergeCell ref="A354:B354"/>
    <mergeCell ref="A355:H355"/>
    <mergeCell ref="A356:B356"/>
    <mergeCell ref="A357:B357"/>
    <mergeCell ref="A358:B358"/>
    <mergeCell ref="A359:B359"/>
    <mergeCell ref="A360:H360"/>
    <mergeCell ref="A361:B361"/>
    <mergeCell ref="G361:H364"/>
    <mergeCell ref="A362:B362"/>
    <mergeCell ref="A363:B363"/>
    <mergeCell ref="A364:B364"/>
    <mergeCell ref="A97:B97"/>
    <mergeCell ref="A112:B112"/>
    <mergeCell ref="C112:H112"/>
    <mergeCell ref="A114:B114"/>
    <mergeCell ref="C114:H114"/>
    <mergeCell ref="A115:B115"/>
    <mergeCell ref="E115:F115"/>
    <mergeCell ref="G115:H115"/>
    <mergeCell ref="A116:B116"/>
    <mergeCell ref="E116:F125"/>
    <mergeCell ref="G116:H125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98:B98"/>
    <mergeCell ref="C98:H98"/>
    <mergeCell ref="A100:B100"/>
    <mergeCell ref="C100:H100"/>
    <mergeCell ref="A126:B126"/>
    <mergeCell ref="C126:H126"/>
    <mergeCell ref="A128:B128"/>
    <mergeCell ref="C128:H128"/>
    <mergeCell ref="A129:B129"/>
    <mergeCell ref="E129:F129"/>
    <mergeCell ref="G129:H129"/>
    <mergeCell ref="A130:B130"/>
    <mergeCell ref="E130:F139"/>
    <mergeCell ref="G130:H139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C140:H140"/>
    <mergeCell ref="A142:B142"/>
    <mergeCell ref="C142:H142"/>
    <mergeCell ref="A143:B143"/>
    <mergeCell ref="E143:F143"/>
    <mergeCell ref="G143:H143"/>
    <mergeCell ref="A144:B144"/>
    <mergeCell ref="E144:F153"/>
    <mergeCell ref="G144:H153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53:B153"/>
    <mergeCell ref="A171:B171"/>
    <mergeCell ref="E171:F171"/>
    <mergeCell ref="G171:H171"/>
    <mergeCell ref="A172:B172"/>
    <mergeCell ref="E172:F181"/>
    <mergeCell ref="G172:H181"/>
    <mergeCell ref="A173:B173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B434:H434"/>
    <mergeCell ref="A101:B101"/>
    <mergeCell ref="E101:F101"/>
    <mergeCell ref="G101:H101"/>
    <mergeCell ref="A102:B102"/>
    <mergeCell ref="E102:F111"/>
    <mergeCell ref="G102:H111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C182:D183"/>
    <mergeCell ref="E182:F183"/>
    <mergeCell ref="G182:H183"/>
    <mergeCell ref="A182:B183"/>
    <mergeCell ref="A168:B168"/>
    <mergeCell ref="C168:H168"/>
    <mergeCell ref="A170:B170"/>
    <mergeCell ref="C170:H17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9" scale="91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9" max="16383" man="1"/>
    <brk id="153" max="16383" man="1"/>
    <brk id="447" max="16383" man="1"/>
    <brk id="491" max="7" man="1"/>
    <brk id="535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"/>
    <col min="2" max="2" width="22.1796875" style="2" customWidth="1"/>
    <col min="3" max="3" width="37" style="2" customWidth="1"/>
    <col min="4" max="5" width="11.453125" style="2" customWidth="1"/>
    <col min="6" max="6" width="14" style="2" customWidth="1"/>
    <col min="7" max="7" width="20" style="2" customWidth="1"/>
    <col min="8" max="8" width="16.453125" style="2" customWidth="1"/>
    <col min="9" max="16384" width="8.7265625" style="2"/>
  </cols>
  <sheetData>
    <row r="1" spans="1:9" ht="15" customHeight="1" x14ac:dyDescent="0.35">
      <c r="A1" s="1"/>
      <c r="B1" s="1"/>
      <c r="C1" s="1"/>
      <c r="D1" s="1"/>
      <c r="E1" s="1"/>
      <c r="F1" s="1"/>
      <c r="G1" s="1"/>
      <c r="H1" s="1"/>
    </row>
    <row r="2" spans="1:9" ht="15" customHeight="1" x14ac:dyDescent="0.35">
      <c r="A2" s="3"/>
      <c r="B2" s="3"/>
      <c r="C2" s="3"/>
      <c r="D2" s="3"/>
      <c r="E2" s="3"/>
      <c r="F2" s="3"/>
      <c r="G2" s="3"/>
      <c r="H2" s="3"/>
    </row>
    <row r="3" spans="1:9" ht="15.75" customHeight="1" x14ac:dyDescent="0.35">
      <c r="A3" s="3"/>
      <c r="B3" s="246" t="s">
        <v>108</v>
      </c>
      <c r="C3" s="246"/>
      <c r="D3" s="246"/>
      <c r="E3" s="246"/>
      <c r="F3" s="246"/>
      <c r="G3" s="246"/>
      <c r="H3" s="246"/>
    </row>
    <row r="4" spans="1:9" x14ac:dyDescent="0.35">
      <c r="A4" s="3"/>
      <c r="B4" s="4" t="s">
        <v>109</v>
      </c>
      <c r="C4" s="4" t="s">
        <v>110</v>
      </c>
      <c r="D4" s="4" t="s">
        <v>72</v>
      </c>
      <c r="E4" s="4" t="s">
        <v>111</v>
      </c>
      <c r="F4" s="4" t="s">
        <v>117</v>
      </c>
      <c r="G4" s="4" t="s">
        <v>118</v>
      </c>
      <c r="H4" s="4" t="s">
        <v>112</v>
      </c>
    </row>
    <row r="5" spans="1:9" ht="15" customHeight="1" x14ac:dyDescent="0.35">
      <c r="A5" s="3"/>
      <c r="B5" s="6" t="s">
        <v>113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 x14ac:dyDescent="0.35">
      <c r="A6" s="3"/>
      <c r="B6" s="6" t="s">
        <v>113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 x14ac:dyDescent="0.35">
      <c r="A7" s="3"/>
      <c r="B7" s="6" t="s">
        <v>113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 x14ac:dyDescent="0.35">
      <c r="A8" s="3"/>
      <c r="B8" s="6" t="s">
        <v>113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 x14ac:dyDescent="0.35">
      <c r="A9" s="3"/>
      <c r="B9" s="6" t="s">
        <v>113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 x14ac:dyDescent="0.35">
      <c r="A10" s="3"/>
      <c r="B10" s="6" t="s">
        <v>114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 x14ac:dyDescent="0.35">
      <c r="A11" s="3"/>
      <c r="B11" s="6" t="s">
        <v>114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 x14ac:dyDescent="0.35">
      <c r="A12" s="3"/>
      <c r="B12" s="11" t="s">
        <v>115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 x14ac:dyDescent="0.35">
      <c r="A13" s="1"/>
      <c r="B13" s="11" t="s">
        <v>116</v>
      </c>
      <c r="C13" s="13"/>
      <c r="D13" s="13"/>
      <c r="E13" s="13"/>
      <c r="F13" s="14"/>
      <c r="G13" s="11"/>
      <c r="H13" s="11"/>
      <c r="I13" s="5"/>
    </row>
    <row r="14" spans="1:9" ht="15" customHeight="1" x14ac:dyDescent="0.35">
      <c r="B14" s="1"/>
      <c r="C14" s="1"/>
      <c r="D14" s="1"/>
      <c r="E14" s="1"/>
    </row>
    <row r="15" spans="1:9" ht="15" customHeight="1" x14ac:dyDescent="0.35">
      <c r="B15" s="1"/>
      <c r="C15" s="1"/>
      <c r="D15" s="1"/>
      <c r="E15" s="1"/>
    </row>
    <row r="16" spans="1:9" ht="15" customHeight="1" x14ac:dyDescent="0.35">
      <c r="B16" s="1"/>
      <c r="C16" s="1"/>
      <c r="D16" s="1"/>
      <c r="E16" s="1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2025-09-24T10:00:03Z</cp:lastPrinted>
  <dcterms:created xsi:type="dcterms:W3CDTF">2019-07-16T09:29:46Z</dcterms:created>
  <dcterms:modified xsi:type="dcterms:W3CDTF">2025-09-24T10:02:49Z</dcterms:modified>
</cp:coreProperties>
</file>