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bookViews>
  <sheets>
    <sheet name="Sheet1" sheetId="1" r:id="rId1"/>
    <sheet name="Sheet2" sheetId="2" r:id="rId2"/>
  </sheets>
  <definedNames>
    <definedName name="_xlnm.Print_Area" localSheetId="0">Sheet1!$A$1:$F$419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3" i="1" l="1"/>
  <c r="A128" i="1"/>
  <c r="H134" i="1" s="1"/>
  <c r="F128" i="1"/>
  <c r="H135" i="1" l="1"/>
  <c r="H136" i="1"/>
  <c r="H137" i="1"/>
  <c r="H139" i="1"/>
  <c r="C131" i="1" s="1"/>
  <c r="E131" i="1" s="1"/>
  <c r="E168" i="1" s="1"/>
  <c r="D139" i="1"/>
  <c r="D135" i="1"/>
  <c r="D131" i="1"/>
  <c r="H133" i="1"/>
  <c r="H138" i="1" s="1"/>
  <c r="D137" i="1"/>
  <c r="D133" i="1"/>
  <c r="D136" i="1"/>
  <c r="D132" i="1"/>
  <c r="D138" i="1"/>
  <c r="D134" i="1"/>
  <c r="G127" i="1" l="1"/>
  <c r="B129" i="1" s="1"/>
  <c r="C58" i="1" l="1"/>
  <c r="C56" i="1"/>
  <c r="C57" i="1"/>
  <c r="C55" i="1"/>
  <c r="C54" i="1"/>
  <c r="G44" i="1"/>
  <c r="G57" i="1"/>
  <c r="C53" i="1"/>
  <c r="C35" i="1"/>
  <c r="C59" i="1" l="1"/>
  <c r="B13" i="1"/>
  <c r="G224" i="1" l="1"/>
  <c r="C239" i="1"/>
  <c r="D239" i="1" s="1"/>
  <c r="C238" i="1"/>
  <c r="C237" i="1"/>
  <c r="C234" i="1"/>
  <c r="C233" i="1"/>
  <c r="C232" i="1"/>
  <c r="C230" i="1"/>
  <c r="C229" i="1"/>
  <c r="C228" i="1"/>
  <c r="C227" i="1"/>
  <c r="G222" i="1"/>
  <c r="G219" i="1"/>
  <c r="C225" i="1"/>
  <c r="C224" i="1"/>
  <c r="C223" i="1"/>
  <c r="C222" i="1"/>
  <c r="C220" i="1"/>
  <c r="C219" i="1"/>
  <c r="D219" i="1" l="1"/>
  <c r="F219" i="1"/>
  <c r="H264" i="1" s="1"/>
  <c r="C185" i="1"/>
  <c r="C186" i="1" s="1"/>
  <c r="B185" i="1"/>
  <c r="D172" i="1" s="1"/>
  <c r="F172" i="1" s="1"/>
  <c r="F239" i="1"/>
  <c r="C62" i="1"/>
  <c r="I55" i="1"/>
  <c r="G55" i="1"/>
  <c r="C49" i="1"/>
  <c r="C33" i="1"/>
  <c r="B186" i="1" l="1"/>
  <c r="B266" i="1"/>
  <c r="A154" i="1"/>
  <c r="A140" i="1"/>
  <c r="H165" i="1"/>
  <c r="H164" i="1"/>
  <c r="H163" i="1"/>
  <c r="H162" i="1"/>
  <c r="H151" i="1"/>
  <c r="H150" i="1"/>
  <c r="H149" i="1"/>
  <c r="H148" i="1"/>
  <c r="F155" i="1"/>
  <c r="F141" i="1"/>
  <c r="H167" i="1" l="1"/>
  <c r="C159" i="1" s="1"/>
  <c r="E158" i="1" s="1"/>
  <c r="G154" i="1" s="1"/>
  <c r="B156" i="1" s="1"/>
  <c r="H161" i="1"/>
  <c r="D167" i="1"/>
  <c r="D161" i="1"/>
  <c r="D158" i="1"/>
  <c r="D163" i="1"/>
  <c r="H166" i="1"/>
  <c r="H160" i="1"/>
  <c r="D166" i="1"/>
  <c r="D160" i="1"/>
  <c r="D165" i="1"/>
  <c r="D164" i="1"/>
  <c r="D162" i="1"/>
  <c r="D153" i="1"/>
  <c r="D147" i="1"/>
  <c r="H152" i="1"/>
  <c r="H146" i="1"/>
  <c r="D152" i="1"/>
  <c r="D146" i="1"/>
  <c r="D144" i="1"/>
  <c r="D149" i="1"/>
  <c r="D148" i="1"/>
  <c r="D151" i="1"/>
  <c r="H153" i="1"/>
  <c r="C145" i="1" s="1"/>
  <c r="E144" i="1" s="1"/>
  <c r="G140" i="1" s="1"/>
  <c r="B142" i="1" s="1"/>
  <c r="D150" i="1"/>
  <c r="H147" i="1"/>
  <c r="B131" i="2"/>
  <c r="D159" i="1" l="1"/>
  <c r="D145" i="1"/>
  <c r="A265" i="1" l="1"/>
  <c r="A266" i="1" s="1"/>
  <c r="A267" i="1" s="1"/>
  <c r="A268" i="1" s="1"/>
  <c r="A269" i="1" s="1"/>
  <c r="A270" i="1" s="1"/>
  <c r="A271" i="1" s="1"/>
  <c r="A272" i="1" s="1"/>
  <c r="A273" i="1" s="1"/>
  <c r="A274" i="1" s="1"/>
  <c r="A238" i="1"/>
  <c r="A239" i="1" s="1"/>
  <c r="A240" i="1" s="1"/>
  <c r="A233" i="1"/>
  <c r="A234" i="1" s="1"/>
  <c r="A235" i="1" s="1"/>
  <c r="A228" i="1"/>
  <c r="A229" i="1" s="1"/>
  <c r="A230" i="1" s="1"/>
  <c r="A223" i="1"/>
  <c r="A224" i="1" s="1"/>
  <c r="A225" i="1" s="1"/>
  <c r="A220" i="1"/>
  <c r="F212" i="1" l="1"/>
  <c r="D212" i="1"/>
  <c r="F211" i="1"/>
  <c r="D211" i="1"/>
  <c r="F210" i="1"/>
  <c r="D210" i="1"/>
  <c r="F209" i="1"/>
  <c r="D209" i="1"/>
  <c r="F208" i="1"/>
  <c r="D208" i="1"/>
  <c r="A208" i="1"/>
  <c r="A209" i="1" s="1"/>
  <c r="A210" i="1" s="1"/>
  <c r="A211" i="1" s="1"/>
  <c r="A212" i="1" s="1"/>
  <c r="F207" i="1"/>
  <c r="D207" i="1"/>
  <c r="A201" i="1"/>
  <c r="A202" i="1" s="1"/>
  <c r="A203" i="1" s="1"/>
  <c r="A204" i="1" s="1"/>
  <c r="A205" i="1" s="1"/>
  <c r="A194" i="1"/>
  <c r="A195" i="1" s="1"/>
  <c r="A196" i="1" s="1"/>
  <c r="A197" i="1" s="1"/>
  <c r="A198" i="1" s="1"/>
  <c r="F193" i="1"/>
  <c r="B182" i="1"/>
  <c r="C182" i="1"/>
  <c r="E182" i="1"/>
  <c r="B177" i="1"/>
  <c r="C177" i="1"/>
  <c r="E177" i="1"/>
  <c r="B81" i="1" l="1"/>
  <c r="F238" i="1" l="1"/>
  <c r="D237" i="1"/>
  <c r="D234" i="1"/>
  <c r="F233" i="1"/>
  <c r="D232" i="1"/>
  <c r="F230" i="1"/>
  <c r="F229" i="1"/>
  <c r="H255" i="1" s="1"/>
  <c r="F228" i="1"/>
  <c r="D227" i="1"/>
  <c r="D225" i="1"/>
  <c r="F224" i="1"/>
  <c r="F223" i="1"/>
  <c r="F222" i="1"/>
  <c r="D220" i="1"/>
  <c r="F205" i="1"/>
  <c r="D204" i="1"/>
  <c r="F203" i="1"/>
  <c r="F202" i="1"/>
  <c r="F201" i="1"/>
  <c r="F200" i="1"/>
  <c r="D198" i="1"/>
  <c r="D197" i="1"/>
  <c r="D196" i="1"/>
  <c r="D195" i="1"/>
  <c r="D194" i="1"/>
  <c r="F227" i="1" l="1"/>
  <c r="D230" i="1"/>
  <c r="F232" i="1"/>
  <c r="D229" i="1"/>
  <c r="D228" i="1"/>
  <c r="D233" i="1"/>
  <c r="F234" i="1"/>
  <c r="F237" i="1"/>
  <c r="F220" i="1"/>
  <c r="D222" i="1"/>
  <c r="D238" i="1"/>
  <c r="F225" i="1"/>
  <c r="D224" i="1"/>
  <c r="D223" i="1"/>
  <c r="D201" i="1"/>
  <c r="D202" i="1"/>
  <c r="D205" i="1"/>
  <c r="F195" i="1"/>
  <c r="F197" i="1"/>
  <c r="D200" i="1"/>
  <c r="F198" i="1"/>
  <c r="F196" i="1"/>
  <c r="F194" i="1"/>
  <c r="D203" i="1"/>
  <c r="F204" i="1"/>
  <c r="B124" i="2" l="1"/>
  <c r="M66" i="1" l="1"/>
  <c r="C275" i="1" l="1"/>
  <c r="E185" i="1" l="1"/>
  <c r="E186" i="1" s="1"/>
  <c r="D193" i="1" l="1"/>
  <c r="K116" i="2" l="1"/>
  <c r="K115" i="2"/>
  <c r="K114" i="2"/>
  <c r="K113" i="2"/>
  <c r="D107" i="2"/>
  <c r="F106" i="2"/>
  <c r="E116" i="2" l="1"/>
  <c r="E115" i="2"/>
  <c r="K109" i="2"/>
  <c r="E111" i="2"/>
  <c r="E114" i="2"/>
  <c r="E113" i="2"/>
  <c r="K108" i="2"/>
  <c r="E112" i="2"/>
  <c r="E118" i="2"/>
  <c r="K111" i="2"/>
  <c r="K112" i="2" s="1"/>
  <c r="K117" i="2" s="1"/>
  <c r="K118" i="2" s="1"/>
  <c r="D110" i="2" s="1"/>
  <c r="E117" i="2"/>
  <c r="K110" i="2"/>
  <c r="D109" i="2" s="1"/>
  <c r="H109" i="2" l="1"/>
  <c r="F109" i="2"/>
  <c r="J105" i="2" s="1"/>
  <c r="E110" i="2"/>
  <c r="E109" i="2"/>
  <c r="C37" i="1" l="1"/>
</calcChain>
</file>

<file path=xl/comments1.xml><?xml version="1.0" encoding="utf-8"?>
<comments xmlns="http://schemas.openxmlformats.org/spreadsheetml/2006/main">
  <authors>
    <author>Sachin</author>
  </authors>
  <commentList>
    <comment ref="C123" authorId="0" shapeId="0">
      <text>
        <r>
          <rPr>
            <b/>
            <sz val="9"/>
            <color indexed="81"/>
            <rFont val="Tahoma"/>
            <family val="2"/>
          </rPr>
          <t>Sachin:</t>
        </r>
        <r>
          <rPr>
            <sz val="9"/>
            <color indexed="81"/>
            <rFont val="Tahoma"/>
            <family val="2"/>
          </rPr>
          <t xml:space="preserve">
Builder"s recent project names 
take from builder documents
</t>
        </r>
      </text>
    </comment>
    <comment ref="C124" authorId="0" shapeId="0">
      <text>
        <r>
          <rPr>
            <b/>
            <sz val="9"/>
            <color indexed="81"/>
            <rFont val="Tahoma"/>
            <family val="2"/>
          </rPr>
          <t>Sachin:</t>
        </r>
        <r>
          <rPr>
            <sz val="9"/>
            <color indexed="81"/>
            <rFont val="Tahoma"/>
            <family val="2"/>
          </rPr>
          <t xml:space="preserve">
Positive or negavtive points
Surrounding buildings or mall etc or less distance from stn</t>
        </r>
      </text>
    </comment>
  </commentList>
</comments>
</file>

<file path=xl/sharedStrings.xml><?xml version="1.0" encoding="utf-8"?>
<sst xmlns="http://schemas.openxmlformats.org/spreadsheetml/2006/main" count="580" uniqueCount="370">
  <si>
    <t>PROJECT TECHNICAL REPORT</t>
  </si>
  <si>
    <t>RBL BRANCH NAME</t>
  </si>
  <si>
    <t>TDR FSI</t>
  </si>
  <si>
    <t>QUALITY, SPECS</t>
  </si>
  <si>
    <t>Construction details:</t>
  </si>
  <si>
    <t>Basement</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</si>
  <si>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</si>
  <si>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</si>
  <si>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</si>
  <si>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</si>
  <si>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</si>
  <si>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</si>
  <si>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</si>
  <si>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</si>
  <si>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</si>
  <si>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</si>
  <si>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</si>
  <si>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</si>
  <si>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</si>
  <si>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</si>
  <si>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</si>
  <si>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</si>
  <si>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</si>
  <si>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</si>
  <si>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</si>
  <si>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</si>
  <si>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</si>
  <si>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</si>
  <si>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</si>
  <si>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</si>
  <si>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</si>
  <si>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</si>
  <si>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</si>
  <si>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</si>
  <si>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</si>
  <si>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</si>
  <si>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</si>
  <si>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Completion %</t>
  </si>
  <si>
    <t>Plaster</t>
  </si>
  <si>
    <t>Electrical &amp; Plumbing</t>
  </si>
  <si>
    <t>Finishing</t>
  </si>
  <si>
    <t>Disbursement %</t>
  </si>
  <si>
    <t>Brickwork &amp; Internal Plaster</t>
  </si>
  <si>
    <t>External Plaster &amp; Plumbing</t>
  </si>
  <si>
    <t>g +7</t>
  </si>
  <si>
    <t>BUILDING/TOWERWISE UNIT - AREA DETAILS</t>
  </si>
  <si>
    <t>Building &amp; Wing</t>
  </si>
  <si>
    <t>No. of Units</t>
  </si>
  <si>
    <t>Total Carpet Area</t>
  </si>
  <si>
    <t>Total Saleable Area</t>
  </si>
  <si>
    <t>Total</t>
  </si>
  <si>
    <t>Building details Floor Wise</t>
  </si>
  <si>
    <t xml:space="preserve">Details of Flats in Building   </t>
  </si>
  <si>
    <t>Description</t>
  </si>
  <si>
    <t>Gross Carpet area</t>
  </si>
  <si>
    <t>Attached Terrace area</t>
  </si>
  <si>
    <t>Ground Floor For Commercial, Entrance Lobby &amp; Garage For Parking</t>
  </si>
  <si>
    <t>Builtup Area</t>
  </si>
  <si>
    <t>Saleable area
Loading:</t>
  </si>
  <si>
    <t xml:space="preserve">Details of Commercial in Building   </t>
  </si>
  <si>
    <t>VALUE PARAMETERS</t>
  </si>
  <si>
    <t>Remarks:</t>
  </si>
  <si>
    <t>Photographs Of Property :</t>
  </si>
  <si>
    <t>Layout Of Property :</t>
  </si>
  <si>
    <t xml:space="preserve">Google Map : </t>
  </si>
  <si>
    <t>Name of Engineer Visited the property</t>
  </si>
  <si>
    <t xml:space="preserve">Authorized Signatory
Name &amp; Seal of the agency
                                               </t>
  </si>
  <si>
    <r>
      <t xml:space="preserve">Shop No.
</t>
    </r>
    <r>
      <rPr>
        <b/>
        <sz val="9"/>
        <color rgb="FF000000"/>
        <rFont val="Garamond"/>
        <family val="1"/>
      </rPr>
      <t>(Approved Plan)</t>
    </r>
  </si>
  <si>
    <t>Project Name</t>
  </si>
  <si>
    <t>Valuer Details</t>
  </si>
  <si>
    <t xml:space="preserve">Name Of Valuer </t>
  </si>
  <si>
    <t>Official Email Id</t>
  </si>
  <si>
    <t>Rvo Name Of Which Valuer Is Member</t>
  </si>
  <si>
    <t>Address Of Valution Agency</t>
  </si>
  <si>
    <t>Contact Person Name  &amp; Number</t>
  </si>
  <si>
    <t>Name Of Valuation Agency/Firm</t>
  </si>
  <si>
    <t>Apf Technical Report Assignment Details</t>
  </si>
  <si>
    <t>Builder Company/Entity Details - Seller Of The Project</t>
  </si>
  <si>
    <t>Name Of Entity Formed For Current Project</t>
  </si>
  <si>
    <t>Project Address Details</t>
  </si>
  <si>
    <t>Date of Assignment</t>
  </si>
  <si>
    <t>Date of Visit</t>
  </si>
  <si>
    <t>Date of Valuation</t>
  </si>
  <si>
    <t>Street Name &amp;/No.</t>
  </si>
  <si>
    <t>State</t>
  </si>
  <si>
    <t>Pincode</t>
  </si>
  <si>
    <t>Nearest Rbl Bank Location</t>
  </si>
  <si>
    <t>Landmark</t>
  </si>
  <si>
    <t>District</t>
  </si>
  <si>
    <t>Country</t>
  </si>
  <si>
    <t>Lat, Long</t>
  </si>
  <si>
    <t>Distance From Rbl Bank Location (Kms.)</t>
  </si>
  <si>
    <t>Assigned By</t>
  </si>
  <si>
    <t>Property Visited By (Name)</t>
  </si>
  <si>
    <t>Report Prepared By (Name)</t>
  </si>
  <si>
    <t>North</t>
  </si>
  <si>
    <t>South</t>
  </si>
  <si>
    <t>East</t>
  </si>
  <si>
    <t>West</t>
  </si>
  <si>
    <t>As Per Ownership Docs</t>
  </si>
  <si>
    <t>As Per Site Investigation</t>
  </si>
  <si>
    <t>Project Boundaries Verification</t>
  </si>
  <si>
    <t>General Details</t>
  </si>
  <si>
    <t>Municipal Limit</t>
  </si>
  <si>
    <t>Municipal Authority (Name)</t>
  </si>
  <si>
    <t>Approach Road To Project</t>
  </si>
  <si>
    <t>Location Type*</t>
  </si>
  <si>
    <t>Quality Of Construction*</t>
  </si>
  <si>
    <t>Overall % Completion Of Project</t>
  </si>
  <si>
    <t>Project Falling In Caution Area</t>
  </si>
  <si>
    <t>Reason For Caution</t>
  </si>
  <si>
    <t>Project Architect Name</t>
  </si>
  <si>
    <t>Square Meter</t>
  </si>
  <si>
    <t>Project Area Details ( As Per Approved Plan )</t>
  </si>
  <si>
    <t>Area Type</t>
  </si>
  <si>
    <t>Total Plot Area</t>
  </si>
  <si>
    <t>Total Built Up Area</t>
  </si>
  <si>
    <t>Area Under Road</t>
  </si>
  <si>
    <t>Area Under D.P. Reservation</t>
  </si>
  <si>
    <t>FSI / FAR Details</t>
  </si>
  <si>
    <t>Premium FSI / FAR</t>
  </si>
  <si>
    <t>Fungible FSI</t>
  </si>
  <si>
    <t>Total FSI/FAR</t>
  </si>
  <si>
    <t>Overall Remarks on Project Area &amp; FSI /FAR</t>
  </si>
  <si>
    <t>Total No. Of Units/Tenaments</t>
  </si>
  <si>
    <t>Residential /Commercial Ratio</t>
  </si>
  <si>
    <t>Surrounding External Amenities</t>
  </si>
  <si>
    <t>Nearestr Bus Stop</t>
  </si>
  <si>
    <t>Nearest Bank</t>
  </si>
  <si>
    <t>Nearest Hospital</t>
  </si>
  <si>
    <t>Name Of The Premises/Description</t>
  </si>
  <si>
    <t>Approx. Distance From Property (In Kms)</t>
  </si>
  <si>
    <t>Nearest Multiplex / Mall/ Market</t>
  </si>
  <si>
    <t>Nearest School/ College</t>
  </si>
  <si>
    <t>Internal Project Specs - Comment On Availability &amp; Quality</t>
  </si>
  <si>
    <t>Structural Elements &amp; Wall Thickness</t>
  </si>
  <si>
    <t>Plaster &amp; Painting</t>
  </si>
  <si>
    <t>Electrification</t>
  </si>
  <si>
    <t>Plumbing &amp; Bath Fittings</t>
  </si>
  <si>
    <t>Door, Windows</t>
  </si>
  <si>
    <t>Availability (Y/N)</t>
  </si>
  <si>
    <t>Potable Water Connection</t>
  </si>
  <si>
    <t>Sewerage System</t>
  </si>
  <si>
    <t>Lift</t>
  </si>
  <si>
    <t>Power Backup</t>
  </si>
  <si>
    <t>Parking</t>
  </si>
  <si>
    <t>Clubhouse</t>
  </si>
  <si>
    <t>Gym</t>
  </si>
  <si>
    <t>Swimming Pool</t>
  </si>
  <si>
    <t>Garden</t>
  </si>
  <si>
    <t>Community Hall</t>
  </si>
  <si>
    <t>Any Additional Amenities, To Above, Pls Specify</t>
  </si>
  <si>
    <t>Technical Documents Details</t>
  </si>
  <si>
    <t>Document Name</t>
  </si>
  <si>
    <t>Approved Layout Plan</t>
  </si>
  <si>
    <t>Approved Floor Plan</t>
  </si>
  <si>
    <t>Construction  / Building Permission / Commencement Certificate</t>
  </si>
  <si>
    <t>Non Agricultural Permission / Land Conversion / Diversion</t>
  </si>
  <si>
    <t>Building Completion / Occupation Permission / Use Permission</t>
  </si>
  <si>
    <t>Location Sketch/ Certificate</t>
  </si>
  <si>
    <t>Authority Allotment Letter</t>
  </si>
  <si>
    <t>Ownership Doc 1</t>
  </si>
  <si>
    <t>Ownership Doc 2</t>
  </si>
  <si>
    <t>Remarks On Documents Verified</t>
  </si>
  <si>
    <t>Approving Authority Name</t>
  </si>
  <si>
    <t>Applicability &amp; Availability</t>
  </si>
  <si>
    <t>Approving Authority</t>
  </si>
  <si>
    <t>Details Of Approval</t>
  </si>
  <si>
    <t>Rera Details ( If Applicable)</t>
  </si>
  <si>
    <t>Rera Applicable</t>
  </si>
  <si>
    <t>Rera Registration No</t>
  </si>
  <si>
    <t>Project Start Date As Per Rera</t>
  </si>
  <si>
    <t>If Any Litigation Record On Project As Per Rera</t>
  </si>
  <si>
    <t>If Applicable, Rera Registration Status</t>
  </si>
  <si>
    <t>Project Completion Date As Per Rera</t>
  </si>
  <si>
    <t xml:space="preserve">Litigation Details As Per Rera Website </t>
  </si>
  <si>
    <t>Critical Parameters</t>
  </si>
  <si>
    <t>Flood Prone Area</t>
  </si>
  <si>
    <t>Coastal Regulatory Zone</t>
  </si>
  <si>
    <t>Falling In Present Or Proposed Road Widening</t>
  </si>
  <si>
    <t>Property Near High/Low Tension (Ht)/(Lt) Lines ?</t>
  </si>
  <si>
    <t>Presence Of Nallah/ Lake / Water Body Nearby</t>
  </si>
  <si>
    <t>Unit Deviation</t>
  </si>
  <si>
    <t>Seismic Zone</t>
  </si>
  <si>
    <t>Zoning As Per Development Plan</t>
  </si>
  <si>
    <t>Falling In Reservation As Per Development Plan</t>
  </si>
  <si>
    <t>Property Within 30 Mtrs From Railway Boundary ?</t>
  </si>
  <si>
    <t>Fsi Deviation</t>
  </si>
  <si>
    <t>Vertical Deviation</t>
  </si>
  <si>
    <t>Habitation In ( % ) Within 1 Kms Around Project</t>
  </si>
  <si>
    <t>Remarks In Case Project Affected By Any Of Critical Parameter</t>
  </si>
  <si>
    <t>Technical Deviations Observed In Project</t>
  </si>
  <si>
    <t>Demolition Risk</t>
  </si>
  <si>
    <t>Detail Of Deviation, If Any</t>
  </si>
  <si>
    <t>Total Phases</t>
  </si>
  <si>
    <t>Total No. Of Buildings</t>
  </si>
  <si>
    <t>Total No. Of Wings</t>
  </si>
  <si>
    <t>Total No. Of Approved Units (A)</t>
  </si>
  <si>
    <t>Total No. Of Unapproved Units (B)</t>
  </si>
  <si>
    <t>Total No. Of (A+B) Units</t>
  </si>
  <si>
    <t>Is The Project Technically Acceptable ?</t>
  </si>
  <si>
    <t>Is The Project Marketable ?</t>
  </si>
  <si>
    <t>Comment On Builder Group Involved In Project Development</t>
  </si>
  <si>
    <t>Overall Comments On Project Acceptability &amp; Marketablity</t>
  </si>
  <si>
    <t>FOUNDATION WIP</t>
  </si>
  <si>
    <t>PLINTH WIP</t>
  </si>
  <si>
    <t>YET TO START</t>
  </si>
  <si>
    <t>Sr.No.</t>
  </si>
  <si>
    <t>Base Rate Psf Rs.</t>
  </si>
  <si>
    <t>Floor Rise
(If Applicable)</t>
  </si>
  <si>
    <t>In Rs. Psf
(If Applicable)</t>
  </si>
  <si>
    <t>In Lumpsum Basis
(If Applicable)</t>
  </si>
  <si>
    <t>Applicable From Floor No.</t>
  </si>
  <si>
    <t>Applicable To Floor No.</t>
  </si>
  <si>
    <t>Applicable To Building /W ing</t>
  </si>
  <si>
    <t xml:space="preserve">Floor Rise 1 </t>
  </si>
  <si>
    <t>Floor Rise 2</t>
  </si>
  <si>
    <t>Floor Rise 3</t>
  </si>
  <si>
    <t>Floor Rise 4</t>
  </si>
  <si>
    <t>Plc Charges
(If Applicable)</t>
  </si>
  <si>
    <t>Details Of Plc/View</t>
  </si>
  <si>
    <t>List Of Unit Nos - Plc Applicable</t>
  </si>
  <si>
    <t>PLC Type 1</t>
  </si>
  <si>
    <t>PLC Type 2</t>
  </si>
  <si>
    <t>PLC Type 3</t>
  </si>
  <si>
    <t>Amenities Details</t>
  </si>
  <si>
    <t>Details Of Amenity Cost - Optional/Compulsory To Buyer, No Of Years, Etc</t>
  </si>
  <si>
    <t>Remarks, If Any</t>
  </si>
  <si>
    <t>Electricity &amp; Water Con.</t>
  </si>
  <si>
    <t>Infra</t>
  </si>
  <si>
    <t>Development</t>
  </si>
  <si>
    <t>Maintenance</t>
  </si>
  <si>
    <t>Any Other Amenity 1</t>
  </si>
  <si>
    <t>Any Other Amenity 2</t>
  </si>
  <si>
    <t>Any Other Amenity 3</t>
  </si>
  <si>
    <t>Maharashtra</t>
  </si>
  <si>
    <t>India</t>
  </si>
  <si>
    <t>400m</t>
  </si>
  <si>
    <t>Yes</t>
  </si>
  <si>
    <t>1st Floor for Commercial &amp; Parking</t>
  </si>
  <si>
    <t>2nd Floor for Commercial &amp; Parking</t>
  </si>
  <si>
    <t>V.S Jadon &amp; Co.Valuers LLP</t>
  </si>
  <si>
    <t>Mr. Vishwajeet Singh Jadon</t>
  </si>
  <si>
    <t>vsjc.apf@gmail.com</t>
  </si>
  <si>
    <t>Mr. Sachin Sawant - 9820058999</t>
  </si>
  <si>
    <t>NA</t>
  </si>
  <si>
    <t>Taluka</t>
  </si>
  <si>
    <t>City</t>
  </si>
  <si>
    <t>Village</t>
  </si>
  <si>
    <t>As Per Layout Plan</t>
  </si>
  <si>
    <t>Same</t>
  </si>
  <si>
    <t>Location Link</t>
  </si>
  <si>
    <t>Good</t>
  </si>
  <si>
    <t>No</t>
  </si>
  <si>
    <t>Fire Noc &amp; Plans</t>
  </si>
  <si>
    <t>Environmental Clearance</t>
  </si>
  <si>
    <t>Coastal Regulatory Zonex ( Crz ) Noc</t>
  </si>
  <si>
    <t>Registered</t>
  </si>
  <si>
    <t>Zone III</t>
  </si>
  <si>
    <t>Not Appicable</t>
  </si>
  <si>
    <t>Approved no of Floors</t>
  </si>
  <si>
    <t>Proposed no of Floors</t>
  </si>
  <si>
    <t>Commercial Area Details : Shops</t>
  </si>
  <si>
    <t>Ground Floor</t>
  </si>
  <si>
    <t>1st Floor</t>
  </si>
  <si>
    <t>Commercial Area Details : Office</t>
  </si>
  <si>
    <t>2nd Floor</t>
  </si>
  <si>
    <t>Grand Total</t>
  </si>
  <si>
    <t>Residential Area Details : Flats</t>
  </si>
  <si>
    <r>
      <t xml:space="preserve">Flat No.
</t>
    </r>
    <r>
      <rPr>
        <b/>
        <sz val="9"/>
        <color rgb="FF000000"/>
        <rFont val="Garamond"/>
        <family val="1"/>
      </rPr>
      <t>(Approved Plan)</t>
    </r>
  </si>
  <si>
    <t>Building /Wing - Name /No</t>
  </si>
  <si>
    <t xml:space="preserve">Base Rate Considered On Area - 
Carpet/ Bua/ Saleale </t>
  </si>
  <si>
    <t>Saleable Area</t>
  </si>
  <si>
    <t>We considered Gross carpet area = Net carpet.</t>
  </si>
  <si>
    <t>We have considered rate by verifying it from market inquire.</t>
  </si>
  <si>
    <t>Car parking is subjected to authentic documentation.</t>
  </si>
  <si>
    <t>Recommended rate should be considered as all inclusive rate if other charges are not mentioned. (Excluding GST &amp; other government Taxes)</t>
  </si>
  <si>
    <t>Documents received on:</t>
  </si>
  <si>
    <t>Yes &amp; 0.15m</t>
  </si>
  <si>
    <t>Excavation in Process</t>
  </si>
  <si>
    <t>Foundation in Process</t>
  </si>
  <si>
    <t xml:space="preserve">Labours &amp; Materials were found on site at the time of visit. </t>
  </si>
  <si>
    <t>Saleable area Loading :</t>
  </si>
  <si>
    <t>Office No. 1031, Wing J, Akshar Business Park, Plot No. 03 Sector 25, Near APMC Market, Vashi, Navi Mumbai, Maharashtra 400703 TEL: 022-46090378/79/80</t>
  </si>
  <si>
    <t>Airoli</t>
  </si>
  <si>
    <t>Macrotech Developers Limited</t>
  </si>
  <si>
    <t>CTS No.</t>
  </si>
  <si>
    <t>-</t>
  </si>
  <si>
    <t>Akurli Road</t>
  </si>
  <si>
    <t>Mumbai</t>
  </si>
  <si>
    <t>2.2Km</t>
  </si>
  <si>
    <t>RBL Bank Ltd - Thakur Village, Kandivali East Branch</t>
  </si>
  <si>
    <t>Other Plot</t>
  </si>
  <si>
    <t>18.30M. D.P. Road</t>
  </si>
  <si>
    <t>Houses/ Open Plot</t>
  </si>
  <si>
    <t>Nirankari Baba Hardev Singh Ji Marg</t>
  </si>
  <si>
    <t>Brichwood, Raheja Willows</t>
  </si>
  <si>
    <t>BRADCO Property, C.T.S. No. 874A &amp; 852B</t>
  </si>
  <si>
    <t>18.3 m wide D.P. Road</t>
  </si>
  <si>
    <t>Raheja Willows , C.T.S. No. 174B/1</t>
  </si>
  <si>
    <t>Municipal Corporation Of Greater Mumbai</t>
  </si>
  <si>
    <t>Mr. Shashikant Laxman Jadhav (Spaceage Consultants)</t>
  </si>
  <si>
    <t>Net Plot Area</t>
  </si>
  <si>
    <t>174C &amp; New CTS No. 174/C1, 174/C/2, 174/C/3 &amp; 174/C/4</t>
  </si>
  <si>
    <t>Not in possesion</t>
  </si>
  <si>
    <t>Basic FSI / FAR</t>
  </si>
  <si>
    <t>Gautam Nagar</t>
  </si>
  <si>
    <t>39m</t>
  </si>
  <si>
    <t>Mumbai Bank</t>
  </si>
  <si>
    <t>250m</t>
  </si>
  <si>
    <t>Raj High school</t>
  </si>
  <si>
    <t>City Multispeciality hospital</t>
  </si>
  <si>
    <t>650m</t>
  </si>
  <si>
    <t>Growel's 101 Mall</t>
  </si>
  <si>
    <t>2Km</t>
  </si>
  <si>
    <t>Sport arena terrace, Party lawn, Reflexology path, Social and meeting spaces / cabanas / seating, Cricket ground, Outdoor Kid’s play area, Tree house.</t>
  </si>
  <si>
    <t>Applicable and Received</t>
  </si>
  <si>
    <t>MCGM</t>
  </si>
  <si>
    <t>CHE/A-4300/BP(WS)/AR.
Date : 07/10/2022</t>
  </si>
  <si>
    <t>Wing 1</t>
  </si>
  <si>
    <t>2BHK</t>
  </si>
  <si>
    <t>3BHK</t>
  </si>
  <si>
    <t>3.5BHK</t>
  </si>
  <si>
    <t>Refuge area</t>
  </si>
  <si>
    <t>100:00</t>
  </si>
  <si>
    <t>Not Applicable</t>
  </si>
  <si>
    <t>To be obtained</t>
  </si>
  <si>
    <t>Verified By SNG &amp; Partners 
(Advocate &amp; Solicitors)</t>
  </si>
  <si>
    <t>Wing 1 = Gr + 1st to 38th Floor</t>
  </si>
  <si>
    <t>Flats = 149</t>
  </si>
  <si>
    <t>https://goo.gl/maps/qj86jxEdQAhWtvfY9</t>
  </si>
  <si>
    <t>19.201011, 72.877628</t>
  </si>
  <si>
    <t>Akurli</t>
  </si>
  <si>
    <t>Borivali</t>
  </si>
  <si>
    <t>SIA/MH/INFRA2/402907/2022
Date - 23/02/2023</t>
  </si>
  <si>
    <t>Ground floor for Residential, Parking, Meter Room &amp; Society Office</t>
  </si>
  <si>
    <t xml:space="preserve">Applicable </t>
  </si>
  <si>
    <t>Lodha Kandivali Project Tower 1</t>
  </si>
  <si>
    <t>Lodha Kandivali Project Tower 1 = 
P51800045908</t>
  </si>
  <si>
    <t>Lodha Altamount, The World Towers, Lodha Bellissimo, Trump Tower Mumbai,  Lodha Park etc.</t>
  </si>
  <si>
    <t xml:space="preserve"> On Site, we meet Mr Brett - 02267161111.</t>
  </si>
  <si>
    <t>Kandivali (East)</t>
  </si>
  <si>
    <t>18.3 m wide D.P. Road (Akurli Road)</t>
  </si>
  <si>
    <t>Built Up Area for Wing 1</t>
  </si>
  <si>
    <t>Residential Built Up Area for Wing 1</t>
  </si>
  <si>
    <t xml:space="preserve"> Commercial Built Up Area for Wing 1</t>
  </si>
  <si>
    <t>Area Under R.G./Amenities</t>
  </si>
  <si>
    <t>TDR FSI From Amenities</t>
  </si>
  <si>
    <t>TDR FSI for road setback</t>
  </si>
  <si>
    <t>Car Park = 31</t>
  </si>
  <si>
    <t>Total No. Of Parking (Wing 1 to 8)</t>
  </si>
  <si>
    <t>The project Lodha Kandivali Project Tower 1 approved by Municipal Corporation Of Greater Mumbai ,Surrounded by Brich Raheja willows and School, Hospital, Park within 1km distance of project</t>
  </si>
  <si>
    <t>36th Floor (37th Floor as per Builder) for Residential (Part Refuge Area)</t>
  </si>
  <si>
    <t>Building Name as per Builder Tower 1 and as per Layout Plan Wing 1</t>
  </si>
  <si>
    <t>Cost Sheet</t>
  </si>
  <si>
    <t>Maintenance Charges for 18 months</t>
  </si>
  <si>
    <t>9th Floor
16th Floor (17th floor as per Builder),
 23rd &amp; 30th Floor (24th &amp; 31st Floor as per Builder) Floor for Residential</t>
  </si>
  <si>
    <t>1st to 7th, 10th to 12th, 
13th to 17th Floor (14th to 18th Floor as per Builder), 
18th to 21st Floor (19th to 22nd Floor as per Builder),
 24th to 28th Floor (25th to 29th Floor as per Builder),  
31st to 35th Floor (32nd to 36th Floor as per Builder), 
37th &amp; 38th Floor (38th &amp; 39th floor as per Builder) Floor for Residential</t>
  </si>
  <si>
    <t>8th, 15th Floor (16th Floor as per Builder),  
22nd Floor (23rd Floor as per Builder) &amp;
 29th Floor (30th Floor as per Builder) for Residential (Part Refuge Area)</t>
  </si>
  <si>
    <t>Construction Work is active at the time of visit. Internal visit was not allowed.</t>
  </si>
  <si>
    <t>We have updated revised approved CC from MCGM site on 23/11/2024.</t>
  </si>
  <si>
    <t xml:space="preserve">CHE/A-4300/BP(WS)/AR/FCC/10/Amend
Date : 14/02/2025
Valid Upto Date : 13/02/2026
</t>
  </si>
  <si>
    <t>This C.C. is extended further for Wing 8 comprising of Ground + 1st to 20th (Part) upper floors along with
staircase, lift lobby core up to 22nd Floor + LMR &amp; OHT and for Multi-level car parking (MLCP) Wing comprising of 2 level basements + Lower ground for parking + Upper ground part for shops and part for parking + 1st floor for parking + 2nd floor part for shops and part for parking + 3rd to 10th floors for parking + LMR &amp; OHT and for Fitness center for entire work and re-endorsed for Wing 1 comprising of Ground + 1st to 33rd upper floors, Wing 6 comprising of Ground + 1st to 20th upper floors + LMR &amp; OHT, Wing 3, 4, 5 &amp; 7 comprising of Ground + 1st to 22nd (Part) upper floors + LMR &amp; OHT, Wing 2 comprising of Ground + 1st to 38th upper floors + LMR &amp; OHT as per approved amended plans dtd. 19.06.2024.</t>
  </si>
  <si>
    <t xml:space="preserve">CHE/A-4300/BP(WS)/AR/FCC/11/Amend
Date : 20/03/2025
Valid Upto Date : 19/12/2025
</t>
  </si>
  <si>
    <t>This C.C. is re-endorsed for Wing 8 - comprising of Ground + 1st to 20th (Pt) floors along with staircase, lift lobby core up to 22nd Floor + LMR &amp; OHT, Multi-level car parking (MLCP) Wing - comprising of 2level basements + Lower ground for parking + Upper ground for parking + 1st to 10th floors for parking + LMR &amp; OHT, Fitness Centre - for entire work, Wing 1 - comprising of Ground + 1st to 33rd floors, Wing 6 comprising of Ground + 1st to 20th floors + LMR &amp; OHT, Wing 3, 4, 5 &amp; 7 - comprising of Ground + 1st to 22nd (Pt) floors + LMR &amp; OHT and Wing 2 - comprising of Ground + 1st to 38th upper floors + LMR &amp; OHT as per approved amended plans dtd.
07.03.2025.</t>
  </si>
  <si>
    <t>We have updated revised approved CC from MCGM site on 24/04/2025.</t>
  </si>
  <si>
    <t>Sanket Salvi</t>
  </si>
  <si>
    <t>Mr. Abhishek Manjrekar</t>
  </si>
  <si>
    <t>Mr. Sanket Salvi</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</si>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</sst>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sz val="11"/>
      <color theme="1"/>
      <name val="Calibri"/>
      <family val="2"/>
      <scheme val="minor"/>
    </font>
    <font>
      <b/>
      <sz val="9"/>
      <color rgb="FF000000"/>
      <name val="Garamond"/>
      <family val="1"/>
    </font>
    <font>
      <sz val="11"/>
      <color theme="1"/>
      <name val="Garamond"/>
      <family val="1"/>
    </font>
    <font>
      <sz val="11"/>
      <color rgb="FF000000"/>
      <name val="Book Antiqua"/>
      <family val="1"/>
    </font>
    <font>
      <sz val="9"/>
      <color rgb="FF000000"/>
      <name val="Garamond"/>
      <family val="1"/>
    </font>
    <font>
      <sz val="10"/>
      <color theme="1"/>
      <name val="Times New Roman"/>
      <family val="1"/>
    </font>
    <font>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11"/>
      <color theme="1"/>
      <name val="Calibri"/>
      <family val="2"/>
    </font>
    <font>
      <b/>
      <sz val="12"/>
      <color indexed="8"/>
      <name val="Times New Roman"/>
      <family val="1"/>
    </font>
    <font>
      <sz val="12"/>
      <color indexed="8"/>
      <name val="Times New Roman"/>
      <family val="1"/>
    </font>
    <font>
      <sz val="11"/>
      <color indexed="8"/>
      <name val="Calibri"/>
      <family val="2"/>
    </font>
    <font>
      <b/>
      <sz val="11"/>
      <color theme="1"/>
      <name val="Calibri"/>
      <family val="2"/>
      <scheme val="minor"/>
    </font>
    <font>
      <b/>
      <sz val="10"/>
      <color rgb="FF000000"/>
      <name val="Times New Roman"/>
      <family val="1"/>
    </font>
    <font>
      <b/>
      <sz val="10"/>
      <color theme="1"/>
      <name val="Garamond"/>
      <family val="1"/>
    </font>
    <font>
      <b/>
      <sz val="9"/>
      <color theme="1"/>
      <name val="Garamond"/>
      <family val="1"/>
    </font>
    <font>
      <b/>
      <sz val="9"/>
      <color indexed="8"/>
      <name val="Garamond"/>
      <family val="1"/>
    </font>
    <font>
      <u/>
      <sz val="11"/>
      <color theme="10"/>
      <name val="Calibri"/>
      <family val="2"/>
      <scheme val="minor"/>
    </font>
    <font>
      <b/>
      <sz val="10"/>
      <color rgb="FF000000"/>
      <name val="Garamond"/>
      <family val="1"/>
    </font>
    <font>
      <b/>
      <sz val="11"/>
      <color rgb="FF000000"/>
      <name val="Garamond"/>
      <family val="1"/>
    </font>
    <font>
      <sz val="9"/>
      <color indexed="81"/>
      <name val="Tahoma"/>
      <family val="2"/>
    </font>
    <font>
      <b/>
      <sz val="9"/>
      <color indexed="81"/>
      <name val="Tahoma"/>
      <family val="2"/>
    </font>
    <font>
      <sz val="11"/>
      <color rgb="FF000000"/>
      <name val="Garamond"/>
      <family val="1"/>
    </font>
    <font>
      <sz val="10"/>
      <color theme="1"/>
      <name val="Garamond"/>
      <family val="1"/>
    </font>
    <font>
      <b/>
      <sz val="11"/>
      <color theme="1"/>
      <name val="Garamond"/>
      <family val="1"/>
    </font>
    <font>
      <sz val="10"/>
      <color indexed="8"/>
      <name val="Garamond"/>
      <family val="1"/>
    </font>
    <font>
      <sz val="11"/>
      <color indexed="8"/>
      <name val="Garamond"/>
      <family val="1"/>
    </font>
    <font>
      <b/>
      <sz val="11"/>
      <color indexed="8"/>
      <name val="Garamond"/>
      <family val="1"/>
    </font>
    <font>
      <sz val="11"/>
      <name val="Garamond"/>
      <family val="1"/>
    </font>
    <font>
      <b/>
      <sz val="9"/>
      <name val="Garamond"/>
      <family val="1"/>
    </font>
    <font>
      <sz val="9"/>
      <name val="Garamond"/>
      <family val="1"/>
    </font>
    <font>
      <b/>
      <sz val="9"/>
      <color rgb="FFFF0000"/>
      <name val="Garamond"/>
      <family val="1"/>
    </font>
    <font>
      <sz val="10"/>
      <name val="Garamond"/>
      <family val="1"/>
    </font>
    <font>
      <b/>
      <sz val="10"/>
      <name val="Garamond"/>
      <family val="1"/>
    </font>
    <font>
      <b/>
      <sz val="11"/>
      <name val="Garamond"/>
      <family val="1"/>
    </font>
    <font>
      <b/>
      <sz val="10"/>
      <color theme="1"/>
      <name val="Times New Roman"/>
      <family val="1"/>
    </font>
    <font>
      <sz val="10"/>
      <name val="Times New Roman"/>
      <family val="1"/>
    </font>
    <font>
      <b/>
      <sz val="10"/>
      <color indexed="8"/>
      <name val="Garamond"/>
      <family val="1"/>
    </font>
    <font>
      <sz val="9"/>
      <color theme="1"/>
      <name val="Garamond"/>
      <family val="1"/>
    </font>
  </fonts>
  <fills count="9">
    <fill>
      <patternFill patternType="none"/>
    </fill>
    <fill>
      <patternFill patternType="gray125"/>
    </fill>
    <fill>
      <patternFill patternType="solid">
        <fgColor rgb="FFFFFFFF"/>
        <bgColor auto="1"/>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9"/>
        <bgColor indexed="64"/>
      </patternFill>
    </fill>
  </fills>
  <borders count="55">
    <border>
      <left/>
      <right/>
      <top/>
      <bottom/>
      <diagonal/>
    </border>
    <border>
      <left style="thin">
        <color theme="0"/>
      </left>
      <right style="thin">
        <color theme="0"/>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style="thin">
        <color theme="0"/>
      </left>
      <right style="thin">
        <color theme="0"/>
      </right>
      <top/>
      <bottom/>
      <diagonal/>
    </border>
    <border>
      <left style="medium">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4" fillId="0" borderId="0"/>
    <xf numFmtId="0" fontId="1" fillId="0" borderId="0"/>
    <xf numFmtId="0" fontId="14" fillId="0" borderId="0"/>
    <xf numFmtId="0" fontId="20" fillId="0" borderId="0" applyNumberFormat="0" applyFill="0" applyBorder="0" applyAlignment="0" applyProtection="0"/>
  </cellStyleXfs>
  <cellXfs count="450">
    <xf numFmtId="0" fontId="0" fillId="0" borderId="0" xfId="0"/>
    <xf numFmtId="0" fontId="6" fillId="0" borderId="0" xfId="0" applyFont="1"/>
    <xf numFmtId="0" fontId="6" fillId="0" borderId="20" xfId="2" applyFont="1" applyBorder="1" applyProtection="1">
      <protection hidden="1"/>
    </xf>
    <xf numFmtId="0" fontId="6" fillId="0" borderId="21" xfId="2" applyFont="1" applyBorder="1" applyProtection="1">
      <protection hidden="1"/>
    </xf>
    <xf numFmtId="0" fontId="6" fillId="0" borderId="0" xfId="2" applyFont="1" applyProtection="1">
      <protection hidden="1"/>
    </xf>
    <xf numFmtId="0" fontId="6" fillId="0" borderId="2" xfId="2" applyFont="1" applyBorder="1" applyProtection="1">
      <protection hidden="1"/>
    </xf>
    <xf numFmtId="0" fontId="7" fillId="0" borderId="0" xfId="0" applyFont="1" applyProtection="1">
      <protection hidden="1"/>
    </xf>
    <xf numFmtId="0" fontId="6" fillId="0" borderId="2" xfId="2" applyFont="1" applyBorder="1"/>
    <xf numFmtId="0" fontId="7" fillId="0" borderId="2" xfId="0" applyFont="1" applyBorder="1" applyProtection="1">
      <protection hidden="1"/>
    </xf>
    <xf numFmtId="1" fontId="6" fillId="0" borderId="2" xfId="0" applyNumberFormat="1" applyFont="1" applyBorder="1"/>
    <xf numFmtId="1" fontId="6" fillId="0" borderId="2" xfId="0" applyNumberFormat="1" applyFont="1" applyBorder="1" applyAlignment="1">
      <alignment horizontal="right"/>
    </xf>
    <xf numFmtId="0" fontId="7" fillId="0" borderId="25" xfId="0" applyFont="1" applyBorder="1" applyProtection="1">
      <protection hidden="1"/>
    </xf>
    <xf numFmtId="1" fontId="6" fillId="0" borderId="24" xfId="0" applyNumberFormat="1" applyFont="1" applyBorder="1"/>
    <xf numFmtId="0" fontId="9" fillId="0" borderId="20" xfId="2" applyFont="1" applyBorder="1" applyProtection="1">
      <protection hidden="1"/>
    </xf>
    <xf numFmtId="0" fontId="9" fillId="0" borderId="21" xfId="2" applyFont="1" applyBorder="1" applyProtection="1">
      <protection hidden="1"/>
    </xf>
    <xf numFmtId="0" fontId="9" fillId="0" borderId="9" xfId="2" applyFont="1" applyBorder="1" applyAlignment="1" applyProtection="1">
      <alignment horizontal="center" vertical="top"/>
      <protection locked="0"/>
    </xf>
    <xf numFmtId="0" fontId="9" fillId="0" borderId="10" xfId="2" applyFont="1" applyBorder="1" applyAlignment="1" applyProtection="1">
      <alignment horizontal="center" vertical="top"/>
      <protection locked="0"/>
    </xf>
    <xf numFmtId="0" fontId="9" fillId="0" borderId="0" xfId="2" applyFont="1" applyProtection="1">
      <protection hidden="1"/>
    </xf>
    <xf numFmtId="0" fontId="9" fillId="0" borderId="2" xfId="2" applyFont="1" applyBorder="1" applyProtection="1">
      <protection hidden="1"/>
    </xf>
    <xf numFmtId="0" fontId="9" fillId="0" borderId="10" xfId="2" applyFont="1" applyBorder="1" applyAlignment="1" applyProtection="1">
      <alignment horizontal="center" vertical="top" wrapText="1"/>
      <protection locked="0"/>
    </xf>
    <xf numFmtId="0" fontId="10" fillId="0" borderId="0" xfId="0" applyFont="1" applyProtection="1">
      <protection hidden="1"/>
    </xf>
    <xf numFmtId="0" fontId="9" fillId="0" borderId="2" xfId="2" applyFont="1" applyBorder="1"/>
    <xf numFmtId="0" fontId="9" fillId="0" borderId="10" xfId="2" applyFont="1" applyBorder="1" applyAlignment="1" applyProtection="1">
      <alignment horizontal="center" wrapText="1"/>
      <protection locked="0"/>
    </xf>
    <xf numFmtId="9" fontId="9" fillId="3" borderId="10" xfId="2" applyNumberFormat="1" applyFont="1" applyFill="1" applyBorder="1" applyAlignment="1" applyProtection="1">
      <alignment horizontal="center" vertical="center" wrapText="1"/>
      <protection hidden="1"/>
    </xf>
    <xf numFmtId="0" fontId="10" fillId="0" borderId="2" xfId="0" applyFont="1" applyBorder="1" applyProtection="1">
      <protection hidden="1"/>
    </xf>
    <xf numFmtId="1" fontId="9" fillId="0" borderId="10" xfId="2" applyNumberFormat="1" applyFont="1" applyBorder="1" applyAlignment="1" applyProtection="1">
      <alignment horizontal="center" wrapText="1"/>
      <protection locked="0"/>
    </xf>
    <xf numFmtId="1" fontId="11" fillId="0" borderId="2" xfId="0" applyNumberFormat="1" applyFont="1" applyBorder="1"/>
    <xf numFmtId="1" fontId="11" fillId="0" borderId="2" xfId="0" applyNumberFormat="1" applyFont="1" applyBorder="1" applyAlignment="1">
      <alignment horizontal="right"/>
    </xf>
    <xf numFmtId="0" fontId="9" fillId="0" borderId="23" xfId="2" applyFont="1" applyBorder="1" applyAlignment="1" applyProtection="1">
      <alignment horizontal="center" wrapText="1"/>
      <protection locked="0"/>
    </xf>
    <xf numFmtId="9" fontId="9" fillId="3" borderId="23" xfId="2" applyNumberFormat="1" applyFont="1" applyFill="1" applyBorder="1" applyAlignment="1" applyProtection="1">
      <alignment horizontal="center" vertical="center" wrapText="1"/>
      <protection hidden="1"/>
    </xf>
    <xf numFmtId="0" fontId="10" fillId="0" borderId="25" xfId="0" applyFont="1" applyBorder="1" applyProtection="1">
      <protection hidden="1"/>
    </xf>
    <xf numFmtId="1" fontId="11" fillId="0" borderId="24" xfId="0" applyNumberFormat="1" applyFont="1" applyBorder="1"/>
    <xf numFmtId="0" fontId="9" fillId="0" borderId="13" xfId="2" applyFont="1" applyBorder="1" applyAlignment="1" applyProtection="1">
      <alignment vertical="top"/>
      <protection locked="0"/>
    </xf>
    <xf numFmtId="0" fontId="9" fillId="0" borderId="6" xfId="2" applyFont="1" applyBorder="1" applyAlignment="1" applyProtection="1">
      <alignment vertical="top"/>
      <protection locked="0"/>
    </xf>
    <xf numFmtId="0" fontId="9" fillId="0" borderId="3" xfId="2" applyFont="1" applyBorder="1" applyAlignment="1" applyProtection="1">
      <alignment vertical="top"/>
      <protection locked="0"/>
    </xf>
    <xf numFmtId="0" fontId="9" fillId="0" borderId="0" xfId="0" applyFont="1" applyAlignment="1">
      <alignment horizontal="center" vertical="center"/>
    </xf>
    <xf numFmtId="1" fontId="9" fillId="0" borderId="0" xfId="0" applyNumberFormat="1" applyFont="1" applyAlignment="1">
      <alignment horizontal="center" vertical="center"/>
    </xf>
    <xf numFmtId="0" fontId="13" fillId="0" borderId="0" xfId="3" applyFont="1"/>
    <xf numFmtId="0" fontId="9" fillId="0" borderId="0" xfId="2" applyFont="1"/>
    <xf numFmtId="0" fontId="9" fillId="0" borderId="0" xfId="2" applyFont="1" applyAlignment="1">
      <alignment horizontal="center" vertical="center"/>
    </xf>
    <xf numFmtId="1" fontId="9" fillId="0" borderId="0" xfId="2" applyNumberFormat="1" applyFont="1" applyAlignment="1">
      <alignment horizontal="center" vertical="center"/>
    </xf>
    <xf numFmtId="1" fontId="12" fillId="0" borderId="0" xfId="0" applyNumberFormat="1" applyFont="1" applyAlignment="1" applyProtection="1">
      <alignment vertical="center" wrapText="1"/>
      <protection locked="0"/>
    </xf>
    <xf numFmtId="0" fontId="12" fillId="0" borderId="0" xfId="2" applyFont="1" applyAlignment="1" applyProtection="1">
      <alignment vertical="top"/>
      <protection locked="0"/>
    </xf>
    <xf numFmtId="1" fontId="12" fillId="0" borderId="0" xfId="2" applyNumberFormat="1" applyFont="1" applyAlignment="1" applyProtection="1">
      <alignment vertical="center" wrapText="1"/>
      <protection locked="0"/>
    </xf>
    <xf numFmtId="2" fontId="9" fillId="0" borderId="0" xfId="2" applyNumberFormat="1" applyFont="1" applyAlignment="1">
      <alignment horizontal="center" vertical="center"/>
    </xf>
    <xf numFmtId="0" fontId="15" fillId="0" borderId="0" xfId="0" applyFont="1"/>
    <xf numFmtId="0" fontId="2" fillId="4" borderId="10" xfId="0" applyFont="1" applyFill="1" applyBorder="1" applyAlignment="1">
      <alignment horizontal="left" vertical="top" wrapText="1"/>
    </xf>
    <xf numFmtId="0" fontId="2" fillId="4" borderId="10" xfId="1" applyFont="1" applyFill="1" applyBorder="1" applyAlignment="1">
      <alignment vertical="center" wrapText="1"/>
    </xf>
    <xf numFmtId="1" fontId="19" fillId="4" borderId="10" xfId="0" applyNumberFormat="1" applyFont="1" applyFill="1" applyBorder="1" applyAlignment="1" applyProtection="1">
      <alignment horizontal="center" vertical="center" wrapText="1"/>
      <protection locked="0"/>
    </xf>
    <xf numFmtId="0" fontId="2" fillId="4" borderId="10" xfId="0" applyFont="1" applyFill="1" applyBorder="1" applyAlignment="1">
      <alignment horizontal="center" vertical="center" wrapText="1"/>
    </xf>
    <xf numFmtId="0" fontId="15" fillId="0" borderId="0" xfId="0" applyFont="1" applyAlignment="1">
      <alignment horizontal="left"/>
    </xf>
    <xf numFmtId="0" fontId="16" fillId="5" borderId="10"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Border="1"/>
    <xf numFmtId="0" fontId="2" fillId="4" borderId="0" xfId="0" applyFont="1" applyFill="1" applyBorder="1" applyAlignment="1">
      <alignment vertical="top" wrapText="1"/>
    </xf>
    <xf numFmtId="1" fontId="9" fillId="0" borderId="0" xfId="2" applyNumberFormat="1" applyFont="1" applyBorder="1" applyAlignment="1">
      <alignment horizontal="center" vertical="center"/>
    </xf>
    <xf numFmtId="2" fontId="9" fillId="0" borderId="0" xfId="2" applyNumberFormat="1" applyFont="1" applyBorder="1" applyAlignment="1">
      <alignment horizontal="center" vertical="center"/>
    </xf>
    <xf numFmtId="0" fontId="0" fillId="0" borderId="0" xfId="0" applyBorder="1"/>
    <xf numFmtId="0" fontId="9" fillId="0" borderId="0" xfId="2" applyFont="1" applyBorder="1" applyAlignment="1">
      <alignment horizontal="center" vertical="center"/>
    </xf>
    <xf numFmtId="0" fontId="13" fillId="0" borderId="0" xfId="3" applyFont="1" applyBorder="1"/>
    <xf numFmtId="0" fontId="9" fillId="0" borderId="0" xfId="2" applyFont="1" applyBorder="1"/>
    <xf numFmtId="0" fontId="2" fillId="0" borderId="0" xfId="0" applyFont="1" applyBorder="1" applyAlignment="1">
      <alignment vertical="top" wrapText="1"/>
    </xf>
    <xf numFmtId="0" fontId="0" fillId="0" borderId="0" xfId="0" applyAlignment="1">
      <alignment horizontal="center" vertical="center"/>
    </xf>
    <xf numFmtId="0" fontId="7" fillId="0" borderId="0" xfId="0" applyFont="1" applyBorder="1" applyAlignment="1" applyProtection="1">
      <alignment horizontal="center" vertical="center"/>
      <protection hidden="1"/>
    </xf>
    <xf numFmtId="1" fontId="6" fillId="0" borderId="0" xfId="0" applyNumberFormat="1" applyFont="1" applyBorder="1" applyAlignment="1">
      <alignment horizontal="center" vertical="center"/>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16" xfId="0" applyFont="1" applyBorder="1" applyAlignment="1">
      <alignment horizontal="center" vertical="center"/>
    </xf>
    <xf numFmtId="1" fontId="19" fillId="4" borderId="9" xfId="0" applyNumberFormat="1" applyFont="1" applyFill="1" applyBorder="1" applyAlignment="1" applyProtection="1">
      <alignment horizontal="center" vertical="center" wrapText="1"/>
      <protection locked="0"/>
    </xf>
    <xf numFmtId="14" fontId="5" fillId="2" borderId="10" xfId="1" applyNumberFormat="1" applyFont="1" applyFill="1" applyBorder="1" applyAlignment="1" applyProtection="1">
      <alignment vertical="center" wrapText="1"/>
      <protection locked="0"/>
    </xf>
    <xf numFmtId="0" fontId="2" fillId="4" borderId="10" xfId="0" applyFont="1" applyFill="1" applyBorder="1" applyAlignment="1">
      <alignment horizontal="left" vertical="center" wrapText="1"/>
    </xf>
    <xf numFmtId="0" fontId="3" fillId="4" borderId="18" xfId="2" applyFont="1" applyFill="1" applyBorder="1" applyAlignment="1" applyProtection="1">
      <alignment horizontal="center" vertical="center"/>
      <protection locked="0"/>
    </xf>
    <xf numFmtId="0" fontId="3" fillId="4" borderId="19"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27" fillId="4" borderId="4" xfId="0" applyFont="1" applyFill="1" applyBorder="1" applyAlignment="1">
      <alignment horizontal="left" vertical="top"/>
    </xf>
    <xf numFmtId="0" fontId="3" fillId="4" borderId="9" xfId="2" applyFont="1" applyFill="1" applyBorder="1" applyAlignment="1" applyProtection="1">
      <alignment horizontal="left" vertical="top" wrapText="1"/>
      <protection locked="0"/>
    </xf>
    <xf numFmtId="0" fontId="3" fillId="4" borderId="10" xfId="0" applyFont="1" applyFill="1" applyBorder="1" applyAlignment="1">
      <alignment horizontal="center"/>
    </xf>
    <xf numFmtId="0" fontId="3" fillId="4" borderId="10" xfId="2" applyFont="1" applyFill="1" applyBorder="1" applyAlignment="1" applyProtection="1">
      <alignment horizontal="center" vertical="top" wrapText="1"/>
      <protection locked="0"/>
    </xf>
    <xf numFmtId="9" fontId="3" fillId="4" borderId="10" xfId="0" applyNumberFormat="1" applyFont="1" applyFill="1" applyBorder="1" applyAlignment="1">
      <alignment horizontal="center" vertical="center"/>
    </xf>
    <xf numFmtId="0" fontId="3" fillId="4" borderId="10" xfId="2" applyFont="1" applyFill="1" applyBorder="1" applyAlignment="1" applyProtection="1">
      <alignment horizontal="center" wrapText="1"/>
      <protection locked="0"/>
    </xf>
    <xf numFmtId="9" fontId="3" fillId="4" borderId="10" xfId="2" applyNumberFormat="1" applyFont="1" applyFill="1" applyBorder="1" applyAlignment="1" applyProtection="1">
      <alignment horizontal="center" vertical="center" wrapText="1"/>
      <protection hidden="1"/>
    </xf>
    <xf numFmtId="1" fontId="3" fillId="4" borderId="10" xfId="2" applyNumberFormat="1" applyFont="1" applyFill="1" applyBorder="1" applyAlignment="1" applyProtection="1">
      <alignment horizontal="center" wrapText="1"/>
      <protection locked="0"/>
    </xf>
    <xf numFmtId="0" fontId="3" fillId="4" borderId="40" xfId="2" applyFont="1" applyFill="1" applyBorder="1" applyAlignment="1" applyProtection="1">
      <alignment horizontal="left" vertical="top" wrapText="1"/>
      <protection locked="0"/>
    </xf>
    <xf numFmtId="9" fontId="3" fillId="4" borderId="16" xfId="0" applyNumberFormat="1" applyFont="1" applyFill="1" applyBorder="1" applyAlignment="1">
      <alignment horizontal="center" vertical="center"/>
    </xf>
    <xf numFmtId="0" fontId="3" fillId="4" borderId="16" xfId="2" applyFont="1" applyFill="1" applyBorder="1" applyAlignment="1" applyProtection="1">
      <alignment horizontal="center" wrapText="1"/>
      <protection locked="0"/>
    </xf>
    <xf numFmtId="9" fontId="3" fillId="4" borderId="16" xfId="2" applyNumberFormat="1" applyFont="1" applyFill="1" applyBorder="1" applyAlignment="1" applyProtection="1">
      <alignment horizontal="center" vertical="center" wrapText="1"/>
      <protection hidden="1"/>
    </xf>
    <xf numFmtId="1" fontId="29" fillId="4" borderId="9" xfId="0" applyNumberFormat="1" applyFont="1" applyFill="1" applyBorder="1" applyAlignment="1" applyProtection="1">
      <alignment horizontal="center" vertical="center" wrapText="1"/>
      <protection locked="0"/>
    </xf>
    <xf numFmtId="1" fontId="29" fillId="0" borderId="10" xfId="0" applyNumberFormat="1" applyFont="1" applyBorder="1" applyAlignment="1" applyProtection="1">
      <alignment horizontal="center" vertical="center" wrapText="1"/>
      <protection locked="0"/>
    </xf>
    <xf numFmtId="1" fontId="30" fillId="4" borderId="22" xfId="0" applyNumberFormat="1" applyFont="1" applyFill="1" applyBorder="1" applyAlignment="1" applyProtection="1">
      <alignment horizontal="center" vertical="center" wrapText="1"/>
      <protection locked="0"/>
    </xf>
    <xf numFmtId="1" fontId="30" fillId="0" borderId="23" xfId="0" applyNumberFormat="1" applyFont="1" applyBorder="1" applyAlignment="1" applyProtection="1">
      <alignment horizontal="center" vertical="center" wrapText="1"/>
      <protection locked="0"/>
    </xf>
    <xf numFmtId="1" fontId="30" fillId="4" borderId="44" xfId="0" applyNumberFormat="1" applyFont="1" applyFill="1" applyBorder="1" applyAlignment="1" applyProtection="1">
      <alignment horizontal="center" vertical="center" wrapText="1"/>
      <protection locked="0"/>
    </xf>
    <xf numFmtId="1" fontId="30" fillId="0" borderId="45" xfId="0" applyNumberFormat="1" applyFont="1" applyBorder="1" applyAlignment="1" applyProtection="1">
      <alignment horizontal="center" vertical="center" wrapText="1"/>
      <protection locked="0"/>
    </xf>
    <xf numFmtId="1" fontId="28" fillId="0" borderId="10" xfId="2" applyNumberFormat="1" applyFont="1" applyBorder="1" applyAlignment="1" applyProtection="1">
      <alignment horizontal="center" vertical="center" wrapText="1"/>
      <protection locked="0"/>
    </xf>
    <xf numFmtId="1" fontId="26" fillId="0" borderId="10" xfId="2" applyNumberFormat="1" applyFont="1" applyBorder="1" applyAlignment="1">
      <alignment horizontal="center" vertical="center"/>
    </xf>
    <xf numFmtId="0" fontId="21" fillId="4" borderId="10" xfId="0" applyFont="1" applyFill="1" applyBorder="1" applyAlignment="1">
      <alignment horizontal="center" vertical="center" wrapText="1"/>
    </xf>
    <xf numFmtId="0" fontId="0" fillId="0" borderId="0" xfId="0" applyFill="1" applyBorder="1"/>
    <xf numFmtId="0" fontId="2" fillId="0" borderId="0" xfId="1" applyFont="1" applyFill="1" applyBorder="1" applyAlignment="1">
      <alignment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0" fillId="0" borderId="0" xfId="0" applyFill="1"/>
    <xf numFmtId="0" fontId="32" fillId="4" borderId="10" xfId="0" applyFont="1" applyFill="1" applyBorder="1" applyAlignment="1">
      <alignment horizontal="left" vertical="top" wrapText="1"/>
    </xf>
    <xf numFmtId="0" fontId="31" fillId="0" borderId="13" xfId="0" applyFont="1" applyBorder="1" applyAlignment="1">
      <alignment horizontal="center" vertical="center"/>
    </xf>
    <xf numFmtId="0" fontId="32" fillId="4" borderId="10" xfId="0" applyFont="1" applyFill="1" applyBorder="1" applyAlignment="1">
      <alignment horizontal="center" vertical="center" wrapText="1"/>
    </xf>
    <xf numFmtId="1" fontId="3" fillId="4" borderId="10" xfId="2" applyNumberFormat="1" applyFont="1" applyFill="1" applyBorder="1" applyAlignment="1" applyProtection="1">
      <alignment horizontal="center" vertical="center" wrapText="1"/>
      <protection locked="0"/>
    </xf>
    <xf numFmtId="0" fontId="25" fillId="0" borderId="10" xfId="0" applyFont="1" applyBorder="1" applyAlignment="1">
      <alignment horizontal="center" vertical="center" wrapText="1"/>
    </xf>
    <xf numFmtId="0" fontId="3" fillId="0" borderId="0" xfId="0" applyFont="1"/>
    <xf numFmtId="14" fontId="5" fillId="2" borderId="10" xfId="1" applyNumberFormat="1" applyFont="1" applyFill="1" applyBorder="1" applyAlignment="1" applyProtection="1">
      <alignment horizontal="left" vertical="center" wrapText="1"/>
      <protection locked="0"/>
    </xf>
    <xf numFmtId="1" fontId="13" fillId="0" borderId="0" xfId="2" applyNumberFormat="1" applyFont="1" applyAlignment="1" applyProtection="1">
      <alignment vertical="center" wrapText="1"/>
      <protection locked="0"/>
    </xf>
    <xf numFmtId="2" fontId="13" fillId="0" borderId="0" xfId="2" applyNumberFormat="1" applyFont="1" applyAlignment="1" applyProtection="1">
      <alignment vertical="center" wrapText="1"/>
      <protection locked="0"/>
    </xf>
    <xf numFmtId="1" fontId="3" fillId="0" borderId="16" xfId="0" applyNumberFormat="1" applyFont="1" applyBorder="1" applyAlignment="1">
      <alignment horizontal="center" vertical="center"/>
    </xf>
    <xf numFmtId="0" fontId="32" fillId="4" borderId="10" xfId="1" applyFont="1" applyFill="1" applyBorder="1" applyAlignment="1">
      <alignment vertical="center" wrapText="1"/>
    </xf>
    <xf numFmtId="0" fontId="33" fillId="2" borderId="10" xfId="1" applyFont="1" applyFill="1" applyBorder="1" applyAlignment="1" applyProtection="1">
      <alignment vertical="center" wrapText="1"/>
      <protection locked="0"/>
    </xf>
    <xf numFmtId="0" fontId="32" fillId="4" borderId="10"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left" vertical="top"/>
    </xf>
    <xf numFmtId="0" fontId="31" fillId="0" borderId="10" xfId="0" applyFont="1" applyBorder="1" applyAlignment="1">
      <alignment horizontal="left" vertical="top"/>
    </xf>
    <xf numFmtId="0" fontId="3"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38" fillId="0" borderId="0" xfId="0" applyFont="1"/>
    <xf numFmtId="0" fontId="39" fillId="4" borderId="10" xfId="0" applyFont="1" applyFill="1" applyBorder="1" applyAlignment="1">
      <alignment horizontal="center" vertical="center" wrapText="1"/>
    </xf>
    <xf numFmtId="1" fontId="15" fillId="0" borderId="0" xfId="0" applyNumberFormat="1" applyFont="1"/>
    <xf numFmtId="0" fontId="2" fillId="4" borderId="9" xfId="1" applyFont="1" applyFill="1" applyBorder="1" applyAlignment="1">
      <alignment vertical="center" wrapText="1"/>
    </xf>
    <xf numFmtId="14" fontId="33" fillId="2" borderId="11" xfId="1" applyNumberFormat="1" applyFont="1" applyFill="1" applyBorder="1" applyAlignment="1">
      <alignment horizontal="left" vertical="center"/>
    </xf>
    <xf numFmtId="0" fontId="2" fillId="4" borderId="9" xfId="0" applyFont="1" applyFill="1" applyBorder="1" applyAlignment="1">
      <alignment horizontal="left" vertical="center" wrapText="1"/>
    </xf>
    <xf numFmtId="0" fontId="2" fillId="4" borderId="9" xfId="0" applyFont="1" applyFill="1" applyBorder="1" applyAlignment="1">
      <alignment horizontal="left" vertical="top" wrapText="1"/>
    </xf>
    <xf numFmtId="0" fontId="32" fillId="4" borderId="9"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2" fillId="4" borderId="9" xfId="0" applyFont="1" applyFill="1" applyBorder="1" applyAlignment="1">
      <alignment horizontal="center" vertical="center" wrapText="1"/>
    </xf>
    <xf numFmtId="0" fontId="31" fillId="0" borderId="11" xfId="0" applyFont="1" applyBorder="1" applyAlignment="1">
      <alignment horizontal="center" vertical="center" wrapText="1"/>
    </xf>
    <xf numFmtId="0" fontId="3" fillId="0" borderId="11" xfId="0" applyFont="1" applyBorder="1" applyAlignment="1">
      <alignment horizontal="left" vertical="top"/>
    </xf>
    <xf numFmtId="0" fontId="31" fillId="0" borderId="9" xfId="0" applyFont="1" applyBorder="1" applyAlignment="1">
      <alignment horizontal="center" vertical="center"/>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9" xfId="0" applyFont="1" applyFill="1" applyBorder="1" applyAlignment="1">
      <alignment horizontal="left" vertical="top" wrapText="1"/>
    </xf>
    <xf numFmtId="0" fontId="31" fillId="0" borderId="11" xfId="0" applyFont="1" applyBorder="1" applyAlignment="1">
      <alignment horizontal="left" vertical="top"/>
    </xf>
    <xf numFmtId="0" fontId="34" fillId="4" borderId="9" xfId="0" applyFont="1" applyFill="1" applyBorder="1" applyAlignment="1">
      <alignment horizontal="center" vertical="center" wrapText="1"/>
    </xf>
    <xf numFmtId="0" fontId="3" fillId="0" borderId="40" xfId="0" applyFont="1" applyBorder="1" applyAlignment="1">
      <alignment horizontal="center" vertical="center"/>
    </xf>
    <xf numFmtId="1" fontId="3" fillId="0" borderId="41" xfId="0" applyNumberFormat="1" applyFont="1" applyBorder="1" applyAlignment="1">
      <alignment horizontal="center" vertical="center"/>
    </xf>
    <xf numFmtId="1" fontId="19" fillId="0" borderId="41" xfId="2" applyNumberFormat="1" applyFont="1" applyBorder="1" applyAlignment="1" applyProtection="1">
      <alignment horizontal="center" vertical="center" wrapText="1"/>
      <protection locked="0"/>
    </xf>
    <xf numFmtId="9" fontId="19" fillId="0" borderId="43" xfId="2" applyNumberFormat="1" applyFont="1" applyBorder="1" applyAlignment="1" applyProtection="1">
      <alignment horizontal="center" vertical="center" wrapText="1"/>
      <protection locked="0"/>
    </xf>
    <xf numFmtId="1" fontId="28" fillId="0" borderId="9" xfId="2" applyNumberFormat="1" applyFont="1" applyBorder="1" applyAlignment="1" applyProtection="1">
      <alignment horizontal="center" vertical="center" wrapText="1"/>
      <protection locked="0"/>
    </xf>
    <xf numFmtId="1" fontId="28" fillId="0" borderId="11" xfId="2" applyNumberFormat="1" applyFont="1" applyBorder="1" applyAlignment="1" applyProtection="1">
      <alignment horizontal="center" vertical="center" wrapText="1"/>
      <protection locked="0"/>
    </xf>
    <xf numFmtId="0" fontId="21" fillId="4" borderId="11" xfId="0" applyFont="1" applyFill="1" applyBorder="1" applyAlignment="1">
      <alignment horizontal="center" vertical="center" wrapText="1"/>
    </xf>
    <xf numFmtId="0" fontId="18" fillId="0" borderId="9" xfId="0" applyFont="1" applyFill="1" applyBorder="1" applyAlignment="1">
      <alignment horizontal="center" vertical="center"/>
    </xf>
    <xf numFmtId="0" fontId="22" fillId="4" borderId="9" xfId="0" applyFont="1" applyFill="1" applyBorder="1" applyAlignment="1">
      <alignment vertical="top" wrapText="1"/>
    </xf>
    <xf numFmtId="0" fontId="21" fillId="4" borderId="10" xfId="0" applyFont="1" applyFill="1" applyBorder="1" applyAlignment="1">
      <alignment vertical="top" wrapText="1"/>
    </xf>
    <xf numFmtId="0" fontId="3" fillId="0" borderId="11" xfId="0" applyFont="1" applyBorder="1" applyAlignment="1">
      <alignment vertical="top" wrapText="1"/>
    </xf>
    <xf numFmtId="0" fontId="41" fillId="0" borderId="9" xfId="0" applyFont="1" applyFill="1" applyBorder="1" applyAlignment="1">
      <alignment horizontal="center" vertical="center"/>
    </xf>
    <xf numFmtId="0" fontId="18" fillId="0" borderId="10" xfId="0" applyFont="1" applyFill="1" applyBorder="1" applyAlignment="1">
      <alignment horizontal="center" vertical="center"/>
    </xf>
    <xf numFmtId="1" fontId="8" fillId="0" borderId="0" xfId="0" applyNumberFormat="1"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2" fillId="4" borderId="4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5" fillId="0" borderId="1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top" wrapText="1"/>
    </xf>
    <xf numFmtId="0" fontId="25" fillId="0" borderId="6" xfId="0" applyFont="1" applyBorder="1" applyAlignment="1">
      <alignment horizontal="center" vertical="top" wrapText="1"/>
    </xf>
    <xf numFmtId="0" fontId="25" fillId="0" borderId="3" xfId="0" applyFont="1" applyBorder="1" applyAlignment="1">
      <alignment horizontal="center" vertical="top" wrapText="1"/>
    </xf>
    <xf numFmtId="0" fontId="25" fillId="0" borderId="13" xfId="0" applyFont="1" applyBorder="1" applyAlignment="1">
      <alignment horizontal="left" vertical="center"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36" fillId="0" borderId="10"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2" fillId="4" borderId="8" xfId="0" applyFont="1" applyFill="1" applyBorder="1" applyAlignment="1">
      <alignment horizontal="center" vertical="top" wrapText="1"/>
    </xf>
    <xf numFmtId="0" fontId="2" fillId="4" borderId="7" xfId="0" applyFont="1" applyFill="1" applyBorder="1" applyAlignment="1">
      <alignment horizontal="center" vertical="top" wrapText="1"/>
    </xf>
    <xf numFmtId="1" fontId="19" fillId="5" borderId="17" xfId="0" applyNumberFormat="1" applyFont="1" applyFill="1" applyBorder="1" applyAlignment="1" applyProtection="1">
      <alignment horizontal="center" vertical="center" wrapText="1"/>
      <protection locked="0"/>
    </xf>
    <xf numFmtId="1" fontId="19" fillId="5" borderId="18" xfId="0" applyNumberFormat="1" applyFont="1" applyFill="1" applyBorder="1" applyAlignment="1" applyProtection="1">
      <alignment horizontal="center" vertical="center" wrapText="1"/>
      <protection locked="0"/>
    </xf>
    <xf numFmtId="1" fontId="19" fillId="5" borderId="19" xfId="0" applyNumberFormat="1" applyFont="1" applyFill="1" applyBorder="1" applyAlignment="1" applyProtection="1">
      <alignment horizontal="center" vertical="center" wrapText="1"/>
      <protection locked="0"/>
    </xf>
    <xf numFmtId="0" fontId="18" fillId="4" borderId="10"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wrapText="1"/>
      <protection locked="0"/>
    </xf>
    <xf numFmtId="0" fontId="18" fillId="4" borderId="11" xfId="0" applyFont="1" applyFill="1" applyBorder="1" applyAlignment="1" applyProtection="1">
      <alignment horizontal="center" vertical="center" wrapText="1"/>
      <protection locked="0"/>
    </xf>
    <xf numFmtId="0" fontId="21" fillId="4" borderId="1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9" fillId="4" borderId="8" xfId="2" applyFont="1" applyFill="1" applyBorder="1" applyAlignment="1" applyProtection="1">
      <alignment horizontal="center" vertical="center"/>
      <protection locked="0"/>
    </xf>
    <xf numFmtId="0" fontId="19" fillId="4" borderId="6" xfId="2" applyFont="1" applyFill="1" applyBorder="1" applyAlignment="1" applyProtection="1">
      <alignment horizontal="center" vertical="center"/>
      <protection locked="0"/>
    </xf>
    <xf numFmtId="0" fontId="19" fillId="4" borderId="3" xfId="2" applyFont="1" applyFill="1" applyBorder="1" applyAlignment="1" applyProtection="1">
      <alignment horizontal="center" vertical="center"/>
      <protection locked="0"/>
    </xf>
    <xf numFmtId="1" fontId="19" fillId="0" borderId="8" xfId="2" applyNumberFormat="1" applyFont="1" applyBorder="1" applyAlignment="1" applyProtection="1">
      <alignment horizontal="center" vertical="center" wrapText="1"/>
      <protection locked="0"/>
    </xf>
    <xf numFmtId="1" fontId="19" fillId="0" borderId="6" xfId="2" applyNumberFormat="1" applyFont="1" applyBorder="1" applyAlignment="1" applyProtection="1">
      <alignment horizontal="center" vertical="center" wrapText="1"/>
      <protection locked="0"/>
    </xf>
    <xf numFmtId="1" fontId="19" fillId="0" borderId="3" xfId="2" applyNumberFormat="1" applyFont="1" applyBorder="1" applyAlignment="1" applyProtection="1">
      <alignment horizontal="center" vertical="center" wrapText="1"/>
      <protection locked="0"/>
    </xf>
    <xf numFmtId="1" fontId="27" fillId="0" borderId="46" xfId="0" applyNumberFormat="1" applyFont="1" applyBorder="1" applyAlignment="1" applyProtection="1">
      <alignment horizontal="center" vertical="center"/>
      <protection locked="0"/>
    </xf>
    <xf numFmtId="1" fontId="27" fillId="0" borderId="48" xfId="0" applyNumberFormat="1" applyFont="1" applyBorder="1" applyAlignment="1" applyProtection="1">
      <alignment horizontal="center" vertical="center"/>
      <protection locked="0"/>
    </xf>
    <xf numFmtId="1" fontId="27" fillId="0" borderId="47" xfId="0" applyNumberFormat="1" applyFont="1" applyBorder="1" applyAlignment="1" applyProtection="1">
      <alignment horizontal="center" vertical="center"/>
      <protection locked="0"/>
    </xf>
    <xf numFmtId="1" fontId="19" fillId="0" borderId="40" xfId="2" applyNumberFormat="1" applyFont="1" applyBorder="1" applyAlignment="1" applyProtection="1">
      <alignment horizontal="center" vertical="center" wrapText="1"/>
      <protection locked="0"/>
    </xf>
    <xf numFmtId="1" fontId="19" fillId="0" borderId="42" xfId="2" applyNumberFormat="1" applyFont="1" applyBorder="1" applyAlignment="1" applyProtection="1">
      <alignment horizontal="center" vertical="center" wrapText="1"/>
      <protection locked="0"/>
    </xf>
    <xf numFmtId="0" fontId="2" fillId="0" borderId="0" xfId="0" applyFont="1" applyFill="1" applyBorder="1" applyAlignment="1">
      <alignment horizontal="center" vertical="top" wrapText="1"/>
    </xf>
    <xf numFmtId="0" fontId="31" fillId="3" borderId="16" xfId="0" applyFont="1" applyFill="1" applyBorder="1" applyAlignment="1">
      <alignment horizontal="center" vertical="top" wrapText="1"/>
    </xf>
    <xf numFmtId="0" fontId="31" fillId="3" borderId="41" xfId="0" applyFont="1" applyFill="1" applyBorder="1" applyAlignment="1">
      <alignment horizontal="center" vertical="top" wrapText="1"/>
    </xf>
    <xf numFmtId="0" fontId="31" fillId="3" borderId="10" xfId="0" applyFont="1" applyFill="1" applyBorder="1" applyAlignment="1">
      <alignment horizontal="center" vertical="top" wrapText="1"/>
    </xf>
    <xf numFmtId="0" fontId="31" fillId="3" borderId="11" xfId="0" applyFont="1" applyFill="1" applyBorder="1" applyAlignment="1">
      <alignment horizontal="center" vertical="top" wrapText="1"/>
    </xf>
    <xf numFmtId="0" fontId="32" fillId="4" borderId="9" xfId="0" applyFont="1" applyFill="1" applyBorder="1" applyAlignment="1">
      <alignment horizontal="center" vertical="top" wrapText="1"/>
    </xf>
    <xf numFmtId="0" fontId="32" fillId="4" borderId="10" xfId="0" applyFont="1" applyFill="1" applyBorder="1" applyAlignment="1">
      <alignment horizontal="center" vertical="top" wrapText="1"/>
    </xf>
    <xf numFmtId="0" fontId="31" fillId="0" borderId="10" xfId="0" applyFont="1" applyBorder="1" applyAlignment="1">
      <alignment horizontal="center" vertical="top"/>
    </xf>
    <xf numFmtId="0" fontId="31" fillId="0" borderId="11" xfId="0" applyFont="1" applyBorder="1" applyAlignment="1">
      <alignment horizontal="center" vertical="top"/>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3" xfId="0" applyFont="1" applyBorder="1" applyAlignment="1">
      <alignment horizontal="center" vertical="center" wrapText="1"/>
    </xf>
    <xf numFmtId="1" fontId="19" fillId="5" borderId="42" xfId="0" applyNumberFormat="1" applyFont="1" applyFill="1" applyBorder="1" applyAlignment="1" applyProtection="1">
      <alignment horizontal="center" vertical="center" wrapText="1"/>
      <protection locked="0"/>
    </xf>
    <xf numFmtId="1" fontId="19" fillId="5" borderId="12" xfId="0" applyNumberFormat="1" applyFont="1" applyFill="1" applyBorder="1" applyAlignment="1" applyProtection="1">
      <alignment horizontal="center" vertical="center" wrapText="1"/>
      <protection locked="0"/>
    </xf>
    <xf numFmtId="1" fontId="19" fillId="5" borderId="43" xfId="0" applyNumberFormat="1" applyFont="1" applyFill="1" applyBorder="1" applyAlignment="1" applyProtection="1">
      <alignment horizontal="center" vertical="center" wrapText="1"/>
      <protection locked="0"/>
    </xf>
    <xf numFmtId="2" fontId="31" fillId="0" borderId="10" xfId="0" applyNumberFormat="1" applyFont="1" applyBorder="1" applyAlignment="1">
      <alignment horizontal="center" vertical="top"/>
    </xf>
    <xf numFmtId="2" fontId="31" fillId="0" borderId="11" xfId="0" applyNumberFormat="1"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27" fillId="4" borderId="8" xfId="2" applyFont="1" applyFill="1" applyBorder="1" applyAlignment="1" applyProtection="1">
      <alignment horizontal="left" vertical="top" wrapText="1"/>
      <protection locked="0"/>
    </xf>
    <xf numFmtId="0" fontId="27" fillId="4" borderId="6" xfId="2" applyFont="1" applyFill="1" applyBorder="1" applyAlignment="1" applyProtection="1">
      <alignment horizontal="left" vertical="top" wrapText="1"/>
      <protection locked="0"/>
    </xf>
    <xf numFmtId="0" fontId="27" fillId="4" borderId="3" xfId="2" applyFont="1" applyFill="1" applyBorder="1" applyAlignment="1" applyProtection="1">
      <alignment horizontal="left" vertical="top" wrapText="1"/>
      <protection locked="0"/>
    </xf>
    <xf numFmtId="0" fontId="3" fillId="4" borderId="13" xfId="2" applyFont="1" applyFill="1" applyBorder="1" applyAlignment="1" applyProtection="1">
      <alignment horizontal="center" vertical="center" wrapText="1"/>
      <protection locked="0"/>
    </xf>
    <xf numFmtId="0" fontId="3" fillId="4" borderId="3" xfId="2" applyFont="1" applyFill="1" applyBorder="1" applyAlignment="1" applyProtection="1">
      <alignment horizontal="center" vertical="center" wrapText="1"/>
      <protection locked="0"/>
    </xf>
    <xf numFmtId="9" fontId="3" fillId="4" borderId="15" xfId="2" applyNumberFormat="1" applyFont="1" applyFill="1" applyBorder="1" applyAlignment="1" applyProtection="1">
      <alignment horizontal="center" vertical="center" wrapText="1"/>
      <protection hidden="1"/>
    </xf>
    <xf numFmtId="9" fontId="3" fillId="4" borderId="5" xfId="2" applyNumberFormat="1" applyFont="1" applyFill="1" applyBorder="1" applyAlignment="1" applyProtection="1">
      <alignment horizontal="center" vertical="center" wrapText="1"/>
      <protection hidden="1"/>
    </xf>
    <xf numFmtId="9" fontId="3" fillId="4" borderId="14" xfId="2" applyNumberFormat="1" applyFont="1" applyFill="1" applyBorder="1" applyAlignment="1" applyProtection="1">
      <alignment horizontal="center" vertical="center" wrapText="1"/>
      <protection hidden="1"/>
    </xf>
    <xf numFmtId="9" fontId="3" fillId="4" borderId="2" xfId="2" applyNumberFormat="1" applyFont="1" applyFill="1" applyBorder="1" applyAlignment="1" applyProtection="1">
      <alignment horizontal="center" vertical="center" wrapText="1"/>
      <protection hidden="1"/>
    </xf>
    <xf numFmtId="0" fontId="12" fillId="0" borderId="0" xfId="2" applyFont="1" applyAlignment="1" applyProtection="1">
      <alignment horizontal="center" vertical="top"/>
      <protection locked="0"/>
    </xf>
    <xf numFmtId="1" fontId="28" fillId="0" borderId="13" xfId="2" applyNumberFormat="1" applyFont="1" applyBorder="1" applyAlignment="1" applyProtection="1">
      <alignment horizontal="center" vertical="center" wrapText="1"/>
      <protection locked="0"/>
    </xf>
    <xf numFmtId="1" fontId="28" fillId="0" borderId="6" xfId="2" applyNumberFormat="1" applyFont="1" applyBorder="1" applyAlignment="1" applyProtection="1">
      <alignment horizontal="center" vertical="center" wrapText="1"/>
      <protection locked="0"/>
    </xf>
    <xf numFmtId="1" fontId="28" fillId="0" borderId="3" xfId="2" applyNumberFormat="1" applyFont="1" applyBorder="1" applyAlignment="1" applyProtection="1">
      <alignment horizontal="center" vertical="center" wrapText="1"/>
      <protection locked="0"/>
    </xf>
    <xf numFmtId="2" fontId="34" fillId="0" borderId="0" xfId="0" applyNumberFormat="1" applyFont="1" applyFill="1" applyBorder="1" applyAlignment="1">
      <alignment horizontal="center" vertical="top" wrapText="1"/>
    </xf>
    <xf numFmtId="0" fontId="9" fillId="0" borderId="0" xfId="0" applyFont="1" applyAlignment="1">
      <alignment horizontal="center" vertical="center" wrapText="1"/>
    </xf>
    <xf numFmtId="1"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9" fontId="0" fillId="0" borderId="18" xfId="0" applyNumberFormat="1" applyBorder="1" applyAlignment="1">
      <alignment horizontal="center" vertical="center"/>
    </xf>
    <xf numFmtId="0" fontId="0" fillId="0" borderId="19" xfId="0" applyBorder="1" applyAlignment="1">
      <alignment horizontal="center" vertical="center"/>
    </xf>
    <xf numFmtId="0" fontId="0" fillId="0" borderId="41" xfId="0" applyBorder="1" applyAlignment="1">
      <alignment horizontal="center" vertical="center"/>
    </xf>
    <xf numFmtId="0" fontId="27" fillId="4" borderId="17" xfId="2" applyFont="1" applyFill="1" applyBorder="1" applyAlignment="1" applyProtection="1">
      <alignment horizontal="left" vertical="top" wrapText="1"/>
      <protection locked="0"/>
    </xf>
    <xf numFmtId="0" fontId="27" fillId="4" borderId="18" xfId="2" applyFont="1" applyFill="1" applyBorder="1" applyAlignment="1" applyProtection="1">
      <alignment horizontal="left" vertical="top" wrapText="1"/>
      <protection locked="0"/>
    </xf>
    <xf numFmtId="0" fontId="27" fillId="4" borderId="9" xfId="2" applyFont="1" applyFill="1" applyBorder="1" applyAlignment="1" applyProtection="1">
      <alignment horizontal="left" vertical="top" wrapText="1"/>
      <protection locked="0"/>
    </xf>
    <xf numFmtId="0" fontId="27" fillId="4" borderId="10" xfId="2" applyFont="1" applyFill="1" applyBorder="1" applyAlignment="1" applyProtection="1">
      <alignment horizontal="left" vertical="top" wrapText="1"/>
      <protection locked="0"/>
    </xf>
    <xf numFmtId="1" fontId="12" fillId="0" borderId="0" xfId="0" applyNumberFormat="1" applyFont="1" applyAlignment="1" applyProtection="1">
      <alignment horizontal="center" vertical="top" wrapText="1"/>
      <protection locked="0"/>
    </xf>
    <xf numFmtId="0" fontId="2" fillId="0" borderId="0" xfId="1" applyFont="1" applyFill="1" applyBorder="1" applyAlignment="1">
      <alignment horizontal="center" vertical="center" wrapText="1"/>
    </xf>
    <xf numFmtId="0" fontId="2" fillId="4" borderId="0" xfId="0" applyFont="1" applyFill="1" applyBorder="1" applyAlignment="1">
      <alignment horizontal="center" vertical="center" wrapText="1"/>
    </xf>
    <xf numFmtId="0" fontId="20" fillId="0" borderId="13" xfId="4"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5" fillId="2" borderId="10" xfId="1" applyFont="1" applyFill="1" applyBorder="1" applyAlignment="1" applyProtection="1">
      <alignment horizontal="left" vertical="center" wrapText="1"/>
      <protection locked="0"/>
    </xf>
    <xf numFmtId="0" fontId="5" fillId="2" borderId="11" xfId="1" applyFont="1" applyFill="1" applyBorder="1" applyAlignment="1" applyProtection="1">
      <alignment horizontal="left" vertical="center" wrapText="1"/>
      <protection locked="0"/>
    </xf>
    <xf numFmtId="0" fontId="31" fillId="0" borderId="10" xfId="0" applyFont="1" applyBorder="1" applyAlignment="1">
      <alignment horizontal="left" vertical="center"/>
    </xf>
    <xf numFmtId="0" fontId="2" fillId="4" borderId="8"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2" fillId="5" borderId="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3" xfId="0" applyFont="1" applyFill="1" applyBorder="1" applyAlignment="1">
      <alignment horizontal="center" vertical="center"/>
    </xf>
    <xf numFmtId="0" fontId="3" fillId="0" borderId="13" xfId="0" applyFont="1" applyBorder="1" applyAlignment="1">
      <alignment horizontal="left" vertical="center"/>
    </xf>
    <xf numFmtId="0" fontId="31" fillId="0" borderId="8" xfId="0" applyFont="1" applyBorder="1" applyAlignment="1">
      <alignment horizontal="center" vertical="top"/>
    </xf>
    <xf numFmtId="0" fontId="31" fillId="0" borderId="6" xfId="0" applyFont="1" applyBorder="1" applyAlignment="1">
      <alignment horizontal="center" vertical="top"/>
    </xf>
    <xf numFmtId="0" fontId="31" fillId="0" borderId="3" xfId="0" applyFont="1" applyBorder="1" applyAlignment="1">
      <alignment horizontal="center" vertical="top"/>
    </xf>
    <xf numFmtId="0" fontId="2" fillId="4"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3" fillId="0" borderId="13" xfId="0" applyFont="1" applyBorder="1" applyAlignment="1">
      <alignment horizontal="center" vertical="top"/>
    </xf>
    <xf numFmtId="0" fontId="3" fillId="0" borderId="6" xfId="0" applyFont="1" applyBorder="1" applyAlignment="1">
      <alignment horizontal="center" vertical="top"/>
    </xf>
    <xf numFmtId="0" fontId="3" fillId="0" borderId="3" xfId="0" applyFont="1" applyBorder="1" applyAlignment="1">
      <alignment horizontal="center" vertical="top"/>
    </xf>
    <xf numFmtId="0" fontId="31" fillId="0" borderId="13" xfId="0" applyFont="1" applyBorder="1" applyAlignment="1">
      <alignment horizontal="center" vertical="top" wrapText="1"/>
    </xf>
    <xf numFmtId="0" fontId="31" fillId="0" borderId="6" xfId="0" applyFont="1" applyBorder="1" applyAlignment="1">
      <alignment horizontal="center" vertical="top" wrapText="1"/>
    </xf>
    <xf numFmtId="0" fontId="31" fillId="0" borderId="3" xfId="0" applyFont="1" applyBorder="1" applyAlignment="1">
      <alignment horizontal="center" vertical="top" wrapText="1"/>
    </xf>
    <xf numFmtId="0" fontId="32" fillId="4" borderId="8" xfId="0" applyFont="1" applyFill="1" applyBorder="1" applyAlignment="1">
      <alignment horizontal="center" vertical="top" wrapText="1"/>
    </xf>
    <xf numFmtId="0" fontId="32" fillId="4" borderId="7" xfId="0" applyFont="1" applyFill="1" applyBorder="1" applyAlignment="1">
      <alignment horizontal="center" vertical="top" wrapText="1"/>
    </xf>
    <xf numFmtId="0" fontId="35" fillId="0" borderId="10" xfId="1" applyFont="1" applyBorder="1" applyAlignment="1" applyProtection="1">
      <alignment horizontal="center" vertical="top"/>
      <protection locked="0"/>
    </xf>
    <xf numFmtId="0" fontId="25" fillId="3" borderId="10" xfId="0" applyFont="1" applyFill="1" applyBorder="1" applyAlignment="1">
      <alignment horizontal="left" vertical="top" wrapText="1"/>
    </xf>
    <xf numFmtId="0" fontId="25" fillId="3" borderId="11" xfId="0" applyFont="1" applyFill="1" applyBorder="1" applyAlignment="1">
      <alignment horizontal="left" vertical="top" wrapText="1"/>
    </xf>
    <xf numFmtId="0" fontId="5" fillId="4" borderId="13"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3" xfId="1" applyFont="1" applyFill="1" applyBorder="1" applyAlignment="1">
      <alignment horizontal="left" vertical="center" wrapText="1"/>
    </xf>
    <xf numFmtId="0" fontId="2" fillId="4" borderId="9" xfId="1" applyFont="1" applyFill="1" applyBorder="1" applyAlignment="1">
      <alignment horizontal="left" vertical="center" wrapText="1"/>
    </xf>
    <xf numFmtId="0" fontId="2" fillId="4" borderId="10" xfId="1" applyFont="1" applyFill="1" applyBorder="1" applyAlignment="1">
      <alignment horizontal="left" vertical="center" wrapText="1"/>
    </xf>
    <xf numFmtId="2" fontId="3" fillId="0" borderId="10" xfId="0" applyNumberFormat="1" applyFont="1" applyBorder="1" applyAlignment="1">
      <alignment horizontal="center" vertical="top"/>
    </xf>
    <xf numFmtId="2" fontId="3" fillId="0" borderId="11" xfId="0" applyNumberFormat="1" applyFont="1" applyBorder="1" applyAlignment="1">
      <alignment horizontal="center" vertical="top"/>
    </xf>
    <xf numFmtId="0" fontId="2" fillId="4" borderId="11" xfId="0" applyFont="1" applyFill="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31" fillId="0" borderId="11" xfId="0" applyFont="1" applyBorder="1" applyAlignment="1">
      <alignment horizontal="left" vertical="center"/>
    </xf>
    <xf numFmtId="0" fontId="25" fillId="3" borderId="13"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3" xfId="0" applyFont="1" applyFill="1" applyBorder="1" applyAlignment="1">
      <alignment horizontal="left" vertical="top" wrapText="1"/>
    </xf>
    <xf numFmtId="9" fontId="25" fillId="3" borderId="10" xfId="0" applyNumberFormat="1" applyFont="1" applyFill="1" applyBorder="1" applyAlignment="1">
      <alignment horizontal="left" vertical="top" wrapText="1"/>
    </xf>
    <xf numFmtId="14" fontId="5" fillId="2" borderId="10" xfId="1" applyNumberFormat="1" applyFont="1" applyFill="1" applyBorder="1" applyAlignment="1" applyProtection="1">
      <alignment horizontal="left" vertical="center" wrapText="1"/>
      <protection locked="0"/>
    </xf>
    <xf numFmtId="0" fontId="2" fillId="4" borderId="10" xfId="1" applyFont="1" applyFill="1" applyBorder="1" applyAlignment="1">
      <alignment horizontal="left" vertical="top" wrapText="1"/>
    </xf>
    <xf numFmtId="1" fontId="27" fillId="0" borderId="23" xfId="0" applyNumberFormat="1"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1" fontId="27" fillId="0" borderId="23" xfId="0" applyNumberFormat="1"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17" fillId="6" borderId="33"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49" xfId="0" applyFont="1" applyFill="1" applyBorder="1" applyAlignment="1">
      <alignment horizontal="center" vertical="center"/>
    </xf>
    <xf numFmtId="0" fontId="27" fillId="0" borderId="10" xfId="0" applyFont="1" applyBorder="1" applyAlignment="1">
      <alignment vertical="top"/>
    </xf>
    <xf numFmtId="0" fontId="2" fillId="5" borderId="9" xfId="1" applyFont="1" applyFill="1" applyBorder="1" applyAlignment="1">
      <alignment horizontal="center" vertical="center"/>
    </xf>
    <xf numFmtId="0" fontId="2" fillId="5" borderId="10" xfId="1" applyFont="1" applyFill="1" applyBorder="1" applyAlignment="1">
      <alignment horizontal="center" vertical="center"/>
    </xf>
    <xf numFmtId="0" fontId="2" fillId="5" borderId="11" xfId="1" applyFont="1" applyFill="1" applyBorder="1" applyAlignment="1">
      <alignment horizontal="center" vertical="center"/>
    </xf>
    <xf numFmtId="0" fontId="2" fillId="4" borderId="9" xfId="1" applyFont="1" applyFill="1" applyBorder="1" applyAlignment="1">
      <alignment horizontal="left" vertical="top"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50" xfId="0" applyFont="1" applyFill="1" applyBorder="1" applyAlignment="1">
      <alignment horizontal="center" vertical="center"/>
    </xf>
    <xf numFmtId="0" fontId="22" fillId="3" borderId="10" xfId="0" applyFont="1" applyFill="1" applyBorder="1" applyAlignment="1">
      <alignment horizontal="center" vertical="top" wrapText="1"/>
    </xf>
    <xf numFmtId="0" fontId="22" fillId="3" borderId="11" xfId="0" applyFont="1" applyFill="1" applyBorder="1" applyAlignment="1">
      <alignment horizontal="center" vertical="top" wrapText="1"/>
    </xf>
    <xf numFmtId="0" fontId="2" fillId="4" borderId="8"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0" fillId="4" borderId="13" xfId="4" applyFill="1" applyBorder="1" applyAlignment="1">
      <alignment horizontal="left" vertical="center" wrapText="1"/>
    </xf>
    <xf numFmtId="0" fontId="20" fillId="4" borderId="6" xfId="4" applyFill="1" applyBorder="1" applyAlignment="1">
      <alignment horizontal="left" vertical="center" wrapText="1"/>
    </xf>
    <xf numFmtId="0" fontId="20" fillId="4" borderId="3" xfId="4" applyFill="1" applyBorder="1" applyAlignment="1">
      <alignment horizontal="left" vertical="center" wrapText="1"/>
    </xf>
    <xf numFmtId="1" fontId="13" fillId="0" borderId="0" xfId="2" applyNumberFormat="1" applyFont="1" applyAlignment="1" applyProtection="1">
      <alignment horizontal="center" vertical="center" wrapText="1"/>
      <protection locked="0"/>
    </xf>
    <xf numFmtId="0" fontId="9" fillId="0" borderId="0" xfId="2" applyFont="1" applyBorder="1" applyAlignment="1">
      <alignment horizontal="center" vertical="center"/>
    </xf>
    <xf numFmtId="1" fontId="12" fillId="0" borderId="0" xfId="2" applyNumberFormat="1" applyFont="1" applyAlignment="1" applyProtection="1">
      <alignment horizontal="center" vertical="top" wrapText="1"/>
      <protection locked="0"/>
    </xf>
    <xf numFmtId="1" fontId="19" fillId="0" borderId="16" xfId="2" applyNumberFormat="1" applyFont="1" applyBorder="1" applyAlignment="1" applyProtection="1">
      <alignment horizontal="center" vertical="center" wrapText="1"/>
      <protection locked="0"/>
    </xf>
    <xf numFmtId="1" fontId="19" fillId="0" borderId="12" xfId="2" applyNumberFormat="1" applyFont="1" applyBorder="1" applyAlignment="1" applyProtection="1">
      <alignment horizontal="center" vertical="center" wrapText="1"/>
      <protection locked="0"/>
    </xf>
    <xf numFmtId="0" fontId="19" fillId="0" borderId="8" xfId="2" applyFont="1" applyBorder="1" applyAlignment="1" applyProtection="1">
      <alignment horizontal="center" vertical="top"/>
      <protection locked="0"/>
    </xf>
    <xf numFmtId="0" fontId="19" fillId="0" borderId="6" xfId="2" applyFont="1" applyBorder="1" applyAlignment="1" applyProtection="1">
      <alignment horizontal="center" vertical="top"/>
      <protection locked="0"/>
    </xf>
    <xf numFmtId="0" fontId="19" fillId="0" borderId="3" xfId="2" applyFont="1" applyBorder="1" applyAlignment="1" applyProtection="1">
      <alignment horizontal="center" vertical="top"/>
      <protection locked="0"/>
    </xf>
    <xf numFmtId="1" fontId="36" fillId="0" borderId="8" xfId="2" applyNumberFormat="1" applyFont="1" applyBorder="1" applyAlignment="1" applyProtection="1">
      <alignment horizontal="center" vertical="center" wrapText="1"/>
      <protection locked="0"/>
    </xf>
    <xf numFmtId="1" fontId="36" fillId="0" borderId="6" xfId="2" applyNumberFormat="1" applyFont="1" applyBorder="1" applyAlignment="1" applyProtection="1">
      <alignment horizontal="center" vertical="center" wrapText="1"/>
      <protection locked="0"/>
    </xf>
    <xf numFmtId="1" fontId="36" fillId="0" borderId="3" xfId="2" applyNumberFormat="1" applyFont="1" applyBorder="1" applyAlignment="1" applyProtection="1">
      <alignment horizontal="center" vertical="center" wrapText="1"/>
      <protection locked="0"/>
    </xf>
    <xf numFmtId="0" fontId="18" fillId="5" borderId="8" xfId="0" applyFont="1" applyFill="1" applyBorder="1" applyAlignment="1">
      <alignment horizontal="center"/>
    </xf>
    <xf numFmtId="0" fontId="18" fillId="5" borderId="6" xfId="0" applyFont="1" applyFill="1" applyBorder="1" applyAlignment="1">
      <alignment horizontal="center"/>
    </xf>
    <xf numFmtId="0" fontId="18" fillId="5" borderId="3" xfId="0" applyFont="1" applyFill="1" applyBorder="1" applyAlignment="1">
      <alignment horizontal="center"/>
    </xf>
    <xf numFmtId="0" fontId="2" fillId="4" borderId="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9" fillId="0" borderId="0" xfId="2" applyFont="1" applyAlignment="1">
      <alignment horizontal="center" vertical="center"/>
    </xf>
    <xf numFmtId="1" fontId="40" fillId="0" borderId="8" xfId="2" applyNumberFormat="1" applyFont="1" applyBorder="1" applyAlignment="1" applyProtection="1">
      <alignment horizontal="center" vertical="center" wrapText="1"/>
      <protection locked="0"/>
    </xf>
    <xf numFmtId="1" fontId="40" fillId="0" borderId="6" xfId="2" applyNumberFormat="1" applyFont="1" applyBorder="1" applyAlignment="1" applyProtection="1">
      <alignment horizontal="center" vertical="center" wrapText="1"/>
      <protection locked="0"/>
    </xf>
    <xf numFmtId="1" fontId="40" fillId="0" borderId="3" xfId="2" applyNumberFormat="1" applyFont="1" applyBorder="1" applyAlignment="1" applyProtection="1">
      <alignment horizontal="center" vertical="center" wrapText="1"/>
      <protection locked="0"/>
    </xf>
    <xf numFmtId="1" fontId="19" fillId="0" borderId="15" xfId="2" applyNumberFormat="1" applyFont="1" applyBorder="1" applyAlignment="1" applyProtection="1">
      <alignment horizontal="center" vertical="center" wrapText="1"/>
      <protection locked="0"/>
    </xf>
    <xf numFmtId="1" fontId="19" fillId="0" borderId="32" xfId="2" applyNumberFormat="1" applyFont="1" applyBorder="1" applyAlignment="1" applyProtection="1">
      <alignment horizontal="center" vertical="center" wrapText="1"/>
      <protection locked="0"/>
    </xf>
    <xf numFmtId="0" fontId="2" fillId="0" borderId="0" xfId="0" applyFont="1" applyAlignment="1">
      <alignment horizontal="center" vertical="top" wrapText="1"/>
    </xf>
    <xf numFmtId="0" fontId="15" fillId="0" borderId="0" xfId="0" applyFont="1" applyAlignment="1">
      <alignment horizontal="center"/>
    </xf>
    <xf numFmtId="0" fontId="0" fillId="0" borderId="0" xfId="0" applyAlignment="1">
      <alignment horizontal="center"/>
    </xf>
    <xf numFmtId="0" fontId="16" fillId="5"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8" fillId="5" borderId="9" xfId="0" applyFont="1" applyFill="1" applyBorder="1" applyAlignment="1">
      <alignment horizontal="left"/>
    </xf>
    <xf numFmtId="0" fontId="18" fillId="5" borderId="10" xfId="0" applyFont="1" applyFill="1" applyBorder="1" applyAlignment="1">
      <alignment horizontal="left"/>
    </xf>
    <xf numFmtId="0" fontId="18" fillId="5" borderId="11" xfId="0" applyFont="1" applyFill="1" applyBorder="1" applyAlignment="1">
      <alignment horizontal="left"/>
    </xf>
    <xf numFmtId="0" fontId="17" fillId="0" borderId="10" xfId="0" applyFont="1" applyFill="1" applyBorder="1" applyAlignment="1">
      <alignment horizontal="left" vertical="center"/>
    </xf>
    <xf numFmtId="0" fontId="17" fillId="0" borderId="11" xfId="0" applyFont="1" applyFill="1" applyBorder="1" applyAlignment="1">
      <alignment horizontal="left" vertical="center"/>
    </xf>
    <xf numFmtId="0" fontId="36" fillId="0" borderId="13" xfId="0" applyFont="1" applyFill="1" applyBorder="1" applyAlignment="1">
      <alignment horizontal="left" vertical="center" wrapText="1"/>
    </xf>
    <xf numFmtId="0" fontId="36" fillId="0" borderId="6" xfId="0" applyFont="1" applyFill="1" applyBorder="1" applyAlignment="1">
      <alignment horizontal="left" vertical="center"/>
    </xf>
    <xf numFmtId="0" fontId="36" fillId="0" borderId="3" xfId="0" applyFont="1" applyFill="1" applyBorder="1" applyAlignment="1">
      <alignment horizontal="left" vertical="center"/>
    </xf>
    <xf numFmtId="0" fontId="36" fillId="0" borderId="10" xfId="0" applyFont="1" applyFill="1" applyBorder="1" applyAlignment="1">
      <alignment horizontal="left" vertical="center"/>
    </xf>
    <xf numFmtId="0" fontId="36" fillId="0" borderId="11" xfId="0" applyFont="1" applyFill="1" applyBorder="1" applyAlignment="1">
      <alignment horizontal="left" vertical="center"/>
    </xf>
    <xf numFmtId="0" fontId="2" fillId="3"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164" fontId="31" fillId="0" borderId="10" xfId="0" applyNumberFormat="1" applyFont="1" applyBorder="1" applyAlignment="1">
      <alignment horizontal="center" vertical="top"/>
    </xf>
    <xf numFmtId="164" fontId="31" fillId="0" borderId="11" xfId="0" applyNumberFormat="1" applyFont="1" applyBorder="1" applyAlignment="1">
      <alignment horizontal="center" vertical="top"/>
    </xf>
    <xf numFmtId="0" fontId="2" fillId="5" borderId="9" xfId="0" applyFont="1" applyFill="1" applyBorder="1" applyAlignment="1">
      <alignment horizontal="center" vertical="top" wrapText="1"/>
    </xf>
    <xf numFmtId="0" fontId="2" fillId="5" borderId="10" xfId="0" applyFont="1" applyFill="1" applyBorder="1" applyAlignment="1">
      <alignment horizontal="center" vertical="top" wrapText="1"/>
    </xf>
    <xf numFmtId="0" fontId="2" fillId="5" borderId="11" xfId="0" applyFont="1" applyFill="1" applyBorder="1" applyAlignment="1">
      <alignment horizontal="center"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2" fillId="4" borderId="13"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3" xfId="0" applyFont="1" applyFill="1" applyBorder="1" applyAlignment="1">
      <alignment horizontal="center" vertical="top" wrapText="1"/>
    </xf>
    <xf numFmtId="0" fontId="31" fillId="0" borderId="13" xfId="0" applyFont="1" applyBorder="1" applyAlignment="1">
      <alignment horizontal="center" vertical="top"/>
    </xf>
    <xf numFmtId="0" fontId="31" fillId="0" borderId="7" xfId="0" applyFont="1" applyBorder="1" applyAlignment="1">
      <alignment horizontal="center" vertical="top"/>
    </xf>
    <xf numFmtId="0" fontId="35" fillId="0" borderId="11" xfId="1" applyFont="1" applyBorder="1" applyAlignment="1" applyProtection="1">
      <alignment horizontal="center" vertical="top"/>
      <protection locked="0"/>
    </xf>
    <xf numFmtId="14" fontId="31" fillId="0" borderId="10" xfId="0" applyNumberFormat="1"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51" xfId="0" applyFont="1" applyFill="1" applyBorder="1" applyAlignment="1">
      <alignment horizontal="center" vertical="center"/>
    </xf>
    <xf numFmtId="0" fontId="31" fillId="0" borderId="13" xfId="0" applyFont="1" applyBorder="1" applyAlignment="1">
      <alignment horizontal="left" vertical="top" wrapText="1"/>
    </xf>
    <xf numFmtId="0" fontId="31" fillId="0" borderId="6" xfId="0" applyFont="1" applyBorder="1" applyAlignment="1">
      <alignment horizontal="left" vertical="top" wrapText="1"/>
    </xf>
    <xf numFmtId="0" fontId="31" fillId="0" borderId="3" xfId="0" applyFont="1" applyBorder="1" applyAlignment="1">
      <alignment horizontal="left" vertical="top" wrapText="1"/>
    </xf>
    <xf numFmtId="0" fontId="2" fillId="4" borderId="42" xfId="0" applyFont="1" applyFill="1" applyBorder="1" applyAlignment="1">
      <alignment horizontal="center" vertical="top" wrapText="1"/>
    </xf>
    <xf numFmtId="0" fontId="2" fillId="4" borderId="12" xfId="0" applyFont="1" applyFill="1" applyBorder="1" applyAlignment="1">
      <alignment horizontal="center" vertical="top"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2" xfId="0" applyFont="1" applyBorder="1" applyAlignment="1">
      <alignment horizontal="center" vertical="top"/>
    </xf>
    <xf numFmtId="0" fontId="3" fillId="0" borderId="38" xfId="0" applyFont="1" applyBorder="1" applyAlignment="1">
      <alignment horizontal="center" vertical="top"/>
    </xf>
    <xf numFmtId="0" fontId="3" fillId="0" borderId="5" xfId="0" applyFont="1" applyBorder="1" applyAlignment="1">
      <alignment horizontal="center" vertical="top"/>
    </xf>
    <xf numFmtId="0" fontId="19" fillId="5" borderId="53" xfId="2" applyFont="1" applyFill="1" applyBorder="1" applyAlignment="1" applyProtection="1">
      <alignment horizontal="center" vertical="center"/>
      <protection locked="0"/>
    </xf>
    <xf numFmtId="0" fontId="19" fillId="5" borderId="39" xfId="2" applyFont="1" applyFill="1" applyBorder="1" applyAlignment="1" applyProtection="1">
      <alignment horizontal="center" vertical="center"/>
      <protection locked="0"/>
    </xf>
    <xf numFmtId="0" fontId="19" fillId="5" borderId="54" xfId="2"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1" fontId="19" fillId="7" borderId="9" xfId="0" applyNumberFormat="1" applyFont="1" applyFill="1" applyBorder="1" applyAlignment="1" applyProtection="1">
      <alignment horizontal="center" vertical="center" wrapText="1"/>
      <protection locked="0"/>
    </xf>
    <xf numFmtId="1" fontId="19" fillId="7" borderId="10" xfId="0" applyNumberFormat="1" applyFont="1" applyFill="1" applyBorder="1" applyAlignment="1" applyProtection="1">
      <alignment horizontal="center" vertical="center" wrapText="1"/>
      <protection locked="0"/>
    </xf>
    <xf numFmtId="1" fontId="19" fillId="7" borderId="11" xfId="0" applyNumberFormat="1" applyFont="1" applyFill="1" applyBorder="1" applyAlignment="1" applyProtection="1">
      <alignment horizontal="center" vertical="center" wrapText="1"/>
      <protection locked="0"/>
    </xf>
    <xf numFmtId="0" fontId="8" fillId="0" borderId="26" xfId="2" applyFont="1" applyBorder="1" applyAlignment="1" applyProtection="1">
      <alignment horizontal="left" vertical="top" wrapText="1"/>
      <protection locked="0"/>
    </xf>
    <xf numFmtId="0" fontId="8" fillId="0" borderId="27" xfId="2" applyFont="1" applyBorder="1" applyAlignment="1" applyProtection="1">
      <alignment horizontal="left" vertical="top" wrapText="1"/>
      <protection locked="0"/>
    </xf>
    <xf numFmtId="0" fontId="8" fillId="0" borderId="28" xfId="2" applyFont="1" applyBorder="1" applyAlignment="1" applyProtection="1">
      <alignment horizontal="left" vertical="top" wrapText="1"/>
      <protection locked="0"/>
    </xf>
    <xf numFmtId="0" fontId="8" fillId="0" borderId="29" xfId="2" applyFont="1" applyBorder="1" applyAlignment="1" applyProtection="1">
      <alignment horizontal="left" vertical="top" wrapText="1"/>
      <protection locked="0"/>
    </xf>
    <xf numFmtId="0" fontId="8" fillId="0" borderId="30" xfId="2" applyFont="1" applyBorder="1" applyAlignment="1" applyProtection="1">
      <alignment horizontal="left" vertical="top" wrapText="1"/>
      <protection locked="0"/>
    </xf>
    <xf numFmtId="0" fontId="8" fillId="0" borderId="9" xfId="2" applyFont="1" applyBorder="1" applyAlignment="1" applyProtection="1">
      <alignment horizontal="left" vertical="top"/>
      <protection locked="0"/>
    </xf>
    <xf numFmtId="0" fontId="8" fillId="0" borderId="10" xfId="2" applyFont="1" applyBorder="1" applyAlignment="1" applyProtection="1">
      <alignment horizontal="left" vertical="top"/>
      <protection locked="0"/>
    </xf>
    <xf numFmtId="0" fontId="8" fillId="0" borderId="10" xfId="2" applyFont="1" applyBorder="1" applyAlignment="1" applyProtection="1">
      <alignment horizontal="left" vertical="top" wrapText="1"/>
      <protection locked="0"/>
    </xf>
    <xf numFmtId="0" fontId="8" fillId="0" borderId="11" xfId="2" applyFont="1" applyBorder="1" applyAlignment="1" applyProtection="1">
      <alignment horizontal="left" vertical="top" wrapText="1"/>
      <protection locked="0"/>
    </xf>
    <xf numFmtId="0" fontId="9" fillId="0" borderId="9" xfId="2" applyFont="1" applyBorder="1" applyAlignment="1" applyProtection="1">
      <alignment horizontal="center" vertical="top" wrapText="1"/>
      <protection locked="0"/>
    </xf>
    <xf numFmtId="0" fontId="9" fillId="0" borderId="10" xfId="2" applyFont="1" applyBorder="1" applyAlignment="1" applyProtection="1">
      <alignment horizontal="center" vertical="top" wrapText="1"/>
      <protection locked="0"/>
    </xf>
    <xf numFmtId="0" fontId="9" fillId="0" borderId="11" xfId="2" applyFont="1" applyBorder="1" applyAlignment="1" applyProtection="1">
      <alignment horizontal="center" vertical="top" wrapText="1"/>
      <protection locked="0"/>
    </xf>
    <xf numFmtId="0" fontId="9" fillId="0" borderId="22" xfId="2" applyFont="1" applyBorder="1" applyAlignment="1" applyProtection="1">
      <alignment horizontal="center" vertical="top" wrapText="1"/>
      <protection locked="0"/>
    </xf>
    <xf numFmtId="0" fontId="9" fillId="0" borderId="23" xfId="2" applyFont="1" applyBorder="1" applyAlignment="1" applyProtection="1">
      <alignment horizontal="center" vertical="top" wrapText="1"/>
      <protection locked="0"/>
    </xf>
    <xf numFmtId="9" fontId="9" fillId="3" borderId="10" xfId="2" applyNumberFormat="1" applyFont="1" applyFill="1" applyBorder="1" applyAlignment="1" applyProtection="1">
      <alignment horizontal="center" vertical="center" wrapText="1"/>
      <protection hidden="1"/>
    </xf>
    <xf numFmtId="9" fontId="9" fillId="3" borderId="23" xfId="2" applyNumberFormat="1" applyFont="1" applyFill="1" applyBorder="1" applyAlignment="1" applyProtection="1">
      <alignment horizontal="center" vertical="center" wrapText="1"/>
      <protection hidden="1"/>
    </xf>
    <xf numFmtId="9" fontId="9" fillId="3" borderId="11" xfId="2" applyNumberFormat="1" applyFont="1" applyFill="1" applyBorder="1" applyAlignment="1" applyProtection="1">
      <alignment horizontal="center" vertical="center" wrapText="1"/>
      <protection hidden="1"/>
    </xf>
    <xf numFmtId="9" fontId="9" fillId="3" borderId="31" xfId="2" applyNumberFormat="1" applyFont="1" applyFill="1" applyBorder="1" applyAlignment="1" applyProtection="1">
      <alignment horizontal="center" vertical="center" wrapText="1"/>
      <protection hidden="1"/>
    </xf>
    <xf numFmtId="0" fontId="9" fillId="0" borderId="9" xfId="2" applyFont="1" applyBorder="1" applyAlignment="1" applyProtection="1">
      <alignment horizontal="center" vertical="top"/>
      <protection locked="0"/>
    </xf>
    <xf numFmtId="0" fontId="9" fillId="0" borderId="10" xfId="2" applyFont="1" applyBorder="1" applyAlignment="1" applyProtection="1">
      <alignment horizontal="center" vertical="top"/>
      <protection locked="0"/>
    </xf>
    <xf numFmtId="0" fontId="32" fillId="8" borderId="17" xfId="0" applyFont="1" applyFill="1" applyBorder="1" applyAlignment="1">
      <alignment horizontal="center" vertical="top" wrapText="1"/>
    </xf>
    <xf numFmtId="0" fontId="32" fillId="8" borderId="18" xfId="0" applyFont="1" applyFill="1" applyBorder="1" applyAlignment="1">
      <alignment horizontal="center" vertical="top" wrapText="1"/>
    </xf>
    <xf numFmtId="0" fontId="27" fillId="4" borderId="9" xfId="2" applyFont="1" applyFill="1" applyBorder="1" applyAlignment="1" applyProtection="1">
      <alignment horizontal="center" vertical="top" wrapText="1"/>
      <protection locked="0"/>
    </xf>
    <xf numFmtId="0" fontId="27" fillId="4" borderId="10" xfId="2" applyFont="1" applyFill="1" applyBorder="1" applyAlignment="1" applyProtection="1">
      <alignment horizontal="left" wrapText="1"/>
      <protection locked="0"/>
    </xf>
    <xf numFmtId="0" fontId="16" fillId="0" borderId="0" xfId="0" applyFont="1" applyProtection="1">
      <protection hidden="1"/>
    </xf>
    <xf numFmtId="0" fontId="3" fillId="4" borderId="9"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27" fillId="4" borderId="9" xfId="0" applyFont="1" applyFill="1" applyBorder="1" applyAlignment="1">
      <alignment horizontal="center" vertical="top"/>
    </xf>
    <xf numFmtId="0" fontId="37" fillId="7" borderId="9" xfId="2" applyFont="1" applyFill="1" applyBorder="1" applyAlignment="1" applyProtection="1">
      <alignment horizontal="center" vertical="center" wrapText="1"/>
      <protection locked="0"/>
    </xf>
    <xf numFmtId="0" fontId="37" fillId="7" borderId="10" xfId="0" applyFont="1" applyFill="1" applyBorder="1" applyAlignment="1">
      <alignment horizontal="center" vertical="center" wrapText="1"/>
    </xf>
    <xf numFmtId="0" fontId="37" fillId="7" borderId="10" xfId="2" applyFont="1" applyFill="1" applyBorder="1" applyAlignment="1" applyProtection="1">
      <alignment horizontal="center" vertical="center" wrapText="1"/>
      <protection locked="0"/>
    </xf>
    <xf numFmtId="0" fontId="37" fillId="7" borderId="10" xfId="2" applyFont="1" applyFill="1" applyBorder="1" applyAlignment="1" applyProtection="1">
      <alignment horizontal="center" vertical="center" wrapText="1"/>
      <protection locked="0"/>
    </xf>
    <xf numFmtId="0" fontId="16" fillId="0" borderId="0" xfId="0" applyFont="1" applyAlignment="1" applyProtection="1">
      <alignment vertical="center"/>
      <protection hidden="1"/>
    </xf>
    <xf numFmtId="0" fontId="38" fillId="0" borderId="2" xfId="2" applyFont="1" applyBorder="1" applyAlignment="1">
      <alignment vertical="center"/>
    </xf>
    <xf numFmtId="0" fontId="15" fillId="0" borderId="0" xfId="0" applyFont="1" applyAlignment="1">
      <alignment vertical="center"/>
    </xf>
    <xf numFmtId="0" fontId="3" fillId="4" borderId="9" xfId="2" applyFont="1" applyFill="1" applyBorder="1" applyAlignment="1" applyProtection="1">
      <alignment horizontal="center" vertical="top" wrapText="1"/>
      <protection locked="0"/>
    </xf>
    <xf numFmtId="9" fontId="3" fillId="4" borderId="10" xfId="2" applyNumberFormat="1" applyFont="1" applyFill="1" applyBorder="1" applyAlignment="1" applyProtection="1">
      <alignment horizontal="center" vertical="center" wrapText="1"/>
      <protection hidden="1"/>
    </xf>
    <xf numFmtId="0" fontId="3" fillId="4" borderId="22" xfId="2" applyFont="1" applyFill="1" applyBorder="1" applyAlignment="1" applyProtection="1">
      <alignment horizontal="center" vertical="top" wrapText="1"/>
      <protection locked="0"/>
    </xf>
    <xf numFmtId="9" fontId="3" fillId="4" borderId="23" xfId="0" applyNumberFormat="1" applyFont="1" applyFill="1" applyBorder="1" applyAlignment="1">
      <alignment horizontal="center" vertical="center"/>
    </xf>
    <xf numFmtId="0" fontId="3" fillId="4" borderId="23" xfId="2" applyFont="1" applyFill="1" applyBorder="1" applyAlignment="1" applyProtection="1">
      <alignment horizontal="center" wrapText="1"/>
      <protection locked="0"/>
    </xf>
    <xf numFmtId="9" fontId="3" fillId="4" borderId="23" xfId="2" applyNumberFormat="1" applyFont="1" applyFill="1" applyBorder="1" applyAlignment="1" applyProtection="1">
      <alignment horizontal="center" vertical="center" wrapText="1"/>
      <protection hidden="1"/>
    </xf>
    <xf numFmtId="9" fontId="3" fillId="4" borderId="23" xfId="2" applyNumberFormat="1" applyFont="1" applyFill="1" applyBorder="1" applyAlignment="1" applyProtection="1">
      <alignment horizontal="center" vertical="center" wrapText="1"/>
      <protection hidden="1"/>
    </xf>
  </cellXfs>
  <cellStyles count="5">
    <cellStyle name="Excel Built-in Normal" xfId="3"/>
    <cellStyle name="Hyperlink" xfId="4"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525971</xdr:colOff>
      <xdr:row>351</xdr:row>
      <xdr:rowOff>94254</xdr:rowOff>
    </xdr:from>
    <xdr:to>
      <xdr:col>4</xdr:col>
      <xdr:colOff>362653</xdr:colOff>
      <xdr:row>368</xdr:row>
      <xdr:rowOff>95754</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837490" y="67707100"/>
          <a:ext cx="3185086" cy="3240000"/>
        </a:xfrm>
        <a:prstGeom prst="rect">
          <a:avLst/>
        </a:prstGeom>
        <a:ln>
          <a:solidFill>
            <a:schemeClr val="tx1"/>
          </a:solidFill>
        </a:ln>
      </xdr:spPr>
    </xdr:pic>
    <xdr:clientData/>
  </xdr:twoCellAnchor>
  <xdr:twoCellAnchor editAs="oneCell">
    <xdr:from>
      <xdr:col>0</xdr:col>
      <xdr:colOff>1069739</xdr:colOff>
      <xdr:row>332</xdr:row>
      <xdr:rowOff>14654</xdr:rowOff>
    </xdr:from>
    <xdr:to>
      <xdr:col>5</xdr:col>
      <xdr:colOff>111963</xdr:colOff>
      <xdr:row>350</xdr:row>
      <xdr:rowOff>185654</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69739" y="64008000"/>
          <a:ext cx="4720589" cy="3600000"/>
        </a:xfrm>
        <a:prstGeom prst="rect">
          <a:avLst/>
        </a:prstGeom>
        <a:ln>
          <a:solidFill>
            <a:schemeClr val="tx1"/>
          </a:solidFill>
        </a:ln>
      </xdr:spPr>
    </xdr:pic>
    <xdr:clientData/>
  </xdr:twoCellAnchor>
  <xdr:twoCellAnchor editAs="oneCell">
    <xdr:from>
      <xdr:col>0</xdr:col>
      <xdr:colOff>776660</xdr:colOff>
      <xdr:row>390</xdr:row>
      <xdr:rowOff>68268</xdr:rowOff>
    </xdr:from>
    <xdr:to>
      <xdr:col>5</xdr:col>
      <xdr:colOff>495796</xdr:colOff>
      <xdr:row>409</xdr:row>
      <xdr:rowOff>119068</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76660" y="75110614"/>
          <a:ext cx="5397501" cy="3670300"/>
        </a:xfrm>
        <a:prstGeom prst="rect">
          <a:avLst/>
        </a:prstGeom>
        <a:ln>
          <a:solidFill>
            <a:schemeClr val="tx1"/>
          </a:solidFill>
        </a:ln>
      </xdr:spPr>
    </xdr:pic>
    <xdr:clientData/>
  </xdr:twoCellAnchor>
  <xdr:twoCellAnchor editAs="oneCell">
    <xdr:from>
      <xdr:col>0</xdr:col>
      <xdr:colOff>955410</xdr:colOff>
      <xdr:row>379</xdr:row>
      <xdr:rowOff>21981</xdr:rowOff>
    </xdr:from>
    <xdr:to>
      <xdr:col>5</xdr:col>
      <xdr:colOff>317045</xdr:colOff>
      <xdr:row>389</xdr:row>
      <xdr:rowOff>89155</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955410" y="72968827"/>
          <a:ext cx="5040000" cy="1972174"/>
        </a:xfrm>
        <a:prstGeom prst="rect">
          <a:avLst/>
        </a:prstGeom>
        <a:ln>
          <a:solidFill>
            <a:schemeClr val="tx1"/>
          </a:solidFill>
        </a:ln>
      </xdr:spPr>
    </xdr:pic>
    <xdr:clientData/>
  </xdr:twoCellAnchor>
  <xdr:oneCellAnchor>
    <xdr:from>
      <xdr:col>4</xdr:col>
      <xdr:colOff>381001</xdr:colOff>
      <xdr:row>399</xdr:row>
      <xdr:rowOff>168518</xdr:rowOff>
    </xdr:from>
    <xdr:ext cx="629083" cy="264560"/>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5040924" y="76925364"/>
          <a:ext cx="629083"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solidFill>
                <a:srgbClr val="FF0000"/>
              </a:solidFill>
            </a:rPr>
            <a:t>WING 1</a:t>
          </a:r>
        </a:p>
      </xdr:txBody>
    </xdr:sp>
    <xdr:clientData/>
  </xdr:oneCellAnchor>
  <xdr:oneCellAnchor>
    <xdr:from>
      <xdr:col>2</xdr:col>
      <xdr:colOff>615467</xdr:colOff>
      <xdr:row>402</xdr:row>
      <xdr:rowOff>46287</xdr:rowOff>
    </xdr:from>
    <xdr:ext cx="629083" cy="264560"/>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3091967" y="77374633"/>
          <a:ext cx="629083"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solidFill>
                <a:srgbClr val="FF0000"/>
              </a:solidFill>
            </a:rPr>
            <a:t>WING 2</a:t>
          </a:r>
        </a:p>
      </xdr:txBody>
    </xdr:sp>
    <xdr:clientData/>
  </xdr:oneCellAnchor>
  <xdr:twoCellAnchor>
    <xdr:from>
      <xdr:col>3</xdr:col>
      <xdr:colOff>322385</xdr:colOff>
      <xdr:row>401</xdr:row>
      <xdr:rowOff>14654</xdr:rowOff>
    </xdr:from>
    <xdr:to>
      <xdr:col>3</xdr:col>
      <xdr:colOff>652096</xdr:colOff>
      <xdr:row>402</xdr:row>
      <xdr:rowOff>146539</xdr:rowOff>
    </xdr:to>
    <xdr:cxnSp macro="">
      <xdr:nvCxnSpPr>
        <xdr:cNvPr id="18" name="Straight Arrow Connector 17">
          <a:extLst>
            <a:ext uri="{FF2B5EF4-FFF2-40B4-BE49-F238E27FC236}">
              <a16:creationId xmlns:a16="http://schemas.microsoft.com/office/drawing/2014/main" xmlns="" id="{00000000-0008-0000-0000-000012000000}"/>
            </a:ext>
          </a:extLst>
        </xdr:cNvPr>
        <xdr:cNvCxnSpPr/>
      </xdr:nvCxnSpPr>
      <xdr:spPr>
        <a:xfrm flipV="1">
          <a:off x="3744058" y="77152500"/>
          <a:ext cx="329711" cy="32238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1113692</xdr:colOff>
      <xdr:row>400</xdr:row>
      <xdr:rowOff>110298</xdr:rowOff>
    </xdr:from>
    <xdr:to>
      <xdr:col>4</xdr:col>
      <xdr:colOff>381001</xdr:colOff>
      <xdr:row>401</xdr:row>
      <xdr:rowOff>117231</xdr:rowOff>
    </xdr:to>
    <xdr:cxnSp macro="">
      <xdr:nvCxnSpPr>
        <xdr:cNvPr id="20" name="Straight Arrow Connector 19">
          <a:extLst>
            <a:ext uri="{FF2B5EF4-FFF2-40B4-BE49-F238E27FC236}">
              <a16:creationId xmlns:a16="http://schemas.microsoft.com/office/drawing/2014/main" xmlns="" id="{00000000-0008-0000-0000-000014000000}"/>
            </a:ext>
          </a:extLst>
        </xdr:cNvPr>
        <xdr:cNvCxnSpPr>
          <a:stCxn id="14" idx="1"/>
        </xdr:cNvCxnSpPr>
      </xdr:nvCxnSpPr>
      <xdr:spPr>
        <a:xfrm flipH="1">
          <a:off x="4535365" y="77057644"/>
          <a:ext cx="505559" cy="19743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98535</xdr:colOff>
      <xdr:row>25</xdr:row>
      <xdr:rowOff>170792</xdr:rowOff>
    </xdr:from>
    <xdr:to>
      <xdr:col>8</xdr:col>
      <xdr:colOff>987506</xdr:colOff>
      <xdr:row>28</xdr:row>
      <xdr:rowOff>68378</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463863" y="5616464"/>
          <a:ext cx="2110798" cy="1080000"/>
        </a:xfrm>
        <a:prstGeom prst="rect">
          <a:avLst/>
        </a:prstGeom>
      </xdr:spPr>
    </xdr:pic>
    <xdr:clientData/>
  </xdr:twoCellAnchor>
  <xdr:twoCellAnchor editAs="oneCell">
    <xdr:from>
      <xdr:col>6</xdr:col>
      <xdr:colOff>95250</xdr:colOff>
      <xdr:row>94</xdr:row>
      <xdr:rowOff>498230</xdr:rowOff>
    </xdr:from>
    <xdr:to>
      <xdr:col>8</xdr:col>
      <xdr:colOff>582058</xdr:colOff>
      <xdr:row>97</xdr:row>
      <xdr:rowOff>122365</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462346" y="26332961"/>
          <a:ext cx="1703077" cy="540000"/>
        </a:xfrm>
        <a:prstGeom prst="rect">
          <a:avLst/>
        </a:prstGeom>
      </xdr:spPr>
    </xdr:pic>
    <xdr:clientData/>
  </xdr:twoCellAnchor>
  <xdr:twoCellAnchor editAs="oneCell">
    <xdr:from>
      <xdr:col>6</xdr:col>
      <xdr:colOff>55980</xdr:colOff>
      <xdr:row>15</xdr:row>
      <xdr:rowOff>62834</xdr:rowOff>
    </xdr:from>
    <xdr:to>
      <xdr:col>8</xdr:col>
      <xdr:colOff>1410731</xdr:colOff>
      <xdr:row>18</xdr:row>
      <xdr:rowOff>31334</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421308" y="3334179"/>
          <a:ext cx="2576578" cy="540000"/>
        </a:xfrm>
        <a:prstGeom prst="rect">
          <a:avLst/>
        </a:prstGeom>
      </xdr:spPr>
    </xdr:pic>
    <xdr:clientData/>
  </xdr:twoCellAnchor>
  <xdr:twoCellAnchor>
    <xdr:from>
      <xdr:col>3</xdr:col>
      <xdr:colOff>902804</xdr:colOff>
      <xdr:row>346</xdr:row>
      <xdr:rowOff>57978</xdr:rowOff>
    </xdr:from>
    <xdr:to>
      <xdr:col>4</xdr:col>
      <xdr:colOff>389283</xdr:colOff>
      <xdr:row>348</xdr:row>
      <xdr:rowOff>132522</xdr:rowOff>
    </xdr:to>
    <xdr:sp macro="" textlink="">
      <xdr:nvSpPr>
        <xdr:cNvPr id="21" name="Rectangle 20">
          <a:extLst>
            <a:ext uri="{FF2B5EF4-FFF2-40B4-BE49-F238E27FC236}">
              <a16:creationId xmlns:a16="http://schemas.microsoft.com/office/drawing/2014/main" xmlns="" id="{00000000-0008-0000-0000-000015000000}"/>
            </a:ext>
          </a:extLst>
        </xdr:cNvPr>
        <xdr:cNvSpPr/>
      </xdr:nvSpPr>
      <xdr:spPr>
        <a:xfrm>
          <a:off x="4083326" y="65208978"/>
          <a:ext cx="637761" cy="455544"/>
        </a:xfrm>
        <a:prstGeom prst="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6</xdr:col>
      <xdr:colOff>98536</xdr:colOff>
      <xdr:row>58</xdr:row>
      <xdr:rowOff>26276</xdr:rowOff>
    </xdr:from>
    <xdr:to>
      <xdr:col>8</xdr:col>
      <xdr:colOff>144012</xdr:colOff>
      <xdr:row>66</xdr:row>
      <xdr:rowOff>104</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463864" y="12947431"/>
          <a:ext cx="1267303" cy="1800000"/>
        </a:xfrm>
        <a:prstGeom prst="rect">
          <a:avLst/>
        </a:prstGeom>
      </xdr:spPr>
    </xdr:pic>
    <xdr:clientData/>
  </xdr:twoCellAnchor>
  <xdr:twoCellAnchor>
    <xdr:from>
      <xdr:col>3</xdr:col>
      <xdr:colOff>1064174</xdr:colOff>
      <xdr:row>345</xdr:row>
      <xdr:rowOff>39413</xdr:rowOff>
    </xdr:from>
    <xdr:to>
      <xdr:col>4</xdr:col>
      <xdr:colOff>400708</xdr:colOff>
      <xdr:row>346</xdr:row>
      <xdr:rowOff>19706</xdr:rowOff>
    </xdr:to>
    <xdr:sp macro="" textlink="">
      <xdr:nvSpPr>
        <xdr:cNvPr id="23" name="TextBox 22">
          <a:extLst>
            <a:ext uri="{FF2B5EF4-FFF2-40B4-BE49-F238E27FC236}">
              <a16:creationId xmlns:a16="http://schemas.microsoft.com/office/drawing/2014/main" xmlns="" id="{00000000-0008-0000-0000-000017000000}"/>
            </a:ext>
          </a:extLst>
        </xdr:cNvPr>
        <xdr:cNvSpPr txBox="1"/>
      </xdr:nvSpPr>
      <xdr:spPr>
        <a:xfrm>
          <a:off x="4243553" y="65348068"/>
          <a:ext cx="486103" cy="170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800" b="1"/>
            <a:t>Wing 1</a:t>
          </a:r>
        </a:p>
      </xdr:txBody>
    </xdr:sp>
    <xdr:clientData/>
  </xdr:twoCellAnchor>
  <xdr:twoCellAnchor editAs="oneCell">
    <xdr:from>
      <xdr:col>6</xdr:col>
      <xdr:colOff>228600</xdr:colOff>
      <xdr:row>85</xdr:row>
      <xdr:rowOff>19050</xdr:rowOff>
    </xdr:from>
    <xdr:to>
      <xdr:col>13</xdr:col>
      <xdr:colOff>399375</xdr:colOff>
      <xdr:row>85</xdr:row>
      <xdr:rowOff>2505287</xdr:rowOff>
    </xdr:to>
    <xdr:pic>
      <xdr:nvPicPr>
        <xdr:cNvPr id="3" name="Picture 2">
          <a:extLst>
            <a:ext uri="{FF2B5EF4-FFF2-40B4-BE49-F238E27FC236}">
              <a16:creationId xmlns:a16="http://schemas.microsoft.com/office/drawing/2014/main" xmlns="" id="{FCA89F7F-3A15-4DB2-9DDF-92F9FF7427E1}"/>
            </a:ext>
          </a:extLst>
        </xdr:cNvPr>
        <xdr:cNvPicPr>
          <a:picLocks noChangeAspect="1"/>
        </xdr:cNvPicPr>
      </xdr:nvPicPr>
      <xdr:blipFill>
        <a:blip xmlns:r="http://schemas.openxmlformats.org/officeDocument/2006/relationships" r:embed="rId9"/>
        <a:stretch>
          <a:fillRect/>
        </a:stretch>
      </xdr:blipFill>
      <xdr:spPr>
        <a:xfrm>
          <a:off x="6600825" y="21126450"/>
          <a:ext cx="5400000" cy="2486237"/>
        </a:xfrm>
        <a:prstGeom prst="rect">
          <a:avLst/>
        </a:prstGeom>
      </xdr:spPr>
    </xdr:pic>
    <xdr:clientData/>
  </xdr:twoCellAnchor>
  <xdr:twoCellAnchor editAs="oneCell">
    <xdr:from>
      <xdr:col>6</xdr:col>
      <xdr:colOff>171450</xdr:colOff>
      <xdr:row>86</xdr:row>
      <xdr:rowOff>76200</xdr:rowOff>
    </xdr:from>
    <xdr:to>
      <xdr:col>13</xdr:col>
      <xdr:colOff>342225</xdr:colOff>
      <xdr:row>87</xdr:row>
      <xdr:rowOff>2263723</xdr:rowOff>
    </xdr:to>
    <xdr:pic>
      <xdr:nvPicPr>
        <xdr:cNvPr id="4" name="Picture 3">
          <a:extLst>
            <a:ext uri="{FF2B5EF4-FFF2-40B4-BE49-F238E27FC236}">
              <a16:creationId xmlns:a16="http://schemas.microsoft.com/office/drawing/2014/main" xmlns="" id="{6D08659E-75A5-4C01-B286-D78936257E8E}"/>
            </a:ext>
          </a:extLst>
        </xdr:cNvPr>
        <xdr:cNvPicPr>
          <a:picLocks noChangeAspect="1"/>
        </xdr:cNvPicPr>
      </xdr:nvPicPr>
      <xdr:blipFill>
        <a:blip xmlns:r="http://schemas.openxmlformats.org/officeDocument/2006/relationships" r:embed="rId10"/>
        <a:stretch>
          <a:fillRect/>
        </a:stretch>
      </xdr:blipFill>
      <xdr:spPr>
        <a:xfrm>
          <a:off x="6543675" y="24336375"/>
          <a:ext cx="5400000" cy="2778073"/>
        </a:xfrm>
        <a:prstGeom prst="rect">
          <a:avLst/>
        </a:prstGeom>
      </xdr:spPr>
    </xdr:pic>
    <xdr:clientData/>
  </xdr:twoCellAnchor>
  <xdr:twoCellAnchor>
    <xdr:from>
      <xdr:col>0</xdr:col>
      <xdr:colOff>323850</xdr:colOff>
      <xdr:row>275</xdr:row>
      <xdr:rowOff>114299</xdr:rowOff>
    </xdr:from>
    <xdr:to>
      <xdr:col>5</xdr:col>
      <xdr:colOff>905270</xdr:colOff>
      <xdr:row>302</xdr:row>
      <xdr:rowOff>114300</xdr:rowOff>
    </xdr:to>
    <xdr:grpSp>
      <xdr:nvGrpSpPr>
        <xdr:cNvPr id="6" name="Group 5"/>
        <xdr:cNvGrpSpPr/>
      </xdr:nvGrpSpPr>
      <xdr:grpSpPr>
        <a:xfrm>
          <a:off x="323850" y="58572951"/>
          <a:ext cx="5865724" cy="5143501"/>
          <a:chOff x="323850" y="58578749"/>
          <a:chExt cx="5867795" cy="5143501"/>
        </a:xfrm>
      </xdr:grpSpPr>
      <xdr:grpSp>
        <xdr:nvGrpSpPr>
          <xdr:cNvPr id="5" name="Group 4"/>
          <xdr:cNvGrpSpPr/>
        </xdr:nvGrpSpPr>
        <xdr:grpSpPr>
          <a:xfrm>
            <a:off x="323850" y="58578749"/>
            <a:ext cx="5867795" cy="5143501"/>
            <a:chOff x="114300" y="58521599"/>
            <a:chExt cx="5867795" cy="5143501"/>
          </a:xfrm>
        </xdr:grpSpPr>
        <xdr:pic>
          <xdr:nvPicPr>
            <xdr:cNvPr id="36" name="Picture 35" descr="https://vsjcllp.vsjadon.com/upload/insp-248686-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076700" y="61160024"/>
              <a:ext cx="1905395"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8686-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14300" y="58521600"/>
              <a:ext cx="3853608" cy="5143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8686-93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067175" y="58521599"/>
              <a:ext cx="1905395" cy="25431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2" name="TextBox 59">
            <a:extLst>
              <a:ext uri="{FF2B5EF4-FFF2-40B4-BE49-F238E27FC236}">
                <a16:creationId xmlns:a16="http://schemas.microsoft.com/office/drawing/2014/main" xmlns="" id="{CC2B383B-2491-43C8-91A2-BEBE91D61440}"/>
              </a:ext>
            </a:extLst>
          </xdr:cNvPr>
          <xdr:cNvSpPr txBox="1"/>
        </xdr:nvSpPr>
        <xdr:spPr>
          <a:xfrm>
            <a:off x="866775" y="59969399"/>
            <a:ext cx="938334"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Tower 2</a:t>
            </a:r>
            <a:endParaRPr lang="en-IN" b="1">
              <a:solidFill>
                <a:sysClr val="windowText" lastClr="000000"/>
              </a:solidFill>
            </a:endParaRPr>
          </a:p>
        </xdr:txBody>
      </xdr:sp>
      <xdr:sp macro="" textlink="">
        <xdr:nvSpPr>
          <xdr:cNvPr id="44" name="TextBox 59">
            <a:extLst>
              <a:ext uri="{FF2B5EF4-FFF2-40B4-BE49-F238E27FC236}">
                <a16:creationId xmlns:a16="http://schemas.microsoft.com/office/drawing/2014/main" xmlns="" id="{CC2B383B-2491-43C8-91A2-BEBE91D61440}"/>
              </a:ext>
            </a:extLst>
          </xdr:cNvPr>
          <xdr:cNvSpPr txBox="1"/>
        </xdr:nvSpPr>
        <xdr:spPr>
          <a:xfrm>
            <a:off x="2276475" y="58874024"/>
            <a:ext cx="938334"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Tower 1</a:t>
            </a:r>
            <a:endParaRPr lang="en-IN"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400050</xdr:colOff>
      <xdr:row>122</xdr:row>
      <xdr:rowOff>152400</xdr:rowOff>
    </xdr:from>
    <xdr:to>
      <xdr:col>20</xdr:col>
      <xdr:colOff>351669</xdr:colOff>
      <xdr:row>147</xdr:row>
      <xdr:rowOff>142281</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496050" y="23745825"/>
          <a:ext cx="6047619" cy="4752381"/>
        </a:xfrm>
        <a:prstGeom prst="rect">
          <a:avLst/>
        </a:prstGeom>
      </xdr:spPr>
    </xdr:pic>
    <xdr:clientData/>
  </xdr:twoCellAnchor>
  <xdr:twoCellAnchor>
    <xdr:from>
      <xdr:col>11</xdr:col>
      <xdr:colOff>209550</xdr:colOff>
      <xdr:row>125</xdr:row>
      <xdr:rowOff>142875</xdr:rowOff>
    </xdr:from>
    <xdr:to>
      <xdr:col>20</xdr:col>
      <xdr:colOff>361950</xdr:colOff>
      <xdr:row>126</xdr:row>
      <xdr:rowOff>104775</xdr:rowOff>
    </xdr:to>
    <xdr:sp macro="" textlink="">
      <xdr:nvSpPr>
        <xdr:cNvPr id="3" name="Rectangle 2">
          <a:extLst>
            <a:ext uri="{FF2B5EF4-FFF2-40B4-BE49-F238E27FC236}">
              <a16:creationId xmlns:a16="http://schemas.microsoft.com/office/drawing/2014/main" xmlns="" id="{00000000-0008-0000-0100-000003000000}"/>
            </a:ext>
          </a:extLst>
        </xdr:cNvPr>
        <xdr:cNvSpPr/>
      </xdr:nvSpPr>
      <xdr:spPr>
        <a:xfrm>
          <a:off x="6915150" y="24307800"/>
          <a:ext cx="5638800" cy="152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10</xdr:col>
      <xdr:colOff>390525</xdr:colOff>
      <xdr:row>144</xdr:row>
      <xdr:rowOff>9525</xdr:rowOff>
    </xdr:from>
    <xdr:to>
      <xdr:col>20</xdr:col>
      <xdr:colOff>371475</xdr:colOff>
      <xdr:row>144</xdr:row>
      <xdr:rowOff>133350</xdr:rowOff>
    </xdr:to>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6486525" y="27793950"/>
          <a:ext cx="6076950" cy="123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21</xdr:col>
      <xdr:colOff>123825</xdr:colOff>
      <xdr:row>119</xdr:row>
      <xdr:rowOff>57150</xdr:rowOff>
    </xdr:from>
    <xdr:to>
      <xdr:col>23</xdr:col>
      <xdr:colOff>390339</xdr:colOff>
      <xdr:row>140</xdr:row>
      <xdr:rowOff>85221</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12925425" y="23079075"/>
          <a:ext cx="1485714" cy="4028571"/>
        </a:xfrm>
        <a:prstGeom prst="rect">
          <a:avLst/>
        </a:prstGeom>
      </xdr:spPr>
    </xdr:pic>
    <xdr:clientData/>
  </xdr:twoCellAnchor>
  <xdr:twoCellAnchor>
    <xdr:from>
      <xdr:col>21</xdr:col>
      <xdr:colOff>133350</xdr:colOff>
      <xdr:row>139</xdr:row>
      <xdr:rowOff>133350</xdr:rowOff>
    </xdr:from>
    <xdr:to>
      <xdr:col>23</xdr:col>
      <xdr:colOff>333375</xdr:colOff>
      <xdr:row>140</xdr:row>
      <xdr:rowOff>66675</xdr:rowOff>
    </xdr:to>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2934950" y="26965275"/>
          <a:ext cx="1419225" cy="123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11</xdr:col>
      <xdr:colOff>335056</xdr:colOff>
      <xdr:row>110</xdr:row>
      <xdr:rowOff>62753</xdr:rowOff>
    </xdr:from>
    <xdr:to>
      <xdr:col>19</xdr:col>
      <xdr:colOff>410637</xdr:colOff>
      <xdr:row>121</xdr:row>
      <xdr:rowOff>75924</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3"/>
        <a:stretch>
          <a:fillRect/>
        </a:stretch>
      </xdr:blipFill>
      <xdr:spPr>
        <a:xfrm>
          <a:off x="6991350" y="21297900"/>
          <a:ext cx="4916522" cy="2209524"/>
        </a:xfrm>
        <a:prstGeom prst="rect">
          <a:avLst/>
        </a:prstGeom>
      </xdr:spPr>
    </xdr:pic>
    <xdr:clientData/>
  </xdr:twoCellAnchor>
  <xdr:twoCellAnchor>
    <xdr:from>
      <xdr:col>11</xdr:col>
      <xdr:colOff>353785</xdr:colOff>
      <xdr:row>120</xdr:row>
      <xdr:rowOff>40822</xdr:rowOff>
    </xdr:from>
    <xdr:to>
      <xdr:col>19</xdr:col>
      <xdr:colOff>353786</xdr:colOff>
      <xdr:row>121</xdr:row>
      <xdr:rowOff>13606</xdr:rowOff>
    </xdr:to>
    <xdr:sp macro="" textlink="">
      <xdr:nvSpPr>
        <xdr:cNvPr id="8" name="Rectangle 7">
          <a:extLst>
            <a:ext uri="{FF2B5EF4-FFF2-40B4-BE49-F238E27FC236}">
              <a16:creationId xmlns:a16="http://schemas.microsoft.com/office/drawing/2014/main" xmlns="" id="{00000000-0008-0000-0100-000008000000}"/>
            </a:ext>
          </a:extLst>
        </xdr:cNvPr>
        <xdr:cNvSpPr/>
      </xdr:nvSpPr>
      <xdr:spPr>
        <a:xfrm>
          <a:off x="7089321" y="23295429"/>
          <a:ext cx="4898572" cy="1632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11</xdr:col>
      <xdr:colOff>326571</xdr:colOff>
      <xdr:row>128</xdr:row>
      <xdr:rowOff>0</xdr:rowOff>
    </xdr:from>
    <xdr:to>
      <xdr:col>20</xdr:col>
      <xdr:colOff>394607</xdr:colOff>
      <xdr:row>128</xdr:row>
      <xdr:rowOff>163286</xdr:rowOff>
    </xdr:to>
    <xdr:sp macro="" textlink="">
      <xdr:nvSpPr>
        <xdr:cNvPr id="9" name="Rectangle 8">
          <a:extLst>
            <a:ext uri="{FF2B5EF4-FFF2-40B4-BE49-F238E27FC236}">
              <a16:creationId xmlns:a16="http://schemas.microsoft.com/office/drawing/2014/main" xmlns="" id="{00000000-0008-0000-0100-000009000000}"/>
            </a:ext>
          </a:extLst>
        </xdr:cNvPr>
        <xdr:cNvSpPr/>
      </xdr:nvSpPr>
      <xdr:spPr>
        <a:xfrm>
          <a:off x="7062107" y="24778607"/>
          <a:ext cx="5578929" cy="1632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3</xdr:col>
      <xdr:colOff>13607</xdr:colOff>
      <xdr:row>131</xdr:row>
      <xdr:rowOff>13607</xdr:rowOff>
    </xdr:from>
    <xdr:to>
      <xdr:col>7</xdr:col>
      <xdr:colOff>69083</xdr:colOff>
      <xdr:row>142</xdr:row>
      <xdr:rowOff>156202</xdr:rowOff>
    </xdr:to>
    <xdr:pic>
      <xdr:nvPicPr>
        <xdr:cNvPr id="10" name="Picture 9">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4"/>
        <a:stretch>
          <a:fillRect/>
        </a:stretch>
      </xdr:blipFill>
      <xdr:spPr>
        <a:xfrm>
          <a:off x="1850571" y="25363714"/>
          <a:ext cx="2504762" cy="2238095"/>
        </a:xfrm>
        <a:prstGeom prst="rect">
          <a:avLst/>
        </a:prstGeom>
      </xdr:spPr>
    </xdr:pic>
    <xdr:clientData/>
  </xdr:twoCellAnchor>
  <xdr:twoCellAnchor>
    <xdr:from>
      <xdr:col>3</xdr:col>
      <xdr:colOff>136072</xdr:colOff>
      <xdr:row>140</xdr:row>
      <xdr:rowOff>136072</xdr:rowOff>
    </xdr:from>
    <xdr:to>
      <xdr:col>6</xdr:col>
      <xdr:colOff>544285</xdr:colOff>
      <xdr:row>141</xdr:row>
      <xdr:rowOff>108857</xdr:rowOff>
    </xdr:to>
    <xdr:sp macro="" textlink="">
      <xdr:nvSpPr>
        <xdr:cNvPr id="11" name="Rectangle 10">
          <a:extLst>
            <a:ext uri="{FF2B5EF4-FFF2-40B4-BE49-F238E27FC236}">
              <a16:creationId xmlns:a16="http://schemas.microsoft.com/office/drawing/2014/main" xmlns="" id="{00000000-0008-0000-0100-00000B000000}"/>
            </a:ext>
          </a:extLst>
        </xdr:cNvPr>
        <xdr:cNvSpPr/>
      </xdr:nvSpPr>
      <xdr:spPr>
        <a:xfrm>
          <a:off x="1973036" y="27200679"/>
          <a:ext cx="2245178" cy="1632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231321</xdr:colOff>
      <xdr:row>147</xdr:row>
      <xdr:rowOff>54429</xdr:rowOff>
    </xdr:from>
    <xdr:to>
      <xdr:col>12</xdr:col>
      <xdr:colOff>550131</xdr:colOff>
      <xdr:row>155</xdr:row>
      <xdr:rowOff>130429</xdr:rowOff>
    </xdr:to>
    <xdr:pic>
      <xdr:nvPicPr>
        <xdr:cNvPr id="12" name="Picture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5"/>
        <a:stretch>
          <a:fillRect/>
        </a:stretch>
      </xdr:blipFill>
      <xdr:spPr>
        <a:xfrm>
          <a:off x="231321" y="28452536"/>
          <a:ext cx="7666667" cy="1600000"/>
        </a:xfrm>
        <a:prstGeom prst="rect">
          <a:avLst/>
        </a:prstGeom>
      </xdr:spPr>
    </xdr:pic>
    <xdr:clientData/>
  </xdr:twoCellAnchor>
  <xdr:twoCellAnchor editAs="oneCell">
    <xdr:from>
      <xdr:col>13</xdr:col>
      <xdr:colOff>408214</xdr:colOff>
      <xdr:row>149</xdr:row>
      <xdr:rowOff>68036</xdr:rowOff>
    </xdr:from>
    <xdr:to>
      <xdr:col>26</xdr:col>
      <xdr:colOff>448036</xdr:colOff>
      <xdr:row>176</xdr:row>
      <xdr:rowOff>57869</xdr:rowOff>
    </xdr:to>
    <xdr:pic>
      <xdr:nvPicPr>
        <xdr:cNvPr id="13" name="Picture 12">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6"/>
        <a:stretch>
          <a:fillRect/>
        </a:stretch>
      </xdr:blipFill>
      <xdr:spPr>
        <a:xfrm>
          <a:off x="8368393" y="28847143"/>
          <a:ext cx="8000000" cy="51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goo.gl/maps/qj86jxEdQAhWtvfY9" TargetMode="External"/><Relationship Id="rId1" Type="http://schemas.openxmlformats.org/officeDocument/2006/relationships/hyperlink" Target="mailto:vsjc.apf@gmail.com"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19"/>
  <sheetViews>
    <sheetView tabSelected="1" showWhiteSpace="0" view="pageBreakPreview" zoomScale="115" zoomScaleNormal="100" zoomScaleSheetLayoutView="115" zoomScalePageLayoutView="145" workbookViewId="0">
      <selection activeCell="I7" sqref="I7"/>
    </sheetView>
  </sheetViews>
  <sheetFormatPr defaultRowHeight="15" x14ac:dyDescent="0.25"/>
  <cols>
    <col min="1" max="1" width="18.28515625" style="52" customWidth="1"/>
    <col min="2" max="2" width="16.28515625" customWidth="1"/>
    <col min="3" max="3" width="13.140625" style="114" customWidth="1"/>
    <col min="4" max="4" width="17.28515625" customWidth="1"/>
    <col min="5" max="5" width="14.28515625" customWidth="1"/>
    <col min="6" max="6" width="16.28515625" customWidth="1"/>
    <col min="8" max="8" width="9.140625" customWidth="1"/>
    <col min="9" max="9" width="23.5703125" customWidth="1"/>
  </cols>
  <sheetData>
    <row r="1" spans="1:12" x14ac:dyDescent="0.25">
      <c r="A1" s="307" t="s">
        <v>0</v>
      </c>
      <c r="B1" s="308"/>
      <c r="C1" s="308"/>
      <c r="D1" s="308"/>
      <c r="E1" s="308"/>
      <c r="F1" s="309"/>
      <c r="G1" s="60"/>
      <c r="H1" s="60"/>
      <c r="I1" s="60"/>
      <c r="J1" s="60"/>
      <c r="K1" s="60"/>
      <c r="L1" s="60"/>
    </row>
    <row r="2" spans="1:12" ht="30" customHeight="1" x14ac:dyDescent="0.25">
      <c r="A2" s="156" t="s">
        <v>68</v>
      </c>
      <c r="B2" s="310" t="s">
        <v>337</v>
      </c>
      <c r="C2" s="310"/>
      <c r="D2" s="310"/>
      <c r="E2" s="157" t="s">
        <v>1</v>
      </c>
      <c r="F2" s="158" t="s">
        <v>284</v>
      </c>
      <c r="G2" s="60"/>
      <c r="H2" s="60"/>
      <c r="I2" s="60"/>
      <c r="J2" s="60"/>
      <c r="K2" s="60"/>
      <c r="L2" s="60"/>
    </row>
    <row r="3" spans="1:12" x14ac:dyDescent="0.25">
      <c r="A3" s="311" t="s">
        <v>69</v>
      </c>
      <c r="B3" s="312"/>
      <c r="C3" s="312"/>
      <c r="D3" s="312"/>
      <c r="E3" s="312"/>
      <c r="F3" s="313"/>
      <c r="G3" s="60"/>
      <c r="H3" s="60"/>
      <c r="I3" s="60"/>
      <c r="J3" s="60"/>
      <c r="K3" s="60"/>
      <c r="L3" s="60"/>
    </row>
    <row r="4" spans="1:12" ht="15" customHeight="1" x14ac:dyDescent="0.25">
      <c r="A4" s="314" t="s">
        <v>75</v>
      </c>
      <c r="B4" s="302"/>
      <c r="C4" s="286" t="s">
        <v>241</v>
      </c>
      <c r="D4" s="287"/>
      <c r="E4" s="287"/>
      <c r="F4" s="288"/>
      <c r="G4" s="60"/>
      <c r="H4" s="60"/>
      <c r="I4" s="60"/>
      <c r="J4" s="60"/>
      <c r="K4" s="60"/>
      <c r="L4" s="60"/>
    </row>
    <row r="5" spans="1:12" ht="15" customHeight="1" x14ac:dyDescent="0.25">
      <c r="A5" s="320" t="s">
        <v>70</v>
      </c>
      <c r="B5" s="321"/>
      <c r="C5" s="286" t="s">
        <v>242</v>
      </c>
      <c r="D5" s="287"/>
      <c r="E5" s="287"/>
      <c r="F5" s="288"/>
      <c r="G5" s="60"/>
      <c r="H5" s="60"/>
      <c r="I5" s="60"/>
      <c r="J5" s="60"/>
      <c r="K5" s="60"/>
      <c r="L5" s="60"/>
    </row>
    <row r="6" spans="1:12" ht="15" customHeight="1" x14ac:dyDescent="0.25">
      <c r="A6" s="289" t="s">
        <v>71</v>
      </c>
      <c r="B6" s="290"/>
      <c r="C6" s="322" t="s">
        <v>243</v>
      </c>
      <c r="D6" s="323"/>
      <c r="E6" s="323"/>
      <c r="F6" s="324"/>
      <c r="G6" s="60"/>
      <c r="H6" s="60"/>
      <c r="I6" s="60"/>
      <c r="J6" s="60"/>
      <c r="K6" s="60"/>
      <c r="L6" s="60"/>
    </row>
    <row r="7" spans="1:12" ht="15" customHeight="1" x14ac:dyDescent="0.25">
      <c r="A7" s="289" t="s">
        <v>74</v>
      </c>
      <c r="B7" s="290"/>
      <c r="C7" s="286" t="s">
        <v>244</v>
      </c>
      <c r="D7" s="287"/>
      <c r="E7" s="287"/>
      <c r="F7" s="288"/>
      <c r="G7" s="60"/>
      <c r="H7" s="60"/>
      <c r="I7" s="60"/>
      <c r="J7" s="60"/>
      <c r="K7" s="60"/>
      <c r="L7" s="60"/>
    </row>
    <row r="8" spans="1:12" ht="15" customHeight="1" x14ac:dyDescent="0.25">
      <c r="A8" s="289" t="s">
        <v>72</v>
      </c>
      <c r="B8" s="290"/>
      <c r="C8" s="286"/>
      <c r="D8" s="287"/>
      <c r="E8" s="287"/>
      <c r="F8" s="288"/>
      <c r="G8" s="60"/>
      <c r="H8" s="60"/>
      <c r="I8" s="60"/>
      <c r="J8" s="60"/>
      <c r="K8" s="60"/>
      <c r="L8" s="60"/>
    </row>
    <row r="9" spans="1:12" ht="28.5" customHeight="1" x14ac:dyDescent="0.25">
      <c r="A9" s="289" t="s">
        <v>73</v>
      </c>
      <c r="B9" s="290"/>
      <c r="C9" s="286" t="s">
        <v>283</v>
      </c>
      <c r="D9" s="287"/>
      <c r="E9" s="287"/>
      <c r="F9" s="288"/>
      <c r="G9" s="60"/>
      <c r="H9" s="60"/>
      <c r="I9" s="103"/>
      <c r="J9" s="103"/>
      <c r="K9" s="103"/>
      <c r="L9" s="103"/>
    </row>
    <row r="10" spans="1:12" x14ac:dyDescent="0.25">
      <c r="A10" s="311" t="s">
        <v>76</v>
      </c>
      <c r="B10" s="312"/>
      <c r="C10" s="312"/>
      <c r="D10" s="312"/>
      <c r="E10" s="312"/>
      <c r="F10" s="313"/>
      <c r="G10" s="60"/>
      <c r="H10" s="60"/>
      <c r="I10" s="103"/>
      <c r="J10" s="103"/>
      <c r="K10" s="103"/>
      <c r="L10" s="103"/>
    </row>
    <row r="11" spans="1:12" ht="24" x14ac:dyDescent="0.25">
      <c r="A11" s="130" t="s">
        <v>80</v>
      </c>
      <c r="B11" s="115">
        <v>45920</v>
      </c>
      <c r="C11" s="119" t="s">
        <v>92</v>
      </c>
      <c r="D11" s="120" t="s">
        <v>367</v>
      </c>
      <c r="E11" s="47" t="s">
        <v>277</v>
      </c>
      <c r="F11" s="131">
        <v>45161</v>
      </c>
      <c r="G11" s="60"/>
      <c r="H11" s="60"/>
      <c r="I11" s="104"/>
      <c r="J11" s="104"/>
      <c r="K11" s="104"/>
      <c r="L11" s="104"/>
    </row>
    <row r="12" spans="1:12" x14ac:dyDescent="0.25">
      <c r="A12" s="130" t="s">
        <v>81</v>
      </c>
      <c r="B12" s="115">
        <v>45920</v>
      </c>
      <c r="C12" s="302" t="s">
        <v>93</v>
      </c>
      <c r="D12" s="302"/>
      <c r="E12" s="301" t="s">
        <v>366</v>
      </c>
      <c r="F12" s="260"/>
      <c r="G12" s="60"/>
      <c r="H12" s="60"/>
      <c r="I12" s="251"/>
      <c r="J12" s="251"/>
      <c r="K12" s="104"/>
      <c r="L12" s="104"/>
    </row>
    <row r="13" spans="1:12" x14ac:dyDescent="0.25">
      <c r="A13" s="130" t="s">
        <v>82</v>
      </c>
      <c r="B13" s="76" t="str">
        <f ca="1">TEXT(TODAY(),"DD/MM/YYYY")</f>
        <v>20/09/2025</v>
      </c>
      <c r="C13" s="302" t="s">
        <v>94</v>
      </c>
      <c r="D13" s="302"/>
      <c r="E13" s="259" t="s">
        <v>369</v>
      </c>
      <c r="F13" s="260"/>
      <c r="G13" s="60"/>
      <c r="H13" s="60"/>
      <c r="I13" s="251"/>
      <c r="J13" s="251"/>
      <c r="K13" s="104"/>
      <c r="L13" s="104"/>
    </row>
    <row r="14" spans="1:12" x14ac:dyDescent="0.25">
      <c r="A14" s="266" t="s">
        <v>77</v>
      </c>
      <c r="B14" s="267"/>
      <c r="C14" s="267"/>
      <c r="D14" s="267"/>
      <c r="E14" s="267"/>
      <c r="F14" s="268"/>
      <c r="G14" s="60"/>
      <c r="H14" s="60"/>
      <c r="I14" s="103"/>
      <c r="J14" s="103"/>
      <c r="K14" s="103"/>
      <c r="L14" s="103"/>
    </row>
    <row r="15" spans="1:12" x14ac:dyDescent="0.25">
      <c r="A15" s="273" t="s">
        <v>78</v>
      </c>
      <c r="B15" s="274"/>
      <c r="C15" s="294" t="s">
        <v>285</v>
      </c>
      <c r="D15" s="294"/>
      <c r="E15" s="294"/>
      <c r="F15" s="295"/>
      <c r="G15" s="60"/>
      <c r="H15" s="60"/>
      <c r="I15" s="103"/>
      <c r="J15" s="103"/>
      <c r="K15" s="103"/>
      <c r="L15" s="103"/>
    </row>
    <row r="16" spans="1:12" x14ac:dyDescent="0.25">
      <c r="A16" s="266" t="s">
        <v>79</v>
      </c>
      <c r="B16" s="267"/>
      <c r="C16" s="267"/>
      <c r="D16" s="267"/>
      <c r="E16" s="267"/>
      <c r="F16" s="268"/>
      <c r="G16" s="60"/>
      <c r="H16" s="60"/>
      <c r="I16" s="103"/>
      <c r="J16" s="103"/>
      <c r="K16" s="103"/>
      <c r="L16" s="103"/>
    </row>
    <row r="17" spans="1:12" x14ac:dyDescent="0.25">
      <c r="A17" s="132" t="s">
        <v>68</v>
      </c>
      <c r="B17" s="269" t="s">
        <v>337</v>
      </c>
      <c r="C17" s="254"/>
      <c r="D17" s="254"/>
      <c r="E17" s="254"/>
      <c r="F17" s="255"/>
      <c r="G17" s="60"/>
      <c r="H17" s="60"/>
      <c r="I17" s="103"/>
      <c r="J17" s="103"/>
      <c r="K17" s="103"/>
      <c r="L17" s="103"/>
    </row>
    <row r="18" spans="1:12" x14ac:dyDescent="0.25">
      <c r="A18" s="133" t="s">
        <v>286</v>
      </c>
      <c r="B18" s="256" t="s">
        <v>303</v>
      </c>
      <c r="C18" s="257"/>
      <c r="D18" s="257"/>
      <c r="E18" s="257"/>
      <c r="F18" s="258"/>
      <c r="G18" s="60"/>
      <c r="H18" s="60"/>
      <c r="I18" s="103"/>
      <c r="J18" s="105"/>
      <c r="K18" s="103"/>
      <c r="L18" s="103"/>
    </row>
    <row r="19" spans="1:12" x14ac:dyDescent="0.25">
      <c r="A19" s="134" t="s">
        <v>83</v>
      </c>
      <c r="B19" s="261" t="s">
        <v>288</v>
      </c>
      <c r="C19" s="261"/>
      <c r="D19" s="121" t="s">
        <v>247</v>
      </c>
      <c r="E19" s="261" t="s">
        <v>341</v>
      </c>
      <c r="F19" s="296"/>
      <c r="G19" s="60"/>
      <c r="H19" s="60"/>
      <c r="I19" s="103"/>
      <c r="J19" s="105"/>
      <c r="K19" s="103"/>
      <c r="L19" s="103"/>
    </row>
    <row r="20" spans="1:12" x14ac:dyDescent="0.25">
      <c r="A20" s="134" t="s">
        <v>248</v>
      </c>
      <c r="B20" s="261" t="s">
        <v>332</v>
      </c>
      <c r="C20" s="261"/>
      <c r="D20" s="121" t="s">
        <v>87</v>
      </c>
      <c r="E20" s="261" t="s">
        <v>296</v>
      </c>
      <c r="F20" s="296"/>
      <c r="G20" s="60"/>
      <c r="H20" s="60"/>
      <c r="I20" s="103"/>
      <c r="J20" s="105"/>
      <c r="K20" s="103"/>
      <c r="L20" s="60"/>
    </row>
    <row r="21" spans="1:12" x14ac:dyDescent="0.25">
      <c r="A21" s="134" t="s">
        <v>246</v>
      </c>
      <c r="B21" s="261" t="s">
        <v>333</v>
      </c>
      <c r="C21" s="261"/>
      <c r="D21" s="77" t="s">
        <v>88</v>
      </c>
      <c r="E21" s="263" t="s">
        <v>289</v>
      </c>
      <c r="F21" s="264"/>
      <c r="G21" s="60"/>
      <c r="H21" s="60"/>
      <c r="I21" s="103"/>
      <c r="J21" s="105"/>
      <c r="K21" s="103"/>
      <c r="L21" s="60"/>
    </row>
    <row r="22" spans="1:12" x14ac:dyDescent="0.25">
      <c r="A22" s="134" t="s">
        <v>84</v>
      </c>
      <c r="B22" s="261" t="s">
        <v>235</v>
      </c>
      <c r="C22" s="261"/>
      <c r="D22" s="77" t="s">
        <v>89</v>
      </c>
      <c r="E22" s="263" t="s">
        <v>236</v>
      </c>
      <c r="F22" s="264"/>
      <c r="G22" s="60"/>
      <c r="H22" s="60"/>
      <c r="I22" s="103"/>
      <c r="J22" s="105"/>
      <c r="K22" s="103"/>
      <c r="L22" s="60"/>
    </row>
    <row r="23" spans="1:12" x14ac:dyDescent="0.25">
      <c r="A23" s="134" t="s">
        <v>85</v>
      </c>
      <c r="B23" s="261">
        <v>400101</v>
      </c>
      <c r="C23" s="261"/>
      <c r="D23" s="77" t="s">
        <v>90</v>
      </c>
      <c r="E23" s="265" t="s">
        <v>331</v>
      </c>
      <c r="F23" s="264"/>
      <c r="G23" s="60"/>
      <c r="H23" s="60"/>
      <c r="I23" s="103"/>
      <c r="J23" s="105"/>
      <c r="K23" s="103"/>
      <c r="L23" s="60"/>
    </row>
    <row r="24" spans="1:12" x14ac:dyDescent="0.25">
      <c r="A24" s="132" t="s">
        <v>251</v>
      </c>
      <c r="B24" s="253" t="s">
        <v>330</v>
      </c>
      <c r="C24" s="254"/>
      <c r="D24" s="254"/>
      <c r="E24" s="254"/>
      <c r="F24" s="255"/>
      <c r="G24" s="60"/>
      <c r="H24" s="60"/>
      <c r="I24" s="103"/>
      <c r="J24" s="105"/>
      <c r="K24" s="103"/>
      <c r="L24" s="60"/>
    </row>
    <row r="25" spans="1:12" ht="34.5" customHeight="1" x14ac:dyDescent="0.25">
      <c r="A25" s="132" t="s">
        <v>86</v>
      </c>
      <c r="B25" s="265" t="s">
        <v>291</v>
      </c>
      <c r="C25" s="265"/>
      <c r="D25" s="77" t="s">
        <v>91</v>
      </c>
      <c r="E25" s="263" t="s">
        <v>290</v>
      </c>
      <c r="F25" s="264"/>
      <c r="G25" s="60"/>
      <c r="H25" s="60"/>
      <c r="I25" s="103"/>
      <c r="J25" s="105"/>
      <c r="K25" s="103"/>
      <c r="L25" s="60"/>
    </row>
    <row r="26" spans="1:12" x14ac:dyDescent="0.25">
      <c r="A26" s="266" t="s">
        <v>101</v>
      </c>
      <c r="B26" s="267"/>
      <c r="C26" s="267"/>
      <c r="D26" s="267"/>
      <c r="E26" s="267"/>
      <c r="F26" s="268"/>
      <c r="G26" s="60"/>
      <c r="H26" s="60"/>
      <c r="I26" s="103"/>
      <c r="J26" s="103"/>
      <c r="K26" s="103"/>
      <c r="L26" s="60"/>
    </row>
    <row r="27" spans="1:12" x14ac:dyDescent="0.25">
      <c r="A27" s="262"/>
      <c r="B27" s="188"/>
      <c r="C27" s="49" t="s">
        <v>95</v>
      </c>
      <c r="D27" s="49" t="s">
        <v>96</v>
      </c>
      <c r="E27" s="49" t="s">
        <v>97</v>
      </c>
      <c r="F27" s="135" t="s">
        <v>98</v>
      </c>
      <c r="G27" s="60"/>
      <c r="H27" s="60"/>
      <c r="I27" s="103"/>
      <c r="J27" s="103"/>
      <c r="K27" s="103"/>
      <c r="L27" s="60"/>
    </row>
    <row r="28" spans="1:12" ht="63" customHeight="1" x14ac:dyDescent="0.25">
      <c r="A28" s="262" t="s">
        <v>99</v>
      </c>
      <c r="B28" s="188"/>
      <c r="C28" s="125" t="s">
        <v>297</v>
      </c>
      <c r="D28" s="125" t="s">
        <v>298</v>
      </c>
      <c r="E28" s="125" t="s">
        <v>298</v>
      </c>
      <c r="F28" s="136" t="s">
        <v>299</v>
      </c>
      <c r="G28" s="200"/>
      <c r="H28" s="200"/>
      <c r="I28" s="103"/>
      <c r="J28" s="103"/>
      <c r="K28" s="103"/>
      <c r="L28" s="60"/>
    </row>
    <row r="29" spans="1:12" ht="30" customHeight="1" x14ac:dyDescent="0.25">
      <c r="A29" s="262" t="s">
        <v>249</v>
      </c>
      <c r="B29" s="188"/>
      <c r="C29" s="122" t="s">
        <v>292</v>
      </c>
      <c r="D29" s="125" t="s">
        <v>342</v>
      </c>
      <c r="E29" s="125" t="s">
        <v>293</v>
      </c>
      <c r="F29" s="137" t="s">
        <v>292</v>
      </c>
      <c r="G29" s="200"/>
      <c r="H29" s="200"/>
      <c r="I29" s="103"/>
      <c r="J29" s="60"/>
      <c r="K29" s="60"/>
      <c r="L29" s="60"/>
    </row>
    <row r="30" spans="1:12" ht="45.75" customHeight="1" x14ac:dyDescent="0.25">
      <c r="A30" s="262" t="s">
        <v>100</v>
      </c>
      <c r="B30" s="188"/>
      <c r="C30" s="125" t="s">
        <v>294</v>
      </c>
      <c r="D30" s="122" t="s">
        <v>288</v>
      </c>
      <c r="E30" s="125" t="s">
        <v>295</v>
      </c>
      <c r="F30" s="136" t="s">
        <v>296</v>
      </c>
      <c r="G30" s="200"/>
      <c r="H30" s="200"/>
      <c r="I30" s="103"/>
      <c r="J30" s="60"/>
      <c r="K30" s="60"/>
      <c r="L30" s="60"/>
    </row>
    <row r="31" spans="1:12" x14ac:dyDescent="0.25">
      <c r="A31" s="266" t="s">
        <v>102</v>
      </c>
      <c r="B31" s="267"/>
      <c r="C31" s="267"/>
      <c r="D31" s="267"/>
      <c r="E31" s="267"/>
      <c r="F31" s="268"/>
      <c r="G31" s="200"/>
      <c r="H31" s="200"/>
      <c r="I31" s="103"/>
      <c r="J31" s="60"/>
      <c r="K31" s="60"/>
      <c r="L31" s="60"/>
    </row>
    <row r="32" spans="1:12" x14ac:dyDescent="0.25">
      <c r="A32" s="273" t="s">
        <v>103</v>
      </c>
      <c r="B32" s="274"/>
      <c r="C32" s="284" t="s">
        <v>300</v>
      </c>
      <c r="D32" s="284"/>
      <c r="E32" s="284"/>
      <c r="F32" s="285"/>
      <c r="G32" s="252" t="s">
        <v>250</v>
      </c>
      <c r="H32" s="252"/>
      <c r="I32" s="60"/>
      <c r="J32" s="60"/>
      <c r="K32" s="60"/>
      <c r="L32" s="60"/>
    </row>
    <row r="33" spans="1:12" ht="15" customHeight="1" x14ac:dyDescent="0.25">
      <c r="A33" s="273" t="s">
        <v>104</v>
      </c>
      <c r="B33" s="274"/>
      <c r="C33" s="284" t="str">
        <f>C32</f>
        <v>Municipal Corporation Of Greater Mumbai</v>
      </c>
      <c r="D33" s="284"/>
      <c r="E33" s="284"/>
      <c r="F33" s="285"/>
      <c r="G33" s="252"/>
      <c r="H33" s="252"/>
      <c r="I33" s="60"/>
      <c r="J33" s="60"/>
      <c r="K33" s="60"/>
      <c r="L33" s="60"/>
    </row>
    <row r="34" spans="1:12" ht="15" customHeight="1" x14ac:dyDescent="0.25">
      <c r="A34" s="273" t="s">
        <v>105</v>
      </c>
      <c r="B34" s="274"/>
      <c r="C34" s="284" t="s">
        <v>288</v>
      </c>
      <c r="D34" s="284"/>
      <c r="E34" s="284"/>
      <c r="F34" s="285"/>
      <c r="G34" s="200"/>
      <c r="H34" s="200"/>
      <c r="I34" s="60"/>
      <c r="J34" s="60"/>
      <c r="K34" s="60"/>
      <c r="L34" s="60"/>
    </row>
    <row r="35" spans="1:12" x14ac:dyDescent="0.25">
      <c r="A35" s="273" t="s">
        <v>106</v>
      </c>
      <c r="B35" s="274"/>
      <c r="C35" s="297" t="str">
        <f>IF(AND(E21="Mumbai"),"Developed","Developing")</f>
        <v>Developed</v>
      </c>
      <c r="D35" s="298"/>
      <c r="E35" s="298"/>
      <c r="F35" s="299"/>
      <c r="G35" s="200"/>
      <c r="H35" s="200"/>
      <c r="I35" s="60"/>
      <c r="J35" s="60"/>
      <c r="K35" s="60"/>
      <c r="L35" s="60"/>
    </row>
    <row r="36" spans="1:12" ht="15" customHeight="1" x14ac:dyDescent="0.25">
      <c r="A36" s="273" t="s">
        <v>107</v>
      </c>
      <c r="B36" s="274"/>
      <c r="C36" s="284" t="s">
        <v>252</v>
      </c>
      <c r="D36" s="284"/>
      <c r="E36" s="284"/>
      <c r="F36" s="285"/>
      <c r="G36" s="200"/>
      <c r="H36" s="200"/>
      <c r="I36" s="60"/>
      <c r="J36" s="60"/>
      <c r="K36" s="60"/>
      <c r="L36" s="60"/>
    </row>
    <row r="37" spans="1:12" x14ac:dyDescent="0.25">
      <c r="A37" s="273" t="s">
        <v>108</v>
      </c>
      <c r="B37" s="274"/>
      <c r="C37" s="300">
        <f ca="1">E168</f>
        <v>0.66993927125506059</v>
      </c>
      <c r="D37" s="284"/>
      <c r="E37" s="284"/>
      <c r="F37" s="285"/>
      <c r="G37" s="200"/>
      <c r="H37" s="200"/>
      <c r="I37" s="60"/>
      <c r="J37" s="60"/>
      <c r="K37" s="60"/>
      <c r="L37" s="60"/>
    </row>
    <row r="38" spans="1:12" ht="15" customHeight="1" x14ac:dyDescent="0.25">
      <c r="A38" s="273" t="s">
        <v>109</v>
      </c>
      <c r="B38" s="274"/>
      <c r="C38" s="284" t="s">
        <v>253</v>
      </c>
      <c r="D38" s="284"/>
      <c r="E38" s="284"/>
      <c r="F38" s="285"/>
      <c r="G38" s="200"/>
      <c r="H38" s="200"/>
      <c r="I38" s="60"/>
      <c r="J38" s="60"/>
      <c r="K38" s="60"/>
      <c r="L38" s="60"/>
    </row>
    <row r="39" spans="1:12" x14ac:dyDescent="0.25">
      <c r="A39" s="273" t="s">
        <v>110</v>
      </c>
      <c r="B39" s="274"/>
      <c r="C39" s="284" t="s">
        <v>253</v>
      </c>
      <c r="D39" s="284"/>
      <c r="E39" s="284"/>
      <c r="F39" s="285"/>
      <c r="G39" s="200"/>
      <c r="H39" s="200"/>
      <c r="I39" s="60"/>
      <c r="J39" s="60"/>
      <c r="K39" s="60"/>
      <c r="L39" s="60"/>
    </row>
    <row r="40" spans="1:12" x14ac:dyDescent="0.25">
      <c r="A40" s="273" t="s">
        <v>111</v>
      </c>
      <c r="B40" s="274"/>
      <c r="C40" s="284" t="s">
        <v>301</v>
      </c>
      <c r="D40" s="284"/>
      <c r="E40" s="284"/>
      <c r="F40" s="285"/>
      <c r="G40" s="200"/>
      <c r="H40" s="200"/>
      <c r="I40" s="60"/>
      <c r="J40" s="60"/>
      <c r="K40" s="60"/>
      <c r="L40" s="60"/>
    </row>
    <row r="41" spans="1:12" x14ac:dyDescent="0.25">
      <c r="A41" s="266" t="s">
        <v>113</v>
      </c>
      <c r="B41" s="267"/>
      <c r="C41" s="267"/>
      <c r="D41" s="267"/>
      <c r="E41" s="267"/>
      <c r="F41" s="268"/>
      <c r="G41" s="200"/>
      <c r="H41" s="200"/>
      <c r="I41" s="60"/>
      <c r="J41" s="60"/>
      <c r="K41" s="60"/>
      <c r="L41" s="60"/>
    </row>
    <row r="42" spans="1:12" x14ac:dyDescent="0.25">
      <c r="A42" s="177" t="s">
        <v>114</v>
      </c>
      <c r="B42" s="178"/>
      <c r="C42" s="274" t="s">
        <v>112</v>
      </c>
      <c r="D42" s="274"/>
      <c r="E42" s="274"/>
      <c r="F42" s="293"/>
      <c r="G42" s="200"/>
      <c r="H42" s="200"/>
      <c r="I42" s="60"/>
      <c r="J42" s="60"/>
      <c r="K42" s="60"/>
      <c r="L42" s="60"/>
    </row>
    <row r="43" spans="1:12" x14ac:dyDescent="0.25">
      <c r="A43" s="177" t="s">
        <v>115</v>
      </c>
      <c r="B43" s="178"/>
      <c r="C43" s="291">
        <v>45800</v>
      </c>
      <c r="D43" s="291"/>
      <c r="E43" s="291"/>
      <c r="F43" s="292"/>
      <c r="G43" s="200"/>
      <c r="H43" s="200"/>
      <c r="I43" s="60"/>
      <c r="J43" s="60"/>
      <c r="K43" s="60"/>
      <c r="L43" s="60"/>
    </row>
    <row r="44" spans="1:12" x14ac:dyDescent="0.25">
      <c r="A44" s="177" t="s">
        <v>302</v>
      </c>
      <c r="B44" s="178"/>
      <c r="C44" s="291">
        <v>35947.58</v>
      </c>
      <c r="D44" s="291"/>
      <c r="E44" s="291"/>
      <c r="F44" s="292"/>
      <c r="G44" s="232">
        <f>C45/C44</f>
        <v>3.0473884472890802</v>
      </c>
      <c r="H44" s="232"/>
      <c r="I44" s="60"/>
      <c r="J44" s="60"/>
      <c r="K44" s="60"/>
      <c r="L44" s="60"/>
    </row>
    <row r="45" spans="1:12" x14ac:dyDescent="0.25">
      <c r="A45" s="177" t="s">
        <v>116</v>
      </c>
      <c r="B45" s="178"/>
      <c r="C45" s="217">
        <v>109546.24000000001</v>
      </c>
      <c r="D45" s="217"/>
      <c r="E45" s="217"/>
      <c r="F45" s="218"/>
      <c r="G45" s="200"/>
      <c r="H45" s="200"/>
      <c r="I45" s="60"/>
      <c r="J45" s="60"/>
      <c r="K45" s="60"/>
      <c r="L45" s="60"/>
    </row>
    <row r="46" spans="1:12" ht="15" customHeight="1" x14ac:dyDescent="0.25">
      <c r="A46" s="177" t="s">
        <v>343</v>
      </c>
      <c r="B46" s="178"/>
      <c r="C46" s="275">
        <v>16375.76</v>
      </c>
      <c r="D46" s="276"/>
      <c r="E46" s="276"/>
      <c r="F46" s="277"/>
      <c r="G46" s="200"/>
      <c r="H46" s="200"/>
      <c r="I46" s="60"/>
      <c r="J46" s="60"/>
      <c r="K46" s="60"/>
      <c r="L46" s="60"/>
    </row>
    <row r="47" spans="1:12" x14ac:dyDescent="0.25">
      <c r="A47" s="177" t="s">
        <v>344</v>
      </c>
      <c r="B47" s="178"/>
      <c r="C47" s="217">
        <v>16375.76</v>
      </c>
      <c r="D47" s="217"/>
      <c r="E47" s="217"/>
      <c r="F47" s="218"/>
      <c r="G47" s="200"/>
      <c r="H47" s="200"/>
      <c r="I47" s="60"/>
      <c r="J47" s="60"/>
      <c r="K47" s="60"/>
      <c r="L47" s="60"/>
    </row>
    <row r="48" spans="1:12" x14ac:dyDescent="0.25">
      <c r="A48" s="177" t="s">
        <v>345</v>
      </c>
      <c r="B48" s="178"/>
      <c r="C48" s="217" t="s">
        <v>287</v>
      </c>
      <c r="D48" s="217"/>
      <c r="E48" s="217"/>
      <c r="F48" s="218"/>
      <c r="G48" s="200"/>
      <c r="H48" s="200"/>
      <c r="I48" s="60"/>
      <c r="J48" s="60"/>
      <c r="K48" s="60"/>
      <c r="L48" s="60"/>
    </row>
    <row r="49" spans="1:14" x14ac:dyDescent="0.25">
      <c r="A49" s="177" t="s">
        <v>117</v>
      </c>
      <c r="B49" s="178"/>
      <c r="C49" s="217">
        <f>690.43</f>
        <v>690.43</v>
      </c>
      <c r="D49" s="217"/>
      <c r="E49" s="217"/>
      <c r="F49" s="218"/>
      <c r="G49" s="200">
        <v>174.99</v>
      </c>
      <c r="H49" s="200"/>
      <c r="I49" s="60" t="s">
        <v>304</v>
      </c>
      <c r="J49" s="60"/>
      <c r="K49" s="60"/>
      <c r="L49" s="60"/>
    </row>
    <row r="50" spans="1:14" x14ac:dyDescent="0.25">
      <c r="A50" s="177" t="s">
        <v>118</v>
      </c>
      <c r="B50" s="178"/>
      <c r="C50" s="217" t="s">
        <v>287</v>
      </c>
      <c r="D50" s="217"/>
      <c r="E50" s="217"/>
      <c r="F50" s="218"/>
      <c r="G50" s="200"/>
      <c r="H50" s="200"/>
      <c r="I50" s="60"/>
      <c r="J50" s="60"/>
      <c r="K50" s="60"/>
      <c r="L50" s="60"/>
    </row>
    <row r="51" spans="1:14" x14ac:dyDescent="0.25">
      <c r="A51" s="281" t="s">
        <v>346</v>
      </c>
      <c r="B51" s="282"/>
      <c r="C51" s="207">
        <v>8987</v>
      </c>
      <c r="D51" s="207"/>
      <c r="E51" s="207"/>
      <c r="F51" s="208"/>
      <c r="G51" s="200"/>
      <c r="H51" s="200"/>
      <c r="I51" s="60"/>
      <c r="J51" s="60"/>
      <c r="K51" s="60"/>
      <c r="L51" s="60"/>
    </row>
    <row r="52" spans="1:14" x14ac:dyDescent="0.25">
      <c r="A52" s="367" t="s">
        <v>119</v>
      </c>
      <c r="B52" s="368"/>
      <c r="C52" s="368"/>
      <c r="D52" s="368"/>
      <c r="E52" s="368"/>
      <c r="F52" s="369"/>
      <c r="G52" s="200"/>
      <c r="H52" s="200"/>
      <c r="I52" s="60"/>
      <c r="J52" s="60"/>
      <c r="K52" s="60"/>
      <c r="L52" s="60"/>
    </row>
    <row r="53" spans="1:14" x14ac:dyDescent="0.25">
      <c r="A53" s="205" t="s">
        <v>305</v>
      </c>
      <c r="B53" s="206"/>
      <c r="C53" s="207">
        <f>35947.58/C44</f>
        <v>1</v>
      </c>
      <c r="D53" s="207"/>
      <c r="E53" s="207"/>
      <c r="F53" s="208"/>
      <c r="G53" s="200"/>
      <c r="H53" s="200"/>
      <c r="I53" s="60"/>
      <c r="J53" s="60"/>
      <c r="K53" s="60"/>
      <c r="L53" s="60"/>
    </row>
    <row r="54" spans="1:14" x14ac:dyDescent="0.25">
      <c r="A54" s="205" t="s">
        <v>120</v>
      </c>
      <c r="B54" s="206"/>
      <c r="C54" s="215">
        <f>17973.79/C44</f>
        <v>0.5</v>
      </c>
      <c r="D54" s="215"/>
      <c r="E54" s="215"/>
      <c r="F54" s="216"/>
      <c r="G54" s="200"/>
      <c r="H54" s="200"/>
      <c r="I54" s="60"/>
      <c r="J54" s="60"/>
      <c r="K54" s="60"/>
      <c r="L54" s="60"/>
    </row>
    <row r="55" spans="1:14" x14ac:dyDescent="0.25">
      <c r="A55" s="205" t="s">
        <v>2</v>
      </c>
      <c r="B55" s="206"/>
      <c r="C55" s="215">
        <f>(9522.83)/C44</f>
        <v>0.26490879219129632</v>
      </c>
      <c r="D55" s="215"/>
      <c r="E55" s="215"/>
      <c r="F55" s="216"/>
      <c r="G55" s="200">
        <f>9522.83/C44</f>
        <v>0.26490879219129632</v>
      </c>
      <c r="H55" s="200"/>
      <c r="I55" s="60">
        <f>16359/C44</f>
        <v>0.45507931271034097</v>
      </c>
      <c r="J55" s="60"/>
      <c r="K55" s="60"/>
      <c r="L55" s="60"/>
    </row>
    <row r="56" spans="1:14" x14ac:dyDescent="0.25">
      <c r="A56" s="205" t="s">
        <v>347</v>
      </c>
      <c r="B56" s="206"/>
      <c r="C56" s="215">
        <f>16359.43/C44</f>
        <v>0.45509127457258597</v>
      </c>
      <c r="D56" s="215"/>
      <c r="E56" s="215"/>
      <c r="F56" s="216"/>
      <c r="G56" s="200"/>
      <c r="H56" s="200"/>
      <c r="I56" s="60"/>
      <c r="J56" s="60"/>
      <c r="K56" s="60"/>
      <c r="L56" s="60"/>
    </row>
    <row r="57" spans="1:14" x14ac:dyDescent="0.25">
      <c r="A57" s="205" t="s">
        <v>121</v>
      </c>
      <c r="B57" s="206"/>
      <c r="C57" s="215">
        <f>28400.88/C44</f>
        <v>0.79006375394393724</v>
      </c>
      <c r="D57" s="215"/>
      <c r="E57" s="215"/>
      <c r="F57" s="216"/>
      <c r="G57" s="200">
        <f>81145.36/C44</f>
        <v>2.2573246933451432</v>
      </c>
      <c r="H57" s="200"/>
      <c r="I57" s="60"/>
      <c r="J57" s="60"/>
      <c r="K57" s="60"/>
      <c r="L57" s="60"/>
    </row>
    <row r="58" spans="1:14" x14ac:dyDescent="0.25">
      <c r="A58" s="205" t="s">
        <v>348</v>
      </c>
      <c r="B58" s="206"/>
      <c r="C58" s="215">
        <f>1380.86/C44</f>
        <v>3.8413156045552989E-2</v>
      </c>
      <c r="D58" s="215"/>
      <c r="E58" s="215"/>
      <c r="F58" s="216"/>
      <c r="G58" s="200"/>
      <c r="H58" s="200"/>
      <c r="I58" s="60"/>
      <c r="J58" s="60"/>
      <c r="K58" s="60"/>
      <c r="L58" s="60"/>
    </row>
    <row r="59" spans="1:14" x14ac:dyDescent="0.25">
      <c r="A59" s="205" t="s">
        <v>122</v>
      </c>
      <c r="B59" s="206"/>
      <c r="C59" s="215">
        <f>SUM(C53:F58)</f>
        <v>3.0484769767533728</v>
      </c>
      <c r="D59" s="215"/>
      <c r="E59" s="215"/>
      <c r="F59" s="216"/>
      <c r="G59" s="200"/>
      <c r="H59" s="200"/>
      <c r="I59" s="60"/>
      <c r="J59" s="60"/>
      <c r="K59" s="60"/>
      <c r="L59" s="60"/>
    </row>
    <row r="60" spans="1:14" x14ac:dyDescent="0.25">
      <c r="A60" s="273" t="s">
        <v>123</v>
      </c>
      <c r="B60" s="274"/>
      <c r="C60" s="217" t="s">
        <v>287</v>
      </c>
      <c r="D60" s="217"/>
      <c r="E60" s="217"/>
      <c r="F60" s="218"/>
      <c r="G60" s="200"/>
      <c r="H60" s="200"/>
      <c r="I60" s="60"/>
      <c r="J60" s="60"/>
      <c r="K60" s="60"/>
      <c r="L60" s="60"/>
    </row>
    <row r="61" spans="1:14" x14ac:dyDescent="0.25">
      <c r="A61" s="362"/>
      <c r="B61" s="363"/>
      <c r="C61" s="363"/>
      <c r="D61" s="363"/>
      <c r="E61" s="363"/>
      <c r="F61" s="364"/>
      <c r="G61" s="60"/>
      <c r="H61" s="60"/>
      <c r="I61" s="60"/>
      <c r="J61" s="60"/>
      <c r="K61" s="60"/>
      <c r="L61" s="60"/>
      <c r="M61" s="60"/>
      <c r="N61" s="60"/>
    </row>
    <row r="62" spans="1:14" x14ac:dyDescent="0.25">
      <c r="A62" s="273" t="s">
        <v>124</v>
      </c>
      <c r="B62" s="274"/>
      <c r="C62" s="215" t="str">
        <f>D118</f>
        <v>Flats = 149</v>
      </c>
      <c r="D62" s="215"/>
      <c r="E62" s="215"/>
      <c r="F62" s="216"/>
      <c r="G62" s="200"/>
      <c r="H62" s="200"/>
      <c r="I62" s="106"/>
      <c r="J62" s="106"/>
      <c r="K62" s="103"/>
      <c r="L62" s="103"/>
      <c r="M62" s="60"/>
      <c r="N62" s="60"/>
    </row>
    <row r="63" spans="1:14" x14ac:dyDescent="0.25">
      <c r="A63" s="273" t="s">
        <v>350</v>
      </c>
      <c r="B63" s="274"/>
      <c r="C63" s="365" t="s">
        <v>349</v>
      </c>
      <c r="D63" s="365"/>
      <c r="E63" s="365"/>
      <c r="F63" s="366"/>
      <c r="G63" s="200"/>
      <c r="H63" s="200"/>
      <c r="I63" s="103"/>
      <c r="J63" s="103"/>
      <c r="K63" s="103"/>
      <c r="L63" s="103"/>
      <c r="M63" s="60"/>
      <c r="N63" s="60"/>
    </row>
    <row r="64" spans="1:14" x14ac:dyDescent="0.25">
      <c r="A64" s="273" t="s">
        <v>125</v>
      </c>
      <c r="B64" s="274"/>
      <c r="C64" s="365" t="s">
        <v>324</v>
      </c>
      <c r="D64" s="365"/>
      <c r="E64" s="365"/>
      <c r="F64" s="366"/>
      <c r="G64" s="200"/>
      <c r="H64" s="200"/>
      <c r="I64" s="103"/>
      <c r="J64" s="103"/>
      <c r="K64" s="103"/>
      <c r="L64" s="103"/>
      <c r="M64" s="60"/>
      <c r="N64" s="60"/>
    </row>
    <row r="65" spans="1:14" x14ac:dyDescent="0.25">
      <c r="A65" s="315" t="s">
        <v>126</v>
      </c>
      <c r="B65" s="316"/>
      <c r="C65" s="316"/>
      <c r="D65" s="316"/>
      <c r="E65" s="316"/>
      <c r="F65" s="317"/>
      <c r="G65" s="200"/>
      <c r="H65" s="200"/>
      <c r="I65" s="103"/>
      <c r="J65" s="103"/>
      <c r="K65" s="103"/>
      <c r="L65" s="103"/>
      <c r="M65" s="60"/>
      <c r="N65" s="60"/>
    </row>
    <row r="66" spans="1:14" ht="39" customHeight="1" x14ac:dyDescent="0.25">
      <c r="A66" s="138"/>
      <c r="B66" s="49" t="s">
        <v>127</v>
      </c>
      <c r="C66" s="49" t="s">
        <v>128</v>
      </c>
      <c r="D66" s="49" t="s">
        <v>133</v>
      </c>
      <c r="E66" s="49" t="s">
        <v>129</v>
      </c>
      <c r="F66" s="135" t="s">
        <v>132</v>
      </c>
      <c r="G66" s="107"/>
      <c r="H66" s="107"/>
      <c r="I66" s="107"/>
      <c r="J66" s="107"/>
      <c r="K66" s="107"/>
      <c r="L66" s="107"/>
      <c r="M66" s="107" t="str">
        <f t="shared" ref="M66" si="0">PROPER(G66)</f>
        <v/>
      </c>
      <c r="N66" s="60"/>
    </row>
    <row r="67" spans="1:14" ht="48" customHeight="1" x14ac:dyDescent="0.25">
      <c r="A67" s="139" t="s">
        <v>130</v>
      </c>
      <c r="B67" s="122" t="s">
        <v>306</v>
      </c>
      <c r="C67" s="122" t="s">
        <v>308</v>
      </c>
      <c r="D67" s="122" t="s">
        <v>310</v>
      </c>
      <c r="E67" s="125" t="s">
        <v>311</v>
      </c>
      <c r="F67" s="136" t="s">
        <v>313</v>
      </c>
      <c r="G67" s="107"/>
      <c r="H67" s="103"/>
      <c r="I67" s="103"/>
      <c r="J67" s="103"/>
      <c r="K67" s="103"/>
      <c r="L67" s="103"/>
      <c r="M67" s="103"/>
      <c r="N67" s="60"/>
    </row>
    <row r="68" spans="1:14" ht="38.25" customHeight="1" x14ac:dyDescent="0.25">
      <c r="A68" s="139" t="s">
        <v>131</v>
      </c>
      <c r="B68" s="122" t="s">
        <v>307</v>
      </c>
      <c r="C68" s="122" t="s">
        <v>309</v>
      </c>
      <c r="D68" s="122" t="s">
        <v>237</v>
      </c>
      <c r="E68" s="122" t="s">
        <v>312</v>
      </c>
      <c r="F68" s="137" t="s">
        <v>314</v>
      </c>
      <c r="G68" s="107"/>
      <c r="H68" s="103"/>
      <c r="I68" s="103"/>
      <c r="J68" s="103"/>
      <c r="K68" s="103"/>
      <c r="L68" s="103"/>
      <c r="M68" s="108"/>
    </row>
    <row r="69" spans="1:14" x14ac:dyDescent="0.25">
      <c r="A69" s="381" t="s">
        <v>134</v>
      </c>
      <c r="B69" s="382"/>
      <c r="C69" s="382"/>
      <c r="D69" s="382"/>
      <c r="E69" s="382"/>
      <c r="F69" s="383"/>
      <c r="G69" s="107"/>
      <c r="H69" s="103"/>
      <c r="I69" s="103"/>
      <c r="J69" s="103"/>
      <c r="K69" s="103"/>
      <c r="L69" s="103"/>
      <c r="M69" s="108"/>
    </row>
    <row r="70" spans="1:14" ht="47.25" customHeight="1" x14ac:dyDescent="0.25">
      <c r="A70" s="138"/>
      <c r="B70" s="49" t="s">
        <v>135</v>
      </c>
      <c r="C70" s="49" t="s">
        <v>136</v>
      </c>
      <c r="D70" s="49" t="s">
        <v>137</v>
      </c>
      <c r="E70" s="49" t="s">
        <v>138</v>
      </c>
      <c r="F70" s="135" t="s">
        <v>139</v>
      </c>
      <c r="G70" s="107"/>
      <c r="H70" s="107"/>
      <c r="I70" s="107"/>
      <c r="J70" s="107"/>
      <c r="K70" s="107"/>
      <c r="L70" s="107"/>
      <c r="M70" s="108"/>
    </row>
    <row r="71" spans="1:14" ht="25.5" customHeight="1" x14ac:dyDescent="0.25">
      <c r="A71" s="139" t="s">
        <v>140</v>
      </c>
      <c r="B71" s="126" t="s">
        <v>278</v>
      </c>
      <c r="C71" s="126" t="s">
        <v>238</v>
      </c>
      <c r="D71" s="126" t="s">
        <v>238</v>
      </c>
      <c r="E71" s="126" t="s">
        <v>238</v>
      </c>
      <c r="F71" s="140" t="s">
        <v>238</v>
      </c>
      <c r="G71" s="107"/>
      <c r="H71" s="107"/>
      <c r="I71" s="107"/>
      <c r="J71" s="107"/>
      <c r="K71" s="107"/>
      <c r="L71" s="107"/>
      <c r="M71" s="108"/>
    </row>
    <row r="72" spans="1:14" ht="36.75" customHeight="1" x14ac:dyDescent="0.25">
      <c r="A72" s="138"/>
      <c r="B72" s="49" t="s">
        <v>141</v>
      </c>
      <c r="C72" s="49" t="s">
        <v>142</v>
      </c>
      <c r="D72" s="49" t="s">
        <v>143</v>
      </c>
      <c r="E72" s="49" t="s">
        <v>144</v>
      </c>
      <c r="F72" s="135" t="s">
        <v>145</v>
      </c>
      <c r="G72" s="107"/>
      <c r="H72" s="107"/>
      <c r="I72" s="107"/>
      <c r="J72" s="107"/>
      <c r="K72" s="107"/>
      <c r="L72" s="107"/>
      <c r="M72" s="108"/>
    </row>
    <row r="73" spans="1:14" x14ac:dyDescent="0.25">
      <c r="A73" s="139" t="s">
        <v>140</v>
      </c>
      <c r="B73" s="126" t="s">
        <v>238</v>
      </c>
      <c r="C73" s="126" t="s">
        <v>238</v>
      </c>
      <c r="D73" s="126" t="s">
        <v>238</v>
      </c>
      <c r="E73" s="126" t="s">
        <v>238</v>
      </c>
      <c r="F73" s="140" t="s">
        <v>238</v>
      </c>
      <c r="G73" s="107"/>
      <c r="H73" s="107"/>
      <c r="I73" s="107"/>
      <c r="J73" s="107"/>
      <c r="K73" s="107"/>
      <c r="L73" s="107"/>
      <c r="M73" s="108"/>
    </row>
    <row r="74" spans="1:14" hidden="1" x14ac:dyDescent="0.25">
      <c r="A74" s="133" t="s">
        <v>3</v>
      </c>
      <c r="B74" s="123"/>
      <c r="C74" s="123"/>
      <c r="D74" s="123"/>
      <c r="E74" s="123"/>
      <c r="F74" s="141"/>
      <c r="G74" s="107"/>
      <c r="H74" s="107"/>
      <c r="I74" s="107"/>
      <c r="J74" s="107"/>
      <c r="K74" s="107"/>
      <c r="L74" s="107"/>
      <c r="M74" s="108"/>
    </row>
    <row r="75" spans="1:14" x14ac:dyDescent="0.25">
      <c r="A75" s="142"/>
      <c r="B75" s="111" t="s">
        <v>146</v>
      </c>
      <c r="C75" s="111" t="s">
        <v>147</v>
      </c>
      <c r="D75" s="111" t="s">
        <v>148</v>
      </c>
      <c r="E75" s="111" t="s">
        <v>149</v>
      </c>
      <c r="F75" s="143" t="s">
        <v>150</v>
      </c>
      <c r="G75" s="107"/>
      <c r="H75" s="107"/>
      <c r="I75" s="107"/>
      <c r="J75" s="107"/>
      <c r="K75" s="107"/>
      <c r="L75" s="107"/>
      <c r="M75" s="108"/>
    </row>
    <row r="76" spans="1:14" x14ac:dyDescent="0.25">
      <c r="A76" s="144" t="s">
        <v>140</v>
      </c>
      <c r="B76" s="126" t="s">
        <v>238</v>
      </c>
      <c r="C76" s="126" t="s">
        <v>238</v>
      </c>
      <c r="D76" s="126" t="s">
        <v>238</v>
      </c>
      <c r="E76" s="126" t="s">
        <v>238</v>
      </c>
      <c r="F76" s="140" t="s">
        <v>238</v>
      </c>
      <c r="G76" s="107"/>
      <c r="H76" s="107"/>
      <c r="I76" s="107"/>
      <c r="J76" s="107"/>
      <c r="K76" s="107"/>
      <c r="L76" s="107"/>
      <c r="M76" s="108"/>
    </row>
    <row r="77" spans="1:14" hidden="1" x14ac:dyDescent="0.25">
      <c r="A77" s="145" t="s">
        <v>3</v>
      </c>
      <c r="B77" s="124"/>
      <c r="C77" s="124"/>
      <c r="D77" s="124"/>
      <c r="E77" s="124"/>
      <c r="F77" s="146"/>
      <c r="G77" s="107"/>
      <c r="H77" s="103"/>
      <c r="I77" s="103"/>
      <c r="J77" s="103"/>
      <c r="K77" s="103"/>
      <c r="L77" s="103"/>
      <c r="M77" s="108"/>
    </row>
    <row r="78" spans="1:14" x14ac:dyDescent="0.25">
      <c r="A78" s="270"/>
      <c r="B78" s="271"/>
      <c r="C78" s="271"/>
      <c r="D78" s="271"/>
      <c r="E78" s="271"/>
      <c r="F78" s="272"/>
      <c r="G78" s="107"/>
      <c r="H78" s="103"/>
      <c r="I78" s="103"/>
      <c r="J78" s="103"/>
      <c r="K78" s="103"/>
      <c r="L78" s="103"/>
      <c r="M78" s="108"/>
    </row>
    <row r="79" spans="1:14" ht="39" customHeight="1" x14ac:dyDescent="0.25">
      <c r="A79" s="145" t="s">
        <v>151</v>
      </c>
      <c r="B79" s="384" t="s">
        <v>315</v>
      </c>
      <c r="C79" s="385"/>
      <c r="D79" s="385"/>
      <c r="E79" s="385"/>
      <c r="F79" s="386"/>
      <c r="G79" s="107"/>
      <c r="H79" s="103"/>
      <c r="I79" s="103"/>
      <c r="J79" s="103"/>
      <c r="K79" s="103"/>
      <c r="L79" s="103"/>
      <c r="M79" s="108"/>
    </row>
    <row r="80" spans="1:14" x14ac:dyDescent="0.25">
      <c r="A80" s="315" t="s">
        <v>152</v>
      </c>
      <c r="B80" s="316"/>
      <c r="C80" s="316"/>
      <c r="D80" s="316"/>
      <c r="E80" s="316"/>
      <c r="F80" s="317"/>
      <c r="G80" s="107"/>
      <c r="H80" s="60"/>
      <c r="I80" s="60"/>
      <c r="J80" s="60"/>
      <c r="K80" s="60"/>
      <c r="L80" s="60"/>
    </row>
    <row r="81" spans="1:12" ht="31.5" customHeight="1" x14ac:dyDescent="0.25">
      <c r="A81" s="133" t="s">
        <v>164</v>
      </c>
      <c r="B81" s="318" t="str">
        <f>C32</f>
        <v>Municipal Corporation Of Greater Mumbai</v>
      </c>
      <c r="C81" s="318"/>
      <c r="D81" s="318"/>
      <c r="E81" s="318"/>
      <c r="F81" s="319"/>
      <c r="G81" s="107"/>
      <c r="H81" s="103"/>
      <c r="I81" s="103"/>
      <c r="J81" s="103"/>
      <c r="K81" s="103"/>
      <c r="L81" s="103"/>
    </row>
    <row r="82" spans="1:12" ht="31.5" customHeight="1" x14ac:dyDescent="0.25">
      <c r="A82" s="139" t="s">
        <v>153</v>
      </c>
      <c r="B82" s="49" t="s">
        <v>165</v>
      </c>
      <c r="C82" s="49" t="s">
        <v>166</v>
      </c>
      <c r="D82" s="372" t="s">
        <v>167</v>
      </c>
      <c r="E82" s="373"/>
      <c r="F82" s="374"/>
      <c r="G82" s="107"/>
      <c r="H82" s="107"/>
      <c r="I82" s="107"/>
      <c r="J82" s="200"/>
      <c r="K82" s="200"/>
      <c r="L82" s="200"/>
    </row>
    <row r="83" spans="1:12" ht="31.5" customHeight="1" x14ac:dyDescent="0.25">
      <c r="A83" s="139" t="s">
        <v>154</v>
      </c>
      <c r="B83" s="113" t="s">
        <v>316</v>
      </c>
      <c r="C83" s="113" t="s">
        <v>317</v>
      </c>
      <c r="D83" s="167" t="s">
        <v>318</v>
      </c>
      <c r="E83" s="168"/>
      <c r="F83" s="169"/>
      <c r="G83" s="107"/>
      <c r="H83" s="103"/>
      <c r="I83" s="103"/>
      <c r="J83" s="103"/>
      <c r="K83" s="103"/>
      <c r="L83" s="103"/>
    </row>
    <row r="84" spans="1:12" ht="31.5" customHeight="1" x14ac:dyDescent="0.25">
      <c r="A84" s="139" t="s">
        <v>155</v>
      </c>
      <c r="B84" s="113" t="s">
        <v>316</v>
      </c>
      <c r="C84" s="113" t="s">
        <v>317</v>
      </c>
      <c r="D84" s="167" t="s">
        <v>318</v>
      </c>
      <c r="E84" s="168"/>
      <c r="F84" s="169"/>
      <c r="G84" s="107"/>
      <c r="H84" s="103"/>
      <c r="I84" s="103"/>
      <c r="J84" s="103"/>
      <c r="K84" s="103"/>
      <c r="L84" s="103"/>
    </row>
    <row r="85" spans="1:12" ht="46.5" customHeight="1" x14ac:dyDescent="0.25">
      <c r="A85" s="163" t="s">
        <v>156</v>
      </c>
      <c r="B85" s="165" t="s">
        <v>316</v>
      </c>
      <c r="C85" s="165" t="s">
        <v>317</v>
      </c>
      <c r="D85" s="167" t="s">
        <v>361</v>
      </c>
      <c r="E85" s="168"/>
      <c r="F85" s="169"/>
      <c r="G85" s="107"/>
      <c r="H85" s="103"/>
      <c r="I85" s="103"/>
      <c r="J85" s="103"/>
      <c r="K85" s="103"/>
      <c r="L85" s="103"/>
    </row>
    <row r="86" spans="1:12" ht="248.25" customHeight="1" x14ac:dyDescent="0.25">
      <c r="A86" s="164"/>
      <c r="B86" s="166"/>
      <c r="C86" s="166"/>
      <c r="D86" s="170" t="s">
        <v>362</v>
      </c>
      <c r="E86" s="171"/>
      <c r="F86" s="172"/>
      <c r="G86" s="107"/>
      <c r="H86" s="103"/>
      <c r="I86" s="103"/>
      <c r="J86" s="103"/>
      <c r="K86" s="103"/>
      <c r="L86" s="103"/>
    </row>
    <row r="87" spans="1:12" ht="46.5" customHeight="1" x14ac:dyDescent="0.25">
      <c r="A87" s="163" t="s">
        <v>156</v>
      </c>
      <c r="B87" s="165" t="s">
        <v>316</v>
      </c>
      <c r="C87" s="165" t="s">
        <v>317</v>
      </c>
      <c r="D87" s="167" t="s">
        <v>363</v>
      </c>
      <c r="E87" s="168"/>
      <c r="F87" s="169"/>
      <c r="G87" s="107"/>
      <c r="H87" s="103"/>
      <c r="I87" s="103"/>
      <c r="J87" s="103"/>
      <c r="K87" s="103"/>
      <c r="L87" s="103"/>
    </row>
    <row r="88" spans="1:12" ht="213.75" customHeight="1" x14ac:dyDescent="0.25">
      <c r="A88" s="164"/>
      <c r="B88" s="166"/>
      <c r="C88" s="166"/>
      <c r="D88" s="170" t="s">
        <v>364</v>
      </c>
      <c r="E88" s="171"/>
      <c r="F88" s="172"/>
      <c r="G88" s="107"/>
      <c r="H88" s="103"/>
      <c r="I88" s="103"/>
      <c r="J88" s="103"/>
      <c r="K88" s="103"/>
      <c r="L88" s="103"/>
    </row>
    <row r="89" spans="1:12" ht="54" customHeight="1" x14ac:dyDescent="0.25">
      <c r="A89" s="144" t="s">
        <v>157</v>
      </c>
      <c r="B89" s="126" t="s">
        <v>325</v>
      </c>
      <c r="C89" s="126" t="s">
        <v>245</v>
      </c>
      <c r="D89" s="209" t="s">
        <v>245</v>
      </c>
      <c r="E89" s="210"/>
      <c r="F89" s="211"/>
      <c r="G89" s="107"/>
      <c r="H89" s="103"/>
      <c r="I89" s="103"/>
      <c r="J89" s="103"/>
      <c r="K89" s="103"/>
      <c r="L89" s="60"/>
    </row>
    <row r="90" spans="1:12" ht="35.450000000000003" customHeight="1" x14ac:dyDescent="0.25">
      <c r="A90" s="144" t="s">
        <v>158</v>
      </c>
      <c r="B90" s="126" t="s">
        <v>325</v>
      </c>
      <c r="C90" s="126" t="s">
        <v>245</v>
      </c>
      <c r="D90" s="209" t="s">
        <v>245</v>
      </c>
      <c r="E90" s="210"/>
      <c r="F90" s="211"/>
      <c r="G90" s="107"/>
      <c r="H90" s="103"/>
      <c r="I90" s="103"/>
      <c r="J90" s="103"/>
      <c r="K90" s="103"/>
      <c r="L90" s="60"/>
    </row>
    <row r="91" spans="1:12" ht="29.1" customHeight="1" x14ac:dyDescent="0.25">
      <c r="A91" s="144" t="s">
        <v>159</v>
      </c>
      <c r="B91" s="126" t="s">
        <v>325</v>
      </c>
      <c r="C91" s="126" t="s">
        <v>245</v>
      </c>
      <c r="D91" s="209" t="s">
        <v>245</v>
      </c>
      <c r="E91" s="210"/>
      <c r="F91" s="211"/>
      <c r="G91" s="107"/>
      <c r="H91" s="103"/>
      <c r="I91" s="103"/>
      <c r="J91" s="103"/>
      <c r="K91" s="103"/>
      <c r="L91" s="60"/>
    </row>
    <row r="92" spans="1:12" ht="29.45" customHeight="1" x14ac:dyDescent="0.25">
      <c r="A92" s="144" t="s">
        <v>160</v>
      </c>
      <c r="B92" s="126" t="s">
        <v>325</v>
      </c>
      <c r="C92" s="126" t="s">
        <v>245</v>
      </c>
      <c r="D92" s="209" t="s">
        <v>245</v>
      </c>
      <c r="E92" s="210"/>
      <c r="F92" s="211"/>
      <c r="G92" s="107"/>
      <c r="H92" s="103"/>
      <c r="I92" s="103"/>
      <c r="J92" s="103"/>
      <c r="K92" s="103"/>
      <c r="L92" s="60"/>
    </row>
    <row r="93" spans="1:12" ht="29.45" customHeight="1" x14ac:dyDescent="0.25">
      <c r="A93" s="144" t="s">
        <v>254</v>
      </c>
      <c r="B93" s="126" t="s">
        <v>336</v>
      </c>
      <c r="C93" s="126" t="s">
        <v>245</v>
      </c>
      <c r="D93" s="209" t="s">
        <v>326</v>
      </c>
      <c r="E93" s="210"/>
      <c r="F93" s="211"/>
      <c r="G93" s="107"/>
      <c r="H93" s="103"/>
      <c r="I93" s="103"/>
      <c r="J93" s="103"/>
      <c r="K93" s="103"/>
      <c r="L93" s="60"/>
    </row>
    <row r="94" spans="1:12" ht="31.5" customHeight="1" x14ac:dyDescent="0.25">
      <c r="A94" s="144" t="s">
        <v>255</v>
      </c>
      <c r="B94" s="126" t="s">
        <v>316</v>
      </c>
      <c r="C94" s="126" t="s">
        <v>245</v>
      </c>
      <c r="D94" s="209" t="s">
        <v>334</v>
      </c>
      <c r="E94" s="210"/>
      <c r="F94" s="211"/>
      <c r="G94" s="107"/>
      <c r="H94" s="103"/>
      <c r="I94" s="103"/>
      <c r="J94" s="103"/>
      <c r="K94" s="103"/>
      <c r="L94" s="60"/>
    </row>
    <row r="95" spans="1:12" ht="40.5" customHeight="1" x14ac:dyDescent="0.25">
      <c r="A95" s="144" t="s">
        <v>256</v>
      </c>
      <c r="B95" s="126" t="s">
        <v>325</v>
      </c>
      <c r="C95" s="126" t="s">
        <v>245</v>
      </c>
      <c r="D95" s="209" t="s">
        <v>245</v>
      </c>
      <c r="E95" s="210"/>
      <c r="F95" s="211"/>
      <c r="G95" s="107"/>
      <c r="H95" s="103"/>
      <c r="I95" s="103"/>
      <c r="J95" s="103"/>
      <c r="K95" s="103"/>
      <c r="L95" s="60"/>
    </row>
    <row r="96" spans="1:12" ht="31.5" customHeight="1" x14ac:dyDescent="0.25">
      <c r="A96" s="144" t="s">
        <v>161</v>
      </c>
      <c r="B96" s="126" t="s">
        <v>316</v>
      </c>
      <c r="C96" s="126" t="s">
        <v>245</v>
      </c>
      <c r="D96" s="278" t="s">
        <v>327</v>
      </c>
      <c r="E96" s="279"/>
      <c r="F96" s="280"/>
      <c r="G96" s="107"/>
      <c r="H96" s="103"/>
      <c r="I96" s="103"/>
      <c r="J96" s="103"/>
      <c r="K96" s="103"/>
      <c r="L96" s="60"/>
    </row>
    <row r="97" spans="1:12" ht="36" hidden="1" customHeight="1" x14ac:dyDescent="0.25">
      <c r="A97" s="147" t="s">
        <v>162</v>
      </c>
      <c r="B97" s="113"/>
      <c r="C97" s="113"/>
      <c r="D97" s="167"/>
      <c r="E97" s="168"/>
      <c r="F97" s="169"/>
      <c r="G97" s="107"/>
      <c r="H97" s="103"/>
      <c r="I97" s="103"/>
      <c r="J97" s="103"/>
      <c r="K97" s="103"/>
      <c r="L97" s="60"/>
    </row>
    <row r="98" spans="1:12" ht="24" x14ac:dyDescent="0.25">
      <c r="A98" s="145" t="s">
        <v>163</v>
      </c>
      <c r="B98" s="370"/>
      <c r="C98" s="370"/>
      <c r="D98" s="370"/>
      <c r="E98" s="370"/>
      <c r="F98" s="371"/>
      <c r="G98" s="107"/>
      <c r="H98" s="103"/>
      <c r="I98" s="103"/>
      <c r="J98" s="103"/>
      <c r="K98" s="103"/>
      <c r="L98" s="60"/>
    </row>
    <row r="99" spans="1:12" x14ac:dyDescent="0.25">
      <c r="A99" s="315" t="s">
        <v>168</v>
      </c>
      <c r="B99" s="316"/>
      <c r="C99" s="316"/>
      <c r="D99" s="316"/>
      <c r="E99" s="316"/>
      <c r="F99" s="317"/>
      <c r="G99" s="107"/>
      <c r="H99" s="103"/>
      <c r="I99" s="107"/>
      <c r="J99" s="103"/>
      <c r="K99" s="103"/>
      <c r="L99" s="60"/>
    </row>
    <row r="100" spans="1:12" ht="54.75" customHeight="1" x14ac:dyDescent="0.25">
      <c r="A100" s="139" t="s">
        <v>169</v>
      </c>
      <c r="B100" s="110" t="s">
        <v>238</v>
      </c>
      <c r="C100" s="111" t="s">
        <v>173</v>
      </c>
      <c r="D100" s="110" t="s">
        <v>257</v>
      </c>
      <c r="E100" s="111" t="s">
        <v>170</v>
      </c>
      <c r="F100" s="140" t="s">
        <v>338</v>
      </c>
      <c r="G100" s="107"/>
      <c r="H100" s="103"/>
      <c r="I100" s="103"/>
      <c r="J100" s="107"/>
      <c r="K100" s="103"/>
      <c r="L100" s="60"/>
    </row>
    <row r="101" spans="1:12" ht="24" x14ac:dyDescent="0.25">
      <c r="A101" s="145" t="s">
        <v>171</v>
      </c>
      <c r="B101" s="378">
        <v>44727</v>
      </c>
      <c r="C101" s="379"/>
      <c r="D101" s="46" t="s">
        <v>174</v>
      </c>
      <c r="E101" s="378">
        <v>46446</v>
      </c>
      <c r="F101" s="380"/>
      <c r="G101" s="107"/>
      <c r="H101" s="103"/>
      <c r="I101" s="103"/>
      <c r="J101" s="107"/>
      <c r="K101" s="103"/>
      <c r="L101" s="60"/>
    </row>
    <row r="102" spans="1:12" ht="26.25" customHeight="1" x14ac:dyDescent="0.25">
      <c r="A102" s="133" t="s">
        <v>172</v>
      </c>
      <c r="B102" s="375" t="s">
        <v>253</v>
      </c>
      <c r="C102" s="376"/>
      <c r="D102" s="109" t="s">
        <v>175</v>
      </c>
      <c r="E102" s="375" t="s">
        <v>245</v>
      </c>
      <c r="F102" s="272"/>
      <c r="G102" s="107"/>
      <c r="H102" s="103"/>
      <c r="I102" s="103"/>
      <c r="J102" s="107"/>
      <c r="K102" s="103"/>
      <c r="L102" s="60"/>
    </row>
    <row r="103" spans="1:12" x14ac:dyDescent="0.25">
      <c r="A103" s="315" t="s">
        <v>176</v>
      </c>
      <c r="B103" s="316"/>
      <c r="C103" s="316"/>
      <c r="D103" s="316"/>
      <c r="E103" s="316"/>
      <c r="F103" s="317"/>
      <c r="G103" s="107"/>
      <c r="H103" s="103"/>
      <c r="I103" s="107"/>
      <c r="J103" s="103"/>
      <c r="K103" s="103"/>
      <c r="L103" s="60"/>
    </row>
    <row r="104" spans="1:12" x14ac:dyDescent="0.25">
      <c r="A104" s="145" t="s">
        <v>183</v>
      </c>
      <c r="B104" s="283" t="s">
        <v>258</v>
      </c>
      <c r="C104" s="283"/>
      <c r="D104" s="109" t="s">
        <v>177</v>
      </c>
      <c r="E104" s="207" t="s">
        <v>253</v>
      </c>
      <c r="F104" s="208"/>
      <c r="G104" s="107"/>
      <c r="H104" s="103"/>
      <c r="I104" s="103"/>
      <c r="J104" s="107"/>
      <c r="K104" s="103"/>
      <c r="L104" s="60"/>
    </row>
    <row r="105" spans="1:12" ht="24" x14ac:dyDescent="0.25">
      <c r="A105" s="145" t="s">
        <v>184</v>
      </c>
      <c r="B105" s="207" t="s">
        <v>238</v>
      </c>
      <c r="C105" s="207"/>
      <c r="D105" s="109" t="s">
        <v>178</v>
      </c>
      <c r="E105" s="283" t="s">
        <v>259</v>
      </c>
      <c r="F105" s="377"/>
      <c r="G105" s="107"/>
      <c r="H105" s="103"/>
      <c r="I105" s="103"/>
      <c r="J105" s="107"/>
      <c r="K105" s="103"/>
      <c r="L105" s="60"/>
    </row>
    <row r="106" spans="1:12" ht="36" x14ac:dyDescent="0.25">
      <c r="A106" s="145" t="s">
        <v>185</v>
      </c>
      <c r="B106" s="207" t="s">
        <v>253</v>
      </c>
      <c r="C106" s="207"/>
      <c r="D106" s="109" t="s">
        <v>179</v>
      </c>
      <c r="E106" s="207" t="s">
        <v>253</v>
      </c>
      <c r="F106" s="208"/>
      <c r="G106" s="107"/>
      <c r="H106" s="103"/>
      <c r="I106" s="103"/>
      <c r="J106" s="107"/>
      <c r="K106" s="103"/>
      <c r="L106" s="60"/>
    </row>
    <row r="107" spans="1:12" ht="24" customHeight="1" x14ac:dyDescent="0.25">
      <c r="A107" s="145" t="s">
        <v>186</v>
      </c>
      <c r="B107" s="207" t="s">
        <v>253</v>
      </c>
      <c r="C107" s="207"/>
      <c r="D107" s="109" t="s">
        <v>180</v>
      </c>
      <c r="E107" s="207" t="s">
        <v>253</v>
      </c>
      <c r="F107" s="208"/>
      <c r="G107" s="107"/>
      <c r="H107" s="103"/>
      <c r="I107" s="103"/>
      <c r="J107" s="107"/>
      <c r="K107" s="103"/>
      <c r="L107" s="60"/>
    </row>
    <row r="108" spans="1:12" ht="36" x14ac:dyDescent="0.25">
      <c r="A108" s="145" t="s">
        <v>187</v>
      </c>
      <c r="B108" s="207" t="s">
        <v>253</v>
      </c>
      <c r="C108" s="207"/>
      <c r="D108" s="109" t="s">
        <v>181</v>
      </c>
      <c r="E108" s="207" t="s">
        <v>253</v>
      </c>
      <c r="F108" s="208"/>
      <c r="G108" s="107"/>
      <c r="H108" s="103"/>
      <c r="I108" s="103"/>
      <c r="J108" s="107"/>
      <c r="K108" s="103"/>
      <c r="L108" s="60"/>
    </row>
    <row r="109" spans="1:12" x14ac:dyDescent="0.25">
      <c r="A109" s="145" t="s">
        <v>188</v>
      </c>
      <c r="B109" s="207" t="s">
        <v>253</v>
      </c>
      <c r="C109" s="207"/>
      <c r="D109" s="109" t="s">
        <v>182</v>
      </c>
      <c r="E109" s="207" t="s">
        <v>253</v>
      </c>
      <c r="F109" s="208"/>
      <c r="G109" s="107"/>
      <c r="H109" s="103"/>
      <c r="I109" s="103"/>
      <c r="J109" s="107"/>
      <c r="K109" s="103"/>
      <c r="L109" s="60"/>
    </row>
    <row r="110" spans="1:12" x14ac:dyDescent="0.25">
      <c r="A110" s="205" t="s">
        <v>189</v>
      </c>
      <c r="B110" s="206"/>
      <c r="C110" s="203" t="s">
        <v>238</v>
      </c>
      <c r="D110" s="203"/>
      <c r="E110" s="203"/>
      <c r="F110" s="204"/>
      <c r="G110" s="200"/>
      <c r="H110" s="200"/>
      <c r="I110" s="103"/>
      <c r="J110" s="103"/>
      <c r="K110" s="103"/>
      <c r="L110" s="60"/>
    </row>
    <row r="111" spans="1:12" ht="30" customHeight="1" x14ac:dyDescent="0.25">
      <c r="A111" s="273" t="s">
        <v>190</v>
      </c>
      <c r="B111" s="274"/>
      <c r="C111" s="203" t="s">
        <v>253</v>
      </c>
      <c r="D111" s="203"/>
      <c r="E111" s="203"/>
      <c r="F111" s="204"/>
      <c r="G111" s="200"/>
      <c r="H111" s="200"/>
      <c r="I111" s="103"/>
      <c r="J111" s="103"/>
      <c r="K111" s="103"/>
      <c r="L111" s="60"/>
    </row>
    <row r="112" spans="1:12" x14ac:dyDescent="0.25">
      <c r="A112" s="315" t="s">
        <v>191</v>
      </c>
      <c r="B112" s="316"/>
      <c r="C112" s="316"/>
      <c r="D112" s="316"/>
      <c r="E112" s="316"/>
      <c r="F112" s="317"/>
      <c r="G112" s="107"/>
      <c r="H112" s="103"/>
      <c r="I112" s="103"/>
      <c r="J112" s="103"/>
      <c r="K112" s="103"/>
      <c r="L112" s="60"/>
    </row>
    <row r="113" spans="1:12" ht="36" customHeight="1" x14ac:dyDescent="0.25">
      <c r="A113" s="389" t="s">
        <v>193</v>
      </c>
      <c r="B113" s="390"/>
      <c r="C113" s="390"/>
      <c r="D113" s="390"/>
      <c r="E113" s="390" t="s">
        <v>192</v>
      </c>
      <c r="F113" s="391"/>
      <c r="G113" s="107"/>
      <c r="H113" s="107"/>
      <c r="I113" s="107"/>
      <c r="J113" s="107"/>
      <c r="K113" s="107"/>
      <c r="L113" s="64"/>
    </row>
    <row r="114" spans="1:12" x14ac:dyDescent="0.25">
      <c r="A114" s="392" t="s">
        <v>245</v>
      </c>
      <c r="B114" s="393"/>
      <c r="C114" s="393"/>
      <c r="D114" s="393"/>
      <c r="E114" s="207" t="s">
        <v>253</v>
      </c>
      <c r="F114" s="208"/>
      <c r="G114" s="103"/>
      <c r="H114" s="103"/>
      <c r="I114" s="103"/>
      <c r="J114" s="103"/>
      <c r="K114" s="103"/>
      <c r="L114" s="60"/>
    </row>
    <row r="115" spans="1:12" hidden="1" x14ac:dyDescent="0.25">
      <c r="A115" s="392"/>
      <c r="B115" s="393"/>
      <c r="C115" s="393"/>
      <c r="D115" s="393"/>
      <c r="E115" s="393"/>
      <c r="F115" s="394"/>
      <c r="G115" s="60"/>
      <c r="H115" s="60"/>
      <c r="I115" s="60"/>
      <c r="J115" s="60"/>
      <c r="K115" s="60"/>
      <c r="L115" s="60"/>
    </row>
    <row r="116" spans="1:12" ht="15.75" thickBot="1" x14ac:dyDescent="0.3">
      <c r="A116" s="395"/>
      <c r="B116" s="396"/>
      <c r="C116" s="396"/>
      <c r="D116" s="396"/>
      <c r="E116" s="396"/>
      <c r="F116" s="397"/>
      <c r="G116" s="60"/>
      <c r="H116" s="60"/>
      <c r="I116" s="60"/>
      <c r="J116" s="60"/>
      <c r="K116" s="60"/>
      <c r="L116" s="60"/>
    </row>
    <row r="117" spans="1:12" ht="36" x14ac:dyDescent="0.25">
      <c r="A117" s="68" t="s">
        <v>194</v>
      </c>
      <c r="B117" s="69" t="s">
        <v>195</v>
      </c>
      <c r="C117" s="69" t="s">
        <v>196</v>
      </c>
      <c r="D117" s="69" t="s">
        <v>197</v>
      </c>
      <c r="E117" s="69" t="s">
        <v>198</v>
      </c>
      <c r="F117" s="70" t="s">
        <v>199</v>
      </c>
      <c r="G117" s="107"/>
      <c r="H117" s="107"/>
      <c r="I117" s="64"/>
      <c r="J117" s="64"/>
      <c r="K117" s="64"/>
      <c r="L117" s="64"/>
    </row>
    <row r="118" spans="1:12" ht="15.75" thickBot="1" x14ac:dyDescent="0.3">
      <c r="A118" s="71">
        <v>1</v>
      </c>
      <c r="B118" s="72">
        <v>1</v>
      </c>
      <c r="C118" s="72">
        <v>1</v>
      </c>
      <c r="D118" s="72" t="s">
        <v>329</v>
      </c>
      <c r="E118" s="72">
        <v>0</v>
      </c>
      <c r="F118" s="73">
        <v>149</v>
      </c>
      <c r="G118" s="108"/>
      <c r="H118" s="108"/>
    </row>
    <row r="119" spans="1:12" x14ac:dyDescent="0.25">
      <c r="A119" s="387" t="s">
        <v>260</v>
      </c>
      <c r="B119" s="388"/>
      <c r="C119" s="203" t="s">
        <v>328</v>
      </c>
      <c r="D119" s="203"/>
      <c r="E119" s="203"/>
      <c r="F119" s="204"/>
      <c r="G119" s="200"/>
      <c r="H119" s="200"/>
    </row>
    <row r="120" spans="1:12" x14ac:dyDescent="0.25">
      <c r="A120" s="177" t="s">
        <v>261</v>
      </c>
      <c r="B120" s="178"/>
      <c r="C120" s="201" t="s">
        <v>328</v>
      </c>
      <c r="D120" s="201"/>
      <c r="E120" s="201"/>
      <c r="F120" s="202"/>
      <c r="G120" s="200"/>
      <c r="H120" s="200"/>
    </row>
    <row r="121" spans="1:12" x14ac:dyDescent="0.25">
      <c r="A121" s="387" t="s">
        <v>200</v>
      </c>
      <c r="B121" s="388"/>
      <c r="C121" s="203" t="s">
        <v>238</v>
      </c>
      <c r="D121" s="203"/>
      <c r="E121" s="203"/>
      <c r="F121" s="204"/>
      <c r="G121" s="200"/>
      <c r="H121" s="200"/>
    </row>
    <row r="122" spans="1:12" x14ac:dyDescent="0.25">
      <c r="A122" s="273" t="s">
        <v>201</v>
      </c>
      <c r="B122" s="274"/>
      <c r="C122" s="203" t="s">
        <v>238</v>
      </c>
      <c r="D122" s="203"/>
      <c r="E122" s="203"/>
      <c r="F122" s="204"/>
      <c r="G122" s="200"/>
      <c r="H122" s="200"/>
    </row>
    <row r="123" spans="1:12" ht="31.5" customHeight="1" x14ac:dyDescent="0.25">
      <c r="A123" s="273" t="s">
        <v>202</v>
      </c>
      <c r="B123" s="274"/>
      <c r="C123" s="401" t="s">
        <v>339</v>
      </c>
      <c r="D123" s="401"/>
      <c r="E123" s="401"/>
      <c r="F123" s="402"/>
      <c r="G123" s="200"/>
      <c r="H123" s="200"/>
    </row>
    <row r="124" spans="1:12" ht="49.5" customHeight="1" thickBot="1" x14ac:dyDescent="0.3">
      <c r="A124" s="205" t="s">
        <v>203</v>
      </c>
      <c r="B124" s="206"/>
      <c r="C124" s="403" t="s">
        <v>351</v>
      </c>
      <c r="D124" s="403"/>
      <c r="E124" s="403"/>
      <c r="F124" s="404"/>
      <c r="G124" s="200"/>
      <c r="H124" s="200"/>
    </row>
    <row r="125" spans="1:12" x14ac:dyDescent="0.25">
      <c r="A125" s="428" t="s">
        <v>4</v>
      </c>
      <c r="B125" s="429"/>
      <c r="C125" s="429"/>
      <c r="D125" s="429"/>
      <c r="E125" s="429"/>
      <c r="F125" s="429"/>
      <c r="G125" s="1"/>
      <c r="H125" s="1"/>
    </row>
    <row r="126" spans="1:12" s="45" customFormat="1" ht="15" customHeight="1" x14ac:dyDescent="0.25">
      <c r="A126" s="430" t="s">
        <v>4</v>
      </c>
      <c r="B126" s="431" t="s">
        <v>328</v>
      </c>
      <c r="C126" s="431"/>
      <c r="D126" s="431"/>
      <c r="E126" s="431"/>
      <c r="F126" s="431"/>
      <c r="G126" s="432"/>
      <c r="H126" s="432"/>
    </row>
    <row r="127" spans="1:12" x14ac:dyDescent="0.25">
      <c r="A127" s="433" t="s">
        <v>5</v>
      </c>
      <c r="B127" s="434" t="s">
        <v>6</v>
      </c>
      <c r="C127" s="434"/>
      <c r="D127" s="434" t="s">
        <v>7</v>
      </c>
      <c r="E127" s="434"/>
      <c r="F127" s="80" t="s">
        <v>8</v>
      </c>
      <c r="G127" s="4" t="str">
        <f ca="1">(IF(E131&gt;99%,"All work completed. Please provide OC.",IF(E131&gt;98%,"Plinth, RCC, Brick, Plaster, Flooring, Painting work Completed. Finishing work is in process.",IF(E131&lt;98%,(IF(C131=0,"Work not yet Started.",IF(C131=H132,"Excavation Work in process",IF(C131=H133,"Foudation Work in process",IF(C131=H134,"1st Basement Completed",IF(C131=H135,"1st &amp; 2nd Basement Completed",IF(C131=H136,"1st to 3rd Basement Completed",IF(C131=H137,"1st to 4th Basement Completed",IF(C131=H138,"Plinth work is process",IF(C131=H139,"Plinth work completed","0"))))))))))))&amp;(IF(C132=(B128+D128+F128),", RCC Slab",IF(C132&gt;0,", RCC upto "&amp;C132&amp;" Slab",""))&amp;(IF(C133=F128,", Brickwork",IF(C133&gt;0,", Brickwork upto "&amp;C133&amp;" Floor",""))&amp;(IF(C134=F128,", Plaster",IF(C134&gt;0,", Plaster upto "&amp;C134&amp;" Floor",""))&amp;(IF(C135=F128,", Flooring",IF(C135&gt;0,", Flooring upto "&amp;C135&amp;" Floor",""))&amp;(IF(C136=F128,", Plumbing",IF(C136&gt;0,", Plumbing upto "&amp;C136&amp;" Floor",""))&amp;(IF(C137=F128,", Painting",IF(C137&gt;0,", Painting upto "&amp;C137&amp;" Floor",""))&amp;(IF(C138&gt;0,", Finishing upto "&amp;C138&amp;" Floor","")&amp;(IF(C132&gt;0.5," Completed","")))))))))))</f>
        <v>Excavation Work in process, RCC upto 27 Slab, Brickwork upto 26 Floor, Plaster upto 22 Floor, Flooring upto 7 Floor, Plumbing upto 4 Floor Completed</v>
      </c>
      <c r="H127" s="5"/>
    </row>
    <row r="128" spans="1:12" x14ac:dyDescent="0.25">
      <c r="A128" s="433">
        <f>IF(AND(ISNUMBER(SEARCH("1B",B126))),1,IF(AND(ISNUMBER(SEARCH("2B",B126))),2,IF(AND(ISNUMBER(SEARCH("3B",B126))),3,IF(AND(ISNUMBER(SEARCH("4B",B126))),4,IF(ISNUMBER(SEARCH("5B",B126)),5,0)))))</f>
        <v>0</v>
      </c>
      <c r="B128" s="434">
        <v>1</v>
      </c>
      <c r="C128" s="434"/>
      <c r="D128" s="434">
        <v>0</v>
      </c>
      <c r="E128" s="434"/>
      <c r="F128" s="80">
        <f ca="1">--TRIM(RIGHT(SUBSTITUTE(LEFT(B126,_xlfn.AGGREGATE(16,6,FIND({0,1,2,3,4,5,6,7,8,9},B126,ROW(INDIRECT("1:"&amp;LEN(B126)))),1))," ",REPT(" ",LEN(B126))),LEN(B126)))</f>
        <v>38</v>
      </c>
      <c r="G128" s="4"/>
      <c r="H128" s="5"/>
      <c r="L128" t="s">
        <v>206</v>
      </c>
    </row>
    <row r="129" spans="1:12" ht="33" customHeight="1" x14ac:dyDescent="0.25">
      <c r="A129" s="435" t="s">
        <v>9</v>
      </c>
      <c r="B129" s="249" t="str">
        <f ca="1">G127</f>
        <v>Excavation Work in process, RCC upto 27 Slab, Brickwork upto 26 Floor, Plaster upto 22 Floor, Flooring upto 7 Floor, Plumbing upto 4 Floor Completed</v>
      </c>
      <c r="C129" s="249"/>
      <c r="D129" s="249"/>
      <c r="E129" s="249"/>
      <c r="F129" s="249"/>
      <c r="G129" s="4" t="s">
        <v>10</v>
      </c>
      <c r="H129" s="5"/>
      <c r="L129" t="s">
        <v>204</v>
      </c>
    </row>
    <row r="130" spans="1:12" s="442" customFormat="1" ht="30" x14ac:dyDescent="0.25">
      <c r="A130" s="436" t="s">
        <v>11</v>
      </c>
      <c r="B130" s="437" t="s">
        <v>12</v>
      </c>
      <c r="C130" s="438" t="s">
        <v>13</v>
      </c>
      <c r="D130" s="438" t="s">
        <v>14</v>
      </c>
      <c r="E130" s="439" t="s">
        <v>37</v>
      </c>
      <c r="F130" s="439"/>
      <c r="G130" s="440"/>
      <c r="H130" s="441"/>
      <c r="L130" s="442" t="s">
        <v>205</v>
      </c>
    </row>
    <row r="131" spans="1:12" x14ac:dyDescent="0.25">
      <c r="A131" s="443" t="s">
        <v>19</v>
      </c>
      <c r="B131" s="86">
        <v>0.35</v>
      </c>
      <c r="C131" s="89">
        <f ca="1">H139</f>
        <v>38</v>
      </c>
      <c r="D131" s="88">
        <f ca="1">((100/F128)*C131)/100</f>
        <v>1</v>
      </c>
      <c r="E131" s="444">
        <f ca="1">((((C131/F128)*35)+(35/(F128+D128+B128)*C132)+(5/F128*C133)+(5/F128*C134)+(5/F128*C135)+(5/F128*C136)+(5/F128*C137)+(2.5/F128*C138)+(2.5/F128*C139))/100)</f>
        <v>0.66993927125506059</v>
      </c>
      <c r="F131" s="444"/>
      <c r="G131" s="6"/>
      <c r="H131" s="8"/>
    </row>
    <row r="132" spans="1:12" ht="15" customHeight="1" x14ac:dyDescent="0.25">
      <c r="A132" s="443" t="s">
        <v>21</v>
      </c>
      <c r="B132" s="86">
        <v>0.35</v>
      </c>
      <c r="C132" s="112">
        <v>27</v>
      </c>
      <c r="D132" s="88">
        <f ca="1">((100/(B128+D128+F128))*C132)/100</f>
        <v>0.6923076923076924</v>
      </c>
      <c r="E132" s="444"/>
      <c r="F132" s="444"/>
      <c r="G132" s="6" t="s">
        <v>279</v>
      </c>
      <c r="H132" s="9">
        <v>38</v>
      </c>
    </row>
    <row r="133" spans="1:12" x14ac:dyDescent="0.25">
      <c r="A133" s="443" t="s">
        <v>23</v>
      </c>
      <c r="B133" s="86">
        <v>0.05</v>
      </c>
      <c r="C133" s="89">
        <f>C132-B128</f>
        <v>26</v>
      </c>
      <c r="D133" s="88">
        <f ca="1">((100/F128)*C133)/100</f>
        <v>0.6842105263157896</v>
      </c>
      <c r="E133" s="444"/>
      <c r="F133" s="444"/>
      <c r="G133" s="6" t="s">
        <v>280</v>
      </c>
      <c r="H133" s="9">
        <f ca="1">(IF(A128&gt;1,(F128/(A128+2)),F128/3.5))</f>
        <v>10.857142857142858</v>
      </c>
    </row>
    <row r="134" spans="1:12" x14ac:dyDescent="0.25">
      <c r="A134" s="443" t="s">
        <v>38</v>
      </c>
      <c r="B134" s="86">
        <v>0.05</v>
      </c>
      <c r="C134" s="87">
        <v>22</v>
      </c>
      <c r="D134" s="88">
        <f ca="1">((100/F128)*C134)/100</f>
        <v>0.57894736842105265</v>
      </c>
      <c r="E134" s="444"/>
      <c r="F134" s="444"/>
      <c r="G134" s="6" t="s">
        <v>26</v>
      </c>
      <c r="H134" s="9">
        <f>(IF(A128&gt;1,(F128/(A128+2)+H133),0))</f>
        <v>0</v>
      </c>
    </row>
    <row r="135" spans="1:12" ht="15" customHeight="1" x14ac:dyDescent="0.25">
      <c r="A135" s="443" t="s">
        <v>29</v>
      </c>
      <c r="B135" s="86">
        <v>0.05</v>
      </c>
      <c r="C135" s="87">
        <v>7</v>
      </c>
      <c r="D135" s="88">
        <f ca="1">((100/(F128))*C135)/100</f>
        <v>0.18421052631578949</v>
      </c>
      <c r="E135" s="444"/>
      <c r="F135" s="444"/>
      <c r="G135" s="6" t="s">
        <v>28</v>
      </c>
      <c r="H135" s="9">
        <f>(IF(A128&gt;2,(F128/(A128+2)+H134),0))</f>
        <v>0</v>
      </c>
    </row>
    <row r="136" spans="1:12" ht="15" customHeight="1" x14ac:dyDescent="0.25">
      <c r="A136" s="443" t="s">
        <v>39</v>
      </c>
      <c r="B136" s="86">
        <v>0.05</v>
      </c>
      <c r="C136" s="87">
        <v>4</v>
      </c>
      <c r="D136" s="88">
        <f ca="1">((100/F128)*C136)/100</f>
        <v>0.10526315789473685</v>
      </c>
      <c r="E136" s="444"/>
      <c r="F136" s="444"/>
      <c r="G136" s="6" t="s">
        <v>30</v>
      </c>
      <c r="H136" s="10">
        <f>(IF(A128&gt;3,(F128/(A128+2)+H135),0))</f>
        <v>0</v>
      </c>
    </row>
    <row r="137" spans="1:12" ht="15" customHeight="1" x14ac:dyDescent="0.25">
      <c r="A137" s="443" t="s">
        <v>31</v>
      </c>
      <c r="B137" s="86">
        <v>0.05</v>
      </c>
      <c r="C137" s="87">
        <v>0</v>
      </c>
      <c r="D137" s="88">
        <f ca="1">((100/F128)*C137)/100</f>
        <v>0</v>
      </c>
      <c r="E137" s="444"/>
      <c r="F137" s="444"/>
      <c r="G137" s="6" t="s">
        <v>32</v>
      </c>
      <c r="H137" s="9">
        <f>(IF(A128&gt;4,(F128/(A128+2)+H136),0))</f>
        <v>0</v>
      </c>
    </row>
    <row r="138" spans="1:12" x14ac:dyDescent="0.25">
      <c r="A138" s="443" t="s">
        <v>40</v>
      </c>
      <c r="B138" s="86">
        <v>2.5000000000000001E-2</v>
      </c>
      <c r="C138" s="87">
        <v>0</v>
      </c>
      <c r="D138" s="88">
        <f ca="1">((100/(F128))*C138)/100</f>
        <v>0</v>
      </c>
      <c r="E138" s="444"/>
      <c r="F138" s="444"/>
      <c r="G138" s="6" t="s">
        <v>34</v>
      </c>
      <c r="H138" s="9">
        <f ca="1">(IF(A128=1,(F128/(A128+3)+H133),IF(A128=0,(F128*2/7+H133),IF(A128&gt;1,0))))</f>
        <v>21.714285714285715</v>
      </c>
    </row>
    <row r="139" spans="1:12" ht="15.75" thickBot="1" x14ac:dyDescent="0.3">
      <c r="A139" s="445" t="s">
        <v>35</v>
      </c>
      <c r="B139" s="446">
        <v>2.5000000000000001E-2</v>
      </c>
      <c r="C139" s="447">
        <v>0</v>
      </c>
      <c r="D139" s="448">
        <f ca="1">((100/(F128))*C139)/100</f>
        <v>0</v>
      </c>
      <c r="E139" s="449"/>
      <c r="F139" s="449"/>
      <c r="G139" s="11" t="s">
        <v>36</v>
      </c>
      <c r="H139" s="12">
        <f ca="1">F128</f>
        <v>38</v>
      </c>
    </row>
    <row r="140" spans="1:12" ht="15.75" hidden="1" thickBot="1" x14ac:dyDescent="0.3">
      <c r="A140" s="246" t="e">
        <f>#REF!</f>
        <v>#REF!</v>
      </c>
      <c r="B140" s="247"/>
      <c r="C140" s="78" t="s">
        <v>5</v>
      </c>
      <c r="D140" s="78" t="s">
        <v>6</v>
      </c>
      <c r="E140" s="78" t="s">
        <v>7</v>
      </c>
      <c r="F140" s="79" t="s">
        <v>8</v>
      </c>
      <c r="G140" s="2" t="e">
        <f ca="1">(IF(E144&gt;99%,"All work completed. Please provide OC.",IF(E144&gt;89.8%,"Plinth, RCC, Brick, Plaster, Flooring, Painting work Completed. Finishing work is in process.",IF(E145&lt;94%,(IF(C144=0,"Work not yet Started.",IF(D144=25%,"Piling work in process",IF(D144=50%,"Excavation work in process",IF(D144=100%," ","")))&amp;(IF(C145=0%,"",IF(C145=H146,"Excavation work is process",IF(C145=H147,"Foudation Work in process",IF(C145=H148,"1st Basement Completed",IF(C145=H149,"1st &amp; 2nd Basement Completed",IF(C145=H150,"1st to 3rd Basement Completed",IF(C145=H151,"1st to 4th Basement Completed",IF(C145=H152,"Plinth work is process",IF(C145=H153,"Plinth work completed","0")))))))))))&amp;(IF(C146=(D141+E141+F141),", RCC Slab",IF(C146&gt;0,", RCC upto "&amp;C146&amp;" Slab",""))&amp;(IF(C147=F141,", Brickwork",IF(C147&gt;0,", Brickwork upto "&amp;C147&amp;" Floor",""))&amp;(IF(C148=F141,", Internal Plaster",IF(C148&gt;0,", Internal Plaster upto "&amp;C148&amp;" Floor",""))&amp;(IF(C149=F141,", External Plaster",IF(C149&gt;0,", External Plaster upto "&amp;C149&amp;" Floor",""))&amp;(IF(C150=F141,", Flooring",IF(C150&gt;0,", Flooring upto "&amp;C150&amp;" Floor",""))&amp;(IF(C151=F141,", Painting",IF(C151&gt;0,", Painting upto "&amp;C151&amp;" Floor",""))&amp;(IF(C152&gt;0,", Finishing upto "&amp;C152&amp;" Floor","")&amp;(IF(C146&gt;0.5," Completed",""))))))))))))))</f>
        <v>#REF!</v>
      </c>
      <c r="H140" s="3"/>
    </row>
    <row r="141" spans="1:12" ht="15.75" hidden="1" thickBot="1" x14ac:dyDescent="0.3">
      <c r="A141" s="248"/>
      <c r="B141" s="249"/>
      <c r="C141" s="80">
        <v>0</v>
      </c>
      <c r="D141" s="80">
        <v>1</v>
      </c>
      <c r="E141" s="80">
        <v>0</v>
      </c>
      <c r="F141" s="81" t="e">
        <f ca="1">--TRIM(RIGHT(SUBSTITUTE(LEFT(A140,_xlfn.AGGREGATE(16,6,FIND({0,1,2,3,4,5,6,7,8,9},A140,ROW(INDIRECT("1:"&amp;LEN(A140)))),1))," ",REPT(" ",LEN(A140))),LEN(A140)))</f>
        <v>#REF!</v>
      </c>
      <c r="G141" s="4"/>
      <c r="H141" s="5"/>
      <c r="L141" t="s">
        <v>206</v>
      </c>
    </row>
    <row r="142" spans="1:12" ht="15.75" hidden="1" thickBot="1" x14ac:dyDescent="0.3">
      <c r="A142" s="82" t="s">
        <v>9</v>
      </c>
      <c r="B142" s="219" t="e">
        <f ca="1">G140</f>
        <v>#REF!</v>
      </c>
      <c r="C142" s="220"/>
      <c r="D142" s="220"/>
      <c r="E142" s="220"/>
      <c r="F142" s="221"/>
      <c r="G142" s="4" t="s">
        <v>10</v>
      </c>
      <c r="H142" s="5"/>
      <c r="L142" t="s">
        <v>204</v>
      </c>
    </row>
    <row r="143" spans="1:12" ht="15.75" hidden="1" thickBot="1" x14ac:dyDescent="0.3">
      <c r="A143" s="83" t="s">
        <v>11</v>
      </c>
      <c r="B143" s="84" t="s">
        <v>12</v>
      </c>
      <c r="C143" s="85" t="s">
        <v>13</v>
      </c>
      <c r="D143" s="85" t="s">
        <v>14</v>
      </c>
      <c r="E143" s="222" t="s">
        <v>37</v>
      </c>
      <c r="F143" s="223"/>
      <c r="G143" s="6"/>
      <c r="H143" s="7"/>
      <c r="L143" t="s">
        <v>205</v>
      </c>
    </row>
    <row r="144" spans="1:12" ht="15" hidden="1" customHeight="1" x14ac:dyDescent="0.3">
      <c r="A144" s="83" t="s">
        <v>17</v>
      </c>
      <c r="B144" s="86">
        <v>0.15</v>
      </c>
      <c r="C144" s="87">
        <v>7</v>
      </c>
      <c r="D144" s="88" t="e">
        <f ca="1">((100/F141)*C144)/100</f>
        <v>#REF!</v>
      </c>
      <c r="E144" s="224" t="e">
        <f ca="1">((((C145/F141)*35)+(35/(F141+E141+D141)*C146)+(5/F141*C147)+(5/F141*C148)+(5/F141*C149)+(5/F141*C150)+(5/F141*C151)+(2.5/F141*C152)+(2.5/F141*C153))/100)</f>
        <v>#REF!</v>
      </c>
      <c r="F144" s="225"/>
      <c r="G144" s="6"/>
      <c r="H144" s="8"/>
    </row>
    <row r="145" spans="1:12" ht="15.75" hidden="1" thickBot="1" x14ac:dyDescent="0.3">
      <c r="A145" s="83" t="s">
        <v>19</v>
      </c>
      <c r="B145" s="86">
        <v>0.35</v>
      </c>
      <c r="C145" s="89" t="e">
        <f ca="1">H153</f>
        <v>#REF!</v>
      </c>
      <c r="D145" s="88" t="e">
        <f ca="1">((100/F141)*C145)/100</f>
        <v>#REF!</v>
      </c>
      <c r="E145" s="226"/>
      <c r="F145" s="227"/>
      <c r="G145" s="6"/>
      <c r="H145" s="8"/>
    </row>
    <row r="146" spans="1:12" ht="30.75" hidden="1" thickBot="1" x14ac:dyDescent="0.3">
      <c r="A146" s="83" t="s">
        <v>21</v>
      </c>
      <c r="B146" s="86">
        <v>0.35</v>
      </c>
      <c r="C146" s="112">
        <v>0</v>
      </c>
      <c r="D146" s="88" t="e">
        <f ca="1">((100/(D141+E141+F141))*C146)/100</f>
        <v>#REF!</v>
      </c>
      <c r="E146" s="226"/>
      <c r="F146" s="227"/>
      <c r="G146" s="6" t="s">
        <v>279</v>
      </c>
      <c r="H146" s="9" t="e">
        <f ca="1">(IF(C141&gt;1,(F141/(C141+2)),F141/7))</f>
        <v>#REF!</v>
      </c>
    </row>
    <row r="147" spans="1:12" ht="15.75" hidden="1" thickBot="1" x14ac:dyDescent="0.3">
      <c r="A147" s="83" t="s">
        <v>23</v>
      </c>
      <c r="B147" s="86">
        <v>0.05</v>
      </c>
      <c r="C147" s="87">
        <v>0</v>
      </c>
      <c r="D147" s="88" t="e">
        <f ca="1">((100/F141)*C147)/100</f>
        <v>#REF!</v>
      </c>
      <c r="E147" s="226"/>
      <c r="F147" s="227"/>
      <c r="G147" s="6" t="s">
        <v>280</v>
      </c>
      <c r="H147" s="9" t="e">
        <f ca="1">(IF(C141&gt;1,(F141/(C141+2)),F141/3.5))</f>
        <v>#REF!</v>
      </c>
    </row>
    <row r="148" spans="1:12" ht="15.75" hidden="1" thickBot="1" x14ac:dyDescent="0.3">
      <c r="A148" s="83" t="s">
        <v>38</v>
      </c>
      <c r="B148" s="86">
        <v>0.05</v>
      </c>
      <c r="C148" s="87">
        <v>0</v>
      </c>
      <c r="D148" s="88" t="e">
        <f ca="1">((100/F141)*C148)/100</f>
        <v>#REF!</v>
      </c>
      <c r="E148" s="226"/>
      <c r="F148" s="227"/>
      <c r="G148" s="6" t="s">
        <v>26</v>
      </c>
      <c r="H148" s="9">
        <f>(IF(C141&gt;1,(F141/(C141+2)+H147),0))</f>
        <v>0</v>
      </c>
    </row>
    <row r="149" spans="1:12" ht="15.75" hidden="1" thickBot="1" x14ac:dyDescent="0.3">
      <c r="A149" s="83" t="s">
        <v>29</v>
      </c>
      <c r="B149" s="86">
        <v>0.05</v>
      </c>
      <c r="C149" s="87">
        <v>0</v>
      </c>
      <c r="D149" s="88" t="e">
        <f ca="1">((100/(F141))*C149)/100</f>
        <v>#REF!</v>
      </c>
      <c r="E149" s="226"/>
      <c r="F149" s="227"/>
      <c r="G149" s="6" t="s">
        <v>28</v>
      </c>
      <c r="H149" s="9">
        <f>(IF(C141&gt;2,(F141/(C141+2)+H148),0))</f>
        <v>0</v>
      </c>
    </row>
    <row r="150" spans="1:12" ht="30.75" hidden="1" thickBot="1" x14ac:dyDescent="0.3">
      <c r="A150" s="83" t="s">
        <v>39</v>
      </c>
      <c r="B150" s="86">
        <v>0.05</v>
      </c>
      <c r="C150" s="87">
        <v>0</v>
      </c>
      <c r="D150" s="88" t="e">
        <f ca="1">((100/F141)*C150)/100</f>
        <v>#REF!</v>
      </c>
      <c r="E150" s="226"/>
      <c r="F150" s="227"/>
      <c r="G150" s="6" t="s">
        <v>30</v>
      </c>
      <c r="H150" s="10">
        <f>(IF(C141&gt;3,(F141/(C141+2)+H149),0))</f>
        <v>0</v>
      </c>
    </row>
    <row r="151" spans="1:12" ht="15.75" hidden="1" thickBot="1" x14ac:dyDescent="0.3">
      <c r="A151" s="83" t="s">
        <v>31</v>
      </c>
      <c r="B151" s="86">
        <v>0.05</v>
      </c>
      <c r="C151" s="87">
        <v>0</v>
      </c>
      <c r="D151" s="88" t="e">
        <f ca="1">((100/F141)*C151)/100</f>
        <v>#REF!</v>
      </c>
      <c r="E151" s="226"/>
      <c r="F151" s="227"/>
      <c r="G151" s="6" t="s">
        <v>32</v>
      </c>
      <c r="H151" s="9">
        <f>(IF(C141&gt;4,(F141/(C141+2)+H150),0))</f>
        <v>0</v>
      </c>
    </row>
    <row r="152" spans="1:12" ht="15.75" hidden="1" thickBot="1" x14ac:dyDescent="0.3">
      <c r="A152" s="83" t="s">
        <v>40</v>
      </c>
      <c r="B152" s="86">
        <v>2.5000000000000001E-2</v>
      </c>
      <c r="C152" s="87">
        <v>0</v>
      </c>
      <c r="D152" s="88" t="e">
        <f ca="1">((100/(F141))*C152)/100</f>
        <v>#REF!</v>
      </c>
      <c r="E152" s="226"/>
      <c r="F152" s="227"/>
      <c r="G152" s="6" t="s">
        <v>34</v>
      </c>
      <c r="H152" s="9" t="e">
        <f ca="1">(IF(C141&gt;1,(F141/(C141+2)),F141*4/7))</f>
        <v>#REF!</v>
      </c>
    </row>
    <row r="153" spans="1:12" ht="15.75" hidden="1" thickBot="1" x14ac:dyDescent="0.3">
      <c r="A153" s="90" t="s">
        <v>35</v>
      </c>
      <c r="B153" s="91">
        <v>2.5000000000000001E-2</v>
      </c>
      <c r="C153" s="92">
        <v>0</v>
      </c>
      <c r="D153" s="93" t="e">
        <f ca="1">((100/(F141))*C153)/100</f>
        <v>#REF!</v>
      </c>
      <c r="E153" s="226"/>
      <c r="F153" s="227"/>
      <c r="G153" s="11" t="s">
        <v>36</v>
      </c>
      <c r="H153" s="12" t="e">
        <f ca="1">F141</f>
        <v>#REF!</v>
      </c>
    </row>
    <row r="154" spans="1:12" ht="15.75" hidden="1" thickBot="1" x14ac:dyDescent="0.3">
      <c r="A154" s="246" t="e">
        <f>#REF!</f>
        <v>#REF!</v>
      </c>
      <c r="B154" s="247"/>
      <c r="C154" s="78" t="s">
        <v>5</v>
      </c>
      <c r="D154" s="78" t="s">
        <v>6</v>
      </c>
      <c r="E154" s="78" t="s">
        <v>7</v>
      </c>
      <c r="F154" s="79" t="s">
        <v>8</v>
      </c>
      <c r="G154" s="2" t="e">
        <f ca="1">(IF(E158&gt;99%,"All work completed. Please provide OC.",IF(E158&gt;89.8%,"Plinth, RCC, Brick, Plaster, Flooring, Painting work Completed. Finishing work is in process.",IF(E159&lt;94%,(IF(C158=0,"Work not yet Started.",IF(D158=25%,"Piling work in process",IF(D158=50%,"Excavation work in process",IF(D158=100%," ","")))&amp;(IF(C159=0%,"",IF(C159=H160,"Excavation work is process",IF(C159=H161,"Foudation Work in process",IF(C159=H162,"1st Basement Completed",IF(C159=H163,"1st &amp; 2nd Basement Completed",IF(C159=H164,"1st to 3rd Basement Completed",IF(C159=H165,"1st to 4th Basement Completed",IF(C159=H166,"Plinth work is process",IF(C159=H167,"Plinth work completed","0")))))))))))&amp;(IF(C160=(D155+E155+F155),", RCC Slab",IF(C160&gt;0,", RCC upto "&amp;C160&amp;" Slab",""))&amp;(IF(C161=F155,", Brickwork",IF(C161&gt;0,", Brickwork upto "&amp;C161&amp;" Floor",""))&amp;(IF(C162=F155,", Internal Plaster",IF(C162&gt;0,", Internal Plaster upto "&amp;C162&amp;" Floor",""))&amp;(IF(C163=F155,", External Plaster",IF(C163&gt;0,", External Plaster upto "&amp;C163&amp;" Floor",""))&amp;(IF(C164=F155,", Flooring",IF(C164&gt;0,", Flooring upto "&amp;C164&amp;" Floor",""))&amp;(IF(C165=F155,", Painting",IF(C165&gt;0,", Painting upto "&amp;C165&amp;" Floor",""))&amp;(IF(C166&gt;0,", Finishing upto "&amp;C166&amp;" Floor","")&amp;(IF(C160&gt;0.5," Completed",""))))))))))))))</f>
        <v>#REF!</v>
      </c>
      <c r="H154" s="3"/>
    </row>
    <row r="155" spans="1:12" ht="15.75" hidden="1" thickBot="1" x14ac:dyDescent="0.3">
      <c r="A155" s="248"/>
      <c r="B155" s="249"/>
      <c r="C155" s="80">
        <v>0</v>
      </c>
      <c r="D155" s="80">
        <v>1</v>
      </c>
      <c r="E155" s="80">
        <v>0</v>
      </c>
      <c r="F155" s="81" t="e">
        <f ca="1">--TRIM(RIGHT(SUBSTITUTE(LEFT(A154,_xlfn.AGGREGATE(16,6,FIND({0,1,2,3,4,5,6,7,8,9},A154,ROW(INDIRECT("1:"&amp;LEN(A154)))),1))," ",REPT(" ",LEN(A154))),LEN(A154)))</f>
        <v>#REF!</v>
      </c>
      <c r="G155" s="4"/>
      <c r="H155" s="5"/>
      <c r="L155" t="s">
        <v>206</v>
      </c>
    </row>
    <row r="156" spans="1:12" ht="15.75" hidden="1" thickBot="1" x14ac:dyDescent="0.3">
      <c r="A156" s="82" t="s">
        <v>9</v>
      </c>
      <c r="B156" s="219" t="e">
        <f ca="1">G154</f>
        <v>#REF!</v>
      </c>
      <c r="C156" s="220"/>
      <c r="D156" s="220"/>
      <c r="E156" s="220"/>
      <c r="F156" s="221"/>
      <c r="G156" s="4" t="s">
        <v>10</v>
      </c>
      <c r="H156" s="5"/>
      <c r="L156" t="s">
        <v>204</v>
      </c>
    </row>
    <row r="157" spans="1:12" ht="15.75" hidden="1" thickBot="1" x14ac:dyDescent="0.3">
      <c r="A157" s="83" t="s">
        <v>11</v>
      </c>
      <c r="B157" s="84" t="s">
        <v>12</v>
      </c>
      <c r="C157" s="85" t="s">
        <v>13</v>
      </c>
      <c r="D157" s="85" t="s">
        <v>14</v>
      </c>
      <c r="E157" s="222" t="s">
        <v>37</v>
      </c>
      <c r="F157" s="223"/>
      <c r="G157" s="6"/>
      <c r="H157" s="7"/>
      <c r="L157" t="s">
        <v>205</v>
      </c>
    </row>
    <row r="158" spans="1:12" ht="15" hidden="1" customHeight="1" x14ac:dyDescent="0.3">
      <c r="A158" s="83" t="s">
        <v>17</v>
      </c>
      <c r="B158" s="86">
        <v>0.15</v>
      </c>
      <c r="C158" s="87">
        <v>7</v>
      </c>
      <c r="D158" s="88" t="e">
        <f ca="1">((100/F155)*C158)/100</f>
        <v>#REF!</v>
      </c>
      <c r="E158" s="224" t="e">
        <f ca="1">((((C159/F155)*35)+(35/(F155+E155+D155)*C160)+(5/F155*C161)+(5/F155*C162)+(5/F155*C163)+(5/F155*C164)+(5/F155*C165)+(2.5/F155*C166)+(2.5/F155*C167))/100)</f>
        <v>#REF!</v>
      </c>
      <c r="F158" s="225"/>
      <c r="G158" s="6"/>
      <c r="H158" s="8"/>
    </row>
    <row r="159" spans="1:12" ht="15.75" hidden="1" thickBot="1" x14ac:dyDescent="0.3">
      <c r="A159" s="83" t="s">
        <v>19</v>
      </c>
      <c r="B159" s="86">
        <v>0.35</v>
      </c>
      <c r="C159" s="89" t="e">
        <f ca="1">H167</f>
        <v>#REF!</v>
      </c>
      <c r="D159" s="88" t="e">
        <f ca="1">((100/F155)*C159)/100</f>
        <v>#REF!</v>
      </c>
      <c r="E159" s="226"/>
      <c r="F159" s="227"/>
      <c r="G159" s="6"/>
      <c r="H159" s="8"/>
    </row>
    <row r="160" spans="1:12" ht="30.75" hidden="1" thickBot="1" x14ac:dyDescent="0.3">
      <c r="A160" s="83" t="s">
        <v>21</v>
      </c>
      <c r="B160" s="86">
        <v>0.35</v>
      </c>
      <c r="C160" s="112">
        <v>5</v>
      </c>
      <c r="D160" s="88" t="e">
        <f ca="1">((100/(D155+E155+F155))*C160)/100</f>
        <v>#REF!</v>
      </c>
      <c r="E160" s="226"/>
      <c r="F160" s="227"/>
      <c r="G160" s="6" t="s">
        <v>279</v>
      </c>
      <c r="H160" s="9" t="e">
        <f ca="1">(IF(C155&gt;1,(F155/(C155+2)),F155/7))</f>
        <v>#REF!</v>
      </c>
    </row>
    <row r="161" spans="1:13" ht="15.75" hidden="1" thickBot="1" x14ac:dyDescent="0.3">
      <c r="A161" s="83" t="s">
        <v>23</v>
      </c>
      <c r="B161" s="86">
        <v>0.05</v>
      </c>
      <c r="C161" s="87">
        <v>0</v>
      </c>
      <c r="D161" s="88" t="e">
        <f ca="1">((100/F155)*C161)/100</f>
        <v>#REF!</v>
      </c>
      <c r="E161" s="226"/>
      <c r="F161" s="227"/>
      <c r="G161" s="6" t="s">
        <v>280</v>
      </c>
      <c r="H161" s="9" t="e">
        <f ca="1">(IF(C155&gt;1,(F155/(C155+2)),F155/3.5))</f>
        <v>#REF!</v>
      </c>
    </row>
    <row r="162" spans="1:13" ht="15.75" hidden="1" thickBot="1" x14ac:dyDescent="0.3">
      <c r="A162" s="83" t="s">
        <v>38</v>
      </c>
      <c r="B162" s="86">
        <v>0.05</v>
      </c>
      <c r="C162" s="87">
        <v>0</v>
      </c>
      <c r="D162" s="88" t="e">
        <f ca="1">((100/F155)*C162)/100</f>
        <v>#REF!</v>
      </c>
      <c r="E162" s="226"/>
      <c r="F162" s="227"/>
      <c r="G162" s="6" t="s">
        <v>26</v>
      </c>
      <c r="H162" s="9">
        <f>(IF(C155&gt;1,(F155/(C155+2)+H161),0))</f>
        <v>0</v>
      </c>
    </row>
    <row r="163" spans="1:13" ht="15.75" hidden="1" thickBot="1" x14ac:dyDescent="0.3">
      <c r="A163" s="83" t="s">
        <v>29</v>
      </c>
      <c r="B163" s="86">
        <v>0.05</v>
      </c>
      <c r="C163" s="87">
        <v>0</v>
      </c>
      <c r="D163" s="88" t="e">
        <f ca="1">((100/(F155))*C163)/100</f>
        <v>#REF!</v>
      </c>
      <c r="E163" s="226"/>
      <c r="F163" s="227"/>
      <c r="G163" s="6" t="s">
        <v>28</v>
      </c>
      <c r="H163" s="9">
        <f>(IF(C155&gt;2,(F155/(C155+2)+H162),0))</f>
        <v>0</v>
      </c>
    </row>
    <row r="164" spans="1:13" ht="30.75" hidden="1" thickBot="1" x14ac:dyDescent="0.3">
      <c r="A164" s="83" t="s">
        <v>39</v>
      </c>
      <c r="B164" s="86">
        <v>0.05</v>
      </c>
      <c r="C164" s="87">
        <v>0</v>
      </c>
      <c r="D164" s="88" t="e">
        <f ca="1">((100/F155)*C164)/100</f>
        <v>#REF!</v>
      </c>
      <c r="E164" s="226"/>
      <c r="F164" s="227"/>
      <c r="G164" s="6" t="s">
        <v>30</v>
      </c>
      <c r="H164" s="10">
        <f>(IF(C155&gt;3,(F155/(C155+2)+H163),0))</f>
        <v>0</v>
      </c>
    </row>
    <row r="165" spans="1:13" ht="15.75" hidden="1" thickBot="1" x14ac:dyDescent="0.3">
      <c r="A165" s="83" t="s">
        <v>31</v>
      </c>
      <c r="B165" s="86">
        <v>0.05</v>
      </c>
      <c r="C165" s="87">
        <v>0</v>
      </c>
      <c r="D165" s="88" t="e">
        <f ca="1">((100/F155)*C165)/100</f>
        <v>#REF!</v>
      </c>
      <c r="E165" s="226"/>
      <c r="F165" s="227"/>
      <c r="G165" s="6" t="s">
        <v>32</v>
      </c>
      <c r="H165" s="9">
        <f>(IF(C155&gt;4,(F155/(C155+2)+H164),0))</f>
        <v>0</v>
      </c>
    </row>
    <row r="166" spans="1:13" ht="15.75" hidden="1" thickBot="1" x14ac:dyDescent="0.3">
      <c r="A166" s="83" t="s">
        <v>40</v>
      </c>
      <c r="B166" s="86">
        <v>2.5000000000000001E-2</v>
      </c>
      <c r="C166" s="87">
        <v>0</v>
      </c>
      <c r="D166" s="88" t="e">
        <f ca="1">((100/(F155))*C166)/100</f>
        <v>#REF!</v>
      </c>
      <c r="E166" s="226"/>
      <c r="F166" s="227"/>
      <c r="G166" s="6" t="s">
        <v>34</v>
      </c>
      <c r="H166" s="9" t="e">
        <f ca="1">(IF(C155&gt;1,(F155/(C155+2)),F155*4/7))</f>
        <v>#REF!</v>
      </c>
    </row>
    <row r="167" spans="1:13" ht="15.75" hidden="1" thickBot="1" x14ac:dyDescent="0.3">
      <c r="A167" s="90" t="s">
        <v>35</v>
      </c>
      <c r="B167" s="91">
        <v>2.5000000000000001E-2</v>
      </c>
      <c r="C167" s="92">
        <v>0</v>
      </c>
      <c r="D167" s="93" t="e">
        <f ca="1">((100/(F155))*C167)/100</f>
        <v>#REF!</v>
      </c>
      <c r="E167" s="226"/>
      <c r="F167" s="227"/>
      <c r="G167" s="11" t="s">
        <v>36</v>
      </c>
      <c r="H167" s="12" t="e">
        <f ca="1">F155</f>
        <v>#REF!</v>
      </c>
    </row>
    <row r="168" spans="1:13" s="65" customFormat="1" x14ac:dyDescent="0.25">
      <c r="A168" s="239" t="s">
        <v>108</v>
      </c>
      <c r="B168" s="240"/>
      <c r="C168" s="240"/>
      <c r="D168" s="240"/>
      <c r="E168" s="243">
        <f ca="1">AVERAGE(E131)</f>
        <v>0.66993927125506059</v>
      </c>
      <c r="F168" s="244"/>
    </row>
    <row r="169" spans="1:13" s="65" customFormat="1" x14ac:dyDescent="0.25">
      <c r="A169" s="241"/>
      <c r="B169" s="242"/>
      <c r="C169" s="242"/>
      <c r="D169" s="242"/>
      <c r="E169" s="242"/>
      <c r="F169" s="245"/>
      <c r="G169" s="66"/>
      <c r="H169" s="67"/>
    </row>
    <row r="170" spans="1:13" x14ac:dyDescent="0.25">
      <c r="A170" s="405" t="s">
        <v>45</v>
      </c>
      <c r="B170" s="406"/>
      <c r="C170" s="406"/>
      <c r="D170" s="406"/>
      <c r="E170" s="406"/>
      <c r="F170" s="407"/>
    </row>
    <row r="171" spans="1:13" ht="36" x14ac:dyDescent="0.25">
      <c r="A171" s="139" t="s">
        <v>194</v>
      </c>
      <c r="B171" s="49" t="s">
        <v>195</v>
      </c>
      <c r="C171" s="49" t="s">
        <v>196</v>
      </c>
      <c r="D171" s="49" t="s">
        <v>197</v>
      </c>
      <c r="E171" s="49" t="s">
        <v>198</v>
      </c>
      <c r="F171" s="135" t="s">
        <v>199</v>
      </c>
    </row>
    <row r="172" spans="1:13" ht="36" customHeight="1" x14ac:dyDescent="0.25">
      <c r="A172" s="148">
        <v>1</v>
      </c>
      <c r="B172" s="74">
        <v>1</v>
      </c>
      <c r="C172" s="74">
        <v>1</v>
      </c>
      <c r="D172" s="118">
        <f>B185</f>
        <v>149</v>
      </c>
      <c r="E172" s="74">
        <v>0</v>
      </c>
      <c r="F172" s="149">
        <f>D172+E172</f>
        <v>149</v>
      </c>
    </row>
    <row r="173" spans="1:13" s="35" customFormat="1" ht="15.75" hidden="1" customHeight="1" x14ac:dyDescent="0.25">
      <c r="A173" s="179" t="s">
        <v>262</v>
      </c>
      <c r="B173" s="180"/>
      <c r="C173" s="180"/>
      <c r="D173" s="180"/>
      <c r="E173" s="180"/>
      <c r="F173" s="181"/>
      <c r="G173" s="41"/>
      <c r="H173" s="41"/>
      <c r="I173"/>
      <c r="J173"/>
      <c r="K173"/>
      <c r="L173"/>
      <c r="M173"/>
    </row>
    <row r="174" spans="1:13" s="35" customFormat="1" ht="15.75" hidden="1" customHeight="1" x14ac:dyDescent="0.25">
      <c r="A174" s="75" t="s">
        <v>46</v>
      </c>
      <c r="B174" s="48" t="s">
        <v>47</v>
      </c>
      <c r="C174" s="182" t="s">
        <v>48</v>
      </c>
      <c r="D174" s="182"/>
      <c r="E174" s="183" t="s">
        <v>49</v>
      </c>
      <c r="F174" s="184"/>
      <c r="G174" s="250"/>
      <c r="H174" s="250"/>
      <c r="I174" s="233"/>
      <c r="J174" s="233"/>
      <c r="K174" s="233"/>
      <c r="L174" s="233"/>
    </row>
    <row r="175" spans="1:13" s="35" customFormat="1" ht="15.75" hidden="1" x14ac:dyDescent="0.25">
      <c r="A175" s="94" t="s">
        <v>263</v>
      </c>
      <c r="B175" s="95"/>
      <c r="C175" s="234"/>
      <c r="D175" s="235"/>
      <c r="E175" s="234"/>
      <c r="F175" s="236"/>
      <c r="G175" s="237"/>
      <c r="H175" s="238"/>
      <c r="I175" s="233"/>
      <c r="J175" s="233"/>
      <c r="K175" s="233"/>
      <c r="L175" s="233"/>
    </row>
    <row r="176" spans="1:13" s="35" customFormat="1" ht="15.75" hidden="1" customHeight="1" x14ac:dyDescent="0.25">
      <c r="A176" s="94" t="s">
        <v>264</v>
      </c>
      <c r="B176" s="95"/>
      <c r="C176" s="234"/>
      <c r="D176" s="235"/>
      <c r="E176" s="234"/>
      <c r="F176" s="236"/>
      <c r="G176" s="237"/>
      <c r="H176" s="238"/>
    </row>
    <row r="177" spans="1:13" s="35" customFormat="1" ht="16.5" hidden="1" thickBot="1" x14ac:dyDescent="0.3">
      <c r="A177" s="96" t="s">
        <v>50</v>
      </c>
      <c r="B177" s="97">
        <f>SUM(B175:B176)</f>
        <v>0</v>
      </c>
      <c r="C177" s="303">
        <f>SUM(C175:C176)</f>
        <v>0</v>
      </c>
      <c r="D177" s="304"/>
      <c r="E177" s="305">
        <f>SUM(E175:E176)</f>
        <v>0</v>
      </c>
      <c r="F177" s="306"/>
      <c r="G177" s="161"/>
      <c r="H177" s="162"/>
      <c r="J177" s="36"/>
    </row>
    <row r="178" spans="1:13" s="35" customFormat="1" ht="15.75" hidden="1" customHeight="1" x14ac:dyDescent="0.25">
      <c r="A178" s="179" t="s">
        <v>265</v>
      </c>
      <c r="B178" s="180"/>
      <c r="C178" s="180"/>
      <c r="D178" s="180"/>
      <c r="E178" s="180"/>
      <c r="F178" s="181"/>
      <c r="G178" s="41"/>
      <c r="H178" s="41"/>
      <c r="I178"/>
      <c r="J178"/>
      <c r="K178"/>
      <c r="L178"/>
      <c r="M178"/>
    </row>
    <row r="179" spans="1:13" s="35" customFormat="1" ht="15.75" hidden="1" customHeight="1" x14ac:dyDescent="0.25">
      <c r="A179" s="75" t="s">
        <v>46</v>
      </c>
      <c r="B179" s="48" t="s">
        <v>47</v>
      </c>
      <c r="C179" s="182" t="s">
        <v>48</v>
      </c>
      <c r="D179" s="182"/>
      <c r="E179" s="183" t="s">
        <v>49</v>
      </c>
      <c r="F179" s="184"/>
      <c r="G179" s="250"/>
      <c r="H179" s="250"/>
      <c r="I179" s="233"/>
      <c r="J179" s="233"/>
      <c r="K179" s="233"/>
      <c r="L179" s="233"/>
    </row>
    <row r="180" spans="1:13" s="35" customFormat="1" ht="15.75" hidden="1" x14ac:dyDescent="0.25">
      <c r="A180" s="94" t="s">
        <v>264</v>
      </c>
      <c r="B180" s="95"/>
      <c r="C180" s="234"/>
      <c r="D180" s="235"/>
      <c r="E180" s="234"/>
      <c r="F180" s="236"/>
      <c r="G180" s="237"/>
      <c r="H180" s="238"/>
      <c r="I180" s="233"/>
      <c r="J180" s="233"/>
      <c r="K180" s="233"/>
      <c r="L180" s="233"/>
    </row>
    <row r="181" spans="1:13" s="35" customFormat="1" ht="15.75" hidden="1" customHeight="1" x14ac:dyDescent="0.25">
      <c r="A181" s="94" t="s">
        <v>266</v>
      </c>
      <c r="B181" s="95"/>
      <c r="C181" s="234"/>
      <c r="D181" s="235"/>
      <c r="E181" s="234"/>
      <c r="F181" s="236"/>
      <c r="G181" s="237"/>
      <c r="H181" s="238"/>
    </row>
    <row r="182" spans="1:13" s="35" customFormat="1" ht="16.5" hidden="1" thickBot="1" x14ac:dyDescent="0.3">
      <c r="A182" s="96" t="s">
        <v>50</v>
      </c>
      <c r="B182" s="97">
        <f>SUM(B180:B181)</f>
        <v>0</v>
      </c>
      <c r="C182" s="303">
        <f>SUM(C180:C181)</f>
        <v>0</v>
      </c>
      <c r="D182" s="304"/>
      <c r="E182" s="305">
        <f>SUM(E180:E181)</f>
        <v>0</v>
      </c>
      <c r="F182" s="306"/>
      <c r="G182" s="161"/>
      <c r="H182" s="162"/>
      <c r="J182" s="36"/>
    </row>
    <row r="183" spans="1:13" s="35" customFormat="1" ht="15.75" customHeight="1" x14ac:dyDescent="0.25">
      <c r="A183" s="212" t="s">
        <v>268</v>
      </c>
      <c r="B183" s="213"/>
      <c r="C183" s="213"/>
      <c r="D183" s="213"/>
      <c r="E183" s="213"/>
      <c r="F183" s="214"/>
      <c r="G183" s="41"/>
      <c r="H183" s="41"/>
    </row>
    <row r="184" spans="1:13" s="35" customFormat="1" ht="15.75" customHeight="1" x14ac:dyDescent="0.25">
      <c r="A184" s="75" t="s">
        <v>46</v>
      </c>
      <c r="B184" s="48" t="s">
        <v>47</v>
      </c>
      <c r="C184" s="182" t="s">
        <v>48</v>
      </c>
      <c r="D184" s="182"/>
      <c r="E184" s="183" t="s">
        <v>49</v>
      </c>
      <c r="F184" s="184"/>
      <c r="G184" s="250"/>
      <c r="H184" s="250"/>
    </row>
    <row r="185" spans="1:13" s="35" customFormat="1" ht="29.25" customHeight="1" thickBot="1" x14ac:dyDescent="0.3">
      <c r="A185" s="94" t="s">
        <v>319</v>
      </c>
      <c r="B185" s="95">
        <f>COUNT(C219:C220)+COUNT(C222:C225)*29+COUNT(C227:C230)*4+COUNT(C232:C234)*4+COUNT(C237:C239)</f>
        <v>149</v>
      </c>
      <c r="C185" s="234">
        <f>SUM(C219:C220)+SUM(C222:C225)*29+SUM(C227:C230)*4+SUM(C232:C234)*4+SUM(C237:C239)</f>
        <v>147427.29611999996</v>
      </c>
      <c r="D185" s="235"/>
      <c r="E185" s="234">
        <f>SUM(F219:F220)+SUM(F222:F225)*29+SUM(F227:F230)*4+SUM(F232:F234)*4+SUM(F237:F239)</f>
        <v>235883.67379199993</v>
      </c>
      <c r="F185" s="236"/>
      <c r="G185" s="237"/>
      <c r="H185" s="237"/>
    </row>
    <row r="186" spans="1:13" s="35" customFormat="1" ht="16.5" thickBot="1" x14ac:dyDescent="0.3">
      <c r="A186" s="98" t="s">
        <v>267</v>
      </c>
      <c r="B186" s="99">
        <f>B185</f>
        <v>149</v>
      </c>
      <c r="C186" s="195">
        <f>C185</f>
        <v>147427.29611999996</v>
      </c>
      <c r="D186" s="196"/>
      <c r="E186" s="195">
        <f>E185</f>
        <v>235883.67379199993</v>
      </c>
      <c r="F186" s="197"/>
      <c r="G186" s="161"/>
      <c r="H186" s="162"/>
    </row>
    <row r="187" spans="1:13" s="37" customFormat="1" ht="15.75" x14ac:dyDescent="0.25">
      <c r="A187" s="398" t="s">
        <v>51</v>
      </c>
      <c r="B187" s="399"/>
      <c r="C187" s="399"/>
      <c r="D187" s="399"/>
      <c r="E187" s="399"/>
      <c r="F187" s="400"/>
      <c r="G187" s="42"/>
      <c r="H187" s="42"/>
    </row>
    <row r="188" spans="1:13" s="38" customFormat="1" ht="15.75" hidden="1" x14ac:dyDescent="0.25">
      <c r="A188" s="189" t="s">
        <v>59</v>
      </c>
      <c r="B188" s="190"/>
      <c r="C188" s="190"/>
      <c r="D188" s="190"/>
      <c r="E188" s="190"/>
      <c r="F188" s="191"/>
      <c r="G188" s="42"/>
      <c r="H188" s="42"/>
    </row>
    <row r="189" spans="1:13" s="38" customFormat="1" ht="26.45" hidden="1" customHeight="1" x14ac:dyDescent="0.25">
      <c r="A189" s="198" t="s">
        <v>67</v>
      </c>
      <c r="B189" s="328" t="s">
        <v>53</v>
      </c>
      <c r="C189" s="328" t="s">
        <v>54</v>
      </c>
      <c r="D189" s="328" t="s">
        <v>57</v>
      </c>
      <c r="E189" s="345" t="s">
        <v>55</v>
      </c>
      <c r="F189" s="150" t="s">
        <v>58</v>
      </c>
      <c r="G189" s="327"/>
      <c r="H189" s="327"/>
    </row>
    <row r="190" spans="1:13" s="38" customFormat="1" ht="15.75" hidden="1" x14ac:dyDescent="0.25">
      <c r="A190" s="199"/>
      <c r="B190" s="329"/>
      <c r="C190" s="329"/>
      <c r="D190" s="329"/>
      <c r="E190" s="346"/>
      <c r="F190" s="151">
        <v>0.6</v>
      </c>
      <c r="G190" s="327"/>
      <c r="H190" s="327"/>
      <c r="J190" s="63"/>
      <c r="K190" s="63"/>
      <c r="L190" s="63"/>
      <c r="M190" s="63"/>
    </row>
    <row r="191" spans="1:13" s="37" customFormat="1" ht="15.75" hidden="1" x14ac:dyDescent="0.25">
      <c r="A191" s="189" t="s">
        <v>319</v>
      </c>
      <c r="B191" s="190"/>
      <c r="C191" s="190"/>
      <c r="D191" s="190"/>
      <c r="E191" s="190"/>
      <c r="F191" s="191"/>
      <c r="G191" s="42"/>
      <c r="H191" s="42"/>
      <c r="J191" s="62"/>
      <c r="K191" s="62"/>
      <c r="L191" s="62"/>
      <c r="M191" s="62"/>
    </row>
    <row r="192" spans="1:13" s="39" customFormat="1" ht="15.75" hidden="1" customHeight="1" x14ac:dyDescent="0.25">
      <c r="A192" s="192" t="s">
        <v>56</v>
      </c>
      <c r="B192" s="193"/>
      <c r="C192" s="193"/>
      <c r="D192" s="193"/>
      <c r="E192" s="193"/>
      <c r="F192" s="194"/>
      <c r="G192" s="43"/>
      <c r="H192" s="43"/>
      <c r="J192" s="61"/>
      <c r="K192" s="58"/>
      <c r="L192" s="61"/>
      <c r="M192" s="61"/>
    </row>
    <row r="193" spans="1:14" s="39" customFormat="1" ht="15.75" hidden="1" x14ac:dyDescent="0.25">
      <c r="A193" s="152">
        <v>1</v>
      </c>
      <c r="B193" s="100"/>
      <c r="C193" s="100"/>
      <c r="D193" s="101">
        <f>C193*1.2</f>
        <v>0</v>
      </c>
      <c r="E193" s="100">
        <v>0</v>
      </c>
      <c r="F193" s="153">
        <f>(C193+E193)*(($F$190)+1)</f>
        <v>0</v>
      </c>
      <c r="G193" s="325"/>
      <c r="H193" s="325"/>
      <c r="I193" s="40"/>
      <c r="J193" s="59"/>
      <c r="K193" s="61"/>
      <c r="L193" s="326"/>
      <c r="M193" s="326"/>
      <c r="N193" s="40"/>
    </row>
    <row r="194" spans="1:14" hidden="1" x14ac:dyDescent="0.25">
      <c r="A194" s="152">
        <f>A193+1</f>
        <v>2</v>
      </c>
      <c r="B194" s="100"/>
      <c r="C194" s="100"/>
      <c r="D194" s="101">
        <f t="shared" ref="D194:D198" si="1">C194*1.2</f>
        <v>0</v>
      </c>
      <c r="E194" s="100">
        <v>0</v>
      </c>
      <c r="F194" s="153">
        <f t="shared" ref="F194:F198" si="2">(C194+E194)*(($F$190)+1)</f>
        <v>0</v>
      </c>
      <c r="J194" s="60"/>
      <c r="K194" s="60"/>
      <c r="L194" s="60"/>
      <c r="M194" s="60"/>
    </row>
    <row r="195" spans="1:14" hidden="1" x14ac:dyDescent="0.25">
      <c r="A195" s="152">
        <f t="shared" ref="A195:A198" si="3">A194+1</f>
        <v>3</v>
      </c>
      <c r="B195" s="100"/>
      <c r="C195" s="100"/>
      <c r="D195" s="101">
        <f t="shared" si="1"/>
        <v>0</v>
      </c>
      <c r="E195" s="100">
        <v>0</v>
      </c>
      <c r="F195" s="153">
        <f t="shared" si="2"/>
        <v>0</v>
      </c>
    </row>
    <row r="196" spans="1:14" hidden="1" x14ac:dyDescent="0.25">
      <c r="A196" s="152">
        <f t="shared" si="3"/>
        <v>4</v>
      </c>
      <c r="B196" s="100"/>
      <c r="C196" s="100"/>
      <c r="D196" s="101">
        <f t="shared" si="1"/>
        <v>0</v>
      </c>
      <c r="E196" s="100">
        <v>0</v>
      </c>
      <c r="F196" s="153">
        <f t="shared" si="2"/>
        <v>0</v>
      </c>
    </row>
    <row r="197" spans="1:14" hidden="1" x14ac:dyDescent="0.25">
      <c r="A197" s="152">
        <f t="shared" si="3"/>
        <v>5</v>
      </c>
      <c r="B197" s="100"/>
      <c r="C197" s="100"/>
      <c r="D197" s="101">
        <f t="shared" si="1"/>
        <v>0</v>
      </c>
      <c r="E197" s="100">
        <v>0</v>
      </c>
      <c r="F197" s="153">
        <f t="shared" si="2"/>
        <v>0</v>
      </c>
    </row>
    <row r="198" spans="1:14" hidden="1" x14ac:dyDescent="0.25">
      <c r="A198" s="152">
        <f t="shared" si="3"/>
        <v>6</v>
      </c>
      <c r="B198" s="100"/>
      <c r="C198" s="100"/>
      <c r="D198" s="101">
        <f t="shared" si="1"/>
        <v>0</v>
      </c>
      <c r="E198" s="100">
        <v>0</v>
      </c>
      <c r="F198" s="153">
        <f t="shared" si="2"/>
        <v>0</v>
      </c>
    </row>
    <row r="199" spans="1:14" s="39" customFormat="1" ht="15.75" hidden="1" customHeight="1" x14ac:dyDescent="0.25">
      <c r="A199" s="192" t="s">
        <v>239</v>
      </c>
      <c r="B199" s="193"/>
      <c r="C199" s="193"/>
      <c r="D199" s="193"/>
      <c r="E199" s="193"/>
      <c r="F199" s="194"/>
      <c r="G199" s="43"/>
      <c r="H199" s="43"/>
      <c r="J199" s="61"/>
      <c r="K199" s="58"/>
      <c r="L199" s="61"/>
      <c r="M199" s="61"/>
    </row>
    <row r="200" spans="1:14" s="39" customFormat="1" ht="15.75" hidden="1" x14ac:dyDescent="0.25">
      <c r="A200" s="152">
        <v>1</v>
      </c>
      <c r="B200" s="100"/>
      <c r="C200" s="100"/>
      <c r="D200" s="101">
        <f>C200*1.2</f>
        <v>0</v>
      </c>
      <c r="E200" s="100">
        <v>0</v>
      </c>
      <c r="F200" s="153">
        <f>(C200+E200)*(($F$190)+1)</f>
        <v>0</v>
      </c>
      <c r="G200" s="325"/>
      <c r="H200" s="325"/>
      <c r="I200" s="40"/>
      <c r="J200" s="59"/>
      <c r="K200" s="61"/>
      <c r="L200" s="326"/>
      <c r="M200" s="326"/>
      <c r="N200" s="40"/>
    </row>
    <row r="201" spans="1:14" hidden="1" x14ac:dyDescent="0.25">
      <c r="A201" s="152">
        <f>A200+1</f>
        <v>2</v>
      </c>
      <c r="B201" s="100"/>
      <c r="C201" s="100"/>
      <c r="D201" s="101">
        <f t="shared" ref="D201:D205" si="4">C201*1.2</f>
        <v>0</v>
      </c>
      <c r="E201" s="100">
        <v>0</v>
      </c>
      <c r="F201" s="153">
        <f t="shared" ref="F201:F205" si="5">(C201+E201)*(($F$190)+1)</f>
        <v>0</v>
      </c>
      <c r="J201" s="60"/>
      <c r="K201" s="60"/>
      <c r="L201" s="60"/>
      <c r="M201" s="60"/>
    </row>
    <row r="202" spans="1:14" hidden="1" x14ac:dyDescent="0.25">
      <c r="A202" s="152">
        <f t="shared" ref="A202:A205" si="6">A201+1</f>
        <v>3</v>
      </c>
      <c r="B202" s="100"/>
      <c r="C202" s="100"/>
      <c r="D202" s="101">
        <f t="shared" si="4"/>
        <v>0</v>
      </c>
      <c r="E202" s="100">
        <v>0</v>
      </c>
      <c r="F202" s="153">
        <f t="shared" si="5"/>
        <v>0</v>
      </c>
      <c r="J202" s="60"/>
      <c r="K202" s="60"/>
      <c r="L202" s="60"/>
      <c r="M202" s="60"/>
    </row>
    <row r="203" spans="1:14" hidden="1" x14ac:dyDescent="0.25">
      <c r="A203" s="152">
        <f t="shared" si="6"/>
        <v>4</v>
      </c>
      <c r="B203" s="100"/>
      <c r="C203" s="100"/>
      <c r="D203" s="101">
        <f t="shared" si="4"/>
        <v>0</v>
      </c>
      <c r="E203" s="100">
        <v>0</v>
      </c>
      <c r="F203" s="153">
        <f t="shared" si="5"/>
        <v>0</v>
      </c>
      <c r="J203" s="60"/>
      <c r="K203" s="60"/>
      <c r="L203" s="60"/>
      <c r="M203" s="60"/>
    </row>
    <row r="204" spans="1:14" hidden="1" x14ac:dyDescent="0.25">
      <c r="A204" s="152">
        <f t="shared" si="6"/>
        <v>5</v>
      </c>
      <c r="B204" s="100"/>
      <c r="C204" s="100"/>
      <c r="D204" s="101">
        <f t="shared" si="4"/>
        <v>0</v>
      </c>
      <c r="E204" s="100">
        <v>0</v>
      </c>
      <c r="F204" s="153">
        <f t="shared" si="5"/>
        <v>0</v>
      </c>
    </row>
    <row r="205" spans="1:14" hidden="1" x14ac:dyDescent="0.25">
      <c r="A205" s="152">
        <f t="shared" si="6"/>
        <v>6</v>
      </c>
      <c r="B205" s="100"/>
      <c r="C205" s="100"/>
      <c r="D205" s="101">
        <f t="shared" si="4"/>
        <v>0</v>
      </c>
      <c r="E205" s="100">
        <v>0</v>
      </c>
      <c r="F205" s="153">
        <f t="shared" si="5"/>
        <v>0</v>
      </c>
    </row>
    <row r="206" spans="1:14" s="39" customFormat="1" ht="15.75" hidden="1" customHeight="1" x14ac:dyDescent="0.25">
      <c r="A206" s="192" t="s">
        <v>240</v>
      </c>
      <c r="B206" s="193"/>
      <c r="C206" s="193"/>
      <c r="D206" s="193"/>
      <c r="E206" s="193"/>
      <c r="F206" s="194"/>
      <c r="G206" s="43"/>
      <c r="H206" s="43"/>
      <c r="J206" s="61"/>
      <c r="K206" s="58"/>
      <c r="L206" s="61"/>
      <c r="M206" s="61"/>
    </row>
    <row r="207" spans="1:14" s="39" customFormat="1" ht="15.75" hidden="1" x14ac:dyDescent="0.25">
      <c r="A207" s="152">
        <v>1</v>
      </c>
      <c r="B207" s="100"/>
      <c r="C207" s="100"/>
      <c r="D207" s="101">
        <f>C207*1.2</f>
        <v>0</v>
      </c>
      <c r="E207" s="100">
        <v>0</v>
      </c>
      <c r="F207" s="153">
        <f>(C207+E207)*(($F$190)+1)</f>
        <v>0</v>
      </c>
      <c r="G207" s="325"/>
      <c r="H207" s="325"/>
      <c r="I207" s="40"/>
      <c r="J207" s="59"/>
      <c r="K207" s="61"/>
      <c r="L207" s="326"/>
      <c r="M207" s="326"/>
      <c r="N207" s="40"/>
    </row>
    <row r="208" spans="1:14" hidden="1" x14ac:dyDescent="0.25">
      <c r="A208" s="152">
        <f>A207+1</f>
        <v>2</v>
      </c>
      <c r="B208" s="100"/>
      <c r="C208" s="100"/>
      <c r="D208" s="101">
        <f t="shared" ref="D208:D212" si="7">C208*1.2</f>
        <v>0</v>
      </c>
      <c r="E208" s="100">
        <v>0</v>
      </c>
      <c r="F208" s="153">
        <f t="shared" ref="F208:F212" si="8">(C208+E208)*(($F$190)+1)</f>
        <v>0</v>
      </c>
      <c r="J208" s="60"/>
      <c r="K208" s="60"/>
      <c r="L208" s="60"/>
      <c r="M208" s="60"/>
    </row>
    <row r="209" spans="1:14" hidden="1" x14ac:dyDescent="0.25">
      <c r="A209" s="152">
        <f t="shared" ref="A209:A212" si="9">A208+1</f>
        <v>3</v>
      </c>
      <c r="B209" s="100"/>
      <c r="C209" s="100"/>
      <c r="D209" s="101">
        <f t="shared" si="7"/>
        <v>0</v>
      </c>
      <c r="E209" s="100">
        <v>0</v>
      </c>
      <c r="F209" s="153">
        <f t="shared" si="8"/>
        <v>0</v>
      </c>
      <c r="J209" s="60"/>
      <c r="K209" s="60"/>
      <c r="L209" s="60"/>
      <c r="M209" s="60"/>
    </row>
    <row r="210" spans="1:14" hidden="1" x14ac:dyDescent="0.25">
      <c r="A210" s="152">
        <f t="shared" si="9"/>
        <v>4</v>
      </c>
      <c r="B210" s="100"/>
      <c r="C210" s="100"/>
      <c r="D210" s="101">
        <f t="shared" si="7"/>
        <v>0</v>
      </c>
      <c r="E210" s="100">
        <v>0</v>
      </c>
      <c r="F210" s="153">
        <f t="shared" si="8"/>
        <v>0</v>
      </c>
    </row>
    <row r="211" spans="1:14" hidden="1" x14ac:dyDescent="0.25">
      <c r="A211" s="152">
        <f t="shared" si="9"/>
        <v>5</v>
      </c>
      <c r="B211" s="100"/>
      <c r="C211" s="100"/>
      <c r="D211" s="101">
        <f t="shared" si="7"/>
        <v>0</v>
      </c>
      <c r="E211" s="100">
        <v>0</v>
      </c>
      <c r="F211" s="153">
        <f t="shared" si="8"/>
        <v>0</v>
      </c>
    </row>
    <row r="212" spans="1:14" hidden="1" x14ac:dyDescent="0.25">
      <c r="A212" s="152">
        <f t="shared" si="9"/>
        <v>6</v>
      </c>
      <c r="B212" s="100"/>
      <c r="C212" s="100"/>
      <c r="D212" s="101">
        <f t="shared" si="7"/>
        <v>0</v>
      </c>
      <c r="E212" s="100">
        <v>0</v>
      </c>
      <c r="F212" s="153">
        <f t="shared" si="8"/>
        <v>0</v>
      </c>
    </row>
    <row r="213" spans="1:14" s="38" customFormat="1" ht="15.75" hidden="1" x14ac:dyDescent="0.25">
      <c r="A213" s="330"/>
      <c r="B213" s="331"/>
      <c r="C213" s="331"/>
      <c r="D213" s="331"/>
      <c r="E213" s="331"/>
      <c r="F213" s="332"/>
      <c r="G213" s="42"/>
      <c r="H213" s="42"/>
    </row>
    <row r="214" spans="1:14" s="38" customFormat="1" ht="15.75" x14ac:dyDescent="0.25">
      <c r="A214" s="189" t="s">
        <v>52</v>
      </c>
      <c r="B214" s="190"/>
      <c r="C214" s="190"/>
      <c r="D214" s="190"/>
      <c r="E214" s="190"/>
      <c r="F214" s="191"/>
      <c r="G214" s="42"/>
      <c r="H214" s="42"/>
    </row>
    <row r="215" spans="1:14" s="38" customFormat="1" ht="27.6" customHeight="1" x14ac:dyDescent="0.25">
      <c r="A215" s="198" t="s">
        <v>269</v>
      </c>
      <c r="B215" s="328" t="s">
        <v>53</v>
      </c>
      <c r="C215" s="328" t="s">
        <v>54</v>
      </c>
      <c r="D215" s="328" t="s">
        <v>57</v>
      </c>
      <c r="E215" s="345" t="s">
        <v>55</v>
      </c>
      <c r="F215" s="150" t="s">
        <v>282</v>
      </c>
      <c r="G215" s="327"/>
      <c r="H215" s="327"/>
      <c r="I215" s="327"/>
      <c r="J215" s="327"/>
      <c r="K215" s="327"/>
    </row>
    <row r="216" spans="1:14" s="38" customFormat="1" ht="15.75" x14ac:dyDescent="0.25">
      <c r="A216" s="199"/>
      <c r="B216" s="329"/>
      <c r="C216" s="329"/>
      <c r="D216" s="329"/>
      <c r="E216" s="346"/>
      <c r="F216" s="151">
        <v>0.6</v>
      </c>
      <c r="G216" s="327"/>
      <c r="H216" s="327"/>
      <c r="I216" s="63"/>
      <c r="J216" s="63"/>
      <c r="K216" s="60"/>
    </row>
    <row r="217" spans="1:14" s="37" customFormat="1" ht="15.75" x14ac:dyDescent="0.25">
      <c r="A217" s="189" t="s">
        <v>319</v>
      </c>
      <c r="B217" s="190"/>
      <c r="C217" s="190"/>
      <c r="D217" s="190"/>
      <c r="E217" s="190"/>
      <c r="F217" s="191"/>
      <c r="G217" s="228"/>
      <c r="H217" s="228"/>
      <c r="I217" s="228"/>
      <c r="J217" s="228"/>
      <c r="K217" s="228"/>
    </row>
    <row r="218" spans="1:14" s="39" customFormat="1" ht="15.75" customHeight="1" x14ac:dyDescent="0.25">
      <c r="A218" s="342" t="s">
        <v>335</v>
      </c>
      <c r="B218" s="343"/>
      <c r="C218" s="343"/>
      <c r="D218" s="343"/>
      <c r="E218" s="343"/>
      <c r="F218" s="344"/>
      <c r="G218" s="43"/>
      <c r="H218" s="43"/>
      <c r="I218" s="61"/>
      <c r="J218" s="61"/>
      <c r="K218" s="60"/>
      <c r="L218" s="61"/>
      <c r="M218" s="61"/>
    </row>
    <row r="219" spans="1:14" s="39" customFormat="1" ht="15.75" x14ac:dyDescent="0.25">
      <c r="A219" s="152">
        <v>1</v>
      </c>
      <c r="B219" s="100" t="s">
        <v>320</v>
      </c>
      <c r="C219" s="100">
        <f>70.7*10.764</f>
        <v>761.01480000000004</v>
      </c>
      <c r="D219" s="101">
        <f>C219*1.2</f>
        <v>913.21776</v>
      </c>
      <c r="E219" s="100">
        <v>0</v>
      </c>
      <c r="F219" s="153">
        <f>C219*(($F$216)+1)+(IF(E219&lt;101,E219,IF(E219&lt;201,E219/2,IF(E219&lt;=301,E219/3,E219/4))))</f>
        <v>1217.6236800000001</v>
      </c>
      <c r="G219" s="116">
        <f>3.35*5.6+1.53*0.2+1.52*1.25+1.63*0.93+2.45*3.05+3.05*3.65+3.2*3.05+2.48*0.6+0.15*1.8+5.05*1.53+1*(5.05)+2.25*1.5+2.45*1.7</f>
        <v>72.921400000000006</v>
      </c>
      <c r="H219" s="116"/>
      <c r="I219" s="58"/>
      <c r="J219" s="59"/>
      <c r="K219" s="60"/>
      <c r="L219" s="326"/>
      <c r="M219" s="326"/>
      <c r="N219" s="40"/>
    </row>
    <row r="220" spans="1:14" ht="15" customHeight="1" x14ac:dyDescent="0.25">
      <c r="A220" s="152">
        <f>A219+1</f>
        <v>2</v>
      </c>
      <c r="B220" s="100" t="s">
        <v>321</v>
      </c>
      <c r="C220" s="100">
        <f>86.86*10.764</f>
        <v>934.96103999999991</v>
      </c>
      <c r="D220" s="101">
        <f t="shared" ref="D220" si="10">C220*1.2</f>
        <v>1121.9532479999998</v>
      </c>
      <c r="E220" s="100">
        <v>0</v>
      </c>
      <c r="F220" s="153">
        <f>C220*(($F$216)+1)+(IF(E220&lt;101,E220,IF(E220&lt;201,E220/2,IF(E220&lt;=301,E220/3,E220/4))))</f>
        <v>1495.937664</v>
      </c>
      <c r="G220" s="116"/>
      <c r="H220" s="116"/>
      <c r="I220" s="60"/>
      <c r="J220" s="60"/>
      <c r="K220" s="60"/>
      <c r="L220" s="60"/>
      <c r="M220" s="60"/>
    </row>
    <row r="221" spans="1:14" s="39" customFormat="1" ht="78" customHeight="1" x14ac:dyDescent="0.25">
      <c r="A221" s="333" t="s">
        <v>357</v>
      </c>
      <c r="B221" s="334"/>
      <c r="C221" s="334"/>
      <c r="D221" s="334"/>
      <c r="E221" s="334"/>
      <c r="F221" s="335"/>
      <c r="G221" s="116"/>
      <c r="H221" s="116"/>
      <c r="I221" s="61"/>
      <c r="J221" s="61"/>
      <c r="K221" s="60"/>
      <c r="L221" s="61"/>
      <c r="M221" s="61"/>
    </row>
    <row r="222" spans="1:14" s="39" customFormat="1" ht="15.75" x14ac:dyDescent="0.25">
      <c r="A222" s="152">
        <v>1</v>
      </c>
      <c r="B222" s="100" t="s">
        <v>321</v>
      </c>
      <c r="C222" s="100">
        <f>86.86*10.764</f>
        <v>934.96103999999991</v>
      </c>
      <c r="D222" s="101">
        <f>C222*1.2</f>
        <v>1121.9532479999998</v>
      </c>
      <c r="E222" s="100">
        <v>0</v>
      </c>
      <c r="F222" s="153">
        <f>C222*(($F$216)+1)+(IF(E222&lt;101,E222,IF(E222&lt;201,E222/2,IF(E222&lt;=301,E222/3,E222/4))))</f>
        <v>1495.937664</v>
      </c>
      <c r="G222" s="116">
        <f>3.35*5.6+2.45*3.05+3.05*3.65+3.2*3.05+3.15*3.05+1.5*2.5+0.2*1.85+1.45*0.6+5.05*1.53+1.63*0.93+1.53*0.2+1.52*1.25+2.48*0.6+0.15*2.9+2*1+3.8*1+2.45*1.72+2.25*1.5</f>
        <v>88.482899999999987</v>
      </c>
      <c r="H222" s="116"/>
      <c r="I222" s="58"/>
      <c r="J222" s="59"/>
      <c r="K222" s="60"/>
      <c r="L222" s="326"/>
      <c r="M222" s="326"/>
      <c r="N222" s="40"/>
    </row>
    <row r="223" spans="1:14" ht="15" customHeight="1" x14ac:dyDescent="0.25">
      <c r="A223" s="152">
        <f>A222+1</f>
        <v>2</v>
      </c>
      <c r="B223" s="100" t="s">
        <v>321</v>
      </c>
      <c r="C223" s="100">
        <f>86.86*10.764</f>
        <v>934.96103999999991</v>
      </c>
      <c r="D223" s="101">
        <f t="shared" ref="D223:D225" si="11">C223*1.2</f>
        <v>1121.9532479999998</v>
      </c>
      <c r="E223" s="100">
        <v>0</v>
      </c>
      <c r="F223" s="153">
        <f>C223*(($F$216)+1)+(IF(E223&lt;101,E223,IF(E223&lt;201,E223/2,IF(E223&lt;=301,E223/3,E223/4))))</f>
        <v>1495.937664</v>
      </c>
      <c r="G223" s="116"/>
      <c r="H223" s="116"/>
      <c r="I223" s="60"/>
      <c r="J223" s="60"/>
      <c r="K223" s="60"/>
      <c r="L223" s="60"/>
      <c r="M223" s="60"/>
    </row>
    <row r="224" spans="1:14" ht="15" customHeight="1" x14ac:dyDescent="0.25">
      <c r="A224" s="152">
        <f t="shared" ref="A224:A225" si="12">A223+1</f>
        <v>3</v>
      </c>
      <c r="B224" s="100" t="s">
        <v>322</v>
      </c>
      <c r="C224" s="100">
        <f>97.71*10.764</f>
        <v>1051.7504399999998</v>
      </c>
      <c r="D224" s="101">
        <f t="shared" si="11"/>
        <v>1262.1005279999997</v>
      </c>
      <c r="E224" s="100">
        <v>0</v>
      </c>
      <c r="F224" s="153">
        <f>C224*(($F$216)+1)+(IF(E224&lt;101,E224,IF(E224&lt;201,E224/2,IF(E224&lt;=301,E224/3,E224/4))))</f>
        <v>1682.8007039999998</v>
      </c>
      <c r="G224" s="117">
        <f>3.35*6.1+1.52*1.68+2.45*3.05+3*3.65+3.2*3.67+2.6*1.52+3.77*3.35+2.45*1.53+2.45*1.53+2.6*1.52+0.2*(1+2.43)+2.48*0.6+1.93*1+0.93*1.98+3.65*1+2.45*1.72+2.25*1.5</f>
        <v>98.370000000000033</v>
      </c>
      <c r="H224" s="116"/>
      <c r="I224" s="60"/>
      <c r="J224" s="60"/>
      <c r="K224" s="60"/>
      <c r="L224" s="60"/>
      <c r="M224" s="60"/>
    </row>
    <row r="225" spans="1:14" ht="15.75" x14ac:dyDescent="0.25">
      <c r="A225" s="152">
        <f t="shared" si="12"/>
        <v>4</v>
      </c>
      <c r="B225" s="100" t="s">
        <v>322</v>
      </c>
      <c r="C225" s="100">
        <f>97.71*10.764</f>
        <v>1051.7504399999998</v>
      </c>
      <c r="D225" s="101">
        <f t="shared" si="11"/>
        <v>1262.1005279999997</v>
      </c>
      <c r="E225" s="100">
        <v>0</v>
      </c>
      <c r="F225" s="153">
        <f>C225*(($F$216)+1)+(IF(E225&lt;101,E225,IF(E225&lt;201,E225/2,IF(E225&lt;=301,E225/3,E225/4))))</f>
        <v>1682.8007039999998</v>
      </c>
      <c r="G225" s="116"/>
      <c r="H225" s="116"/>
      <c r="I225" s="60"/>
      <c r="J225" s="60"/>
      <c r="K225" s="58"/>
      <c r="L225" s="60"/>
      <c r="M225" s="60"/>
    </row>
    <row r="226" spans="1:14" s="39" customFormat="1" ht="39.75" customHeight="1" x14ac:dyDescent="0.25">
      <c r="A226" s="333" t="s">
        <v>356</v>
      </c>
      <c r="B226" s="334"/>
      <c r="C226" s="334"/>
      <c r="D226" s="334"/>
      <c r="E226" s="334"/>
      <c r="F226" s="335"/>
      <c r="G226" s="116"/>
      <c r="H226" s="116"/>
      <c r="I226" s="61"/>
      <c r="J226" s="61"/>
      <c r="K226" s="60"/>
      <c r="L226" s="61"/>
      <c r="M226" s="61"/>
    </row>
    <row r="227" spans="1:14" s="39" customFormat="1" ht="15.75" x14ac:dyDescent="0.25">
      <c r="A227" s="152">
        <v>1</v>
      </c>
      <c r="B227" s="100" t="s">
        <v>321</v>
      </c>
      <c r="C227" s="100">
        <f>86.86*10.764</f>
        <v>934.96103999999991</v>
      </c>
      <c r="D227" s="101">
        <f>C227*1.2</f>
        <v>1121.9532479999998</v>
      </c>
      <c r="E227" s="100">
        <v>0</v>
      </c>
      <c r="F227" s="153">
        <f>C227*(($F$216)+1)+(IF(E227&lt;101,E227,IF(E227&lt;201,E227/2,IF(E227&lt;=301,E227/3,E227/4))))</f>
        <v>1495.937664</v>
      </c>
      <c r="G227" s="116"/>
      <c r="I227" s="58"/>
      <c r="J227" s="59"/>
      <c r="K227" s="60"/>
      <c r="L227" s="326"/>
      <c r="M227" s="326"/>
      <c r="N227" s="40"/>
    </row>
    <row r="228" spans="1:14" x14ac:dyDescent="0.25">
      <c r="A228" s="152">
        <f>A227+1</f>
        <v>2</v>
      </c>
      <c r="B228" s="100" t="s">
        <v>321</v>
      </c>
      <c r="C228" s="100">
        <f>86.86*10.764</f>
        <v>934.96103999999991</v>
      </c>
      <c r="D228" s="101">
        <f t="shared" ref="D228:D230" si="13">C228*1.2</f>
        <v>1121.9532479999998</v>
      </c>
      <c r="E228" s="100">
        <v>0</v>
      </c>
      <c r="F228" s="153">
        <f>C228*(($F$216)+1)+(IF(E228&lt;101,E228,IF(E228&lt;201,E228/2,IF(E228&lt;=301,E228/3,E228/4))))</f>
        <v>1495.937664</v>
      </c>
      <c r="I228" s="60"/>
      <c r="J228" s="60"/>
      <c r="K228" s="60"/>
      <c r="L228" s="60"/>
      <c r="M228" s="60"/>
    </row>
    <row r="229" spans="1:14" x14ac:dyDescent="0.25">
      <c r="A229" s="152">
        <f t="shared" ref="A229:A230" si="14">A228+1</f>
        <v>3</v>
      </c>
      <c r="B229" s="100" t="s">
        <v>322</v>
      </c>
      <c r="C229" s="100">
        <f>97.71*10.764</f>
        <v>1051.7504399999998</v>
      </c>
      <c r="D229" s="101">
        <f t="shared" si="13"/>
        <v>1262.1005279999997</v>
      </c>
      <c r="E229" s="100">
        <v>0</v>
      </c>
      <c r="F229" s="153">
        <f>C229*(($F$216)+1)+(IF(E229&lt;101,E229,IF(E229&lt;201,E229/2,IF(E229&lt;=301,E229/3,E229/4))))</f>
        <v>1682.8007039999998</v>
      </c>
      <c r="I229" s="60"/>
      <c r="J229" s="60"/>
      <c r="K229" s="60"/>
      <c r="L229" s="60"/>
      <c r="M229" s="60"/>
    </row>
    <row r="230" spans="1:14" ht="15.75" x14ac:dyDescent="0.25">
      <c r="A230" s="152">
        <f t="shared" si="14"/>
        <v>4</v>
      </c>
      <c r="B230" s="100" t="s">
        <v>322</v>
      </c>
      <c r="C230" s="100">
        <f>97.71*10.764</f>
        <v>1051.7504399999998</v>
      </c>
      <c r="D230" s="101">
        <f t="shared" si="13"/>
        <v>1262.1005279999997</v>
      </c>
      <c r="E230" s="100">
        <v>0</v>
      </c>
      <c r="F230" s="153">
        <f>C230*(($F$216)+1)+(IF(E230&lt;101,E230,IF(E230&lt;201,E230/2,IF(E230&lt;=301,E230/3,E230/4))))</f>
        <v>1682.8007039999998</v>
      </c>
      <c r="I230" s="60"/>
      <c r="J230" s="60"/>
      <c r="K230" s="58"/>
      <c r="L230" s="60"/>
      <c r="M230" s="60"/>
    </row>
    <row r="231" spans="1:14" s="39" customFormat="1" ht="40.5" customHeight="1" x14ac:dyDescent="0.25">
      <c r="A231" s="333" t="s">
        <v>358</v>
      </c>
      <c r="B231" s="334"/>
      <c r="C231" s="334"/>
      <c r="D231" s="334"/>
      <c r="E231" s="334"/>
      <c r="F231" s="335"/>
      <c r="G231" s="43"/>
      <c r="H231" s="43"/>
      <c r="K231"/>
    </row>
    <row r="232" spans="1:14" s="39" customFormat="1" ht="15.75" x14ac:dyDescent="0.25">
      <c r="A232" s="152">
        <v>1</v>
      </c>
      <c r="B232" s="100" t="s">
        <v>321</v>
      </c>
      <c r="C232" s="100">
        <f>86.86*10.764</f>
        <v>934.96103999999991</v>
      </c>
      <c r="D232" s="101">
        <f>C232*1.2</f>
        <v>1121.9532479999998</v>
      </c>
      <c r="E232" s="100">
        <v>0</v>
      </c>
      <c r="F232" s="153">
        <f>C232*(($F$216)+1)+(IF(E232&lt;101,E232,IF(E232&lt;201,E232/2,IF(E232&lt;=301,E232/3,E232/4))))</f>
        <v>1495.937664</v>
      </c>
      <c r="G232" s="325"/>
      <c r="H232" s="325"/>
      <c r="I232" s="40"/>
      <c r="J232" s="44"/>
      <c r="K232"/>
      <c r="L232" s="341"/>
      <c r="M232" s="341"/>
      <c r="N232" s="40"/>
    </row>
    <row r="233" spans="1:14" x14ac:dyDescent="0.25">
      <c r="A233" s="152">
        <f>A232+1</f>
        <v>2</v>
      </c>
      <c r="B233" s="100" t="s">
        <v>321</v>
      </c>
      <c r="C233" s="100">
        <f>86.86*10.764</f>
        <v>934.96103999999991</v>
      </c>
      <c r="D233" s="101">
        <f t="shared" ref="D233:D234" si="15">C233*1.2</f>
        <v>1121.9532479999998</v>
      </c>
      <c r="E233" s="100">
        <v>0</v>
      </c>
      <c r="F233" s="153">
        <f>C233*(($F$216)+1)+(IF(E233&lt;101,E233,IF(E233&lt;201,E233/2,IF(E233&lt;=301,E233/3,E233/4))))</f>
        <v>1495.937664</v>
      </c>
      <c r="J233" s="60"/>
      <c r="K233" s="60"/>
      <c r="L233" s="60"/>
      <c r="M233" s="60"/>
    </row>
    <row r="234" spans="1:14" x14ac:dyDescent="0.25">
      <c r="A234" s="152">
        <f t="shared" ref="A234:A235" si="16">A233+1</f>
        <v>3</v>
      </c>
      <c r="B234" s="100" t="s">
        <v>322</v>
      </c>
      <c r="C234" s="100">
        <f>97.71*10.764</f>
        <v>1051.7504399999998</v>
      </c>
      <c r="D234" s="101">
        <f t="shared" si="15"/>
        <v>1262.1005279999997</v>
      </c>
      <c r="E234" s="100">
        <v>0</v>
      </c>
      <c r="F234" s="153">
        <f>C234*(($F$216)+1)+(IF(E234&lt;101,E234,IF(E234&lt;201,E234/2,IF(E234&lt;=301,E234/3,E234/4))))</f>
        <v>1682.8007039999998</v>
      </c>
      <c r="J234" s="60"/>
      <c r="K234" s="60"/>
      <c r="L234" s="60"/>
      <c r="M234" s="60"/>
    </row>
    <row r="235" spans="1:14" ht="15.75" x14ac:dyDescent="0.25">
      <c r="A235" s="152">
        <f t="shared" si="16"/>
        <v>4</v>
      </c>
      <c r="B235" s="229" t="s">
        <v>323</v>
      </c>
      <c r="C235" s="230"/>
      <c r="D235" s="230"/>
      <c r="E235" s="230"/>
      <c r="F235" s="231"/>
      <c r="J235" s="60"/>
      <c r="K235" s="62"/>
      <c r="L235" s="60"/>
      <c r="M235" s="60"/>
    </row>
    <row r="236" spans="1:14" s="39" customFormat="1" ht="15.75" customHeight="1" x14ac:dyDescent="0.25">
      <c r="A236" s="333" t="s">
        <v>352</v>
      </c>
      <c r="B236" s="334"/>
      <c r="C236" s="334"/>
      <c r="D236" s="334"/>
      <c r="E236" s="334"/>
      <c r="F236" s="335"/>
      <c r="G236" s="43"/>
      <c r="H236" s="43"/>
      <c r="J236" s="61"/>
      <c r="K236" s="58"/>
      <c r="L236" s="61"/>
      <c r="M236" s="61"/>
    </row>
    <row r="237" spans="1:14" s="39" customFormat="1" ht="15.75" x14ac:dyDescent="0.25">
      <c r="A237" s="152">
        <v>1</v>
      </c>
      <c r="B237" s="100" t="s">
        <v>321</v>
      </c>
      <c r="C237" s="100">
        <f>86.86*10.764</f>
        <v>934.96103999999991</v>
      </c>
      <c r="D237" s="101">
        <f>C237*1.2</f>
        <v>1121.9532479999998</v>
      </c>
      <c r="E237" s="100">
        <v>0</v>
      </c>
      <c r="F237" s="153">
        <f>C237*(($F$216)+1)+(IF(E237&lt;101,E237,IF(E237&lt;201,E237/2,IF(E237&lt;=301,E237/3,E237/4))))</f>
        <v>1495.937664</v>
      </c>
      <c r="G237" s="325"/>
      <c r="H237" s="325"/>
      <c r="I237" s="40"/>
      <c r="J237" s="59"/>
      <c r="K237" s="61"/>
      <c r="L237" s="326"/>
      <c r="M237" s="326"/>
      <c r="N237" s="40"/>
    </row>
    <row r="238" spans="1:14" x14ac:dyDescent="0.25">
      <c r="A238" s="152">
        <f>A237+1</f>
        <v>2</v>
      </c>
      <c r="B238" s="100" t="s">
        <v>321</v>
      </c>
      <c r="C238" s="100">
        <f>86.86*10.764</f>
        <v>934.96103999999991</v>
      </c>
      <c r="D238" s="101">
        <f t="shared" ref="D238:D239" si="17">C238*1.2</f>
        <v>1121.9532479999998</v>
      </c>
      <c r="E238" s="100">
        <v>0</v>
      </c>
      <c r="F238" s="153">
        <f>C238*(($F$216)+1)+(IF(E238&lt;101,E238,IF(E238&lt;201,E238/2,IF(E238&lt;=301,E238/3,E238/4))))</f>
        <v>1495.937664</v>
      </c>
      <c r="J238" s="60"/>
      <c r="K238" s="60"/>
      <c r="L238" s="60"/>
      <c r="M238" s="60"/>
    </row>
    <row r="239" spans="1:14" x14ac:dyDescent="0.25">
      <c r="A239" s="152">
        <f t="shared" ref="A239:A240" si="18">A238+1</f>
        <v>3</v>
      </c>
      <c r="B239" s="100" t="s">
        <v>322</v>
      </c>
      <c r="C239" s="100">
        <f>97.71*10.764</f>
        <v>1051.7504399999998</v>
      </c>
      <c r="D239" s="101">
        <f t="shared" si="17"/>
        <v>1262.1005279999997</v>
      </c>
      <c r="E239" s="100">
        <v>0</v>
      </c>
      <c r="F239" s="153">
        <f>C239*(($F$216)+1)+(IF(E239&lt;101,E239,IF(E239&lt;201,E239/2,IF(E239&lt;=301,E239/3,E239/4))))</f>
        <v>1682.8007039999998</v>
      </c>
      <c r="J239" s="60"/>
      <c r="K239" s="60"/>
      <c r="L239" s="60"/>
      <c r="M239" s="60"/>
    </row>
    <row r="240" spans="1:14" x14ac:dyDescent="0.25">
      <c r="A240" s="152">
        <f t="shared" si="18"/>
        <v>4</v>
      </c>
      <c r="B240" s="229" t="s">
        <v>323</v>
      </c>
      <c r="C240" s="230"/>
      <c r="D240" s="230"/>
      <c r="E240" s="230"/>
      <c r="F240" s="231"/>
      <c r="J240" s="60"/>
      <c r="K240" s="60"/>
      <c r="L240" s="60"/>
      <c r="M240" s="60"/>
    </row>
    <row r="241" spans="1:12" x14ac:dyDescent="0.25">
      <c r="A241" s="336" t="s">
        <v>60</v>
      </c>
      <c r="B241" s="337"/>
      <c r="C241" s="337"/>
      <c r="D241" s="337"/>
      <c r="E241" s="337"/>
      <c r="F241" s="338"/>
      <c r="I241" s="60"/>
      <c r="J241" s="60"/>
      <c r="K241" s="56"/>
    </row>
    <row r="242" spans="1:12" s="1" customFormat="1" ht="32.25" customHeight="1" x14ac:dyDescent="0.2">
      <c r="A242" s="139" t="s">
        <v>207</v>
      </c>
      <c r="B242" s="187" t="s">
        <v>270</v>
      </c>
      <c r="C242" s="188"/>
      <c r="D242" s="49" t="s">
        <v>208</v>
      </c>
      <c r="E242" s="187" t="s">
        <v>271</v>
      </c>
      <c r="F242" s="339"/>
      <c r="G242" s="53"/>
      <c r="H242" s="347"/>
      <c r="I242" s="347"/>
      <c r="J242" s="53"/>
      <c r="L242" s="55"/>
    </row>
    <row r="243" spans="1:12" s="1" customFormat="1" ht="12.75" x14ac:dyDescent="0.2">
      <c r="A243" s="139">
        <v>1</v>
      </c>
      <c r="B243" s="185" t="s">
        <v>319</v>
      </c>
      <c r="C243" s="186"/>
      <c r="D243" s="102">
        <v>20000</v>
      </c>
      <c r="E243" s="185" t="s">
        <v>272</v>
      </c>
      <c r="F243" s="340"/>
    </row>
    <row r="244" spans="1:12" s="1" customFormat="1" ht="61.5" customHeight="1" x14ac:dyDescent="0.2">
      <c r="A244" s="139" t="s">
        <v>209</v>
      </c>
      <c r="B244" s="49" t="s">
        <v>210</v>
      </c>
      <c r="C244" s="49" t="s">
        <v>211</v>
      </c>
      <c r="D244" s="49" t="s">
        <v>212</v>
      </c>
      <c r="E244" s="49" t="s">
        <v>213</v>
      </c>
      <c r="F244" s="135" t="s">
        <v>214</v>
      </c>
      <c r="G244" s="57"/>
      <c r="H244" s="57"/>
      <c r="I244" s="57"/>
      <c r="J244" s="57"/>
      <c r="K244" s="56"/>
      <c r="L244" s="57"/>
    </row>
    <row r="245" spans="1:12" s="1" customFormat="1" ht="12.75" x14ac:dyDescent="0.2">
      <c r="A245" s="139" t="s">
        <v>215</v>
      </c>
      <c r="B245" s="102" t="s">
        <v>245</v>
      </c>
      <c r="C245" s="102" t="s">
        <v>245</v>
      </c>
      <c r="D245" s="102"/>
      <c r="E245" s="102"/>
      <c r="F245" s="154"/>
      <c r="G245" s="56"/>
      <c r="H245" s="56"/>
      <c r="I245" s="56"/>
      <c r="J245" s="56"/>
      <c r="K245" s="56"/>
      <c r="L245" s="56"/>
    </row>
    <row r="246" spans="1:12" s="1" customFormat="1" ht="12.75" hidden="1" x14ac:dyDescent="0.2">
      <c r="A246" s="139" t="s">
        <v>216</v>
      </c>
      <c r="B246" s="102"/>
      <c r="C246" s="102"/>
      <c r="D246" s="102"/>
      <c r="E246" s="102"/>
      <c r="F246" s="154"/>
      <c r="G246" s="56"/>
      <c r="H246" s="56"/>
      <c r="I246" s="56"/>
      <c r="J246" s="56"/>
      <c r="K246" s="56"/>
      <c r="L246" s="56"/>
    </row>
    <row r="247" spans="1:12" s="1" customFormat="1" ht="12.75" hidden="1" x14ac:dyDescent="0.2">
      <c r="A247" s="139" t="s">
        <v>217</v>
      </c>
      <c r="B247" s="102"/>
      <c r="C247" s="102"/>
      <c r="D247" s="102"/>
      <c r="E247" s="102"/>
      <c r="F247" s="154"/>
    </row>
    <row r="248" spans="1:12" s="1" customFormat="1" ht="12.75" hidden="1" x14ac:dyDescent="0.2">
      <c r="A248" s="139" t="s">
        <v>218</v>
      </c>
      <c r="B248" s="102"/>
      <c r="C248" s="102"/>
      <c r="D248" s="102"/>
      <c r="E248" s="102"/>
      <c r="F248" s="154"/>
    </row>
    <row r="249" spans="1:12" s="1" customFormat="1" ht="60.75" customHeight="1" x14ac:dyDescent="0.2">
      <c r="A249" s="139" t="s">
        <v>219</v>
      </c>
      <c r="B249" s="49" t="s">
        <v>210</v>
      </c>
      <c r="C249" s="49" t="s">
        <v>211</v>
      </c>
      <c r="D249" s="187" t="s">
        <v>220</v>
      </c>
      <c r="E249" s="188"/>
      <c r="F249" s="135" t="s">
        <v>221</v>
      </c>
      <c r="G249" s="54"/>
      <c r="H249" s="54"/>
      <c r="I249" s="54"/>
      <c r="J249" s="54"/>
      <c r="L249" s="54"/>
    </row>
    <row r="250" spans="1:12" s="1" customFormat="1" ht="12.75" x14ac:dyDescent="0.2">
      <c r="A250" s="139" t="s">
        <v>222</v>
      </c>
      <c r="B250" s="102" t="s">
        <v>245</v>
      </c>
      <c r="C250" s="102" t="s">
        <v>245</v>
      </c>
      <c r="D250" s="185"/>
      <c r="E250" s="186"/>
      <c r="F250" s="154"/>
    </row>
    <row r="251" spans="1:12" s="1" customFormat="1" ht="12.75" hidden="1" x14ac:dyDescent="0.2">
      <c r="A251" s="139" t="s">
        <v>223</v>
      </c>
      <c r="B251" s="102"/>
      <c r="C251" s="102"/>
      <c r="D251" s="185"/>
      <c r="E251" s="186"/>
      <c r="F251" s="154"/>
    </row>
    <row r="252" spans="1:12" s="1" customFormat="1" ht="12.75" hidden="1" x14ac:dyDescent="0.2">
      <c r="A252" s="139" t="s">
        <v>224</v>
      </c>
      <c r="B252" s="102"/>
      <c r="C252" s="102"/>
      <c r="D252" s="185"/>
      <c r="E252" s="186"/>
      <c r="F252" s="154"/>
    </row>
    <row r="253" spans="1:12" s="1" customFormat="1" ht="60.75" customHeight="1" x14ac:dyDescent="0.25">
      <c r="A253" s="139" t="s">
        <v>225</v>
      </c>
      <c r="B253" s="49" t="s">
        <v>210</v>
      </c>
      <c r="C253" s="49" t="s">
        <v>211</v>
      </c>
      <c r="D253" s="187" t="s">
        <v>226</v>
      </c>
      <c r="E253" s="188"/>
      <c r="F253" s="135" t="s">
        <v>227</v>
      </c>
      <c r="G253" s="53"/>
      <c r="H253" s="53"/>
      <c r="I253" s="53"/>
      <c r="J253" s="55"/>
      <c r="K253" s="45"/>
      <c r="L253" s="53"/>
    </row>
    <row r="254" spans="1:12" s="1" customFormat="1" x14ac:dyDescent="0.25">
      <c r="A254" s="139" t="s">
        <v>145</v>
      </c>
      <c r="B254" s="102" t="s">
        <v>245</v>
      </c>
      <c r="C254" s="102">
        <v>800000</v>
      </c>
      <c r="D254" s="185"/>
      <c r="E254" s="186"/>
      <c r="F254" s="154"/>
      <c r="G254" s="53"/>
      <c r="H254" s="127" t="s">
        <v>354</v>
      </c>
      <c r="K254"/>
    </row>
    <row r="255" spans="1:12" s="1" customFormat="1" ht="24" x14ac:dyDescent="0.25">
      <c r="A255" s="139" t="s">
        <v>355</v>
      </c>
      <c r="B255" s="102" t="s">
        <v>245</v>
      </c>
      <c r="C255" s="102">
        <v>100000</v>
      </c>
      <c r="D255" s="185"/>
      <c r="E255" s="186"/>
      <c r="F255" s="154"/>
      <c r="G255" s="53"/>
      <c r="H255" s="116">
        <f>29682214/F229</f>
        <v>17638.579499904943</v>
      </c>
      <c r="K255" s="45"/>
    </row>
    <row r="256" spans="1:12" s="1" customFormat="1" ht="24" hidden="1" x14ac:dyDescent="0.25">
      <c r="A256" s="139" t="s">
        <v>228</v>
      </c>
      <c r="B256" s="102"/>
      <c r="C256" s="102"/>
      <c r="D256" s="185"/>
      <c r="E256" s="186"/>
      <c r="F256" s="154"/>
      <c r="G256" s="53"/>
      <c r="K256"/>
    </row>
    <row r="257" spans="1:11" s="1" customFormat="1" hidden="1" x14ac:dyDescent="0.25">
      <c r="A257" s="139" t="s">
        <v>229</v>
      </c>
      <c r="B257" s="102"/>
      <c r="C257" s="102"/>
      <c r="D257" s="185"/>
      <c r="E257" s="186"/>
      <c r="F257" s="154"/>
      <c r="G257" s="53"/>
      <c r="K257"/>
    </row>
    <row r="258" spans="1:11" s="1" customFormat="1" hidden="1" x14ac:dyDescent="0.25">
      <c r="A258" s="139" t="s">
        <v>230</v>
      </c>
      <c r="B258" s="102"/>
      <c r="C258" s="102"/>
      <c r="D258" s="185"/>
      <c r="E258" s="186"/>
      <c r="F258" s="154"/>
      <c r="G258" s="53"/>
      <c r="K258"/>
    </row>
    <row r="259" spans="1:11" s="1" customFormat="1" hidden="1" x14ac:dyDescent="0.25">
      <c r="A259" s="139" t="s">
        <v>231</v>
      </c>
      <c r="B259" s="102"/>
      <c r="C259" s="102"/>
      <c r="D259" s="185"/>
      <c r="E259" s="186"/>
      <c r="F259" s="154"/>
      <c r="G259" s="53"/>
      <c r="K259"/>
    </row>
    <row r="260" spans="1:11" s="1" customFormat="1" ht="30" hidden="1" customHeight="1" x14ac:dyDescent="0.25">
      <c r="A260" s="139" t="s">
        <v>232</v>
      </c>
      <c r="B260" s="102"/>
      <c r="C260" s="102"/>
      <c r="D260" s="185"/>
      <c r="E260" s="186"/>
      <c r="F260" s="154"/>
      <c r="G260" s="53"/>
      <c r="K260"/>
    </row>
    <row r="261" spans="1:11" s="1" customFormat="1" ht="30" hidden="1" customHeight="1" x14ac:dyDescent="0.25">
      <c r="A261" s="139" t="s">
        <v>233</v>
      </c>
      <c r="B261" s="102"/>
      <c r="C261" s="102"/>
      <c r="D261" s="185"/>
      <c r="E261" s="186"/>
      <c r="F261" s="154"/>
      <c r="G261" s="53"/>
      <c r="K261"/>
    </row>
    <row r="262" spans="1:11" s="1" customFormat="1" ht="30" hidden="1" customHeight="1" x14ac:dyDescent="0.25">
      <c r="A262" s="139" t="s">
        <v>234</v>
      </c>
      <c r="B262" s="102"/>
      <c r="C262" s="102"/>
      <c r="D262" s="185"/>
      <c r="E262" s="186"/>
      <c r="F262" s="154"/>
      <c r="G262" s="53"/>
      <c r="K262"/>
    </row>
    <row r="263" spans="1:11" s="45" customFormat="1" x14ac:dyDescent="0.25">
      <c r="A263" s="352" t="s">
        <v>61</v>
      </c>
      <c r="B263" s="353"/>
      <c r="C263" s="353"/>
      <c r="D263" s="353"/>
      <c r="E263" s="353"/>
      <c r="F263" s="354"/>
      <c r="K263"/>
    </row>
    <row r="264" spans="1:11" s="45" customFormat="1" x14ac:dyDescent="0.25">
      <c r="A264" s="155">
        <v>1</v>
      </c>
      <c r="B264" s="355" t="s">
        <v>359</v>
      </c>
      <c r="C264" s="355"/>
      <c r="D264" s="355"/>
      <c r="E264" s="355"/>
      <c r="F264" s="356"/>
      <c r="H264" s="129">
        <f>22500000/F219</f>
        <v>18478.615658985869</v>
      </c>
      <c r="K264"/>
    </row>
    <row r="265" spans="1:11" s="45" customFormat="1" x14ac:dyDescent="0.25">
      <c r="A265" s="155">
        <f t="shared" ref="A265:A274" si="19">A264+1</f>
        <v>2</v>
      </c>
      <c r="B265" s="355" t="s">
        <v>281</v>
      </c>
      <c r="C265" s="355"/>
      <c r="D265" s="355"/>
      <c r="E265" s="355"/>
      <c r="F265" s="356"/>
      <c r="K265"/>
    </row>
    <row r="266" spans="1:11" s="45" customFormat="1" x14ac:dyDescent="0.25">
      <c r="A266" s="155">
        <f t="shared" si="19"/>
        <v>3</v>
      </c>
      <c r="B266" s="357" t="str">
        <f>(IF(F215="Saleable area Loading :","We have considered Saleable area of Flats as per our Calculation.","We considered Saleable area of Flat as per Builder area Sheet."))</f>
        <v>We have considered Saleable area of Flats as per our Calculation.</v>
      </c>
      <c r="C266" s="358"/>
      <c r="D266" s="358"/>
      <c r="E266" s="358"/>
      <c r="F266" s="359"/>
      <c r="K266"/>
    </row>
    <row r="267" spans="1:11" s="45" customFormat="1" x14ac:dyDescent="0.25">
      <c r="A267" s="155">
        <f t="shared" si="19"/>
        <v>4</v>
      </c>
      <c r="B267" s="360" t="s">
        <v>273</v>
      </c>
      <c r="C267" s="360"/>
      <c r="D267" s="360"/>
      <c r="E267" s="360"/>
      <c r="F267" s="361"/>
      <c r="K267"/>
    </row>
    <row r="268" spans="1:11" s="45" customFormat="1" x14ac:dyDescent="0.25">
      <c r="A268" s="155">
        <f t="shared" si="19"/>
        <v>5</v>
      </c>
      <c r="B268" s="355" t="s">
        <v>274</v>
      </c>
      <c r="C268" s="355"/>
      <c r="D268" s="355"/>
      <c r="E268" s="355"/>
      <c r="F268" s="356"/>
      <c r="K268"/>
    </row>
    <row r="269" spans="1:11" s="45" customFormat="1" x14ac:dyDescent="0.25">
      <c r="A269" s="155">
        <f t="shared" si="19"/>
        <v>6</v>
      </c>
      <c r="B269" s="360" t="s">
        <v>340</v>
      </c>
      <c r="C269" s="360"/>
      <c r="D269" s="360"/>
      <c r="E269" s="360"/>
      <c r="F269" s="361"/>
      <c r="K269"/>
    </row>
    <row r="270" spans="1:11" s="45" customFormat="1" x14ac:dyDescent="0.25">
      <c r="A270" s="159">
        <f t="shared" si="19"/>
        <v>7</v>
      </c>
      <c r="B270" s="355" t="s">
        <v>275</v>
      </c>
      <c r="C270" s="355"/>
      <c r="D270" s="355"/>
      <c r="E270" s="355"/>
      <c r="F270" s="356"/>
      <c r="K270"/>
    </row>
    <row r="271" spans="1:11" s="45" customFormat="1" ht="30" customHeight="1" x14ac:dyDescent="0.25">
      <c r="A271" s="155">
        <f t="shared" si="19"/>
        <v>8</v>
      </c>
      <c r="B271" s="174" t="s">
        <v>276</v>
      </c>
      <c r="C271" s="175"/>
      <c r="D271" s="175"/>
      <c r="E271" s="175"/>
      <c r="F271" s="176"/>
      <c r="K271"/>
    </row>
    <row r="272" spans="1:11" s="45" customFormat="1" x14ac:dyDescent="0.25">
      <c r="A272" s="155">
        <f t="shared" si="19"/>
        <v>9</v>
      </c>
      <c r="B272" s="174" t="s">
        <v>353</v>
      </c>
      <c r="C272" s="175"/>
      <c r="D272" s="175"/>
      <c r="E272" s="175"/>
      <c r="F272" s="176"/>
      <c r="K272"/>
    </row>
    <row r="273" spans="1:11" s="45" customFormat="1" x14ac:dyDescent="0.25">
      <c r="A273" s="160">
        <f t="shared" si="19"/>
        <v>10</v>
      </c>
      <c r="B273" s="173" t="s">
        <v>360</v>
      </c>
      <c r="C273" s="173"/>
      <c r="D273" s="173"/>
      <c r="E273" s="173"/>
      <c r="F273" s="173"/>
      <c r="G273" s="45" t="s">
        <v>360</v>
      </c>
      <c r="K273"/>
    </row>
    <row r="274" spans="1:11" s="45" customFormat="1" x14ac:dyDescent="0.25">
      <c r="A274" s="160">
        <f t="shared" si="19"/>
        <v>11</v>
      </c>
      <c r="B274" s="173" t="s">
        <v>365</v>
      </c>
      <c r="C274" s="173"/>
      <c r="D274" s="173"/>
      <c r="E274" s="173"/>
      <c r="F274" s="173"/>
      <c r="K274"/>
    </row>
    <row r="275" spans="1:11" x14ac:dyDescent="0.25">
      <c r="A275" s="348" t="s">
        <v>62</v>
      </c>
      <c r="B275" s="348"/>
      <c r="C275" s="349" t="str">
        <f>B2</f>
        <v>Lodha Kandivali Project Tower 1</v>
      </c>
      <c r="D275" s="349"/>
      <c r="E275" s="349"/>
      <c r="F275" s="349"/>
    </row>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spans="1:1" hidden="1" x14ac:dyDescent="0.25"/>
    <row r="322" spans="1:1" hidden="1" x14ac:dyDescent="0.25"/>
    <row r="323" spans="1:1" hidden="1" x14ac:dyDescent="0.25"/>
    <row r="324" spans="1:1" hidden="1" x14ac:dyDescent="0.25"/>
    <row r="325" spans="1:1" hidden="1" x14ac:dyDescent="0.25"/>
    <row r="326" spans="1:1" hidden="1" x14ac:dyDescent="0.25"/>
    <row r="327" spans="1:1" hidden="1" x14ac:dyDescent="0.25"/>
    <row r="328" spans="1:1" hidden="1" x14ac:dyDescent="0.25"/>
    <row r="329" spans="1:1" hidden="1" x14ac:dyDescent="0.25"/>
    <row r="330" spans="1:1" hidden="1" x14ac:dyDescent="0.25"/>
    <row r="331" spans="1:1" x14ac:dyDescent="0.25">
      <c r="A331" s="50" t="s">
        <v>63</v>
      </c>
    </row>
    <row r="378" spans="1:1" x14ac:dyDescent="0.25">
      <c r="A378" s="50" t="s">
        <v>64</v>
      </c>
    </row>
    <row r="419" spans="1:6" ht="57" customHeight="1" x14ac:dyDescent="0.25">
      <c r="A419" s="51" t="s">
        <v>65</v>
      </c>
      <c r="B419" s="128" t="s">
        <v>368</v>
      </c>
      <c r="C419" s="350" t="s">
        <v>66</v>
      </c>
      <c r="D419" s="350"/>
      <c r="E419" s="351"/>
      <c r="F419" s="351"/>
    </row>
  </sheetData>
  <dataConsolidate/>
  <mergeCells count="364">
    <mergeCell ref="A125:F125"/>
    <mergeCell ref="B126:F126"/>
    <mergeCell ref="B127:C127"/>
    <mergeCell ref="D127:E127"/>
    <mergeCell ref="B128:C128"/>
    <mergeCell ref="D128:E128"/>
    <mergeCell ref="B129:F129"/>
    <mergeCell ref="E130:F130"/>
    <mergeCell ref="E131:F139"/>
    <mergeCell ref="G124:H124"/>
    <mergeCell ref="G189:H189"/>
    <mergeCell ref="A187:F187"/>
    <mergeCell ref="A188:F188"/>
    <mergeCell ref="G190:H190"/>
    <mergeCell ref="A189:A190"/>
    <mergeCell ref="A123:B123"/>
    <mergeCell ref="A124:B124"/>
    <mergeCell ref="C123:F123"/>
    <mergeCell ref="C124:F124"/>
    <mergeCell ref="C189:C190"/>
    <mergeCell ref="D189:D190"/>
    <mergeCell ref="E189:E190"/>
    <mergeCell ref="A170:F170"/>
    <mergeCell ref="C174:D174"/>
    <mergeCell ref="E174:F174"/>
    <mergeCell ref="G174:H174"/>
    <mergeCell ref="A173:F173"/>
    <mergeCell ref="G175:H175"/>
    <mergeCell ref="C176:D176"/>
    <mergeCell ref="G121:H121"/>
    <mergeCell ref="G122:H122"/>
    <mergeCell ref="G123:H123"/>
    <mergeCell ref="G110:H110"/>
    <mergeCell ref="E108:F108"/>
    <mergeCell ref="B108:C108"/>
    <mergeCell ref="B109:C109"/>
    <mergeCell ref="A119:B119"/>
    <mergeCell ref="C119:F119"/>
    <mergeCell ref="E109:F109"/>
    <mergeCell ref="A122:B122"/>
    <mergeCell ref="C122:F122"/>
    <mergeCell ref="A112:F112"/>
    <mergeCell ref="A113:D113"/>
    <mergeCell ref="E113:F113"/>
    <mergeCell ref="A114:D114"/>
    <mergeCell ref="E114:F114"/>
    <mergeCell ref="A111:B111"/>
    <mergeCell ref="A121:B121"/>
    <mergeCell ref="C121:F121"/>
    <mergeCell ref="A115:D115"/>
    <mergeCell ref="E115:F115"/>
    <mergeCell ref="A116:F116"/>
    <mergeCell ref="J82:L82"/>
    <mergeCell ref="A65:F65"/>
    <mergeCell ref="A61:F61"/>
    <mergeCell ref="A59:B59"/>
    <mergeCell ref="C59:F59"/>
    <mergeCell ref="G51:H51"/>
    <mergeCell ref="G52:H52"/>
    <mergeCell ref="G53:H53"/>
    <mergeCell ref="G54:H54"/>
    <mergeCell ref="A58:B58"/>
    <mergeCell ref="A63:B63"/>
    <mergeCell ref="A64:B64"/>
    <mergeCell ref="C62:F62"/>
    <mergeCell ref="C63:F63"/>
    <mergeCell ref="C64:F64"/>
    <mergeCell ref="A62:B62"/>
    <mergeCell ref="C58:F58"/>
    <mergeCell ref="C54:F54"/>
    <mergeCell ref="A52:F52"/>
    <mergeCell ref="A53:B53"/>
    <mergeCell ref="C53:F53"/>
    <mergeCell ref="A54:B54"/>
    <mergeCell ref="G62:H62"/>
    <mergeCell ref="G63:H63"/>
    <mergeCell ref="A275:B275"/>
    <mergeCell ref="C275:F275"/>
    <mergeCell ref="C419:D419"/>
    <mergeCell ref="E419:F419"/>
    <mergeCell ref="D258:E258"/>
    <mergeCell ref="D259:E259"/>
    <mergeCell ref="A263:F263"/>
    <mergeCell ref="B264:F264"/>
    <mergeCell ref="B265:F265"/>
    <mergeCell ref="B266:F266"/>
    <mergeCell ref="B267:F267"/>
    <mergeCell ref="B268:F268"/>
    <mergeCell ref="D254:E254"/>
    <mergeCell ref="D256:E256"/>
    <mergeCell ref="D257:E257"/>
    <mergeCell ref="C177:D177"/>
    <mergeCell ref="E177:F177"/>
    <mergeCell ref="E175:F175"/>
    <mergeCell ref="B269:F269"/>
    <mergeCell ref="B270:F270"/>
    <mergeCell ref="B272:F272"/>
    <mergeCell ref="B189:B190"/>
    <mergeCell ref="B274:F274"/>
    <mergeCell ref="L219:M219"/>
    <mergeCell ref="A213:F213"/>
    <mergeCell ref="A221:F221"/>
    <mergeCell ref="A241:F241"/>
    <mergeCell ref="B242:C242"/>
    <mergeCell ref="E242:F242"/>
    <mergeCell ref="B243:C243"/>
    <mergeCell ref="E243:F243"/>
    <mergeCell ref="L222:M222"/>
    <mergeCell ref="A236:F236"/>
    <mergeCell ref="G237:H237"/>
    <mergeCell ref="L237:M237"/>
    <mergeCell ref="A231:F231"/>
    <mergeCell ref="G232:H232"/>
    <mergeCell ref="L232:M232"/>
    <mergeCell ref="A226:F226"/>
    <mergeCell ref="L227:M227"/>
    <mergeCell ref="A217:F217"/>
    <mergeCell ref="A218:F218"/>
    <mergeCell ref="C215:C216"/>
    <mergeCell ref="D215:D216"/>
    <mergeCell ref="E215:E216"/>
    <mergeCell ref="G216:H216"/>
    <mergeCell ref="H242:I242"/>
    <mergeCell ref="A199:F199"/>
    <mergeCell ref="G200:H200"/>
    <mergeCell ref="L200:M200"/>
    <mergeCell ref="A206:F206"/>
    <mergeCell ref="G207:H207"/>
    <mergeCell ref="L207:M207"/>
    <mergeCell ref="G215:K215"/>
    <mergeCell ref="G186:H186"/>
    <mergeCell ref="C184:D184"/>
    <mergeCell ref="E184:F184"/>
    <mergeCell ref="G184:H184"/>
    <mergeCell ref="C185:D185"/>
    <mergeCell ref="E185:F185"/>
    <mergeCell ref="G185:H185"/>
    <mergeCell ref="L193:M193"/>
    <mergeCell ref="A214:F214"/>
    <mergeCell ref="G193:H193"/>
    <mergeCell ref="B215:B216"/>
    <mergeCell ref="A1:F1"/>
    <mergeCell ref="B2:D2"/>
    <mergeCell ref="A3:F3"/>
    <mergeCell ref="A10:F10"/>
    <mergeCell ref="A4:B4"/>
    <mergeCell ref="A80:F80"/>
    <mergeCell ref="B81:F81"/>
    <mergeCell ref="A41:F41"/>
    <mergeCell ref="C4:F4"/>
    <mergeCell ref="A5:B5"/>
    <mergeCell ref="A6:B6"/>
    <mergeCell ref="C5:F5"/>
    <mergeCell ref="C6:F6"/>
    <mergeCell ref="A7:B7"/>
    <mergeCell ref="A14:F14"/>
    <mergeCell ref="C12:D12"/>
    <mergeCell ref="A69:F69"/>
    <mergeCell ref="B79:F79"/>
    <mergeCell ref="E12:F12"/>
    <mergeCell ref="C13:D13"/>
    <mergeCell ref="E176:F176"/>
    <mergeCell ref="G176:H176"/>
    <mergeCell ref="C181:D181"/>
    <mergeCell ref="E181:F181"/>
    <mergeCell ref="G181:H181"/>
    <mergeCell ref="C182:D182"/>
    <mergeCell ref="E182:F182"/>
    <mergeCell ref="G182:H182"/>
    <mergeCell ref="B106:C106"/>
    <mergeCell ref="E106:F106"/>
    <mergeCell ref="B98:F98"/>
    <mergeCell ref="A99:F99"/>
    <mergeCell ref="G64:H64"/>
    <mergeCell ref="G65:H65"/>
    <mergeCell ref="D82:F82"/>
    <mergeCell ref="D83:F83"/>
    <mergeCell ref="D84:F84"/>
    <mergeCell ref="D85:F85"/>
    <mergeCell ref="D89:F89"/>
    <mergeCell ref="B102:C102"/>
    <mergeCell ref="E102:F102"/>
    <mergeCell ref="E105:F105"/>
    <mergeCell ref="A27:B27"/>
    <mergeCell ref="A36:B36"/>
    <mergeCell ref="A32:B32"/>
    <mergeCell ref="A44:B44"/>
    <mergeCell ref="C44:F44"/>
    <mergeCell ref="A37:B37"/>
    <mergeCell ref="C37:F37"/>
    <mergeCell ref="A34:B34"/>
    <mergeCell ref="C34:F34"/>
    <mergeCell ref="A38:B38"/>
    <mergeCell ref="C38:F38"/>
    <mergeCell ref="C33:F33"/>
    <mergeCell ref="C7:F7"/>
    <mergeCell ref="C8:F8"/>
    <mergeCell ref="A9:B9"/>
    <mergeCell ref="C9:F9"/>
    <mergeCell ref="A15:B15"/>
    <mergeCell ref="A43:B43"/>
    <mergeCell ref="C43:F43"/>
    <mergeCell ref="A42:B42"/>
    <mergeCell ref="C42:F42"/>
    <mergeCell ref="C15:F15"/>
    <mergeCell ref="B25:C25"/>
    <mergeCell ref="E25:F25"/>
    <mergeCell ref="B20:C20"/>
    <mergeCell ref="E20:F20"/>
    <mergeCell ref="E19:F19"/>
    <mergeCell ref="B21:C21"/>
    <mergeCell ref="E21:F21"/>
    <mergeCell ref="C32:F32"/>
    <mergeCell ref="A33:B33"/>
    <mergeCell ref="A8:B8"/>
    <mergeCell ref="B23:C23"/>
    <mergeCell ref="C36:F36"/>
    <mergeCell ref="A35:B35"/>
    <mergeCell ref="C35:F35"/>
    <mergeCell ref="A51:B51"/>
    <mergeCell ref="C51:F51"/>
    <mergeCell ref="A56:B56"/>
    <mergeCell ref="C56:F56"/>
    <mergeCell ref="B104:C104"/>
    <mergeCell ref="E104:F104"/>
    <mergeCell ref="A45:B45"/>
    <mergeCell ref="A39:B39"/>
    <mergeCell ref="C39:F39"/>
    <mergeCell ref="A40:B40"/>
    <mergeCell ref="C40:F40"/>
    <mergeCell ref="B101:C101"/>
    <mergeCell ref="E101:F101"/>
    <mergeCell ref="A103:F103"/>
    <mergeCell ref="D90:F90"/>
    <mergeCell ref="G40:H40"/>
    <mergeCell ref="G41:H41"/>
    <mergeCell ref="G42:H42"/>
    <mergeCell ref="G43:H43"/>
    <mergeCell ref="A78:F78"/>
    <mergeCell ref="D86:F86"/>
    <mergeCell ref="A85:A86"/>
    <mergeCell ref="B85:B86"/>
    <mergeCell ref="C85:C86"/>
    <mergeCell ref="G55:H55"/>
    <mergeCell ref="G57:H57"/>
    <mergeCell ref="G56:H56"/>
    <mergeCell ref="G58:H58"/>
    <mergeCell ref="G59:H59"/>
    <mergeCell ref="A60:B60"/>
    <mergeCell ref="C60:F60"/>
    <mergeCell ref="G60:H60"/>
    <mergeCell ref="G45:H45"/>
    <mergeCell ref="G47:H47"/>
    <mergeCell ref="G46:H46"/>
    <mergeCell ref="C46:F46"/>
    <mergeCell ref="G48:H48"/>
    <mergeCell ref="G49:H49"/>
    <mergeCell ref="G50:H50"/>
    <mergeCell ref="I174:L175"/>
    <mergeCell ref="C175:D175"/>
    <mergeCell ref="I12:J12"/>
    <mergeCell ref="I13:J13"/>
    <mergeCell ref="G28:H28"/>
    <mergeCell ref="G29:H29"/>
    <mergeCell ref="G30:H30"/>
    <mergeCell ref="G31:H31"/>
    <mergeCell ref="G34:H34"/>
    <mergeCell ref="G32:H33"/>
    <mergeCell ref="B24:F24"/>
    <mergeCell ref="B18:F18"/>
    <mergeCell ref="E13:F13"/>
    <mergeCell ref="B19:C19"/>
    <mergeCell ref="A28:B28"/>
    <mergeCell ref="A29:B29"/>
    <mergeCell ref="A30:B30"/>
    <mergeCell ref="E22:F22"/>
    <mergeCell ref="E23:F23"/>
    <mergeCell ref="B22:C22"/>
    <mergeCell ref="A16:F16"/>
    <mergeCell ref="A26:F26"/>
    <mergeCell ref="A31:F31"/>
    <mergeCell ref="B17:F17"/>
    <mergeCell ref="G217:K217"/>
    <mergeCell ref="B235:F235"/>
    <mergeCell ref="B240:F240"/>
    <mergeCell ref="D260:E260"/>
    <mergeCell ref="D261:E261"/>
    <mergeCell ref="G35:H35"/>
    <mergeCell ref="G36:H36"/>
    <mergeCell ref="G44:H44"/>
    <mergeCell ref="A46:B46"/>
    <mergeCell ref="G37:H37"/>
    <mergeCell ref="G38:H38"/>
    <mergeCell ref="G39:H39"/>
    <mergeCell ref="I179:L180"/>
    <mergeCell ref="C180:D180"/>
    <mergeCell ref="E180:F180"/>
    <mergeCell ref="G180:H180"/>
    <mergeCell ref="A168:D169"/>
    <mergeCell ref="E168:F169"/>
    <mergeCell ref="A140:B141"/>
    <mergeCell ref="B142:F142"/>
    <mergeCell ref="E143:F143"/>
    <mergeCell ref="E144:F153"/>
    <mergeCell ref="A154:B155"/>
    <mergeCell ref="G179:H179"/>
    <mergeCell ref="A183:F183"/>
    <mergeCell ref="A55:B55"/>
    <mergeCell ref="C55:F55"/>
    <mergeCell ref="C45:F45"/>
    <mergeCell ref="A47:B47"/>
    <mergeCell ref="C47:F47"/>
    <mergeCell ref="A48:B48"/>
    <mergeCell ref="C48:F48"/>
    <mergeCell ref="A49:B49"/>
    <mergeCell ref="C49:F49"/>
    <mergeCell ref="B156:F156"/>
    <mergeCell ref="E157:F157"/>
    <mergeCell ref="E158:F167"/>
    <mergeCell ref="D92:F92"/>
    <mergeCell ref="D93:F93"/>
    <mergeCell ref="D94:F94"/>
    <mergeCell ref="D95:F95"/>
    <mergeCell ref="D96:F96"/>
    <mergeCell ref="D97:F97"/>
    <mergeCell ref="B105:C105"/>
    <mergeCell ref="A57:B57"/>
    <mergeCell ref="C57:F57"/>
    <mergeCell ref="A50:B50"/>
    <mergeCell ref="C50:F50"/>
    <mergeCell ref="G119:H119"/>
    <mergeCell ref="C120:F120"/>
    <mergeCell ref="G120:H120"/>
    <mergeCell ref="C111:F111"/>
    <mergeCell ref="A110:B110"/>
    <mergeCell ref="C110:F110"/>
    <mergeCell ref="B107:C107"/>
    <mergeCell ref="E107:F107"/>
    <mergeCell ref="D91:F91"/>
    <mergeCell ref="G111:H111"/>
    <mergeCell ref="G177:H177"/>
    <mergeCell ref="A87:A88"/>
    <mergeCell ref="B87:B88"/>
    <mergeCell ref="C87:C88"/>
    <mergeCell ref="D87:F87"/>
    <mergeCell ref="D88:F88"/>
    <mergeCell ref="B273:F273"/>
    <mergeCell ref="B271:F271"/>
    <mergeCell ref="A120:B120"/>
    <mergeCell ref="A178:F178"/>
    <mergeCell ref="C179:D179"/>
    <mergeCell ref="E179:F179"/>
    <mergeCell ref="D262:E262"/>
    <mergeCell ref="D249:E249"/>
    <mergeCell ref="D253:E253"/>
    <mergeCell ref="D250:E250"/>
    <mergeCell ref="D251:E251"/>
    <mergeCell ref="D252:E252"/>
    <mergeCell ref="D255:E255"/>
    <mergeCell ref="A191:F191"/>
    <mergeCell ref="A192:F192"/>
    <mergeCell ref="C186:D186"/>
    <mergeCell ref="E186:F186"/>
    <mergeCell ref="A215:A216"/>
  </mergeCells>
  <dataValidations count="17">
    <dataValidation type="list" allowBlank="1" showInputMessage="1" showErrorMessage="1" sqref="B39:B40 B33:B34 B36:B37">
      <formula1>$C$279:$C$284</formula1>
    </dataValidation>
    <dataValidation type="list" allowBlank="1" showInputMessage="1" showErrorMessage="1" sqref="F33:F34 F40 F36:F37">
      <formula1>$G$275:$G$277</formula1>
    </dataValidation>
    <dataValidation type="list" allowBlank="1" showInputMessage="1" showErrorMessage="1" sqref="F2">
      <formula1>"Airoli,Goregaon"</formula1>
    </dataValidation>
    <dataValidation type="list" allowBlank="1" showInputMessage="1" showErrorMessage="1" sqref="D11">
      <formula1>"Mr. Abhishek Manjrekar,Mr. Rushabh Kakade,Miss. Bharti,Mr. Ajinkya Oturkar"</formula1>
    </dataValidation>
    <dataValidation type="list" allowBlank="1" showInputMessage="1" showErrorMessage="1" sqref="E13:F13">
      <formula1>"Shruti Tathare,Gaurav Panchal,Sachin Sawant,Shruti Fule,Kunal Kadam,Hitakshi Mhatre,Anjali Kamble,Sonali Kumbhar,Pooja Kawale,Mansee Mohite"</formula1>
    </dataValidation>
    <dataValidation type="list" allowBlank="1" showInputMessage="1" showErrorMessage="1" sqref="A18">
      <formula1>"Plot No.,Survey No.,CTS No.,Gut No."</formula1>
    </dataValidation>
    <dataValidation type="list" allowBlank="1" showInputMessage="1" showErrorMessage="1" sqref="D19">
      <formula1>"Ward No.,Existing Builidng Name &amp; No.,City"</formula1>
    </dataValidation>
    <dataValidation type="list" allowBlank="1" showInputMessage="1" showErrorMessage="1" sqref="E21:F21">
      <formula1>"Mumbai,Thane,Palghar,Raigad,Pune"</formula1>
    </dataValidation>
    <dataValidation type="list" allowBlank="1" showInputMessage="1" showErrorMessage="1" sqref="C121:F122 B100 C71:F71 B73:F73 B76:F76 B105:C109 E106:F109 E104:F104 B102:C102 C110:F111">
      <formula1>"Yes,No"</formula1>
    </dataValidation>
    <dataValidation type="list" allowBlank="1" showInputMessage="1" showErrorMessage="1" sqref="B83:B85 B89:B92 B94:B97 B87">
      <formula1>"Applicable and Received,Applicable and Not Received,Not Applicable"</formula1>
    </dataValidation>
    <dataValidation type="list" allowBlank="1" showInputMessage="1" showErrorMessage="1" sqref="D100">
      <formula1>"Registered,Not Registered"</formula1>
    </dataValidation>
    <dataValidation type="list" allowBlank="1" showInputMessage="1" showErrorMessage="1" sqref="B104:C104">
      <formula1>"Zone II,Zone III,Zone IV,Zone V"</formula1>
    </dataValidation>
    <dataValidation type="list" allowBlank="1" showInputMessage="1" showErrorMessage="1" sqref="E105:F105">
      <formula1>"Not Appicable,Zone I,Zone II,Zone III,Zone IV"</formula1>
    </dataValidation>
    <dataValidation type="list" allowBlank="1" showInputMessage="1" showErrorMessage="1" sqref="E243:F243">
      <formula1>"Carpet Area,Buildup Area,Saleable Area"</formula1>
    </dataValidation>
    <dataValidation type="list" allowBlank="1" showInputMessage="1" showErrorMessage="1" sqref="B264:F264">
      <formula1>"Construction Work is active at the time of visit. Internal visit was not allowed.,Construction Work is not active at the time of visit.,Work not yet Started, All work Completed"</formula1>
    </dataValidation>
    <dataValidation type="list" allowBlank="1" showInputMessage="1" showErrorMessage="1" sqref="B71">
      <formula1>"Yes &amp; 0.15m, No"</formula1>
    </dataValidation>
    <dataValidation type="list" allowBlank="1" showInputMessage="1" showErrorMessage="1" sqref="B93">
      <formula1>"Applicable "</formula1>
    </dataValidation>
  </dataValidations>
  <hyperlinks>
    <hyperlink ref="C6" r:id="rId1"/>
    <hyperlink ref="B24" r:id="rId2"/>
  </hyperlinks>
  <pageMargins left="0.39370078740157483" right="0.39370078740157483" top="0.78740157480314965" bottom="0.78740157480314965" header="0.31496062992125984" footer="0.31496062992125984"/>
  <pageSetup fitToHeight="0" orientation="portrait" r:id="rId3"/>
  <headerFooter>
    <oddHeader>&amp;C&amp;G</oddHeader>
    <oddFooter>&amp;L&amp;"-,Bold"Ref No: &amp;F&amp;R&amp;"-,Bold"&amp;P</oddFooter>
  </headerFooter>
  <rowBreaks count="5" manualBreakCount="5">
    <brk id="86" max="16383" man="1"/>
    <brk id="262" max="16383" man="1"/>
    <brk id="274" max="16383" man="1"/>
    <brk id="330" max="16383" man="1"/>
    <brk id="376"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4:K131"/>
  <sheetViews>
    <sheetView topLeftCell="A156" zoomScale="70" zoomScaleNormal="70" workbookViewId="0">
      <selection activeCell="C179" sqref="C178:C179"/>
    </sheetView>
  </sheetViews>
  <sheetFormatPr defaultRowHeight="15" x14ac:dyDescent="0.25"/>
  <sheetData>
    <row r="104" spans="2:11" ht="15.75" thickBot="1" x14ac:dyDescent="0.3"/>
    <row r="105" spans="2:11" ht="15.75" x14ac:dyDescent="0.25">
      <c r="B105" s="408" t="s">
        <v>4</v>
      </c>
      <c r="C105" s="409"/>
      <c r="D105" s="410" t="s">
        <v>44</v>
      </c>
      <c r="E105" s="411"/>
      <c r="F105" s="411"/>
      <c r="G105" s="411"/>
      <c r="H105" s="411"/>
      <c r="I105" s="412"/>
      <c r="J105" s="13" t="str">
        <f ca="1">(IF(F109&gt;99%,"All work completed. Please provide OC.",IF(F109&gt;89.8%,"Plinth, RCC, Brick, Plaster, Flooring, Painting work Completed. Finishing work is in process.",IF(F109&lt;94%,(IF(D109=0,"Work not yet Started.",IF(E109=25%,"Piling work in process",IF(E109=50%,"Excavation work in process",IF(E109=100%,"Excavation work Completed. ","0")))&amp;(IF(D110=0%,"",IF(D110=K111,"Footing work is process",IF(D110=K112,"Footing work Completed",IF(D110=K113,"1st Basement Completed",IF(D110=K114,"1st &amp; 2nd Basement Completed",IF(D110=K115,"1st to 3rd Basement Completed",IF(D110=K116,"1st to 4th Basement Completed",IF(D110=K117,"Plinth work is process",IF(D110=K118,"Plinth work completed","0")))))))))))&amp;(IF(D111=(D106+E106+F106),", RCC Slab",IF(D111&gt;0,", RCC upto "&amp;D111&amp;" Slab",""))&amp;(IF(D112=F106,", Brickwork",IF(D112&gt;0,", Brickwork upto "&amp;D112&amp;" Floor",""))&amp;(IF(D113=F106,", Internal Plaster",IF(D113&gt;0,", Internal Plaster upto "&amp;D113&amp;" Floor",""))&amp;(IF(D114=F106,", External Plaster",IF(D114&gt;0,", External Plaster upto "&amp;D114&amp;" Floor",""))&amp;(IF(D115=F106,", Flooring",IF(D115&gt;0,", Flooring upto "&amp;D115&amp;" Floor",""))&amp;(IF(D116=F106,", Painting",IF(D116&gt;0,", Painting upto "&amp;D116&amp;" Floor",""))&amp;(IF(D117&gt;0,", Finishing upto "&amp;D117&amp;" Floor","")&amp;(IF(D111&gt;0.5," Completed",""))))))))))))))</f>
        <v>All work completed. Please provide OC.</v>
      </c>
      <c r="K105" s="14"/>
    </row>
    <row r="106" spans="2:11" ht="15.75" x14ac:dyDescent="0.25">
      <c r="B106" s="15" t="s">
        <v>5</v>
      </c>
      <c r="C106" s="16">
        <v>0</v>
      </c>
      <c r="D106" s="32">
        <v>1</v>
      </c>
      <c r="E106" s="33">
        <v>0</v>
      </c>
      <c r="F106" s="33">
        <f ca="1">--TRIM(RIGHT(SUBSTITUTE(LEFT(D105,_xlfn.AGGREGATE(16,6,FIND({0,1,2,3,4,5,6,7,8,9},D105,ROW(INDIRECT("1:"&amp;LEN(D105)))),1))," ",REPT(" ",LEN(D105))),LEN(D105)))</f>
        <v>7</v>
      </c>
      <c r="G106" s="33"/>
      <c r="H106" s="33"/>
      <c r="I106" s="34"/>
      <c r="J106" s="17"/>
      <c r="K106" s="18"/>
    </row>
    <row r="107" spans="2:11" ht="15.75" x14ac:dyDescent="0.25">
      <c r="B107" s="413" t="s">
        <v>9</v>
      </c>
      <c r="C107" s="414"/>
      <c r="D107" s="415" t="str">
        <f>J107</f>
        <v>All work Completed. OC Received.</v>
      </c>
      <c r="E107" s="415"/>
      <c r="F107" s="415"/>
      <c r="G107" s="415"/>
      <c r="H107" s="415"/>
      <c r="I107" s="416"/>
      <c r="J107" s="17" t="s">
        <v>10</v>
      </c>
      <c r="K107" s="18"/>
    </row>
    <row r="108" spans="2:11" ht="31.5" x14ac:dyDescent="0.25">
      <c r="B108" s="417" t="s">
        <v>11</v>
      </c>
      <c r="C108" s="418"/>
      <c r="D108" s="19" t="s">
        <v>13</v>
      </c>
      <c r="E108" s="19" t="s">
        <v>14</v>
      </c>
      <c r="F108" s="418" t="s">
        <v>15</v>
      </c>
      <c r="G108" s="418"/>
      <c r="H108" s="418" t="s">
        <v>41</v>
      </c>
      <c r="I108" s="419"/>
      <c r="J108" s="20" t="s">
        <v>16</v>
      </c>
      <c r="K108" s="21">
        <f ca="1">F106*25%</f>
        <v>1.75</v>
      </c>
    </row>
    <row r="109" spans="2:11" ht="15.75" x14ac:dyDescent="0.25">
      <c r="B109" s="417" t="s">
        <v>17</v>
      </c>
      <c r="C109" s="418"/>
      <c r="D109" s="22">
        <f ca="1">K110</f>
        <v>7</v>
      </c>
      <c r="E109" s="23">
        <f ca="1">((100/F106)*D109)/100</f>
        <v>1</v>
      </c>
      <c r="F109" s="422">
        <f ca="1">(((D110/F106*10)+(40/(D106+E106+F106)*D111)+(7.5/(F106)*D112)+(7.5/(F106)*D113)+(10/F106*D114)+(10/F106*D115)+(5/F106*D116)+(5/F106*D117)+(5/F106*D118))/100)</f>
        <v>1</v>
      </c>
      <c r="G109" s="422"/>
      <c r="H109" s="422">
        <f ca="1">((((D109/F106)*20)+((D110/F106)*25)+(30/(F106+E106+D106)*D111)+(5/F106*D112)+(5/F106*D113)+(5/F106*D114)+(5/F106*D115)+(0/F106*D116)+(0/F106*D117)+(5/F106*D118))/100)</f>
        <v>1</v>
      </c>
      <c r="I109" s="424"/>
      <c r="J109" s="20" t="s">
        <v>18</v>
      </c>
      <c r="K109" s="24">
        <f ca="1">F106*50%</f>
        <v>3.5</v>
      </c>
    </row>
    <row r="110" spans="2:11" ht="15.75" x14ac:dyDescent="0.25">
      <c r="B110" s="417" t="s">
        <v>19</v>
      </c>
      <c r="C110" s="418"/>
      <c r="D110" s="25">
        <f ca="1">K118</f>
        <v>7</v>
      </c>
      <c r="E110" s="23">
        <f ca="1">((100/F106)*D110)/100</f>
        <v>1</v>
      </c>
      <c r="F110" s="422"/>
      <c r="G110" s="422"/>
      <c r="H110" s="422"/>
      <c r="I110" s="424"/>
      <c r="J110" s="20" t="s">
        <v>20</v>
      </c>
      <c r="K110" s="24">
        <f ca="1">F106</f>
        <v>7</v>
      </c>
    </row>
    <row r="111" spans="2:11" ht="15.75" x14ac:dyDescent="0.25">
      <c r="B111" s="426" t="s">
        <v>21</v>
      </c>
      <c r="C111" s="427"/>
      <c r="D111" s="25">
        <v>8</v>
      </c>
      <c r="E111" s="23">
        <f ca="1">((100/(D106+E106+F106))*D111)/100</f>
        <v>1</v>
      </c>
      <c r="F111" s="422"/>
      <c r="G111" s="422"/>
      <c r="H111" s="422"/>
      <c r="I111" s="424"/>
      <c r="J111" s="20" t="s">
        <v>22</v>
      </c>
      <c r="K111" s="26">
        <f ca="1">(IF(C106&gt;1,(F106/(C106+2)),F106/4))</f>
        <v>1.75</v>
      </c>
    </row>
    <row r="112" spans="2:11" ht="15.75" x14ac:dyDescent="0.25">
      <c r="B112" s="417" t="s">
        <v>23</v>
      </c>
      <c r="C112" s="418" t="s">
        <v>42</v>
      </c>
      <c r="D112" s="22">
        <v>7</v>
      </c>
      <c r="E112" s="23">
        <f ca="1">((100/F106)*D112)/100</f>
        <v>1</v>
      </c>
      <c r="F112" s="422"/>
      <c r="G112" s="422"/>
      <c r="H112" s="422"/>
      <c r="I112" s="424"/>
      <c r="J112" s="20" t="s">
        <v>24</v>
      </c>
      <c r="K112" s="26">
        <f ca="1">(IF(C106&gt;1,(F106/(C106+2)+K111),F106/4+K111))</f>
        <v>3.5</v>
      </c>
    </row>
    <row r="113" spans="2:11" ht="15.75" x14ac:dyDescent="0.25">
      <c r="B113" s="417" t="s">
        <v>25</v>
      </c>
      <c r="C113" s="418" t="s">
        <v>42</v>
      </c>
      <c r="D113" s="22">
        <v>7</v>
      </c>
      <c r="E113" s="23">
        <f ca="1">((100/F106)*D113)/100</f>
        <v>1</v>
      </c>
      <c r="F113" s="422"/>
      <c r="G113" s="422"/>
      <c r="H113" s="422"/>
      <c r="I113" s="424"/>
      <c r="J113" s="20" t="s">
        <v>26</v>
      </c>
      <c r="K113" s="26">
        <f>(IF(C106&gt;1,(F106/(C106+2)+K112),0))</f>
        <v>0</v>
      </c>
    </row>
    <row r="114" spans="2:11" ht="15.75" x14ac:dyDescent="0.25">
      <c r="B114" s="417" t="s">
        <v>27</v>
      </c>
      <c r="C114" s="418" t="s">
        <v>43</v>
      </c>
      <c r="D114" s="22">
        <v>7</v>
      </c>
      <c r="E114" s="23">
        <f ca="1">((100/(F106))*D114)/100</f>
        <v>1</v>
      </c>
      <c r="F114" s="422"/>
      <c r="G114" s="422"/>
      <c r="H114" s="422"/>
      <c r="I114" s="424"/>
      <c r="J114" s="20" t="s">
        <v>28</v>
      </c>
      <c r="K114" s="26">
        <f>(IF(C106&gt;2,(F106/(C106+2)+K113),0))</f>
        <v>0</v>
      </c>
    </row>
    <row r="115" spans="2:11" ht="15.75" x14ac:dyDescent="0.25">
      <c r="B115" s="417" t="s">
        <v>29</v>
      </c>
      <c r="C115" s="418" t="s">
        <v>29</v>
      </c>
      <c r="D115" s="22">
        <v>7</v>
      </c>
      <c r="E115" s="23">
        <f ca="1">((100/F106)*D115)/100</f>
        <v>1</v>
      </c>
      <c r="F115" s="422"/>
      <c r="G115" s="422"/>
      <c r="H115" s="422"/>
      <c r="I115" s="424"/>
      <c r="J115" s="20" t="s">
        <v>30</v>
      </c>
      <c r="K115" s="27">
        <f>(IF(C106&gt;3,(F106/(C106+2)+K114),0))</f>
        <v>0</v>
      </c>
    </row>
    <row r="116" spans="2:11" ht="15.75" x14ac:dyDescent="0.25">
      <c r="B116" s="417" t="s">
        <v>31</v>
      </c>
      <c r="C116" s="418"/>
      <c r="D116" s="22">
        <v>7</v>
      </c>
      <c r="E116" s="23">
        <f ca="1">((100/F106)*D116)/100</f>
        <v>1</v>
      </c>
      <c r="F116" s="422"/>
      <c r="G116" s="422"/>
      <c r="H116" s="422"/>
      <c r="I116" s="424"/>
      <c r="J116" s="20" t="s">
        <v>32</v>
      </c>
      <c r="K116" s="26">
        <f>(IF(C106&gt;4,(F106/(C106+2)+K115),0))</f>
        <v>0</v>
      </c>
    </row>
    <row r="117" spans="2:11" ht="15.75" x14ac:dyDescent="0.25">
      <c r="B117" s="417" t="s">
        <v>33</v>
      </c>
      <c r="C117" s="418" t="s">
        <v>33</v>
      </c>
      <c r="D117" s="22">
        <v>7</v>
      </c>
      <c r="E117" s="23">
        <f ca="1">((100/(F106))*D117)/100</f>
        <v>1</v>
      </c>
      <c r="F117" s="422"/>
      <c r="G117" s="422"/>
      <c r="H117" s="422"/>
      <c r="I117" s="424"/>
      <c r="J117" s="20" t="s">
        <v>34</v>
      </c>
      <c r="K117" s="26">
        <f ca="1">(IF(C106=1,(F106/(C106+3)+K112),IF(C106=0,(F106/4+K112),IF(C106&gt;1,0))))</f>
        <v>5.25</v>
      </c>
    </row>
    <row r="118" spans="2:11" ht="16.5" thickBot="1" x14ac:dyDescent="0.3">
      <c r="B118" s="420" t="s">
        <v>35</v>
      </c>
      <c r="C118" s="421"/>
      <c r="D118" s="28">
        <v>7</v>
      </c>
      <c r="E118" s="29">
        <f ca="1">((100/(F106))*D118)/100</f>
        <v>1</v>
      </c>
      <c r="F118" s="423"/>
      <c r="G118" s="423"/>
      <c r="H118" s="423"/>
      <c r="I118" s="425"/>
      <c r="J118" s="30" t="s">
        <v>36</v>
      </c>
      <c r="K118" s="31">
        <f ca="1">(IF(C106&gt;1.5,(F106/(C106+2)+K112+MAX(0,K113-K112)+MAX(0,K114-K113)+MAX(0,K115-K114)+MAX(0,K116-K115)+MAX(0,K117-K116)),IF(C106=1,(F106/(C106+3)+K117),IF(C106=0,F106/4+K117))))</f>
        <v>7</v>
      </c>
    </row>
    <row r="124" spans="2:11" x14ac:dyDescent="0.25">
      <c r="B124" t="str">
        <f>(IF(E125&gt;99%,"All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","0")))&amp;(IF(C126=0%,"",IF(C126=H127,"Footing work is process",IF(C126=H128,"Footing work Completed",IF(C126=H129,"1st Basement Completed",IF(C126=H130,"1st &amp; 2nd Basement Completed",IF(C126=H131,"1st to 3rd Basement Completed",IF(C126=H132,"1st to 4th Basement Completed",IF(C126=H133,"Plinth work is process",IF(C126=H134,"Plinth work completed","0")))))))))))&amp;(IF(C127=(D122+E122+F122),", RCC Slab",IF(C127&gt;0,", RCC upto "&amp;C127&amp;" Slab",""))&amp;(IF(C128=F122,", Brickwork",IF(C128&gt;0,", Brickwork upto "&amp;C128&amp;" Floor",""))&amp;(IF(C129=F122,", Internal Plaster",IF(C129&gt;0,", Internal Plaster upto "&amp;C129&amp;" Floor",""))&amp;(IF(C130=F122,", External Plaster",IF(C130&gt;0,", External Plaster upto "&amp;C130&amp;" Floor",""))&amp;(IF(C131=F122,", Flooring",IF(C131&gt;0,", Flooring upto "&amp;C131&amp;" Floor",""))&amp;(IF(C132=F122,", Painting",IF(C132&gt;0,", Painting upto "&amp;C132&amp;" Floor",""))&amp;(IF(C133&gt;0,", Finishing upto "&amp;C133&amp;" Floor","")&amp;(IF(C127&gt;0.5," Completed",""))))))))))))))</f>
        <v>Work not yet Started., RCC Slab, Brickwork, Internal Plaster, External Plaster, Flooring, Painting</v>
      </c>
    </row>
    <row r="131" spans="2:2" x14ac:dyDescent="0.25">
      <c r="B131" t="str">
        <f>(IF(E128&gt;99%,"All work completed. Please provide OC.",IF(E128&gt;89.8%,"Plinth, RCC, Brick, Plaster, Flooring, Painting work Completed. Finishing work is in process.",IF(E128&lt;94%,(IF(C128=0,"Work not yet Started.",IF(D128=25%,"Piling work in process",IF(D128=50%,"Excavation work in process",IF(D128=100%,"Excavation work Completed. ","0")))&amp;(IF(C129=0%,"",IF(C129=H130,"Footing work is process",IF(C129=H131,"Footing work Completed",IF(C129=H132,"1st Basement Completed",IF(C129=H133,"1st &amp; 2nd Basement Completed",IF(C129=H134,"1st to 3rd Basement Completed",IF(C129=H135,"1st to 4th Basement Completed",IF(C129=H136,"Plinth work is process",IF(C129=H137,"Plinth work completed","0")))))))))))&amp;(IF(C130=(D125+E125+F125),", RCC Slab",IF(C130&gt;0,", RCC upto "&amp;C130&amp;" Slab",""))&amp;(IF(C131=F125,", Brickwork",IF(C131&gt;0,", Brickwork upto "&amp;C131&amp;" Floor",""))&amp;(IF(C132=F125,", Internal Plaster",IF(C132&gt;0,", Internal Plaster upto "&amp;C132&amp;" Floor",""))&amp;(IF(C133=F125,", External Plaster",IF(C133&gt;0,", External Plaster upto "&amp;C133&amp;" Floor",""))&amp;(IF(C134=F125,", Flooring",IF(C134&gt;0,", Flooring upto "&amp;C134&amp;" Floor",""))&amp;(IF(C135=F125,", Painting",IF(C135&gt;0,", Painting upto "&amp;C135&amp;" Floor",""))&amp;(IF(C136&gt;0,", Finishing upto "&amp;C136&amp;" Floor","")&amp;(IF(C130&gt;0.5," Completed",""))))))))))))))</f>
        <v>Work not yet Started., RCC Slab, Brickwork, Internal Plaster, External Plaster, Flooring, Painting</v>
      </c>
    </row>
  </sheetData>
  <mergeCells count="19">
    <mergeCell ref="B117:C117"/>
    <mergeCell ref="B118:C118"/>
    <mergeCell ref="B109:C109"/>
    <mergeCell ref="F109:G118"/>
    <mergeCell ref="H109:I118"/>
    <mergeCell ref="B110:C110"/>
    <mergeCell ref="B111:C111"/>
    <mergeCell ref="B112:C112"/>
    <mergeCell ref="B113:C113"/>
    <mergeCell ref="B114:C114"/>
    <mergeCell ref="B115:C115"/>
    <mergeCell ref="B116:C116"/>
    <mergeCell ref="B105:C105"/>
    <mergeCell ref="D105:I105"/>
    <mergeCell ref="B107:C107"/>
    <mergeCell ref="D107:I107"/>
    <mergeCell ref="B108:C108"/>
    <mergeCell ref="F108:G108"/>
    <mergeCell ref="H108:I10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dc:creator>
  <cp:lastModifiedBy>VSJC</cp:lastModifiedBy>
  <cp:lastPrinted>2025-04-24T11:50:56Z</cp:lastPrinted>
  <dcterms:created xsi:type="dcterms:W3CDTF">2023-05-19T08:34:56Z</dcterms:created>
  <dcterms:modified xsi:type="dcterms:W3CDTF">2025-09-20T13:05:25Z</dcterms:modified>
</cp:coreProperties>
</file>