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Sep 2025\GHF\New\Gaurav\The Vaidiki Signature\"/>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Report!$A$1:$H$309</definedName>
  </definedNames>
  <calcPr calcId="162913"/>
</workbook>
</file>

<file path=xl/calcChain.xml><?xml version="1.0" encoding="utf-8"?>
<calcChain xmlns="http://schemas.openxmlformats.org/spreadsheetml/2006/main">
  <c r="K127" i="3" l="1"/>
  <c r="E141" i="3" l="1"/>
  <c r="L129" i="3" l="1"/>
  <c r="M146" i="3"/>
  <c r="I112" i="3" l="1"/>
  <c r="L151" i="3"/>
  <c r="L152" i="3"/>
  <c r="L149" i="3"/>
  <c r="L150" i="3"/>
  <c r="L153" i="3"/>
  <c r="L148" i="3"/>
  <c r="J151" i="3" l="1"/>
  <c r="J146" i="3"/>
  <c r="J148" i="3"/>
  <c r="J150" i="3"/>
  <c r="E160" i="3"/>
  <c r="F159" i="3"/>
  <c r="E159" i="3"/>
  <c r="F155" i="3"/>
  <c r="F148" i="3"/>
  <c r="C19" i="3" l="1"/>
  <c r="L109" i="3" l="1"/>
  <c r="L108" i="3"/>
  <c r="J108" i="3"/>
  <c r="J75" i="3"/>
  <c r="I110" i="3"/>
  <c r="I21" i="3"/>
  <c r="F160" i="3"/>
  <c r="H160" i="3" s="1"/>
  <c r="H159" i="3"/>
  <c r="F157" i="3"/>
  <c r="E157" i="3"/>
  <c r="F156" i="3"/>
  <c r="E156" i="3"/>
  <c r="E155" i="3"/>
  <c r="H155" i="3" s="1"/>
  <c r="F153" i="3"/>
  <c r="E153" i="3"/>
  <c r="F152" i="3"/>
  <c r="E152" i="3"/>
  <c r="F151" i="3"/>
  <c r="E151" i="3"/>
  <c r="F150" i="3"/>
  <c r="E150" i="3"/>
  <c r="F149" i="3"/>
  <c r="E149" i="3"/>
  <c r="E148" i="3"/>
  <c r="H156" i="3"/>
  <c r="A156" i="3"/>
  <c r="A157" i="3" s="1"/>
  <c r="I150" i="3"/>
  <c r="I153" i="3"/>
  <c r="I148" i="3"/>
  <c r="E124" i="3" l="1"/>
  <c r="E126" i="3" s="1"/>
  <c r="H157" i="3"/>
  <c r="A159" i="3"/>
  <c r="A160" i="3" s="1"/>
  <c r="H152" i="3"/>
  <c r="H151" i="3"/>
  <c r="H150" i="3"/>
  <c r="H149" i="3"/>
  <c r="H148" i="3"/>
  <c r="H153" i="3"/>
  <c r="A149" i="3"/>
  <c r="A150" i="3" s="1"/>
  <c r="A151" i="3" s="1"/>
  <c r="A152" i="3" s="1"/>
  <c r="A153" i="3" s="1"/>
  <c r="E146" i="3"/>
  <c r="H146" i="3" s="1"/>
  <c r="E145" i="3"/>
  <c r="H145" i="3" s="1"/>
  <c r="E144" i="3"/>
  <c r="H144" i="3" s="1"/>
  <c r="E143" i="3"/>
  <c r="H143" i="3" s="1"/>
  <c r="E142" i="3"/>
  <c r="H142" i="3" s="1"/>
  <c r="H141" i="3"/>
  <c r="E140" i="3"/>
  <c r="E139" i="3"/>
  <c r="H139" i="3" s="1"/>
  <c r="E138" i="3"/>
  <c r="H138" i="3" s="1"/>
  <c r="E137" i="3"/>
  <c r="H137" i="3" s="1"/>
  <c r="E136" i="3"/>
  <c r="H136" i="3" s="1"/>
  <c r="E135" i="3"/>
  <c r="H135" i="3" s="1"/>
  <c r="E134" i="3"/>
  <c r="H134" i="3" s="1"/>
  <c r="E133" i="3"/>
  <c r="H140" i="3"/>
  <c r="A134" i="3"/>
  <c r="A135" i="3" s="1"/>
  <c r="A136" i="3" s="1"/>
  <c r="A137" i="3" s="1"/>
  <c r="A138" i="3" s="1"/>
  <c r="A139" i="3" s="1"/>
  <c r="A140" i="3" s="1"/>
  <c r="A141" i="3" s="1"/>
  <c r="A142" i="3" s="1"/>
  <c r="A143" i="3" s="1"/>
  <c r="A144" i="3" s="1"/>
  <c r="A145" i="3" s="1"/>
  <c r="A146" i="3" s="1"/>
  <c r="G115" i="3"/>
  <c r="G114" i="3"/>
  <c r="E119" i="3" l="1"/>
  <c r="E121" i="3" s="1"/>
  <c r="E127" i="3" s="1"/>
  <c r="G124" i="3"/>
  <c r="G126" i="3" s="1"/>
  <c r="H133" i="3"/>
  <c r="G119" i="3" s="1"/>
  <c r="G121" i="3" s="1"/>
  <c r="C53" i="3"/>
  <c r="H53" i="3"/>
  <c r="C17" i="3"/>
  <c r="D173" i="3" l="1"/>
  <c r="D171" i="3"/>
  <c r="A6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G127" i="3"/>
  <c r="A93" i="3" l="1"/>
  <c r="D94" i="3" s="1"/>
  <c r="J103" i="3" s="1"/>
  <c r="A77" i="3"/>
  <c r="D78" i="3" s="1"/>
  <c r="D62" i="3"/>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8" i="3"/>
  <c r="I5" i="4"/>
  <c r="F38" i="4" l="1"/>
  <c r="G38" i="4"/>
  <c r="E18" i="4"/>
  <c r="E15" i="4"/>
  <c r="E17" i="4"/>
  <c r="E11" i="4"/>
  <c r="K6" i="4"/>
  <c r="E9" i="4"/>
  <c r="K8" i="4"/>
  <c r="C7" i="4" s="1"/>
  <c r="E14" i="4"/>
  <c r="E12" i="4"/>
  <c r="E16" i="4"/>
  <c r="E10" i="4"/>
  <c r="K9" i="4"/>
  <c r="K10" i="4" s="1"/>
  <c r="K11" i="4" s="1"/>
  <c r="E13" i="4"/>
  <c r="K7" i="4"/>
  <c r="J87" i="3"/>
  <c r="J86" i="3"/>
  <c r="K12" i="4" l="1"/>
  <c r="K16" i="4" s="1"/>
  <c r="C8" i="4" s="1"/>
  <c r="E8" i="4" s="1"/>
  <c r="E7" i="4"/>
  <c r="F7" i="4" l="1"/>
  <c r="J4" i="4" s="1"/>
  <c r="H7" i="4" s="1"/>
  <c r="G4" i="3" l="1"/>
  <c r="G116" i="3" l="1"/>
  <c r="J71" i="3"/>
  <c r="J70" i="3"/>
  <c r="H62" i="3"/>
  <c r="J66" i="3" l="1"/>
  <c r="D71" i="3"/>
  <c r="D68" i="3"/>
  <c r="D66" i="3"/>
  <c r="J64" i="3"/>
  <c r="D75" i="3"/>
  <c r="D73" i="3"/>
  <c r="D70" i="3"/>
  <c r="D67" i="3"/>
  <c r="J65" i="3"/>
  <c r="C64" i="3" s="1"/>
  <c r="J63" i="3"/>
  <c r="D74" i="3"/>
  <c r="D72" i="3"/>
  <c r="D69" i="3"/>
  <c r="D91" i="3" l="1"/>
  <c r="D83" i="3"/>
  <c r="D86" i="3"/>
  <c r="J80" i="3"/>
  <c r="D90" i="3"/>
  <c r="D84" i="3"/>
  <c r="J79" i="3"/>
  <c r="D89" i="3"/>
  <c r="J82" i="3"/>
  <c r="J83" i="3" s="1"/>
  <c r="D88" i="3"/>
  <c r="D82" i="3"/>
  <c r="J81" i="3"/>
  <c r="C80" i="3" s="1"/>
  <c r="D87" i="3"/>
  <c r="D85" i="3"/>
  <c r="J67" i="3"/>
  <c r="J72" i="3" s="1"/>
  <c r="D80" i="3" l="1"/>
  <c r="J84" i="3"/>
  <c r="J88" i="3"/>
  <c r="J85"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C65" i="3" s="1"/>
  <c r="D64" i="3" l="1"/>
  <c r="E96" i="3"/>
  <c r="I93" i="3" s="1"/>
  <c r="G96" i="3" s="1"/>
  <c r="E64" i="3"/>
  <c r="G108" i="3" s="1"/>
  <c r="D65" i="3" l="1"/>
  <c r="I61" i="3"/>
  <c r="G64"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<sst xmlns="http://schemas.openxmlformats.org/spreadsheetml/2006/main" count="628" uniqueCount="364">
  <si>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</si>
  <si>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</si>
  <si>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</si>
  <si>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</si>
  <si>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</si>
  <si>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</si>
  <si>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</si>
  <si>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</si>
  <si>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</si>
  <si>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</si>
  <si>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</si>
  <si>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</si>
  <si>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</si>
  <si>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</si>
  <si>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</si>
  <si>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</si>
  <si>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</si>
  <si>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</si>
  <si>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</si>
  <si>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</si>
  <si>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</si>
  <si>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</si>
  <si>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</si>
  <si>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</si>
  <si>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</si>
  <si>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</si>
  <si>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</si>
  <si>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</si>
  <si>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</si>
  <si>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</si>
  <si>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</si>
  <si>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</si>
  <si>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</si>
  <si>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</si>
  <si>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</si>
  <si>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</si>
  <si>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</si>
  <si>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</si>
  <si>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</si>
  <si>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</si>
  <si>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</si>
  <si>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</si>
  <si>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</si>
  <si>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</si>
  <si>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</si>
  <si>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</si>
  <si>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</si>
  <si>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</si>
  <si>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</si>
  <si>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</si>
  <si>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</si>
  <si>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</si>
  <si>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</si>
  <si>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</si>
  <si>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</si>
  <si>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</si>
  <si>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</si>
  <si>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</si>
  <si>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</si>
  <si>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</si>
  <si>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</si>
  <si>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</si>
  <si>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</si>
  <si>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</si>
  <si>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</si>
  <si>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</si>
  <si>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</si>
  <si>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</si>
  <si>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</si>
  <si>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</si>
  <si>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</si>
  <si>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</si>
  <si>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</si>
  <si>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</si>
  <si>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</si>
  <si>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</si>
  <si>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</si>
  <si>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</si>
  <si>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</si>
  <si>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</si>
  <si>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</si>
  <si>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</si>
  <si>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</si>
  <si>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</si>
  <si>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</si>
  <si>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</si>
  <si>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</si>
  <si>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</si>
  <si>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</si>
  <si>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</si>
  <si>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</si>
  <si>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</si>
  <si>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</si>
  <si>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</si>
  <si>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</si>
  <si>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</si>
  <si>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</si>
  <si>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</si>
  <si>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</si>
  <si>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</si>
  <si>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</si>
  <si>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</si>
  <si>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</si>
  <si>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</si>
  <si>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</si>
  <si>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</si>
  <si>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</si>
  <si>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</si>
  <si>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</si>
  <si>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</si>
  <si>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</si>
  <si>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</si>
  <si>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</si>
  <si>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</si>
  <si>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</si>
  <si>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</si>
  <si>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</si>
  <si>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</si>
  <si>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</si>
  <si>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</si>
  <si>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</si>
  <si>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</si>
  <si>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</si>
  <si>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</si>
  <si>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</si>
  <si>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</si>
  <si>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</si>
  <si>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</si>
  <si>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</si>
  <si>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</si>
  <si>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</si>
  <si>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</si>
  <si>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</si>
  <si>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</si>
  <si>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</si>
  <si>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</si>
  <si>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</si>
  <si>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</si>
  <si>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</si>
  <si>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</si>
  <si>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</si>
  <si>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</si>
  <si>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</si>
  <si>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</si>
  <si>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</si>
  <si>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</si>
  <si>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</si>
  <si>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</si>
  <si>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</si>
  <si>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</si>
  <si>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</si>
  <si>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</si>
  <si>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</si>
  <si>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</si>
  <si>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</si>
  <si>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</si>
  <si>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</si>
  <si>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</si>
  <si>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</si>
  <si>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</si>
  <si>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</si>
  <si>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</si>
  <si>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</si>
  <si>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</si>
  <si>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</si>
  <si>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</si>
  <si>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</si>
  <si>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</si>
  <si>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</si>
  <si>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</si>
  <si>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</si>
  <si>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</si>
  <si>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</si>
  <si>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</si>
  <si>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</si>
  <si>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</si>
  <si>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</si>
  <si>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</si>
  <si>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</si>
  <si>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</si>
  <si>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</si>
  <si>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</si>
  <si>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</si>
  <si>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</si>
  <si>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</si>
  <si>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</si>
  <si>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</si>
  <si>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</si>
  <si>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</si>
  <si>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</si>
  <si>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</si>
  <si>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</si>
  <si>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</si>
  <si>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</si>
  <si>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</si>
  <si>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</si>
  <si>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</si>
  <si>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</si>
  <si>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</si>
  <si>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</si>
  <si>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</si>
  <si>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</si>
  <si>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</si>
  <si>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</si>
  <si>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</si>
  <si>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</si>
  <si>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</si>
  <si>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</si>
  <si>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</si>
  <si>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</si>
  <si>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</si>
  <si>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</si>
  <si>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</si>
  <si>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</si>
  <si>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</si>
  <si>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</si>
  <si>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</si>
  <si>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</si>
  <si>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</si>
  <si>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</si>
  <si>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</si>
  <si>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</si>
  <si>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</si>
  <si>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</si>
  <si>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</si>
  <si>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</si>
  <si>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</si>
  <si>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</si>
  <si>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</si>
  <si>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</si>
  <si>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</si>
  <si>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</si>
  <si>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</si>
  <si>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</si>
  <si>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</si>
  <si>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</si>
  <si>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</si>
  <si>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</si>
  <si>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</si>
  <si>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</si>
  <si>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</si>
  <si>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</si>
  <si>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</si>
  <si>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</si>
  <si>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</si>
  <si>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</si>
  <si>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</si>
  <si>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</si>
  <si>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</si>
  <si>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</si>
  <si>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</si>
  <si>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</si>
  <si>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</si>
  <si>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</si>
  <si>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</si>
  <si>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</si>
  <si>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</si>
  <si>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</si>
  <si>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</si>
  <si>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</si>
  <si>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</si>
  <si>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</si>
  <si>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</si>
  <si>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</si>
  <si>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</si>
  <si>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</si>
  <si>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</si>
  <si>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</si>
  <si>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</si>
  <si>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</si>
  <si>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</si>
  <si>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</si>
  <si>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</si>
  <si>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</si>
  <si>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</si>
  <si>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</si>
  <si>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</si>
  <si>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</si>
  <si>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</si>
  <si>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</si>
  <si>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</si>
  <si>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</si>
  <si>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</si>
  <si>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</si>
  <si>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</si>
  <si>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</si>
  <si>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</si>
  <si>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</si>
  <si>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</si>
  <si>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</si>
  <si>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</si>
  <si>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</si>
  <si>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</si>
  <si>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</si>
  <si>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</si>
  <si>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</si>
  <si>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</si>
  <si>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</si>
  <si>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</si>
  <si>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7 RCC
3Brick 
2 plaster</t>
  </si>
  <si>
    <t>Miss Rupali</t>
  </si>
  <si>
    <t>22/09/2025 at 01:04PM</t>
  </si>
  <si>
    <t>The Vaidiki Signature ­ C Wing</t>
  </si>
  <si>
    <t>Mr. Vijay 8657906174</t>
  </si>
  <si>
    <t>Shree Jari Mari Developers LLP</t>
  </si>
  <si>
    <t>Survey No. 45/5/4, The Vaidiki Signature, Haji Malang Road, Near Varsha Complex, Adivali, Kalyan, Thane - 421306</t>
  </si>
  <si>
    <t>Kalyan Dombivli Municipal Corporation (KDMC)</t>
  </si>
  <si>
    <t>P51700077417</t>
  </si>
  <si>
    <t>FEDERAL BANK
IFSC Code - FDRL0001542</t>
  </si>
  <si>
    <t>19.202151,73.129745</t>
  </si>
  <si>
    <t>https://maps.app.goo.gl/ABdj3ChwiRaRDLjb8</t>
  </si>
  <si>
    <t>Varsha Complex</t>
  </si>
  <si>
    <t>https://www.shreejarimarigroup.com/projects/the-vaidiki-signature-phase-2</t>
  </si>
  <si>
    <t>Middle</t>
  </si>
  <si>
    <t>KDMC/TPD/BP/27Village/2021-22/26/58</t>
  </si>
  <si>
    <t>Wing C</t>
  </si>
  <si>
    <t>Exisiting 24.00M Wide DP Road</t>
  </si>
  <si>
    <t>Other Plot</t>
  </si>
  <si>
    <t xml:space="preserve"> 6.00M. W Exisiting Road</t>
  </si>
  <si>
    <t>Open Plot</t>
  </si>
  <si>
    <t>https://www.e-stampdutyreadyreckoner.com/reckoner/2024/thane/kalyan/adivali-dhokli</t>
  </si>
  <si>
    <t>Shop</t>
  </si>
  <si>
    <t>1BHK</t>
  </si>
  <si>
    <t>2BHK</t>
  </si>
  <si>
    <t>8th &amp; 13th Floor (Part Refuge Area)</t>
  </si>
  <si>
    <t>Refuge Area</t>
  </si>
  <si>
    <t>Plot B</t>
  </si>
  <si>
    <t>Construction work is in process at the time of Visit (labour found).</t>
  </si>
  <si>
    <t xml:space="preserve">The Vaidiki Signature ­ C Wing , Plot Bearing / CTS / Survey / 
Final Plot No.:  Survey No 45 Hissa No 9/3 At Adivali, Kalyan, Thane, 421306; </t>
  </si>
  <si>
    <t>Please Check for Fire Noc.</t>
  </si>
  <si>
    <t>Mr.Krishna Kambali</t>
  </si>
  <si>
    <t>Referred from CC</t>
  </si>
  <si>
    <t>Concrete</t>
  </si>
  <si>
    <t>6m</t>
  </si>
  <si>
    <t>1.3 KM from Dwarli Gaon Bus Stop</t>
  </si>
  <si>
    <t>About 1.7KM from  Holy Cross English School</t>
  </si>
  <si>
    <t>About 2.1KM from Janaki Global Multispeciality Hospital</t>
  </si>
  <si>
    <t>1. Approx. 1.4KM from Mahesh Mart.
2. Approx. 3.9KM from Reliance Smart Point.</t>
  </si>
  <si>
    <t>4.5KM from Kalyan Junction Railway Station
5.5KM from Thakurli Railway Station</t>
  </si>
  <si>
    <t>As per Axis rate</t>
  </si>
  <si>
    <t>As per 1st Arch letter on RERA</t>
  </si>
  <si>
    <t>GHFL Badlapur</t>
  </si>
  <si>
    <t>Res. &amp; Comm. Building on Lnad Bearing S No.45, H No.9/3, Village - Adivali Dhokali, Tal. Ambarnath, Dist. Thane</t>
  </si>
  <si>
    <t>Flats =  94 
Shop = 14</t>
  </si>
  <si>
    <t>As per RERA Site 
Flats = 94  &amp; Shop = 14</t>
  </si>
  <si>
    <t>Net Plot Area (In Sq.Mt)
of Plot B</t>
  </si>
  <si>
    <t>as per provieded sale plan</t>
  </si>
  <si>
    <t>Club House, 24x7 Security, CCTV Camera, Ample Water Supply, Open Gym, Jogging Track, Childrens Play Area, Senior Citizen Sitout, A/C Gym, Cafeteria, Gazebo, Garden, Rainwater Harvesting, Power Backup For Lift, Indoor Games, Gated Society, Yoga Spaces, Meditation Zone, Fire Fighting System, Multi Purpose Sport etc.</t>
  </si>
  <si>
    <t xml:space="preserve">The Vaidiki Signature Wing C, Near Varsha Complex, Internal Road, At. Adivali Dhokali, Kalyan East, Tal.Ambarnath, Dist.Thane - 421306. </t>
  </si>
  <si>
    <t>Internal Road</t>
  </si>
  <si>
    <t>Approved Layout &amp; Floor Plans, CC, RERA Certificate &amp; Sale Plan</t>
  </si>
  <si>
    <t xml:space="preserve">CC Details
Valid Up to: </t>
  </si>
  <si>
    <t>Plot B = Wing C - Gr + 1st to 16th + 17th Floor (Recreational Floor)</t>
  </si>
  <si>
    <t>Gr + 1st to 17th Floor</t>
  </si>
  <si>
    <t xml:space="preserve">Wing C </t>
  </si>
  <si>
    <t>Unit Details, Nomenclature and Area Details (Shop)</t>
  </si>
  <si>
    <t>Unit Details, Nomenclature and Area Details (Flat)</t>
  </si>
  <si>
    <t>Chajja Area</t>
  </si>
  <si>
    <t>17th Floor For Recreation Area</t>
  </si>
  <si>
    <t xml:space="preserve">We considered Gross carpet area = Net carpet + C.B + Chajja Area.
</t>
  </si>
  <si>
    <t>8500 to 9500</t>
  </si>
  <si>
    <t>Ground Floor For Commercial &amp; Parking</t>
  </si>
  <si>
    <t>1st to 7th, 9th to 12th, 14th to 16th Floor For Residential</t>
  </si>
  <si>
    <t>The Vaidiki Signature ­ C Wing , Plot Bearing / CTS / Survey / Final Plot No. Survey No 45 Hissa No 9/3 At Adivali, Kalyan, Thane, 421306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</si>
</sst>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3">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8"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5" fillId="0" borderId="0" xfId="2" applyAlignment="1">
      <alignment vertical="top"/>
    </xf>
    <xf numFmtId="20" fontId="3" fillId="0" borderId="0" xfId="0" applyNumberFormat="1" applyFont="1" applyAlignment="1">
      <alignment vertical="top"/>
    </xf>
    <xf numFmtId="0" fontId="3" fillId="4" borderId="1" xfId="1" applyFont="1" applyFill="1" applyBorder="1" applyAlignment="1" applyProtection="1">
      <alignment horizontal="center" vertical="center" wrapText="1"/>
      <protection hidden="1"/>
    </xf>
    <xf numFmtId="1" fontId="7" fillId="0" borderId="1" xfId="1" applyNumberFormat="1" applyFont="1" applyBorder="1" applyAlignment="1">
      <alignment horizontal="center" vertical="top" wrapText="1"/>
    </xf>
    <xf numFmtId="1" fontId="3" fillId="0" borderId="0" xfId="0" applyNumberFormat="1" applyFont="1" applyAlignment="1">
      <alignment horizontal="center" vertical="top"/>
    </xf>
    <xf numFmtId="0" fontId="21" fillId="0" borderId="0" xfId="0" applyFont="1" applyAlignment="1">
      <alignment vertical="top"/>
    </xf>
    <xf numFmtId="2" fontId="9" fillId="0" borderId="0" xfId="0" applyNumberFormat="1" applyFont="1" applyProtection="1">
      <protection hidden="1"/>
    </xf>
    <xf numFmtId="0" fontId="8" fillId="0" borderId="0" xfId="0" applyFont="1" applyAlignment="1">
      <alignment vertical="top"/>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3" fillId="0" borderId="0" xfId="0" applyNumberFormat="1" applyFont="1" applyAlignment="1">
      <alignment vertical="top"/>
    </xf>
    <xf numFmtId="1" fontId="7" fillId="0" borderId="0" xfId="0" applyNumberFormat="1" applyFont="1" applyAlignment="1">
      <alignment vertical="top"/>
    </xf>
    <xf numFmtId="0" fontId="8" fillId="4" borderId="1" xfId="1" applyFont="1" applyFill="1" applyBorder="1" applyAlignment="1">
      <alignment horizontal="center" vertical="center" wrapText="1"/>
    </xf>
    <xf numFmtId="0" fontId="4" fillId="4" borderId="1" xfId="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3" fillId="4" borderId="1" xfId="0" applyFont="1" applyFill="1" applyBorder="1" applyAlignment="1">
      <alignment horizontal="left" vertical="top" wrapText="1"/>
    </xf>
    <xf numFmtId="0" fontId="26" fillId="4" borderId="1" xfId="2"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4" borderId="3" xfId="0" applyFont="1" applyFill="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0" fontId="8"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00FFFF"/>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jp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8</xdr:col>
      <xdr:colOff>1401536</xdr:colOff>
      <xdr:row>2</xdr:row>
      <xdr:rowOff>176894</xdr:rowOff>
    </xdr:from>
    <xdr:to>
      <xdr:col>11</xdr:col>
      <xdr:colOff>1219987</xdr:colOff>
      <xdr:row>8</xdr:row>
      <xdr:rowOff>463066</xdr:rowOff>
    </xdr:to>
    <xdr:pic>
      <xdr:nvPicPr>
        <xdr:cNvPr id="2" name="Picture 1">
          <a:extLst>
            <a:ext uri="{FF2B5EF4-FFF2-40B4-BE49-F238E27FC236}">
              <a16:creationId xmlns:a16="http://schemas.microsoft.com/office/drawing/2014/main" id="{4E2D55B2-5060-4F40-87B1-8892369D2D19}"/>
            </a:ext>
          </a:extLst>
        </xdr:cNvPr>
        <xdr:cNvPicPr>
          <a:picLocks noChangeAspect="1"/>
        </xdr:cNvPicPr>
      </xdr:nvPicPr>
      <xdr:blipFill>
        <a:blip xmlns:r="http://schemas.openxmlformats.org/officeDocument/2006/relationships" r:embed="rId1"/>
        <a:stretch>
          <a:fillRect/>
        </a:stretch>
      </xdr:blipFill>
      <xdr:spPr>
        <a:xfrm>
          <a:off x="10763250" y="966108"/>
          <a:ext cx="3600000" cy="3456637"/>
        </a:xfrm>
        <a:prstGeom prst="rect">
          <a:avLst/>
        </a:prstGeom>
      </xdr:spPr>
    </xdr:pic>
    <xdr:clientData/>
  </xdr:twoCellAnchor>
  <xdr:twoCellAnchor editAs="oneCell">
    <xdr:from>
      <xdr:col>10</xdr:col>
      <xdr:colOff>163287</xdr:colOff>
      <xdr:row>107</xdr:row>
      <xdr:rowOff>190499</xdr:rowOff>
    </xdr:from>
    <xdr:to>
      <xdr:col>26</xdr:col>
      <xdr:colOff>402015</xdr:colOff>
      <xdr:row>116</xdr:row>
      <xdr:rowOff>238569</xdr:rowOff>
    </xdr:to>
    <xdr:pic>
      <xdr:nvPicPr>
        <xdr:cNvPr id="4" name="Picture 3">
          <a:extLst>
            <a:ext uri="{FF2B5EF4-FFF2-40B4-BE49-F238E27FC236}">
              <a16:creationId xmlns:a16="http://schemas.microsoft.com/office/drawing/2014/main" id="{248068B9-82DB-42EA-979D-E31F8788B585}"/>
            </a:ext>
          </a:extLst>
        </xdr:cNvPr>
        <xdr:cNvPicPr>
          <a:picLocks noChangeAspect="1"/>
        </xdr:cNvPicPr>
      </xdr:nvPicPr>
      <xdr:blipFill>
        <a:blip xmlns:r="http://schemas.openxmlformats.org/officeDocument/2006/relationships" r:embed="rId2"/>
        <a:stretch>
          <a:fillRect/>
        </a:stretch>
      </xdr:blipFill>
      <xdr:spPr>
        <a:xfrm>
          <a:off x="12681858" y="27091820"/>
          <a:ext cx="8756800" cy="3191320"/>
        </a:xfrm>
        <a:prstGeom prst="rect">
          <a:avLst/>
        </a:prstGeom>
      </xdr:spPr>
    </xdr:pic>
    <xdr:clientData/>
  </xdr:twoCellAnchor>
  <xdr:twoCellAnchor editAs="oneCell">
    <xdr:from>
      <xdr:col>13</xdr:col>
      <xdr:colOff>583871</xdr:colOff>
      <xdr:row>144</xdr:row>
      <xdr:rowOff>65560</xdr:rowOff>
    </xdr:from>
    <xdr:to>
      <xdr:col>29</xdr:col>
      <xdr:colOff>583112</xdr:colOff>
      <xdr:row>153</xdr:row>
      <xdr:rowOff>25060</xdr:rowOff>
    </xdr:to>
    <xdr:pic>
      <xdr:nvPicPr>
        <xdr:cNvPr id="5" name="Picture 4">
          <a:extLst>
            <a:ext uri="{FF2B5EF4-FFF2-40B4-BE49-F238E27FC236}">
              <a16:creationId xmlns:a16="http://schemas.microsoft.com/office/drawing/2014/main" id="{F4895052-D0DC-4DB2-88EA-50099F6E3A41}"/>
            </a:ext>
          </a:extLst>
        </xdr:cNvPr>
        <xdr:cNvPicPr>
          <a:picLocks noChangeAspect="1"/>
        </xdr:cNvPicPr>
      </xdr:nvPicPr>
      <xdr:blipFill>
        <a:blip xmlns:r="http://schemas.openxmlformats.org/officeDocument/2006/relationships" r:embed="rId3"/>
        <a:stretch>
          <a:fillRect/>
        </a:stretch>
      </xdr:blipFill>
      <xdr:spPr>
        <a:xfrm>
          <a:off x="15616053" y="37282333"/>
          <a:ext cx="7792423" cy="2297453"/>
        </a:xfrm>
        <a:prstGeom prst="rect">
          <a:avLst/>
        </a:prstGeom>
      </xdr:spPr>
    </xdr:pic>
    <xdr:clientData/>
  </xdr:twoCellAnchor>
  <xdr:twoCellAnchor>
    <xdr:from>
      <xdr:col>0</xdr:col>
      <xdr:colOff>285750</xdr:colOff>
      <xdr:row>173</xdr:row>
      <xdr:rowOff>163285</xdr:rowOff>
    </xdr:from>
    <xdr:to>
      <xdr:col>7</xdr:col>
      <xdr:colOff>653144</xdr:colOff>
      <xdr:row>214</xdr:row>
      <xdr:rowOff>217714</xdr:rowOff>
    </xdr:to>
    <xdr:grpSp>
      <xdr:nvGrpSpPr>
        <xdr:cNvPr id="6" name="Group 5">
          <a:extLst>
            <a:ext uri="{FF2B5EF4-FFF2-40B4-BE49-F238E27FC236}">
              <a16:creationId xmlns:a16="http://schemas.microsoft.com/office/drawing/2014/main" id="{498A31C9-498B-48D4-8226-B7C2A0DFA812}"/>
            </a:ext>
          </a:extLst>
        </xdr:cNvPr>
        <xdr:cNvGrpSpPr/>
      </xdr:nvGrpSpPr>
      <xdr:grpSpPr>
        <a:xfrm>
          <a:off x="285750" y="45162106"/>
          <a:ext cx="8558894" cy="10654394"/>
          <a:chOff x="7683" y="-210275"/>
          <a:chExt cx="7354202" cy="8776515"/>
        </a:xfrm>
      </xdr:grpSpPr>
      <xdr:grpSp>
        <xdr:nvGrpSpPr>
          <xdr:cNvPr id="7" name="Group 6">
            <a:extLst>
              <a:ext uri="{FF2B5EF4-FFF2-40B4-BE49-F238E27FC236}">
                <a16:creationId xmlns:a16="http://schemas.microsoft.com/office/drawing/2014/main" id="{92398388-B356-4F95-97E1-641E847D6BD2}"/>
              </a:ext>
            </a:extLst>
          </xdr:cNvPr>
          <xdr:cNvGrpSpPr/>
        </xdr:nvGrpSpPr>
        <xdr:grpSpPr>
          <a:xfrm>
            <a:off x="7683" y="-210275"/>
            <a:ext cx="7354202" cy="8776515"/>
            <a:chOff x="7683" y="-210275"/>
            <a:chExt cx="7354202" cy="8776515"/>
          </a:xfrm>
        </xdr:grpSpPr>
        <xdr:pic>
          <xdr:nvPicPr>
            <xdr:cNvPr id="10" name="Picture 9">
              <a:extLst>
                <a:ext uri="{FF2B5EF4-FFF2-40B4-BE49-F238E27FC236}">
                  <a16:creationId xmlns:a16="http://schemas.microsoft.com/office/drawing/2014/main" id="{2D6BAC84-4BB7-47E2-8F5C-C90BEF40A9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809834" y="-210275"/>
              <a:ext cx="5754666" cy="4320000"/>
            </a:xfrm>
            <a:prstGeom prst="rect">
              <a:avLst/>
            </a:prstGeom>
            <a:ln>
              <a:solidFill>
                <a:schemeClr val="tx1"/>
              </a:solidFill>
            </a:ln>
          </xdr:spPr>
        </xdr:pic>
        <xdr:pic>
          <xdr:nvPicPr>
            <xdr:cNvPr id="11" name="Picture 10">
              <a:extLst>
                <a:ext uri="{FF2B5EF4-FFF2-40B4-BE49-F238E27FC236}">
                  <a16:creationId xmlns:a16="http://schemas.microsoft.com/office/drawing/2014/main" id="{97B689A2-A126-4F21-84E4-229B9C508C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740889" y="4302000"/>
              <a:ext cx="3117111" cy="2340000"/>
            </a:xfrm>
            <a:prstGeom prst="rect">
              <a:avLst/>
            </a:prstGeom>
            <a:ln>
              <a:solidFill>
                <a:schemeClr val="tx1"/>
              </a:solidFill>
            </a:ln>
          </xdr:spPr>
        </xdr:pic>
        <xdr:pic>
          <xdr:nvPicPr>
            <xdr:cNvPr id="12" name="Picture 11">
              <a:extLst>
                <a:ext uri="{FF2B5EF4-FFF2-40B4-BE49-F238E27FC236}">
                  <a16:creationId xmlns:a16="http://schemas.microsoft.com/office/drawing/2014/main" id="{F643D5B6-CFFF-4D09-A745-911C5CAEFA1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683" y="6764675"/>
              <a:ext cx="2397778" cy="1800000"/>
            </a:xfrm>
            <a:prstGeom prst="rect">
              <a:avLst/>
            </a:prstGeom>
            <a:ln>
              <a:solidFill>
                <a:schemeClr val="tx1"/>
              </a:solidFill>
            </a:ln>
          </xdr:spPr>
        </xdr:pic>
        <xdr:pic>
          <xdr:nvPicPr>
            <xdr:cNvPr id="13" name="Picture 12">
              <a:extLst>
                <a:ext uri="{FF2B5EF4-FFF2-40B4-BE49-F238E27FC236}">
                  <a16:creationId xmlns:a16="http://schemas.microsoft.com/office/drawing/2014/main" id="{29E3D4F3-F258-4AF8-BE88-AE15C29ADD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485895" y="6764675"/>
              <a:ext cx="2397778" cy="1800000"/>
            </a:xfrm>
            <a:prstGeom prst="rect">
              <a:avLst/>
            </a:prstGeom>
            <a:ln>
              <a:solidFill>
                <a:schemeClr val="tx1"/>
              </a:solidFill>
            </a:ln>
          </xdr:spPr>
        </xdr:pic>
        <xdr:pic>
          <xdr:nvPicPr>
            <xdr:cNvPr id="14" name="Picture 13">
              <a:extLst>
                <a:ext uri="{FF2B5EF4-FFF2-40B4-BE49-F238E27FC236}">
                  <a16:creationId xmlns:a16="http://schemas.microsoft.com/office/drawing/2014/main" id="{73F9F515-3CBF-427C-90DD-2E7B8F24E8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964107" y="6766240"/>
              <a:ext cx="2397778" cy="1800000"/>
            </a:xfrm>
            <a:prstGeom prst="rect">
              <a:avLst/>
            </a:prstGeom>
            <a:ln>
              <a:solidFill>
                <a:schemeClr val="tx1"/>
              </a:solidFill>
            </a:ln>
          </xdr:spPr>
        </xdr:pic>
        <xdr:pic>
          <xdr:nvPicPr>
            <xdr:cNvPr id="15" name="Picture 14">
              <a:extLst>
                <a:ext uri="{FF2B5EF4-FFF2-40B4-BE49-F238E27FC236}">
                  <a16:creationId xmlns:a16="http://schemas.microsoft.com/office/drawing/2014/main" id="{C1DD5126-9284-4BFC-8ABA-514109ADC2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16269" y="4302000"/>
              <a:ext cx="3117111" cy="2340000"/>
            </a:xfrm>
            <a:prstGeom prst="rect">
              <a:avLst/>
            </a:prstGeom>
            <a:ln>
              <a:solidFill>
                <a:schemeClr val="tx1"/>
              </a:solidFill>
            </a:ln>
          </xdr:spPr>
        </xdr:pic>
      </xdr:grpSp>
      <xdr:sp macro="" textlink="">
        <xdr:nvSpPr>
          <xdr:cNvPr id="8" name="TextBox 18">
            <a:extLst>
              <a:ext uri="{FF2B5EF4-FFF2-40B4-BE49-F238E27FC236}">
                <a16:creationId xmlns:a16="http://schemas.microsoft.com/office/drawing/2014/main" id="{5401859F-050C-404A-B48F-3894DA13AA83}"/>
              </a:ext>
            </a:extLst>
          </xdr:cNvPr>
          <xdr:cNvSpPr txBox="1"/>
        </xdr:nvSpPr>
        <xdr:spPr>
          <a:xfrm>
            <a:off x="2543265" y="981015"/>
            <a:ext cx="933269"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C</a:t>
            </a:r>
            <a:endParaRPr lang="en-IN" sz="2000" b="1"/>
          </a:p>
        </xdr:txBody>
      </xdr:sp>
      <xdr:cxnSp macro="">
        <xdr:nvCxnSpPr>
          <xdr:cNvPr id="9" name="Straight Arrow Connector 8">
            <a:extLst>
              <a:ext uri="{FF2B5EF4-FFF2-40B4-BE49-F238E27FC236}">
                <a16:creationId xmlns:a16="http://schemas.microsoft.com/office/drawing/2014/main" id="{925E580D-4CCE-4B38-B921-08C2FFBC0FD2}"/>
              </a:ext>
            </a:extLst>
          </xdr:cNvPr>
          <xdr:cNvCxnSpPr>
            <a:cxnSpLocks/>
          </xdr:cNvCxnSpPr>
        </xdr:nvCxnSpPr>
        <xdr:spPr>
          <a:xfrm>
            <a:off x="3009900" y="1381125"/>
            <a:ext cx="152400" cy="56860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905493</xdr:colOff>
      <xdr:row>219</xdr:row>
      <xdr:rowOff>139343</xdr:rowOff>
    </xdr:from>
    <xdr:to>
      <xdr:col>7</xdr:col>
      <xdr:colOff>381000</xdr:colOff>
      <xdr:row>265</xdr:row>
      <xdr:rowOff>173181</xdr:rowOff>
    </xdr:to>
    <xdr:grpSp>
      <xdr:nvGrpSpPr>
        <xdr:cNvPr id="16" name="Group 15">
          <a:extLst>
            <a:ext uri="{FF2B5EF4-FFF2-40B4-BE49-F238E27FC236}">
              <a16:creationId xmlns:a16="http://schemas.microsoft.com/office/drawing/2014/main" id="{8172E475-D129-4C22-A397-A890EF8312B2}"/>
            </a:ext>
          </a:extLst>
        </xdr:cNvPr>
        <xdr:cNvGrpSpPr/>
      </xdr:nvGrpSpPr>
      <xdr:grpSpPr>
        <a:xfrm>
          <a:off x="905493" y="57030807"/>
          <a:ext cx="7667007" cy="11926481"/>
          <a:chOff x="1006658" y="745187"/>
          <a:chExt cx="4531002" cy="7644300"/>
        </a:xfrm>
      </xdr:grpSpPr>
      <xdr:grpSp>
        <xdr:nvGrpSpPr>
          <xdr:cNvPr id="17" name="Group 16">
            <a:extLst>
              <a:ext uri="{FF2B5EF4-FFF2-40B4-BE49-F238E27FC236}">
                <a16:creationId xmlns:a16="http://schemas.microsoft.com/office/drawing/2014/main" id="{0B616209-7A14-4D24-AD71-0B2EF1BC8793}"/>
              </a:ext>
            </a:extLst>
          </xdr:cNvPr>
          <xdr:cNvGrpSpPr/>
        </xdr:nvGrpSpPr>
        <xdr:grpSpPr>
          <a:xfrm>
            <a:off x="1006658" y="745187"/>
            <a:ext cx="4531002" cy="4320000"/>
            <a:chOff x="1006658" y="745187"/>
            <a:chExt cx="4531002" cy="4320000"/>
          </a:xfrm>
        </xdr:grpSpPr>
        <xdr:pic>
          <xdr:nvPicPr>
            <xdr:cNvPr id="21" name="Picture 20">
              <a:extLst>
                <a:ext uri="{FF2B5EF4-FFF2-40B4-BE49-F238E27FC236}">
                  <a16:creationId xmlns:a16="http://schemas.microsoft.com/office/drawing/2014/main" id="{ADC6FDC1-DD15-46C2-B960-9F3302631C4F}"/>
                </a:ext>
              </a:extLst>
            </xdr:cNvPr>
            <xdr:cNvPicPr>
              <a:picLocks noChangeAspect="1"/>
            </xdr:cNvPicPr>
          </xdr:nvPicPr>
          <xdr:blipFill>
            <a:blip xmlns:r="http://schemas.openxmlformats.org/officeDocument/2006/relationships" r:embed="rId10"/>
            <a:stretch>
              <a:fillRect/>
            </a:stretch>
          </xdr:blipFill>
          <xdr:spPr>
            <a:xfrm>
              <a:off x="1006658" y="745187"/>
              <a:ext cx="4531002" cy="4320000"/>
            </a:xfrm>
            <a:prstGeom prst="rect">
              <a:avLst/>
            </a:prstGeom>
            <a:ln>
              <a:solidFill>
                <a:schemeClr val="tx1"/>
              </a:solidFill>
            </a:ln>
          </xdr:spPr>
        </xdr:pic>
        <xdr:sp macro="" textlink="">
          <xdr:nvSpPr>
            <xdr:cNvPr id="22" name="Rectangle 21">
              <a:extLst>
                <a:ext uri="{FF2B5EF4-FFF2-40B4-BE49-F238E27FC236}">
                  <a16:creationId xmlns:a16="http://schemas.microsoft.com/office/drawing/2014/main" id="{30333ADB-085D-4C59-9F84-E02A5EAAA581}"/>
                </a:ext>
              </a:extLst>
            </xdr:cNvPr>
            <xdr:cNvSpPr/>
          </xdr:nvSpPr>
          <xdr:spPr>
            <a:xfrm>
              <a:off x="2191656" y="3570514"/>
              <a:ext cx="1843315" cy="75474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TextBox 25">
              <a:extLst>
                <a:ext uri="{FF2B5EF4-FFF2-40B4-BE49-F238E27FC236}">
                  <a16:creationId xmlns:a16="http://schemas.microsoft.com/office/drawing/2014/main" id="{C5DCD01D-F8E1-4E59-BDF6-64E12E1003AE}"/>
                </a:ext>
              </a:extLst>
            </xdr:cNvPr>
            <xdr:cNvSpPr txBox="1"/>
          </xdr:nvSpPr>
          <xdr:spPr>
            <a:xfrm>
              <a:off x="2626172" y="4335110"/>
              <a:ext cx="849913" cy="34250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latin typeface="Times New Roman" panose="02020603050405020304" pitchFamily="18" charset="0"/>
                  <a:cs typeface="Times New Roman" panose="02020603050405020304" pitchFamily="18" charset="0"/>
                </a:rPr>
                <a:t>Wing C</a:t>
              </a:r>
              <a:endParaRPr lang="en-IN" sz="2400" b="1">
                <a:latin typeface="Times New Roman" panose="02020603050405020304" pitchFamily="18" charset="0"/>
                <a:cs typeface="Times New Roman" panose="02020603050405020304" pitchFamily="18" charset="0"/>
              </a:endParaRPr>
            </a:p>
          </xdr:txBody>
        </xdr:sp>
        <xdr:sp macro="" textlink="">
          <xdr:nvSpPr>
            <xdr:cNvPr id="24" name="Rectangle 23">
              <a:extLst>
                <a:ext uri="{FF2B5EF4-FFF2-40B4-BE49-F238E27FC236}">
                  <a16:creationId xmlns:a16="http://schemas.microsoft.com/office/drawing/2014/main" id="{C34E8E90-7801-4640-B084-3E299F8714A5}"/>
                </a:ext>
              </a:extLst>
            </xdr:cNvPr>
            <xdr:cNvSpPr/>
          </xdr:nvSpPr>
          <xdr:spPr>
            <a:xfrm>
              <a:off x="1585685" y="1117600"/>
              <a:ext cx="2971801" cy="11176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TextBox 27">
              <a:extLst>
                <a:ext uri="{FF2B5EF4-FFF2-40B4-BE49-F238E27FC236}">
                  <a16:creationId xmlns:a16="http://schemas.microsoft.com/office/drawing/2014/main" id="{72B9212E-8C69-4C9B-9318-872AADC6D975}"/>
                </a:ext>
              </a:extLst>
            </xdr:cNvPr>
            <xdr:cNvSpPr txBox="1"/>
          </xdr:nvSpPr>
          <xdr:spPr>
            <a:xfrm>
              <a:off x="2526090" y="1914993"/>
              <a:ext cx="1273105" cy="41890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atin typeface="Times New Roman" panose="02020603050405020304" pitchFamily="18" charset="0"/>
                  <a:cs typeface="Times New Roman" panose="02020603050405020304" pitchFamily="18" charset="0"/>
                </a:rPr>
                <a:t>Wing A &amp; B</a:t>
              </a:r>
              <a:endParaRPr lang="en-IN" sz="2000" b="1">
                <a:latin typeface="Times New Roman" panose="02020603050405020304" pitchFamily="18" charset="0"/>
                <a:cs typeface="Times New Roman" panose="02020603050405020304" pitchFamily="18" charset="0"/>
              </a:endParaRPr>
            </a:p>
          </xdr:txBody>
        </xdr:sp>
        <xdr:sp macro="" textlink="">
          <xdr:nvSpPr>
            <xdr:cNvPr id="26" name="TextBox 28">
              <a:extLst>
                <a:ext uri="{FF2B5EF4-FFF2-40B4-BE49-F238E27FC236}">
                  <a16:creationId xmlns:a16="http://schemas.microsoft.com/office/drawing/2014/main" id="{1BE0561F-BA86-41A3-921F-C3175AEBCC0A}"/>
                </a:ext>
              </a:extLst>
            </xdr:cNvPr>
            <xdr:cNvSpPr txBox="1"/>
          </xdr:nvSpPr>
          <xdr:spPr>
            <a:xfrm>
              <a:off x="4034136" y="3680707"/>
              <a:ext cx="750526" cy="2746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tx1"/>
                  </a:solidFill>
                  <a:latin typeface="Times New Roman" panose="02020603050405020304" pitchFamily="18" charset="0"/>
                  <a:cs typeface="Times New Roman" panose="02020603050405020304" pitchFamily="18" charset="0"/>
                </a:rPr>
                <a:t>Plot B</a:t>
              </a:r>
              <a:endParaRPr lang="en-IN" b="1">
                <a:solidFill>
                  <a:schemeClr val="tx1"/>
                </a:solidFill>
                <a:latin typeface="Times New Roman" panose="02020603050405020304" pitchFamily="18" charset="0"/>
                <a:cs typeface="Times New Roman" panose="02020603050405020304" pitchFamily="18" charset="0"/>
              </a:endParaRPr>
            </a:p>
          </xdr:txBody>
        </xdr:sp>
        <xdr:sp macro="" textlink="">
          <xdr:nvSpPr>
            <xdr:cNvPr id="27" name="TextBox 29">
              <a:extLst>
                <a:ext uri="{FF2B5EF4-FFF2-40B4-BE49-F238E27FC236}">
                  <a16:creationId xmlns:a16="http://schemas.microsoft.com/office/drawing/2014/main" id="{90BA9BFB-1FC5-436D-91FD-377013318694}"/>
                </a:ext>
              </a:extLst>
            </xdr:cNvPr>
            <xdr:cNvSpPr txBox="1"/>
          </xdr:nvSpPr>
          <xdr:spPr>
            <a:xfrm>
              <a:off x="4237417" y="873811"/>
              <a:ext cx="760144" cy="2746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tx1"/>
                  </a:solidFill>
                  <a:latin typeface="Times New Roman" panose="02020603050405020304" pitchFamily="18" charset="0"/>
                  <a:cs typeface="Times New Roman" panose="02020603050405020304" pitchFamily="18" charset="0"/>
                </a:rPr>
                <a:t>Plot A</a:t>
              </a:r>
              <a:endParaRPr lang="en-IN" b="1">
                <a:solidFill>
                  <a:schemeClr val="tx1"/>
                </a:solidFill>
                <a:latin typeface="Times New Roman" panose="02020603050405020304" pitchFamily="18" charset="0"/>
                <a:cs typeface="Times New Roman" panose="02020603050405020304" pitchFamily="18" charset="0"/>
              </a:endParaRPr>
            </a:p>
          </xdr:txBody>
        </xdr:sp>
        <xdr:sp macro="" textlink="">
          <xdr:nvSpPr>
            <xdr:cNvPr id="28" name="Arrow: Right 27">
              <a:extLst>
                <a:ext uri="{FF2B5EF4-FFF2-40B4-BE49-F238E27FC236}">
                  <a16:creationId xmlns:a16="http://schemas.microsoft.com/office/drawing/2014/main" id="{5E8D96D6-C6E5-44C1-9881-E82B90EDF1F7}"/>
                </a:ext>
              </a:extLst>
            </xdr:cNvPr>
            <xdr:cNvSpPr/>
          </xdr:nvSpPr>
          <xdr:spPr>
            <a:xfrm>
              <a:off x="4718289" y="4572000"/>
              <a:ext cx="346050" cy="3085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9" name="TextBox 31">
              <a:extLst>
                <a:ext uri="{FF2B5EF4-FFF2-40B4-BE49-F238E27FC236}">
                  <a16:creationId xmlns:a16="http://schemas.microsoft.com/office/drawing/2014/main" id="{9AF6E56B-DC1C-4402-8A50-9A5979329432}"/>
                </a:ext>
              </a:extLst>
            </xdr:cNvPr>
            <xdr:cNvSpPr txBox="1"/>
          </xdr:nvSpPr>
          <xdr:spPr>
            <a:xfrm>
              <a:off x="4390613" y="4603522"/>
              <a:ext cx="333746" cy="34093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latin typeface="Times New Roman" panose="02020603050405020304" pitchFamily="18" charset="0"/>
                  <a:cs typeface="Times New Roman" panose="02020603050405020304" pitchFamily="18" charset="0"/>
                </a:rPr>
                <a:t>N</a:t>
              </a:r>
              <a:endParaRPr lang="en-IN" sz="2400" b="1">
                <a:latin typeface="Times New Roman" panose="02020603050405020304" pitchFamily="18" charset="0"/>
                <a:cs typeface="Times New Roman" panose="02020603050405020304" pitchFamily="18" charset="0"/>
              </a:endParaRPr>
            </a:p>
          </xdr:txBody>
        </xdr:sp>
      </xdr:grpSp>
      <xdr:pic>
        <xdr:nvPicPr>
          <xdr:cNvPr id="18" name="Picture 17">
            <a:extLst>
              <a:ext uri="{FF2B5EF4-FFF2-40B4-BE49-F238E27FC236}">
                <a16:creationId xmlns:a16="http://schemas.microsoft.com/office/drawing/2014/main" id="{6406E9DA-47A5-4809-A575-0AEEF7F22BE3}"/>
              </a:ext>
            </a:extLst>
          </xdr:cNvPr>
          <xdr:cNvPicPr>
            <a:picLocks noChangeAspect="1"/>
          </xdr:cNvPicPr>
        </xdr:nvPicPr>
        <xdr:blipFill>
          <a:blip xmlns:r="http://schemas.openxmlformats.org/officeDocument/2006/relationships" r:embed="rId11"/>
          <a:stretch>
            <a:fillRect/>
          </a:stretch>
        </xdr:blipFill>
        <xdr:spPr>
          <a:xfrm>
            <a:off x="1195443" y="5121956"/>
            <a:ext cx="4153480" cy="3267531"/>
          </a:xfrm>
          <a:prstGeom prst="rect">
            <a:avLst/>
          </a:prstGeom>
          <a:ln>
            <a:solidFill>
              <a:schemeClr val="tx1"/>
            </a:solidFill>
          </a:ln>
        </xdr:spPr>
      </xdr:pic>
      <xdr:sp macro="" textlink="">
        <xdr:nvSpPr>
          <xdr:cNvPr id="19" name="Arrow: Right 18">
            <a:extLst>
              <a:ext uri="{FF2B5EF4-FFF2-40B4-BE49-F238E27FC236}">
                <a16:creationId xmlns:a16="http://schemas.microsoft.com/office/drawing/2014/main" id="{A0B7CA0D-CBEC-4699-A0C0-CC47BE735905}"/>
              </a:ext>
            </a:extLst>
          </xdr:cNvPr>
          <xdr:cNvSpPr/>
        </xdr:nvSpPr>
        <xdr:spPr>
          <a:xfrm rot="16016728">
            <a:off x="4893153" y="7623858"/>
            <a:ext cx="282719" cy="3085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0" name="TextBox 35">
            <a:extLst>
              <a:ext uri="{FF2B5EF4-FFF2-40B4-BE49-F238E27FC236}">
                <a16:creationId xmlns:a16="http://schemas.microsoft.com/office/drawing/2014/main" id="{3DDA30FA-BEE7-48B9-BD31-508C87559A67}"/>
              </a:ext>
            </a:extLst>
          </xdr:cNvPr>
          <xdr:cNvSpPr txBox="1"/>
        </xdr:nvSpPr>
        <xdr:spPr>
          <a:xfrm>
            <a:off x="4912192" y="7889555"/>
            <a:ext cx="333746" cy="3435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latin typeface="Times New Roman" panose="02020603050405020304" pitchFamily="18" charset="0"/>
                <a:cs typeface="Times New Roman" panose="02020603050405020304" pitchFamily="18" charset="0"/>
              </a:rPr>
              <a:t>N</a:t>
            </a:r>
            <a:endParaRPr lang="en-IN" sz="2400" b="1">
              <a:latin typeface="Times New Roman" panose="02020603050405020304" pitchFamily="18" charset="0"/>
              <a:cs typeface="Times New Roman" panose="02020603050405020304" pitchFamily="18" charset="0"/>
            </a:endParaRPr>
          </a:p>
        </xdr:txBody>
      </xdr:sp>
    </xdr:grpSp>
    <xdr:clientData/>
  </xdr:twoCellAnchor>
  <xdr:twoCellAnchor>
    <xdr:from>
      <xdr:col>1</xdr:col>
      <xdr:colOff>285751</xdr:colOff>
      <xdr:row>268</xdr:row>
      <xdr:rowOff>175292</xdr:rowOff>
    </xdr:from>
    <xdr:to>
      <xdr:col>6</xdr:col>
      <xdr:colOff>997981</xdr:colOff>
      <xdr:row>297</xdr:row>
      <xdr:rowOff>36210</xdr:rowOff>
    </xdr:to>
    <xdr:grpSp>
      <xdr:nvGrpSpPr>
        <xdr:cNvPr id="44" name="Group 43"/>
        <xdr:cNvGrpSpPr/>
      </xdr:nvGrpSpPr>
      <xdr:grpSpPr>
        <a:xfrm>
          <a:off x="1455965" y="69735006"/>
          <a:ext cx="6563302" cy="7358454"/>
          <a:chOff x="1619250" y="71871328"/>
          <a:chExt cx="6563302" cy="7358453"/>
        </a:xfrm>
      </xdr:grpSpPr>
      <xdr:pic>
        <xdr:nvPicPr>
          <xdr:cNvPr id="30" name="Picture 29">
            <a:extLst>
              <a:ext uri="{FF2B5EF4-FFF2-40B4-BE49-F238E27FC236}">
                <a16:creationId xmlns:a16="http://schemas.microsoft.com/office/drawing/2014/main" id="{7D04DA35-680E-444B-AD10-BD7028E8854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2689112" y="76022376"/>
            <a:ext cx="4073637" cy="3207405"/>
          </a:xfrm>
          <a:prstGeom prst="rect">
            <a:avLst/>
          </a:prstGeom>
          <a:ln>
            <a:solidFill>
              <a:schemeClr val="tx1"/>
            </a:solidFill>
          </a:ln>
        </xdr:spPr>
      </xdr:pic>
      <xdr:grpSp>
        <xdr:nvGrpSpPr>
          <xdr:cNvPr id="31" name="Group 30">
            <a:extLst>
              <a:ext uri="{FF2B5EF4-FFF2-40B4-BE49-F238E27FC236}">
                <a16:creationId xmlns:a16="http://schemas.microsoft.com/office/drawing/2014/main" id="{734D0554-84BD-4ED6-A5A8-3FCA867FB20C}"/>
              </a:ext>
            </a:extLst>
          </xdr:cNvPr>
          <xdr:cNvGrpSpPr/>
        </xdr:nvGrpSpPr>
        <xdr:grpSpPr>
          <a:xfrm>
            <a:off x="1619250" y="71871328"/>
            <a:ext cx="6563302" cy="4041324"/>
            <a:chOff x="438150" y="647698"/>
            <a:chExt cx="5400000" cy="3142624"/>
          </a:xfrm>
        </xdr:grpSpPr>
        <xdr:pic>
          <xdr:nvPicPr>
            <xdr:cNvPr id="32" name="Picture 31">
              <a:extLst>
                <a:ext uri="{FF2B5EF4-FFF2-40B4-BE49-F238E27FC236}">
                  <a16:creationId xmlns:a16="http://schemas.microsoft.com/office/drawing/2014/main" id="{28B10857-CF7B-4CD2-A574-F486BD4D3FA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a:xfrm>
              <a:off x="438150" y="647698"/>
              <a:ext cx="5400000" cy="3142624"/>
            </a:xfrm>
            <a:prstGeom prst="rect">
              <a:avLst/>
            </a:prstGeom>
            <a:ln>
              <a:solidFill>
                <a:schemeClr val="tx1"/>
              </a:solidFill>
            </a:ln>
          </xdr:spPr>
        </xdr:pic>
        <xdr:sp macro="" textlink="">
          <xdr:nvSpPr>
            <xdr:cNvPr id="33" name="Rectangle 32">
              <a:extLst>
                <a:ext uri="{FF2B5EF4-FFF2-40B4-BE49-F238E27FC236}">
                  <a16:creationId xmlns:a16="http://schemas.microsoft.com/office/drawing/2014/main" id="{0CAB2650-7C6B-4EA4-B5E0-59E5ACEF5FC4}"/>
                </a:ext>
              </a:extLst>
            </xdr:cNvPr>
            <xdr:cNvSpPr/>
          </xdr:nvSpPr>
          <xdr:spPr>
            <a:xfrm>
              <a:off x="3429000" y="1836420"/>
              <a:ext cx="510540" cy="82455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42">
              <a:extLst>
                <a:ext uri="{FF2B5EF4-FFF2-40B4-BE49-F238E27FC236}">
                  <a16:creationId xmlns:a16="http://schemas.microsoft.com/office/drawing/2014/main" id="{2FE8C2A2-0B85-4354-8A75-0D317EBF7D0D}"/>
                </a:ext>
              </a:extLst>
            </xdr:cNvPr>
            <xdr:cNvSpPr txBox="1"/>
          </xdr:nvSpPr>
          <xdr:spPr>
            <a:xfrm>
              <a:off x="3132144" y="1492131"/>
              <a:ext cx="2017347" cy="44017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latin typeface="Times New Roman" panose="02020603050405020304" pitchFamily="18" charset="0"/>
                  <a:cs typeface="Times New Roman" panose="02020603050405020304" pitchFamily="18" charset="0"/>
                </a:rPr>
                <a:t>The Vaidiki Signature </a:t>
              </a:r>
            </a:p>
            <a:p>
              <a:pPr algn="ctr"/>
              <a:r>
                <a:rPr lang="en-US" sz="1600" b="1">
                  <a:solidFill>
                    <a:srgbClr val="FFFF00"/>
                  </a:solidFill>
                  <a:latin typeface="Times New Roman" panose="02020603050405020304" pitchFamily="18" charset="0"/>
                  <a:cs typeface="Times New Roman" panose="02020603050405020304" pitchFamily="18" charset="0"/>
                </a:rPr>
                <a:t>Wing C</a:t>
              </a:r>
              <a:endParaRPr lang="en-IN" sz="1600" b="1">
                <a:solidFill>
                  <a:srgbClr val="FFFF00"/>
                </a:solidFill>
                <a:latin typeface="Times New Roman" panose="02020603050405020304" pitchFamily="18" charset="0"/>
                <a:cs typeface="Times New Roman" panose="02020603050405020304" pitchFamily="18" charset="0"/>
              </a:endParaRPr>
            </a:p>
          </xdr:txBody>
        </xdr:sp>
        <xdr:sp macro="" textlink="">
          <xdr:nvSpPr>
            <xdr:cNvPr id="35" name="Rectangle 34">
              <a:extLst>
                <a:ext uri="{FF2B5EF4-FFF2-40B4-BE49-F238E27FC236}">
                  <a16:creationId xmlns:a16="http://schemas.microsoft.com/office/drawing/2014/main" id="{2052C75F-5950-4B27-8006-5CF6A0EA75CB}"/>
                </a:ext>
              </a:extLst>
            </xdr:cNvPr>
            <xdr:cNvSpPr/>
          </xdr:nvSpPr>
          <xdr:spPr>
            <a:xfrm>
              <a:off x="2468880" y="1562100"/>
              <a:ext cx="769620" cy="1181100"/>
            </a:xfrm>
            <a:prstGeom prst="rect">
              <a:avLst/>
            </a:prstGeom>
            <a:noFill/>
            <a:ln w="28575">
              <a:solidFill>
                <a:srgbClr val="00FF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TextBox 44">
              <a:extLst>
                <a:ext uri="{FF2B5EF4-FFF2-40B4-BE49-F238E27FC236}">
                  <a16:creationId xmlns:a16="http://schemas.microsoft.com/office/drawing/2014/main" id="{D9F1073C-8F98-47C6-9222-3D7B83B8FFD3}"/>
                </a:ext>
              </a:extLst>
            </xdr:cNvPr>
            <xdr:cNvSpPr txBox="1"/>
          </xdr:nvSpPr>
          <xdr:spPr>
            <a:xfrm>
              <a:off x="2499360" y="2724632"/>
              <a:ext cx="853804" cy="25610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00FFFF"/>
                  </a:solidFill>
                  <a:latin typeface="Times New Roman" panose="02020603050405020304" pitchFamily="18" charset="0"/>
                  <a:cs typeface="Times New Roman" panose="02020603050405020304" pitchFamily="18" charset="0"/>
                </a:rPr>
                <a:t>Wing A</a:t>
              </a:r>
              <a:endParaRPr lang="en-IN" sz="1600" b="1">
                <a:solidFill>
                  <a:srgbClr val="00FFFF"/>
                </a:solidFill>
                <a:latin typeface="Times New Roman" panose="02020603050405020304" pitchFamily="18" charset="0"/>
                <a:cs typeface="Times New Roman" panose="02020603050405020304" pitchFamily="18" charset="0"/>
              </a:endParaRPr>
            </a:p>
          </xdr:txBody>
        </xdr:sp>
        <xdr:sp macro="" textlink="">
          <xdr:nvSpPr>
            <xdr:cNvPr id="37" name="TextBox 45">
              <a:extLst>
                <a:ext uri="{FF2B5EF4-FFF2-40B4-BE49-F238E27FC236}">
                  <a16:creationId xmlns:a16="http://schemas.microsoft.com/office/drawing/2014/main" id="{D61B0180-05D0-4E05-A071-8A1F8715EE7D}"/>
                </a:ext>
              </a:extLst>
            </xdr:cNvPr>
            <xdr:cNvSpPr txBox="1"/>
          </xdr:nvSpPr>
          <xdr:spPr>
            <a:xfrm>
              <a:off x="2423542" y="1321152"/>
              <a:ext cx="801172" cy="279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00FFFF"/>
                  </a:solidFill>
                  <a:latin typeface="Times New Roman" panose="02020603050405020304" pitchFamily="18" charset="0"/>
                  <a:cs typeface="Times New Roman" panose="02020603050405020304" pitchFamily="18" charset="0"/>
                </a:rPr>
                <a:t>Wing B</a:t>
              </a:r>
              <a:endParaRPr lang="en-IN" sz="1800" b="1">
                <a:solidFill>
                  <a:srgbClr val="00FFFF"/>
                </a:solidFill>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9</xdr:col>
      <xdr:colOff>13606</xdr:colOff>
      <xdr:row>19</xdr:row>
      <xdr:rowOff>272143</xdr:rowOff>
    </xdr:from>
    <xdr:to>
      <xdr:col>13</xdr:col>
      <xdr:colOff>231612</xdr:colOff>
      <xdr:row>23</xdr:row>
      <xdr:rowOff>884986</xdr:rowOff>
    </xdr:to>
    <xdr:pic>
      <xdr:nvPicPr>
        <xdr:cNvPr id="38" name="Picture 37">
          <a:extLst>
            <a:ext uri="{FF2B5EF4-FFF2-40B4-BE49-F238E27FC236}">
              <a16:creationId xmlns:a16="http://schemas.microsoft.com/office/drawing/2014/main" id="{C88AD101-7D0C-4A1B-A812-9ACF290CB21C}"/>
            </a:ext>
          </a:extLst>
        </xdr:cNvPr>
        <xdr:cNvPicPr>
          <a:picLocks noChangeAspect="1"/>
        </xdr:cNvPicPr>
      </xdr:nvPicPr>
      <xdr:blipFill>
        <a:blip xmlns:r="http://schemas.openxmlformats.org/officeDocument/2006/relationships" r:embed="rId14"/>
        <a:stretch>
          <a:fillRect/>
        </a:stretch>
      </xdr:blipFill>
      <xdr:spPr>
        <a:xfrm>
          <a:off x="11634106" y="9293679"/>
          <a:ext cx="3600000" cy="2203996"/>
        </a:xfrm>
        <a:prstGeom prst="rect">
          <a:avLst/>
        </a:prstGeom>
      </xdr:spPr>
    </xdr:pic>
    <xdr:clientData/>
  </xdr:twoCellAnchor>
  <xdr:twoCellAnchor editAs="oneCell">
    <xdr:from>
      <xdr:col>8</xdr:col>
      <xdr:colOff>1279071</xdr:colOff>
      <xdr:row>11</xdr:row>
      <xdr:rowOff>244928</xdr:rowOff>
    </xdr:from>
    <xdr:to>
      <xdr:col>15</xdr:col>
      <xdr:colOff>539078</xdr:colOff>
      <xdr:row>16</xdr:row>
      <xdr:rowOff>822284</xdr:rowOff>
    </xdr:to>
    <xdr:pic>
      <xdr:nvPicPr>
        <xdr:cNvPr id="39" name="Picture 38">
          <a:extLst>
            <a:ext uri="{FF2B5EF4-FFF2-40B4-BE49-F238E27FC236}">
              <a16:creationId xmlns:a16="http://schemas.microsoft.com/office/drawing/2014/main" id="{6853F9BD-3C95-4883-851D-7BB402666002}"/>
            </a:ext>
          </a:extLst>
        </xdr:cNvPr>
        <xdr:cNvPicPr>
          <a:picLocks noChangeAspect="1"/>
        </xdr:cNvPicPr>
      </xdr:nvPicPr>
      <xdr:blipFill>
        <a:blip xmlns:r="http://schemas.openxmlformats.org/officeDocument/2006/relationships" r:embed="rId15"/>
        <a:stretch>
          <a:fillRect/>
        </a:stretch>
      </xdr:blipFill>
      <xdr:spPr>
        <a:xfrm>
          <a:off x="10640785" y="5592535"/>
          <a:ext cx="6125430" cy="2391109"/>
        </a:xfrm>
        <a:prstGeom prst="rect">
          <a:avLst/>
        </a:prstGeom>
      </xdr:spPr>
    </xdr:pic>
    <xdr:clientData/>
  </xdr:twoCellAnchor>
  <xdr:twoCellAnchor editAs="oneCell">
    <xdr:from>
      <xdr:col>10</xdr:col>
      <xdr:colOff>503464</xdr:colOff>
      <xdr:row>66</xdr:row>
      <xdr:rowOff>204108</xdr:rowOff>
    </xdr:from>
    <xdr:to>
      <xdr:col>18</xdr:col>
      <xdr:colOff>64047</xdr:colOff>
      <xdr:row>74</xdr:row>
      <xdr:rowOff>145892</xdr:rowOff>
    </xdr:to>
    <xdr:pic>
      <xdr:nvPicPr>
        <xdr:cNvPr id="40" name="Picture 39">
          <a:extLst>
            <a:ext uri="{FF2B5EF4-FFF2-40B4-BE49-F238E27FC236}">
              <a16:creationId xmlns:a16="http://schemas.microsoft.com/office/drawing/2014/main" id="{7D533AD6-1633-4F65-89A1-8FDEE4C2C8F2}"/>
            </a:ext>
          </a:extLst>
        </xdr:cNvPr>
        <xdr:cNvPicPr>
          <a:picLocks noChangeAspect="1"/>
        </xdr:cNvPicPr>
      </xdr:nvPicPr>
      <xdr:blipFill>
        <a:blip xmlns:r="http://schemas.openxmlformats.org/officeDocument/2006/relationships" r:embed="rId16"/>
        <a:stretch>
          <a:fillRect/>
        </a:stretch>
      </xdr:blipFill>
      <xdr:spPr>
        <a:xfrm>
          <a:off x="13022035" y="26520322"/>
          <a:ext cx="5106113" cy="2105319"/>
        </a:xfrm>
        <a:prstGeom prst="rect">
          <a:avLst/>
        </a:prstGeom>
      </xdr:spPr>
    </xdr:pic>
    <xdr:clientData/>
  </xdr:twoCellAnchor>
  <xdr:twoCellAnchor editAs="oneCell">
    <xdr:from>
      <xdr:col>8</xdr:col>
      <xdr:colOff>571500</xdr:colOff>
      <xdr:row>41</xdr:row>
      <xdr:rowOff>81643</xdr:rowOff>
    </xdr:from>
    <xdr:to>
      <xdr:col>11</xdr:col>
      <xdr:colOff>402321</xdr:colOff>
      <xdr:row>51</xdr:row>
      <xdr:rowOff>2547</xdr:rowOff>
    </xdr:to>
    <xdr:pic>
      <xdr:nvPicPr>
        <xdr:cNvPr id="41" name="Picture 40">
          <a:extLst>
            <a:ext uri="{FF2B5EF4-FFF2-40B4-BE49-F238E27FC236}">
              <a16:creationId xmlns:a16="http://schemas.microsoft.com/office/drawing/2014/main" id="{441847F1-5BD4-4A10-A85A-F03F039304D6}"/>
            </a:ext>
          </a:extLst>
        </xdr:cNvPr>
        <xdr:cNvPicPr>
          <a:picLocks noChangeAspect="1"/>
        </xdr:cNvPicPr>
      </xdr:nvPicPr>
      <xdr:blipFill>
        <a:blip xmlns:r="http://schemas.openxmlformats.org/officeDocument/2006/relationships" r:embed="rId17"/>
        <a:stretch>
          <a:fillRect/>
        </a:stretch>
      </xdr:blipFill>
      <xdr:spPr>
        <a:xfrm>
          <a:off x="9933214" y="19866429"/>
          <a:ext cx="3600000" cy="2306157"/>
        </a:xfrm>
        <a:prstGeom prst="rect">
          <a:avLst/>
        </a:prstGeom>
      </xdr:spPr>
    </xdr:pic>
    <xdr:clientData/>
  </xdr:twoCellAnchor>
  <xdr:twoCellAnchor editAs="oneCell">
    <xdr:from>
      <xdr:col>8</xdr:col>
      <xdr:colOff>217715</xdr:colOff>
      <xdr:row>51</xdr:row>
      <xdr:rowOff>0</xdr:rowOff>
    </xdr:from>
    <xdr:to>
      <xdr:col>12</xdr:col>
      <xdr:colOff>583072</xdr:colOff>
      <xdr:row>60</xdr:row>
      <xdr:rowOff>180920</xdr:rowOff>
    </xdr:to>
    <xdr:pic>
      <xdr:nvPicPr>
        <xdr:cNvPr id="42" name="Picture 41">
          <a:extLst>
            <a:ext uri="{FF2B5EF4-FFF2-40B4-BE49-F238E27FC236}">
              <a16:creationId xmlns:a16="http://schemas.microsoft.com/office/drawing/2014/main" id="{C99E9746-A063-40B2-B44D-52C2605D1706}"/>
            </a:ext>
          </a:extLst>
        </xdr:cNvPr>
        <xdr:cNvPicPr>
          <a:picLocks noChangeAspect="1"/>
        </xdr:cNvPicPr>
      </xdr:nvPicPr>
      <xdr:blipFill>
        <a:blip xmlns:r="http://schemas.openxmlformats.org/officeDocument/2006/relationships" r:embed="rId18"/>
        <a:stretch>
          <a:fillRect/>
        </a:stretch>
      </xdr:blipFill>
      <xdr:spPr>
        <a:xfrm>
          <a:off x="9579429" y="22288500"/>
          <a:ext cx="5400000" cy="1476000"/>
        </a:xfrm>
        <a:prstGeom prst="rect">
          <a:avLst/>
        </a:prstGeom>
      </xdr:spPr>
    </xdr:pic>
    <xdr:clientData/>
  </xdr:twoCellAnchor>
  <xdr:twoCellAnchor editAs="oneCell">
    <xdr:from>
      <xdr:col>8</xdr:col>
      <xdr:colOff>244929</xdr:colOff>
      <xdr:row>54</xdr:row>
      <xdr:rowOff>27214</xdr:rowOff>
    </xdr:from>
    <xdr:to>
      <xdr:col>13</xdr:col>
      <xdr:colOff>358052</xdr:colOff>
      <xdr:row>62</xdr:row>
      <xdr:rowOff>151601</xdr:rowOff>
    </xdr:to>
    <xdr:pic>
      <xdr:nvPicPr>
        <xdr:cNvPr id="43" name="Picture 42">
          <a:extLst>
            <a:ext uri="{FF2B5EF4-FFF2-40B4-BE49-F238E27FC236}">
              <a16:creationId xmlns:a16="http://schemas.microsoft.com/office/drawing/2014/main" id="{79401F27-6951-408B-97D2-C3B2A69E1163}"/>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a:ext>
          </a:extLst>
        </a:blip>
        <a:srcRect/>
        <a:stretch/>
      </xdr:blipFill>
      <xdr:spPr>
        <a:xfrm>
          <a:off x="9606643" y="23989393"/>
          <a:ext cx="5753903" cy="1176139"/>
        </a:xfrm>
        <a:prstGeom prst="rect">
          <a:avLst/>
        </a:prstGeom>
      </xdr:spPr>
    </xdr:pic>
    <xdr:clientData/>
  </xdr:twoCellAnchor>
  <xdr:twoCellAnchor editAs="oneCell">
    <xdr:from>
      <xdr:col>9</xdr:col>
      <xdr:colOff>612322</xdr:colOff>
      <xdr:row>14</xdr:row>
      <xdr:rowOff>449036</xdr:rowOff>
    </xdr:from>
    <xdr:to>
      <xdr:col>12</xdr:col>
      <xdr:colOff>499944</xdr:colOff>
      <xdr:row>19</xdr:row>
      <xdr:rowOff>351661</xdr:rowOff>
    </xdr:to>
    <xdr:pic>
      <xdr:nvPicPr>
        <xdr:cNvPr id="45" name="Picture 44">
          <a:extLst>
            <a:ext uri="{FF2B5EF4-FFF2-40B4-BE49-F238E27FC236}">
              <a16:creationId xmlns:a16="http://schemas.microsoft.com/office/drawing/2014/main" id="{D13DF51E-03C7-4AD1-BC1B-ECDC603A6562}"/>
            </a:ext>
          </a:extLst>
        </xdr:cNvPr>
        <xdr:cNvPicPr>
          <a:picLocks noChangeAspect="1"/>
        </xdr:cNvPicPr>
      </xdr:nvPicPr>
      <xdr:blipFill>
        <a:blip xmlns:r="http://schemas.openxmlformats.org/officeDocument/2006/relationships" r:embed="rId20"/>
        <a:stretch>
          <a:fillRect/>
        </a:stretch>
      </xdr:blipFill>
      <xdr:spPr>
        <a:xfrm>
          <a:off x="12232822" y="7483929"/>
          <a:ext cx="2657294" cy="2520000"/>
        </a:xfrm>
        <a:prstGeom prst="rect">
          <a:avLst/>
        </a:prstGeom>
      </xdr:spPr>
    </xdr:pic>
    <xdr:clientData/>
  </xdr:twoCellAnchor>
  <xdr:twoCellAnchor editAs="oneCell">
    <xdr:from>
      <xdr:col>10</xdr:col>
      <xdr:colOff>125668</xdr:colOff>
      <xdr:row>10</xdr:row>
      <xdr:rowOff>273183</xdr:rowOff>
    </xdr:from>
    <xdr:to>
      <xdr:col>17</xdr:col>
      <xdr:colOff>274327</xdr:colOff>
      <xdr:row>20</xdr:row>
      <xdr:rowOff>140048</xdr:rowOff>
    </xdr:to>
    <xdr:pic>
      <xdr:nvPicPr>
        <xdr:cNvPr id="46" name="Picture 45">
          <a:extLst>
            <a:ext uri="{FF2B5EF4-FFF2-40B4-BE49-F238E27FC236}">
              <a16:creationId xmlns:a16="http://schemas.microsoft.com/office/drawing/2014/main" id="{FD60435E-15DE-4110-AE67-8E994C44B0FE}"/>
            </a:ext>
          </a:extLst>
        </xdr:cNvPr>
        <xdr:cNvPicPr>
          <a:picLocks noChangeAspect="1"/>
        </xdr:cNvPicPr>
      </xdr:nvPicPr>
      <xdr:blipFill>
        <a:blip xmlns:r="http://schemas.openxmlformats.org/officeDocument/2006/relationships" r:embed="rId21"/>
        <a:stretch>
          <a:fillRect/>
        </a:stretch>
      </xdr:blipFill>
      <xdr:spPr>
        <a:xfrm>
          <a:off x="12687462" y="5035683"/>
          <a:ext cx="5024236" cy="4665457"/>
        </a:xfrm>
        <a:prstGeom prst="rect">
          <a:avLst/>
        </a:prstGeom>
      </xdr:spPr>
    </xdr:pic>
    <xdr:clientData/>
  </xdr:twoCellAnchor>
  <xdr:twoCellAnchor editAs="oneCell">
    <xdr:from>
      <xdr:col>8</xdr:col>
      <xdr:colOff>898071</xdr:colOff>
      <xdr:row>26</xdr:row>
      <xdr:rowOff>408214</xdr:rowOff>
    </xdr:from>
    <xdr:to>
      <xdr:col>11</xdr:col>
      <xdr:colOff>1085661</xdr:colOff>
      <xdr:row>29</xdr:row>
      <xdr:rowOff>655219</xdr:rowOff>
    </xdr:to>
    <xdr:pic>
      <xdr:nvPicPr>
        <xdr:cNvPr id="47" name="Picture 46">
          <a:extLst>
            <a:ext uri="{FF2B5EF4-FFF2-40B4-BE49-F238E27FC236}">
              <a16:creationId xmlns:a16="http://schemas.microsoft.com/office/drawing/2014/main" id="{59942E05-A6B1-4E00-8780-11B1CB4CAA04}"/>
            </a:ext>
          </a:extLst>
        </xdr:cNvPr>
        <xdr:cNvPicPr>
          <a:picLocks noChangeAspect="1"/>
        </xdr:cNvPicPr>
      </xdr:nvPicPr>
      <xdr:blipFill>
        <a:blip xmlns:r="http://schemas.openxmlformats.org/officeDocument/2006/relationships" r:embed="rId22"/>
        <a:stretch>
          <a:fillRect/>
        </a:stretch>
      </xdr:blipFill>
      <xdr:spPr>
        <a:xfrm>
          <a:off x="10259785" y="13090071"/>
          <a:ext cx="3962953" cy="2260862"/>
        </a:xfrm>
        <a:prstGeom prst="rect">
          <a:avLst/>
        </a:prstGeom>
      </xdr:spPr>
    </xdr:pic>
    <xdr:clientData/>
  </xdr:twoCellAnchor>
  <xdr:twoCellAnchor editAs="oneCell">
    <xdr:from>
      <xdr:col>8</xdr:col>
      <xdr:colOff>2136323</xdr:colOff>
      <xdr:row>5</xdr:row>
      <xdr:rowOff>285750</xdr:rowOff>
    </xdr:from>
    <xdr:to>
      <xdr:col>22</xdr:col>
      <xdr:colOff>99731</xdr:colOff>
      <xdr:row>9</xdr:row>
      <xdr:rowOff>276556</xdr:rowOff>
    </xdr:to>
    <xdr:pic>
      <xdr:nvPicPr>
        <xdr:cNvPr id="3" name="Picture 2"/>
        <xdr:cNvPicPr>
          <a:picLocks noChangeAspect="1"/>
        </xdr:cNvPicPr>
      </xdr:nvPicPr>
      <xdr:blipFill>
        <a:blip xmlns:r="http://schemas.openxmlformats.org/officeDocument/2006/relationships" r:embed="rId23"/>
        <a:stretch>
          <a:fillRect/>
        </a:stretch>
      </xdr:blipFill>
      <xdr:spPr>
        <a:xfrm>
          <a:off x="11498037" y="2163536"/>
          <a:ext cx="7270694" cy="2372056"/>
        </a:xfrm>
        <a:prstGeom prst="rect">
          <a:avLst/>
        </a:prstGeom>
      </xdr:spPr>
    </xdr:pic>
    <xdr:clientData/>
  </xdr:twoCellAnchor>
  <xdr:twoCellAnchor editAs="oneCell">
    <xdr:from>
      <xdr:col>16</xdr:col>
      <xdr:colOff>71750</xdr:colOff>
      <xdr:row>139</xdr:row>
      <xdr:rowOff>70509</xdr:rowOff>
    </xdr:from>
    <xdr:to>
      <xdr:col>30</xdr:col>
      <xdr:colOff>144185</xdr:colOff>
      <xdr:row>158</xdr:row>
      <xdr:rowOff>35811</xdr:rowOff>
    </xdr:to>
    <xdr:pic>
      <xdr:nvPicPr>
        <xdr:cNvPr id="48" name="Picture 47"/>
        <xdr:cNvPicPr>
          <a:picLocks noChangeAspect="1"/>
        </xdr:cNvPicPr>
      </xdr:nvPicPr>
      <xdr:blipFill>
        <a:blip xmlns:r="http://schemas.openxmlformats.org/officeDocument/2006/relationships" r:embed="rId24"/>
        <a:stretch>
          <a:fillRect/>
        </a:stretch>
      </xdr:blipFill>
      <xdr:spPr>
        <a:xfrm>
          <a:off x="16281568" y="35988418"/>
          <a:ext cx="6653344" cy="4900985"/>
        </a:xfrm>
        <a:prstGeom prst="rect">
          <a:avLst/>
        </a:prstGeom>
      </xdr:spPr>
    </xdr:pic>
    <xdr:clientData/>
  </xdr:twoCellAnchor>
  <xdr:twoCellAnchor editAs="oneCell">
    <xdr:from>
      <xdr:col>15</xdr:col>
      <xdr:colOff>149102</xdr:colOff>
      <xdr:row>133</xdr:row>
      <xdr:rowOff>86591</xdr:rowOff>
    </xdr:from>
    <xdr:to>
      <xdr:col>35</xdr:col>
      <xdr:colOff>123290</xdr:colOff>
      <xdr:row>157</xdr:row>
      <xdr:rowOff>17320</xdr:rowOff>
    </xdr:to>
    <xdr:pic>
      <xdr:nvPicPr>
        <xdr:cNvPr id="49" name="Picture 48"/>
        <xdr:cNvPicPr>
          <a:picLocks noChangeAspect="1"/>
        </xdr:cNvPicPr>
      </xdr:nvPicPr>
      <xdr:blipFill>
        <a:blip xmlns:r="http://schemas.openxmlformats.org/officeDocument/2006/relationships" r:embed="rId25"/>
        <a:stretch>
          <a:fillRect/>
        </a:stretch>
      </xdr:blipFill>
      <xdr:spPr>
        <a:xfrm>
          <a:off x="16393557" y="34445864"/>
          <a:ext cx="10191915" cy="6165274"/>
        </a:xfrm>
        <a:prstGeom prst="rect">
          <a:avLst/>
        </a:prstGeom>
      </xdr:spPr>
    </xdr:pic>
    <xdr:clientData/>
  </xdr:twoCellAnchor>
  <xdr:twoCellAnchor editAs="oneCell">
    <xdr:from>
      <xdr:col>13</xdr:col>
      <xdr:colOff>207819</xdr:colOff>
      <xdr:row>155</xdr:row>
      <xdr:rowOff>242454</xdr:rowOff>
    </xdr:from>
    <xdr:to>
      <xdr:col>30</xdr:col>
      <xdr:colOff>408918</xdr:colOff>
      <xdr:row>173</xdr:row>
      <xdr:rowOff>225137</xdr:rowOff>
    </xdr:to>
    <xdr:pic>
      <xdr:nvPicPr>
        <xdr:cNvPr id="50" name="Picture 49"/>
        <xdr:cNvPicPr>
          <a:picLocks noChangeAspect="1"/>
        </xdr:cNvPicPr>
      </xdr:nvPicPr>
      <xdr:blipFill>
        <a:blip xmlns:r="http://schemas.openxmlformats.org/officeDocument/2006/relationships" r:embed="rId26"/>
        <a:stretch>
          <a:fillRect/>
        </a:stretch>
      </xdr:blipFill>
      <xdr:spPr>
        <a:xfrm>
          <a:off x="15240001" y="40316727"/>
          <a:ext cx="8600417" cy="4918364"/>
        </a:xfrm>
        <a:prstGeom prst="rect">
          <a:avLst/>
        </a:prstGeom>
      </xdr:spPr>
    </xdr:pic>
    <xdr:clientData/>
  </xdr:twoCellAnchor>
  <xdr:twoCellAnchor editAs="oneCell">
    <xdr:from>
      <xdr:col>8</xdr:col>
      <xdr:colOff>1489364</xdr:colOff>
      <xdr:row>128</xdr:row>
      <xdr:rowOff>831273</xdr:rowOff>
    </xdr:from>
    <xdr:to>
      <xdr:col>18</xdr:col>
      <xdr:colOff>68549</xdr:colOff>
      <xdr:row>142</xdr:row>
      <xdr:rowOff>40063</xdr:rowOff>
    </xdr:to>
    <xdr:pic>
      <xdr:nvPicPr>
        <xdr:cNvPr id="51" name="Picture 50"/>
        <xdr:cNvPicPr>
          <a:picLocks noChangeAspect="1"/>
        </xdr:cNvPicPr>
      </xdr:nvPicPr>
      <xdr:blipFill>
        <a:blip xmlns:r="http://schemas.openxmlformats.org/officeDocument/2006/relationships" r:embed="rId27"/>
        <a:stretch>
          <a:fillRect/>
        </a:stretch>
      </xdr:blipFill>
      <xdr:spPr>
        <a:xfrm>
          <a:off x="10851078" y="33352344"/>
          <a:ext cx="7274150" cy="3413398"/>
        </a:xfrm>
        <a:prstGeom prst="rect">
          <a:avLst/>
        </a:prstGeom>
      </xdr:spPr>
    </xdr:pic>
    <xdr:clientData/>
  </xdr:twoCellAnchor>
  <xdr:twoCellAnchor editAs="oneCell">
    <xdr:from>
      <xdr:col>12</xdr:col>
      <xdr:colOff>588819</xdr:colOff>
      <xdr:row>122</xdr:row>
      <xdr:rowOff>17319</xdr:rowOff>
    </xdr:from>
    <xdr:to>
      <xdr:col>26</xdr:col>
      <xdr:colOff>590603</xdr:colOff>
      <xdr:row>132</xdr:row>
      <xdr:rowOff>222975</xdr:rowOff>
    </xdr:to>
    <xdr:pic>
      <xdr:nvPicPr>
        <xdr:cNvPr id="52" name="Picture 51"/>
        <xdr:cNvPicPr>
          <a:picLocks noChangeAspect="1"/>
        </xdr:cNvPicPr>
      </xdr:nvPicPr>
      <xdr:blipFill>
        <a:blip xmlns:r="http://schemas.openxmlformats.org/officeDocument/2006/relationships" r:embed="rId28"/>
        <a:stretch>
          <a:fillRect/>
        </a:stretch>
      </xdr:blipFill>
      <xdr:spPr>
        <a:xfrm>
          <a:off x="15014864" y="31207364"/>
          <a:ext cx="6582694" cy="31151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stampdutyreadyreckoner.com/reckoner/2024/thane/kalyan/adivali-dhokli" TargetMode="External"/><Relationship Id="rId7" Type="http://schemas.openxmlformats.org/officeDocument/2006/relationships/vmlDrawing" Target="../drawings/vmlDrawing2.vml"/><Relationship Id="rId2" Type="http://schemas.openxmlformats.org/officeDocument/2006/relationships/hyperlink" Target="https://www.shreejarimarigroup.com/projects/the-vaidiki-signature-phase-2" TargetMode="External"/><Relationship Id="rId1" Type="http://schemas.openxmlformats.org/officeDocument/2006/relationships/hyperlink" Target="https://maps.app.goo.gl/ABdj3ChwiRaRDLjb8"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09"/>
  <sheetViews>
    <sheetView tabSelected="1" view="pageBreakPreview" topLeftCell="A40" zoomScale="70" zoomScaleNormal="85" zoomScaleSheetLayoutView="70" zoomScalePageLayoutView="70" workbookViewId="0">
      <selection activeCell="N50" sqref="N50"/>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3.42578125" style="1" bestFit="1" customWidth="1"/>
    <col min="11" max="11" width="9.140625" style="1"/>
    <col min="12" max="12" width="18.7109375" style="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39" t="s">
        <v>38</v>
      </c>
      <c r="B1" s="140"/>
      <c r="C1" s="140"/>
      <c r="D1" s="140"/>
      <c r="E1" s="140"/>
      <c r="F1" s="140"/>
      <c r="G1" s="140"/>
      <c r="H1" s="141"/>
    </row>
    <row r="2" spans="1:11" ht="20.25" x14ac:dyDescent="0.25">
      <c r="A2" s="135" t="s">
        <v>10</v>
      </c>
      <c r="B2" s="135"/>
      <c r="C2" s="118" t="s">
        <v>87</v>
      </c>
      <c r="D2" s="118"/>
      <c r="E2" s="135" t="s">
        <v>12</v>
      </c>
      <c r="F2" s="135"/>
      <c r="G2" s="173">
        <v>45920</v>
      </c>
      <c r="H2" s="118"/>
      <c r="J2" s="182"/>
      <c r="K2" s="183"/>
    </row>
    <row r="3" spans="1:11" ht="42.75" customHeight="1" x14ac:dyDescent="0.25">
      <c r="A3" s="135" t="s">
        <v>39</v>
      </c>
      <c r="B3" s="135"/>
      <c r="C3" s="184" t="s">
        <v>302</v>
      </c>
      <c r="D3" s="184"/>
      <c r="E3" s="135" t="s">
        <v>156</v>
      </c>
      <c r="F3" s="135"/>
      <c r="G3" s="118" t="s">
        <v>301</v>
      </c>
      <c r="H3" s="118"/>
    </row>
    <row r="4" spans="1:11" ht="43.5" customHeight="1" x14ac:dyDescent="0.25">
      <c r="A4" s="135" t="s">
        <v>36</v>
      </c>
      <c r="B4" s="135"/>
      <c r="C4" s="118" t="s">
        <v>303</v>
      </c>
      <c r="D4" s="118"/>
      <c r="E4" s="135" t="s">
        <v>33</v>
      </c>
      <c r="F4" s="135"/>
      <c r="G4" s="118" t="str">
        <f ca="1">TEXT(TODAY(),"DD/MM/YYYY")</f>
        <v>25/09/2025</v>
      </c>
      <c r="H4" s="118"/>
    </row>
    <row r="5" spans="1:11" ht="20.25" x14ac:dyDescent="0.25">
      <c r="A5" s="119" t="s">
        <v>40</v>
      </c>
      <c r="B5" s="119"/>
      <c r="C5" s="119"/>
      <c r="D5" s="119"/>
      <c r="E5" s="119"/>
      <c r="F5" s="119"/>
      <c r="G5" s="119"/>
      <c r="H5" s="119"/>
    </row>
    <row r="6" spans="1:11" ht="43.5" customHeight="1" x14ac:dyDescent="0.25">
      <c r="A6" s="135" t="s">
        <v>29</v>
      </c>
      <c r="B6" s="135"/>
      <c r="C6" s="118" t="s">
        <v>341</v>
      </c>
      <c r="D6" s="118"/>
      <c r="E6" s="135" t="s">
        <v>35</v>
      </c>
      <c r="F6" s="135"/>
      <c r="G6" s="131" t="s">
        <v>300</v>
      </c>
      <c r="H6" s="131"/>
    </row>
    <row r="7" spans="1:11" ht="48.75" customHeight="1" x14ac:dyDescent="0.25">
      <c r="A7" s="135" t="s">
        <v>42</v>
      </c>
      <c r="B7" s="135"/>
      <c r="C7" s="118" t="s">
        <v>304</v>
      </c>
      <c r="D7" s="118"/>
      <c r="E7" s="135" t="s">
        <v>43</v>
      </c>
      <c r="F7" s="135"/>
      <c r="G7" s="118" t="s">
        <v>304</v>
      </c>
      <c r="H7" s="118"/>
    </row>
    <row r="8" spans="1:11" ht="48.75" customHeight="1" x14ac:dyDescent="0.25">
      <c r="A8" s="135" t="s">
        <v>44</v>
      </c>
      <c r="B8" s="135"/>
      <c r="C8" s="118" t="s">
        <v>305</v>
      </c>
      <c r="D8" s="118"/>
      <c r="E8" s="118"/>
      <c r="F8" s="118"/>
      <c r="G8" s="118"/>
      <c r="H8" s="118"/>
    </row>
    <row r="9" spans="1:11" ht="45" customHeight="1" x14ac:dyDescent="0.25">
      <c r="A9" s="152" t="s">
        <v>147</v>
      </c>
      <c r="B9" s="33" t="s">
        <v>41</v>
      </c>
      <c r="C9" s="118" t="s">
        <v>363</v>
      </c>
      <c r="D9" s="144"/>
      <c r="E9" s="144"/>
      <c r="F9" s="144"/>
      <c r="G9" s="144"/>
      <c r="H9" s="144"/>
    </row>
    <row r="10" spans="1:11" ht="43.5" customHeight="1" x14ac:dyDescent="0.25">
      <c r="A10" s="152"/>
      <c r="B10" s="33" t="s">
        <v>11</v>
      </c>
      <c r="C10" s="118" t="s">
        <v>342</v>
      </c>
      <c r="D10" s="118"/>
      <c r="E10" s="118"/>
      <c r="F10" s="118"/>
      <c r="G10" s="118"/>
      <c r="H10" s="118"/>
      <c r="I10" s="80" t="s">
        <v>331</v>
      </c>
    </row>
    <row r="11" spans="1:11" ht="45.75" customHeight="1" x14ac:dyDescent="0.25">
      <c r="A11" s="152"/>
      <c r="B11" s="33" t="s">
        <v>5</v>
      </c>
      <c r="C11" s="118" t="s">
        <v>348</v>
      </c>
      <c r="D11" s="118"/>
      <c r="E11" s="118"/>
      <c r="F11" s="118"/>
      <c r="G11" s="118"/>
      <c r="H11" s="118"/>
    </row>
    <row r="12" spans="1:11" ht="40.5" customHeight="1" x14ac:dyDescent="0.25">
      <c r="A12" s="135" t="s">
        <v>34</v>
      </c>
      <c r="B12" s="135"/>
      <c r="C12" s="131" t="s">
        <v>350</v>
      </c>
      <c r="D12" s="131"/>
      <c r="E12" s="131"/>
      <c r="F12" s="131"/>
      <c r="G12" s="131"/>
      <c r="H12" s="131"/>
    </row>
    <row r="13" spans="1:11" ht="20.100000000000001" customHeight="1" x14ac:dyDescent="0.25">
      <c r="A13" s="119" t="s">
        <v>45</v>
      </c>
      <c r="B13" s="119"/>
      <c r="C13" s="119"/>
      <c r="D13" s="119"/>
      <c r="E13" s="119"/>
      <c r="F13" s="119"/>
      <c r="G13" s="119"/>
      <c r="H13" s="119"/>
    </row>
    <row r="14" spans="1:11" ht="41.25" customHeight="1" x14ac:dyDescent="0.25">
      <c r="A14" s="135" t="s">
        <v>27</v>
      </c>
      <c r="B14" s="135" t="s">
        <v>4</v>
      </c>
      <c r="C14" s="118" t="s">
        <v>88</v>
      </c>
      <c r="D14" s="118"/>
      <c r="E14" s="135" t="s">
        <v>46</v>
      </c>
      <c r="F14" s="135" t="s">
        <v>4</v>
      </c>
      <c r="G14" s="118" t="s">
        <v>306</v>
      </c>
      <c r="H14" s="118"/>
    </row>
    <row r="15" spans="1:11" ht="20.25" x14ac:dyDescent="0.25">
      <c r="A15" s="135" t="s">
        <v>47</v>
      </c>
      <c r="B15" s="135" t="s">
        <v>4</v>
      </c>
      <c r="C15" s="118" t="s">
        <v>307</v>
      </c>
      <c r="D15" s="118"/>
      <c r="E15" s="135" t="s">
        <v>48</v>
      </c>
      <c r="F15" s="135" t="s">
        <v>4</v>
      </c>
      <c r="G15" s="173">
        <v>46752</v>
      </c>
      <c r="H15" s="118"/>
    </row>
    <row r="16" spans="1:11" ht="20.25" x14ac:dyDescent="0.25">
      <c r="A16" s="135" t="s">
        <v>49</v>
      </c>
      <c r="B16" s="135" t="s">
        <v>4</v>
      </c>
      <c r="C16" s="173">
        <v>45517</v>
      </c>
      <c r="D16" s="118"/>
      <c r="E16" s="135" t="s">
        <v>50</v>
      </c>
      <c r="F16" s="135" t="s">
        <v>4</v>
      </c>
      <c r="G16" s="172">
        <v>45505</v>
      </c>
      <c r="H16" s="118"/>
      <c r="I16" s="82" t="s">
        <v>340</v>
      </c>
    </row>
    <row r="17" spans="1:9" ht="66" customHeight="1" x14ac:dyDescent="0.25">
      <c r="A17" s="135" t="s">
        <v>51</v>
      </c>
      <c r="B17" s="135" t="s">
        <v>4</v>
      </c>
      <c r="C17" s="173">
        <f>G15</f>
        <v>46752</v>
      </c>
      <c r="D17" s="118"/>
      <c r="E17" s="135" t="s">
        <v>52</v>
      </c>
      <c r="F17" s="135" t="s">
        <v>4</v>
      </c>
      <c r="G17" s="118" t="s">
        <v>308</v>
      </c>
      <c r="H17" s="118"/>
    </row>
    <row r="18" spans="1:9" ht="41.25" customHeight="1" x14ac:dyDescent="0.25">
      <c r="A18" s="135" t="s">
        <v>53</v>
      </c>
      <c r="B18" s="135" t="s">
        <v>4</v>
      </c>
      <c r="C18" s="11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18"/>
      <c r="E18" s="135" t="s">
        <v>95</v>
      </c>
      <c r="F18" s="135" t="s">
        <v>4</v>
      </c>
      <c r="G18" s="118">
        <v>5500</v>
      </c>
      <c r="H18" s="118"/>
    </row>
    <row r="19" spans="1:9" ht="41.25" customHeight="1" x14ac:dyDescent="0.25">
      <c r="A19" s="135" t="s">
        <v>54</v>
      </c>
      <c r="B19" s="135" t="s">
        <v>4</v>
      </c>
      <c r="C19" s="118">
        <f>1411.3/G19</f>
        <v>1.0999999999999999</v>
      </c>
      <c r="D19" s="118"/>
      <c r="E19" s="135" t="s">
        <v>345</v>
      </c>
      <c r="F19" s="135" t="s">
        <v>4</v>
      </c>
      <c r="G19" s="118">
        <v>1283</v>
      </c>
      <c r="H19" s="118"/>
    </row>
    <row r="20" spans="1:9" ht="41.25" customHeight="1" x14ac:dyDescent="0.25">
      <c r="A20" s="135" t="s">
        <v>93</v>
      </c>
      <c r="B20" s="135" t="s">
        <v>4</v>
      </c>
      <c r="C20" s="118">
        <v>5678.58</v>
      </c>
      <c r="D20" s="118"/>
      <c r="E20" s="135" t="s">
        <v>94</v>
      </c>
      <c r="F20" s="135" t="s">
        <v>4</v>
      </c>
      <c r="G20" s="118">
        <v>5669.37</v>
      </c>
      <c r="H20" s="118"/>
    </row>
    <row r="21" spans="1:9" ht="41.25" customHeight="1" x14ac:dyDescent="0.25">
      <c r="A21" s="135" t="s">
        <v>56</v>
      </c>
      <c r="B21" s="135" t="s">
        <v>4</v>
      </c>
      <c r="C21" s="118" t="s">
        <v>343</v>
      </c>
      <c r="D21" s="118"/>
      <c r="E21" s="135" t="s">
        <v>55</v>
      </c>
      <c r="F21" s="135" t="s">
        <v>4</v>
      </c>
      <c r="G21" s="118" t="s">
        <v>344</v>
      </c>
      <c r="H21" s="118"/>
      <c r="I21" s="1">
        <f>16+46+14+16+2</f>
        <v>94</v>
      </c>
    </row>
    <row r="22" spans="1:9" ht="20.25" x14ac:dyDescent="0.25">
      <c r="A22" s="135" t="s">
        <v>160</v>
      </c>
      <c r="B22" s="135" t="s">
        <v>4</v>
      </c>
      <c r="C22" s="118" t="s">
        <v>309</v>
      </c>
      <c r="D22" s="118"/>
      <c r="E22" s="135" t="s">
        <v>161</v>
      </c>
      <c r="F22" s="135" t="s">
        <v>4</v>
      </c>
      <c r="G22" s="118" t="s">
        <v>311</v>
      </c>
      <c r="H22" s="118"/>
    </row>
    <row r="23" spans="1:9" ht="20.25" x14ac:dyDescent="0.25">
      <c r="A23" s="135" t="s">
        <v>158</v>
      </c>
      <c r="B23" s="135" t="s">
        <v>4</v>
      </c>
      <c r="C23" s="132" t="s">
        <v>310</v>
      </c>
      <c r="D23" s="118"/>
      <c r="E23" s="118"/>
      <c r="F23" s="118"/>
      <c r="G23" s="118"/>
      <c r="H23" s="118"/>
      <c r="I23" s="1" t="s">
        <v>346</v>
      </c>
    </row>
    <row r="24" spans="1:9" ht="102" customHeight="1" x14ac:dyDescent="0.25">
      <c r="A24" s="135" t="s">
        <v>25</v>
      </c>
      <c r="B24" s="135" t="s">
        <v>4</v>
      </c>
      <c r="C24" s="131" t="s">
        <v>347</v>
      </c>
      <c r="D24" s="131"/>
      <c r="E24" s="131"/>
      <c r="F24" s="131"/>
      <c r="G24" s="131"/>
      <c r="H24" s="131"/>
      <c r="I24" s="75" t="s">
        <v>312</v>
      </c>
    </row>
    <row r="25" spans="1:9" ht="24" customHeight="1" x14ac:dyDescent="0.25">
      <c r="A25" s="119" t="s">
        <v>20</v>
      </c>
      <c r="B25" s="119"/>
      <c r="C25" s="119"/>
      <c r="D25" s="119"/>
      <c r="E25" s="119"/>
      <c r="F25" s="119"/>
      <c r="G25" s="119"/>
      <c r="H25" s="119"/>
    </row>
    <row r="26" spans="1:9" ht="20.25" x14ac:dyDescent="0.25">
      <c r="A26" s="135" t="s">
        <v>26</v>
      </c>
      <c r="B26" s="135" t="s">
        <v>4</v>
      </c>
      <c r="C26" s="118" t="str">
        <f>IF(AND(G26="Upper"),"Developed","Developing")</f>
        <v>Developing</v>
      </c>
      <c r="D26" s="118"/>
      <c r="E26" s="135" t="s">
        <v>13</v>
      </c>
      <c r="F26" s="135" t="s">
        <v>4</v>
      </c>
      <c r="G26" s="118" t="s">
        <v>313</v>
      </c>
      <c r="H26" s="118"/>
    </row>
    <row r="27" spans="1:9" ht="43.5" customHeight="1" x14ac:dyDescent="0.25">
      <c r="A27" s="135" t="s">
        <v>14</v>
      </c>
      <c r="B27" s="135" t="s">
        <v>4</v>
      </c>
      <c r="C27" s="118" t="s">
        <v>332</v>
      </c>
      <c r="D27" s="118"/>
      <c r="E27" s="135" t="s">
        <v>148</v>
      </c>
      <c r="F27" s="135" t="s">
        <v>4</v>
      </c>
      <c r="G27" s="118" t="s">
        <v>333</v>
      </c>
      <c r="H27" s="118"/>
    </row>
    <row r="28" spans="1:9" ht="43.5" customHeight="1" x14ac:dyDescent="0.25">
      <c r="A28" s="135" t="s">
        <v>23</v>
      </c>
      <c r="B28" s="135" t="s">
        <v>4</v>
      </c>
      <c r="C28" s="118" t="s">
        <v>97</v>
      </c>
      <c r="D28" s="118"/>
      <c r="E28" s="135" t="s">
        <v>16</v>
      </c>
      <c r="F28" s="135" t="s">
        <v>4</v>
      </c>
      <c r="G28" s="131" t="s">
        <v>334</v>
      </c>
      <c r="H28" s="131"/>
    </row>
    <row r="29" spans="1:9" ht="70.5" customHeight="1" x14ac:dyDescent="0.25">
      <c r="A29" s="135" t="s">
        <v>106</v>
      </c>
      <c r="B29" s="135" t="s">
        <v>4</v>
      </c>
      <c r="C29" s="131" t="s">
        <v>335</v>
      </c>
      <c r="D29" s="131"/>
      <c r="E29" s="135" t="s">
        <v>107</v>
      </c>
      <c r="F29" s="135" t="s">
        <v>4</v>
      </c>
      <c r="G29" s="131" t="s">
        <v>336</v>
      </c>
      <c r="H29" s="131"/>
    </row>
    <row r="30" spans="1:9" ht="84" customHeight="1" x14ac:dyDescent="0.25">
      <c r="A30" s="135" t="s">
        <v>17</v>
      </c>
      <c r="B30" s="135" t="s">
        <v>4</v>
      </c>
      <c r="C30" s="131" t="s">
        <v>337</v>
      </c>
      <c r="D30" s="131"/>
      <c r="E30" s="135" t="s">
        <v>15</v>
      </c>
      <c r="F30" s="135" t="s">
        <v>4</v>
      </c>
      <c r="G30" s="131" t="s">
        <v>338</v>
      </c>
      <c r="H30" s="131"/>
    </row>
    <row r="31" spans="1:9" ht="20.25" x14ac:dyDescent="0.25">
      <c r="A31" s="135" t="s">
        <v>112</v>
      </c>
      <c r="B31" s="135" t="s">
        <v>4</v>
      </c>
      <c r="C31" s="118" t="s">
        <v>113</v>
      </c>
      <c r="D31" s="118"/>
      <c r="E31" s="135" t="s">
        <v>114</v>
      </c>
      <c r="F31" s="135" t="s">
        <v>4</v>
      </c>
      <c r="G31" s="118" t="s">
        <v>113</v>
      </c>
      <c r="H31" s="118"/>
    </row>
    <row r="32" spans="1:9" ht="21.75" customHeight="1" x14ac:dyDescent="0.25">
      <c r="A32" s="135" t="s">
        <v>115</v>
      </c>
      <c r="B32" s="135" t="s">
        <v>4</v>
      </c>
      <c r="C32" s="118" t="s">
        <v>113</v>
      </c>
      <c r="D32" s="118"/>
      <c r="E32" s="118"/>
      <c r="F32" s="118"/>
      <c r="G32" s="118"/>
      <c r="H32" s="118"/>
    </row>
    <row r="33" spans="1:15" ht="20.25" x14ac:dyDescent="0.25">
      <c r="A33" s="153" t="s">
        <v>37</v>
      </c>
      <c r="B33" s="153"/>
      <c r="C33" s="153"/>
      <c r="D33" s="153"/>
      <c r="E33" s="153"/>
      <c r="F33" s="153"/>
      <c r="G33" s="153"/>
      <c r="H33" s="153"/>
    </row>
    <row r="34" spans="1:15" ht="43.5" customHeight="1" x14ac:dyDescent="0.25">
      <c r="A34" s="135" t="s">
        <v>18</v>
      </c>
      <c r="B34" s="135"/>
      <c r="C34" s="118" t="s">
        <v>98</v>
      </c>
      <c r="D34" s="118"/>
      <c r="E34" s="135" t="s">
        <v>19</v>
      </c>
      <c r="F34" s="135" t="s">
        <v>4</v>
      </c>
      <c r="G34" s="118" t="s">
        <v>99</v>
      </c>
      <c r="H34" s="118"/>
    </row>
    <row r="35" spans="1:15" ht="43.5" customHeight="1" x14ac:dyDescent="0.25">
      <c r="A35" s="135" t="s">
        <v>22</v>
      </c>
      <c r="B35" s="135"/>
      <c r="C35" s="118" t="s">
        <v>99</v>
      </c>
      <c r="D35" s="118"/>
      <c r="E35" s="135" t="s">
        <v>32</v>
      </c>
      <c r="F35" s="135" t="s">
        <v>4</v>
      </c>
      <c r="G35" s="131" t="s">
        <v>99</v>
      </c>
      <c r="H35" s="131"/>
    </row>
    <row r="36" spans="1:15" ht="20.25" x14ac:dyDescent="0.25">
      <c r="A36" s="135" t="s">
        <v>31</v>
      </c>
      <c r="B36" s="135"/>
      <c r="C36" s="118" t="s">
        <v>100</v>
      </c>
      <c r="D36" s="118"/>
      <c r="E36" s="135" t="s">
        <v>21</v>
      </c>
      <c r="F36" s="135" t="s">
        <v>4</v>
      </c>
      <c r="G36" s="118" t="s">
        <v>101</v>
      </c>
      <c r="H36" s="118"/>
    </row>
    <row r="37" spans="1:15" ht="20.25" x14ac:dyDescent="0.25">
      <c r="A37" s="119" t="s">
        <v>0</v>
      </c>
      <c r="B37" s="119"/>
      <c r="C37" s="119"/>
      <c r="D37" s="119"/>
      <c r="E37" s="119"/>
      <c r="F37" s="119"/>
      <c r="G37" s="119"/>
      <c r="H37" s="119"/>
    </row>
    <row r="38" spans="1:15" ht="20.25" x14ac:dyDescent="0.25">
      <c r="A38" s="116" t="s">
        <v>0</v>
      </c>
      <c r="B38" s="116"/>
      <c r="C38" s="116" t="s">
        <v>226</v>
      </c>
      <c r="D38" s="116"/>
      <c r="E38" s="116"/>
      <c r="F38" s="116" t="s">
        <v>7</v>
      </c>
      <c r="G38" s="116"/>
      <c r="H38" s="116"/>
      <c r="J38" s="186" t="s">
        <v>1</v>
      </c>
      <c r="K38" s="187"/>
      <c r="L38" s="2" t="s">
        <v>6</v>
      </c>
      <c r="M38" s="186" t="s">
        <v>2</v>
      </c>
      <c r="N38" s="187"/>
      <c r="O38" s="2" t="s">
        <v>3</v>
      </c>
    </row>
    <row r="39" spans="1:15" ht="20.25" x14ac:dyDescent="0.25">
      <c r="A39" s="152" t="s">
        <v>2</v>
      </c>
      <c r="B39" s="152"/>
      <c r="C39" s="185" t="s">
        <v>317</v>
      </c>
      <c r="D39" s="185"/>
      <c r="E39" s="185"/>
      <c r="F39" s="185" t="s">
        <v>319</v>
      </c>
      <c r="G39" s="185"/>
      <c r="H39" s="185"/>
    </row>
    <row r="40" spans="1:15" ht="20.25" x14ac:dyDescent="0.25">
      <c r="A40" s="152" t="s">
        <v>3</v>
      </c>
      <c r="B40" s="152"/>
      <c r="C40" s="185" t="s">
        <v>316</v>
      </c>
      <c r="D40" s="185"/>
      <c r="E40" s="185"/>
      <c r="F40" s="185" t="s">
        <v>349</v>
      </c>
      <c r="G40" s="185"/>
      <c r="H40" s="185"/>
    </row>
    <row r="41" spans="1:15" ht="20.25" x14ac:dyDescent="0.25">
      <c r="A41" s="152" t="s">
        <v>1</v>
      </c>
      <c r="B41" s="152"/>
      <c r="C41" s="185" t="s">
        <v>318</v>
      </c>
      <c r="D41" s="185"/>
      <c r="E41" s="185"/>
      <c r="F41" s="185" t="s">
        <v>349</v>
      </c>
      <c r="G41" s="185"/>
      <c r="H41" s="185"/>
    </row>
    <row r="42" spans="1:15" ht="20.25" x14ac:dyDescent="0.25">
      <c r="A42" s="152" t="s">
        <v>6</v>
      </c>
      <c r="B42" s="152"/>
      <c r="C42" s="185" t="s">
        <v>318</v>
      </c>
      <c r="D42" s="185"/>
      <c r="E42" s="185"/>
      <c r="F42" s="185" t="s">
        <v>349</v>
      </c>
      <c r="G42" s="185"/>
      <c r="H42" s="185"/>
    </row>
    <row r="43" spans="1:15" ht="42.75" customHeight="1" x14ac:dyDescent="0.25">
      <c r="A43" s="135" t="s">
        <v>227</v>
      </c>
      <c r="B43" s="135"/>
      <c r="C43" s="118" t="s">
        <v>97</v>
      </c>
      <c r="D43" s="118"/>
      <c r="E43" s="118"/>
      <c r="F43" s="118"/>
      <c r="G43" s="118"/>
      <c r="H43" s="118"/>
    </row>
    <row r="44" spans="1:15" ht="20.25" x14ac:dyDescent="0.25">
      <c r="A44" s="119" t="s">
        <v>57</v>
      </c>
      <c r="B44" s="119"/>
      <c r="C44" s="119"/>
      <c r="D44" s="119"/>
      <c r="E44" s="119"/>
      <c r="F44" s="119"/>
      <c r="G44" s="119"/>
      <c r="H44" s="119"/>
    </row>
    <row r="45" spans="1:15" ht="21" customHeight="1" x14ac:dyDescent="0.25">
      <c r="A45" s="116" t="s">
        <v>58</v>
      </c>
      <c r="B45" s="116"/>
      <c r="C45" s="83" t="s">
        <v>59</v>
      </c>
      <c r="D45" s="116" t="s">
        <v>146</v>
      </c>
      <c r="E45" s="116"/>
      <c r="F45" s="116"/>
      <c r="G45" s="116" t="s">
        <v>60</v>
      </c>
      <c r="H45" s="116"/>
    </row>
    <row r="46" spans="1:15" ht="20.25" x14ac:dyDescent="0.25">
      <c r="A46" s="117" t="s">
        <v>354</v>
      </c>
      <c r="B46" s="117"/>
      <c r="C46" s="32" t="s">
        <v>96</v>
      </c>
      <c r="D46" s="118" t="s">
        <v>353</v>
      </c>
      <c r="E46" s="118"/>
      <c r="F46" s="118"/>
      <c r="G46" s="118" t="s">
        <v>353</v>
      </c>
      <c r="H46" s="118"/>
    </row>
    <row r="47" spans="1:15" ht="20.25" hidden="1" x14ac:dyDescent="0.25">
      <c r="A47" s="117" t="s">
        <v>296</v>
      </c>
      <c r="B47" s="117"/>
      <c r="C47" s="32" t="s">
        <v>89</v>
      </c>
      <c r="D47" s="118"/>
      <c r="E47" s="118"/>
      <c r="F47" s="118"/>
      <c r="G47" s="118"/>
      <c r="H47" s="118"/>
    </row>
    <row r="48" spans="1:15" ht="20.25" hidden="1" x14ac:dyDescent="0.25">
      <c r="A48" s="117" t="s">
        <v>297</v>
      </c>
      <c r="B48" s="117"/>
      <c r="C48" s="32" t="s">
        <v>89</v>
      </c>
      <c r="D48" s="118"/>
      <c r="E48" s="118"/>
      <c r="F48" s="118"/>
      <c r="G48" s="118"/>
      <c r="H48" s="118"/>
    </row>
    <row r="49" spans="1:14" ht="20.25" hidden="1" x14ac:dyDescent="0.25">
      <c r="A49" s="117" t="s">
        <v>298</v>
      </c>
      <c r="B49" s="117"/>
      <c r="C49" s="32" t="s">
        <v>89</v>
      </c>
      <c r="D49" s="118"/>
      <c r="E49" s="118"/>
      <c r="F49" s="118"/>
      <c r="G49" s="118"/>
      <c r="H49" s="118"/>
    </row>
    <row r="50" spans="1:14" ht="20.25" x14ac:dyDescent="0.25">
      <c r="A50" s="119" t="s">
        <v>61</v>
      </c>
      <c r="B50" s="119"/>
      <c r="C50" s="119"/>
      <c r="D50" s="119"/>
      <c r="E50" s="119"/>
      <c r="F50" s="119"/>
      <c r="G50" s="119"/>
      <c r="H50" s="119"/>
    </row>
    <row r="51" spans="1:14" ht="42.75" customHeight="1" x14ac:dyDescent="0.25">
      <c r="A51" s="135" t="s">
        <v>62</v>
      </c>
      <c r="B51" s="135" t="s">
        <v>4</v>
      </c>
      <c r="C51" s="131" t="s">
        <v>97</v>
      </c>
      <c r="D51" s="131"/>
      <c r="E51" s="131"/>
      <c r="F51" s="131"/>
      <c r="G51" s="131"/>
      <c r="H51" s="131"/>
    </row>
    <row r="52" spans="1:14" ht="20.25" x14ac:dyDescent="0.25">
      <c r="A52" s="135" t="s">
        <v>63</v>
      </c>
      <c r="B52" s="135" t="s">
        <v>4</v>
      </c>
      <c r="C52" s="118" t="s">
        <v>314</v>
      </c>
      <c r="D52" s="118"/>
      <c r="E52" s="118"/>
      <c r="F52" s="118"/>
      <c r="G52" s="48" t="s">
        <v>228</v>
      </c>
      <c r="H52" s="84">
        <v>45477</v>
      </c>
    </row>
    <row r="53" spans="1:14" ht="20.25" x14ac:dyDescent="0.25">
      <c r="A53" s="135" t="s">
        <v>64</v>
      </c>
      <c r="B53" s="135" t="s">
        <v>4</v>
      </c>
      <c r="C53" s="118" t="str">
        <f>C52</f>
        <v>KDMC/TPD/BP/27Village/2021-22/26/58</v>
      </c>
      <c r="D53" s="118"/>
      <c r="E53" s="118"/>
      <c r="F53" s="118"/>
      <c r="G53" s="48" t="s">
        <v>228</v>
      </c>
      <c r="H53" s="84">
        <f>H52</f>
        <v>45477</v>
      </c>
    </row>
    <row r="54" spans="1:14" ht="20.25" x14ac:dyDescent="0.25">
      <c r="A54" s="135" t="s">
        <v>351</v>
      </c>
      <c r="B54" s="135"/>
      <c r="C54" s="118" t="s">
        <v>314</v>
      </c>
      <c r="D54" s="118"/>
      <c r="E54" s="118"/>
      <c r="F54" s="118"/>
      <c r="G54" s="48" t="s">
        <v>228</v>
      </c>
      <c r="H54" s="84">
        <v>45477</v>
      </c>
    </row>
    <row r="55" spans="1:14" ht="20.25" x14ac:dyDescent="0.25">
      <c r="A55" s="135"/>
      <c r="B55" s="135"/>
      <c r="C55" s="147" t="s">
        <v>352</v>
      </c>
      <c r="D55" s="166"/>
      <c r="E55" s="166"/>
      <c r="F55" s="166"/>
      <c r="G55" s="166"/>
      <c r="H55" s="148"/>
    </row>
    <row r="56" spans="1:14" ht="46.5" hidden="1" customHeight="1" x14ac:dyDescent="0.25">
      <c r="A56" s="135" t="s">
        <v>65</v>
      </c>
      <c r="B56" s="135" t="s">
        <v>4</v>
      </c>
      <c r="C56" s="118"/>
      <c r="D56" s="118"/>
      <c r="E56" s="118"/>
      <c r="F56" s="118"/>
      <c r="G56" s="48" t="s">
        <v>229</v>
      </c>
      <c r="H56" s="71"/>
    </row>
    <row r="57" spans="1:14" ht="45" hidden="1" customHeight="1" x14ac:dyDescent="0.25">
      <c r="A57" s="135" t="s">
        <v>67</v>
      </c>
      <c r="B57" s="135" t="s">
        <v>4</v>
      </c>
      <c r="C57" s="118"/>
      <c r="D57" s="118"/>
      <c r="E57" s="118"/>
      <c r="F57" s="118"/>
      <c r="G57" s="48" t="s">
        <v>229</v>
      </c>
      <c r="H57" s="71"/>
    </row>
    <row r="58" spans="1:14" ht="46.5" hidden="1" customHeight="1" x14ac:dyDescent="0.25">
      <c r="A58" s="135" t="s">
        <v>66</v>
      </c>
      <c r="B58" s="135" t="s">
        <v>4</v>
      </c>
      <c r="C58" s="118"/>
      <c r="D58" s="118"/>
      <c r="E58" s="118"/>
      <c r="F58" s="118"/>
      <c r="G58" s="48" t="s">
        <v>229</v>
      </c>
      <c r="H58" s="71"/>
      <c r="N58" s="70" t="s">
        <v>299</v>
      </c>
    </row>
    <row r="59" spans="1:14" ht="60.75" hidden="1" x14ac:dyDescent="0.25">
      <c r="A59" s="135" t="s">
        <v>68</v>
      </c>
      <c r="B59" s="135" t="s">
        <v>4</v>
      </c>
      <c r="C59" s="118"/>
      <c r="D59" s="118"/>
      <c r="E59" s="118"/>
      <c r="F59" s="118"/>
      <c r="G59" s="48" t="s">
        <v>229</v>
      </c>
      <c r="H59" s="71"/>
    </row>
    <row r="60" spans="1:14" ht="21" thickBot="1" x14ac:dyDescent="0.3">
      <c r="A60" s="119" t="s">
        <v>69</v>
      </c>
      <c r="B60" s="119"/>
      <c r="C60" s="119"/>
      <c r="D60" s="119"/>
      <c r="E60" s="119"/>
      <c r="F60" s="119"/>
      <c r="G60" s="119"/>
      <c r="H60" s="119"/>
    </row>
    <row r="61" spans="1:14" ht="20.25" customHeight="1" x14ac:dyDescent="0.3">
      <c r="A61" s="120" t="str">
        <f>CONCATENATE((IF(OR(A46="",A46="NA"),"",A46)),"= ",(IF(OR(D46="",D46="NA"),"",D46)),".")</f>
        <v>Wing C = Gr + 1st to 17th Floor.</v>
      </c>
      <c r="B61" s="120"/>
      <c r="C61" s="120"/>
      <c r="D61" s="28" t="s">
        <v>116</v>
      </c>
      <c r="E61" s="113" t="s">
        <v>103</v>
      </c>
      <c r="F61" s="113"/>
      <c r="G61" s="28" t="s">
        <v>117</v>
      </c>
      <c r="H61" s="28" t="s">
        <v>118</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v>
      </c>
      <c r="J61" s="17"/>
    </row>
    <row r="62" spans="1:14" ht="20.25" x14ac:dyDescent="0.3">
      <c r="A62" s="120"/>
      <c r="B62" s="120"/>
      <c r="C62" s="120"/>
      <c r="D62" s="77">
        <f>IF(AND(ISNUMBER(SEARCH("1B",A61))),1,IF(AND(ISNUMBER(SEARCH("2B",A61))),2,IF(AND(ISNUMBER(SEARCH("3B",A61))),3,IF(AND(ISNUMBER(SEARCH("4B",A61))),4,IF(ISNUMBER(SEARCH("5B",A61)),5,0)))))</f>
        <v>0</v>
      </c>
      <c r="E62" s="113">
        <v>1</v>
      </c>
      <c r="F62" s="113"/>
      <c r="G62" s="77">
        <v>0</v>
      </c>
      <c r="H62" s="28">
        <f ca="1">--TRIM(RIGHT(SUBSTITUTE(LEFT(A61,_xlfn.AGGREGATE(16,6,FIND({0,1,2,3,4,5,6,7,8,9},A61,ROW(INDIRECT("1:"&amp;LEN(A61)))),1))," ",REPT(" ",LEN(A61))),LEN(A61)))</f>
        <v>17</v>
      </c>
      <c r="I62" s="16" t="s">
        <v>122</v>
      </c>
      <c r="J62" s="17"/>
    </row>
    <row r="63" spans="1:14" ht="20.25" customHeight="1" x14ac:dyDescent="0.3">
      <c r="A63" s="114" t="s">
        <v>120</v>
      </c>
      <c r="B63" s="114"/>
      <c r="C63" s="26" t="s">
        <v>130</v>
      </c>
      <c r="D63" s="26" t="s">
        <v>131</v>
      </c>
      <c r="E63" s="114" t="s">
        <v>121</v>
      </c>
      <c r="F63" s="114"/>
      <c r="G63" s="27" t="s">
        <v>119</v>
      </c>
      <c r="H63" s="27"/>
      <c r="I63" s="19" t="s">
        <v>132</v>
      </c>
      <c r="J63" s="18">
        <f ca="1">H62*25%</f>
        <v>4.25</v>
      </c>
    </row>
    <row r="64" spans="1:14" ht="20.25" customHeight="1" x14ac:dyDescent="0.3">
      <c r="A64" s="115" t="s">
        <v>133</v>
      </c>
      <c r="B64" s="115"/>
      <c r="C64" s="30">
        <f ca="1">J65</f>
        <v>17</v>
      </c>
      <c r="D64" s="5">
        <f ca="1">((100/H62)*C64)/100</f>
        <v>1</v>
      </c>
      <c r="E64" s="123">
        <f ca="1">(((C64/H62*10)+(C65/H62*15)+(25/(E62+G62+H62)*C66)+(5/(H62)*C67)+(2.5/(H62)*C68)+(2.5/(H62)*C69)+(5/H62*C70)+(10/H62*C71)+(2.5/H62*C72)+(2.5/H62*C73)+(10/H62*C74)+(10/H62*C75))/100)</f>
        <v>0.25</v>
      </c>
      <c r="F64" s="124"/>
      <c r="G64" s="115" t="str">
        <f ca="1">I61</f>
        <v>Excavation work Completed. Plinth work completed</v>
      </c>
      <c r="H64" s="115"/>
      <c r="I64" s="19" t="s">
        <v>123</v>
      </c>
      <c r="J64" s="22">
        <f ca="1">H62*50%</f>
        <v>8.5</v>
      </c>
    </row>
    <row r="65" spans="1:16" ht="20.25" x14ac:dyDescent="0.3">
      <c r="A65" s="115" t="s">
        <v>104</v>
      </c>
      <c r="B65" s="115"/>
      <c r="C65" s="30">
        <f ca="1">J73</f>
        <v>17</v>
      </c>
      <c r="D65" s="5">
        <f ca="1">((100/H62)*C65)/100</f>
        <v>1</v>
      </c>
      <c r="E65" s="125"/>
      <c r="F65" s="126"/>
      <c r="G65" s="115"/>
      <c r="H65" s="115"/>
      <c r="I65" s="19" t="s">
        <v>124</v>
      </c>
      <c r="J65" s="22">
        <f ca="1">H62</f>
        <v>17</v>
      </c>
    </row>
    <row r="66" spans="1:16" ht="21" customHeight="1" x14ac:dyDescent="0.35">
      <c r="A66" s="115" t="s">
        <v>134</v>
      </c>
      <c r="B66" s="115"/>
      <c r="C66" s="28">
        <v>0</v>
      </c>
      <c r="D66" s="5">
        <f ca="1">((100/(E62+G62+H62))*C66)/100</f>
        <v>0</v>
      </c>
      <c r="E66" s="125"/>
      <c r="F66" s="126"/>
      <c r="G66" s="115"/>
      <c r="H66" s="115"/>
      <c r="I66" s="19" t="s">
        <v>125</v>
      </c>
      <c r="J66" s="23">
        <f ca="1">(IF(D62&gt;1,(H62/(D62+2)),H62*0.2))</f>
        <v>3.4000000000000004</v>
      </c>
    </row>
    <row r="67" spans="1:16" ht="21" customHeight="1" x14ac:dyDescent="0.35">
      <c r="A67" s="115" t="s">
        <v>135</v>
      </c>
      <c r="B67" s="115"/>
      <c r="C67" s="72">
        <v>0</v>
      </c>
      <c r="D67" s="5">
        <f ca="1">((100/H62)*C67)/100</f>
        <v>0</v>
      </c>
      <c r="E67" s="125"/>
      <c r="F67" s="126"/>
      <c r="G67" s="115"/>
      <c r="H67" s="115"/>
      <c r="I67" s="19" t="s">
        <v>126</v>
      </c>
      <c r="J67" s="23">
        <f ca="1">(IF(D62&gt;1,(H62/(D62+2)+J66),H62*0.2+J66))</f>
        <v>6.8000000000000007</v>
      </c>
    </row>
    <row r="68" spans="1:16" ht="21" customHeight="1" x14ac:dyDescent="0.35">
      <c r="A68" s="133" t="s">
        <v>136</v>
      </c>
      <c r="B68" s="134"/>
      <c r="C68" s="72">
        <v>0</v>
      </c>
      <c r="D68" s="5">
        <f ca="1">((100/H62)*C68)/100</f>
        <v>0</v>
      </c>
      <c r="E68" s="125"/>
      <c r="F68" s="126"/>
      <c r="G68" s="115"/>
      <c r="H68" s="115"/>
      <c r="I68" s="19" t="s">
        <v>137</v>
      </c>
      <c r="J68" s="23">
        <f>(IF(D62&gt;1,(H62/(D62+2)+J67),0))</f>
        <v>0</v>
      </c>
    </row>
    <row r="69" spans="1:16" ht="21" customHeight="1" x14ac:dyDescent="0.35">
      <c r="A69" s="133" t="s">
        <v>167</v>
      </c>
      <c r="B69" s="134"/>
      <c r="C69" s="72">
        <v>0</v>
      </c>
      <c r="D69" s="5">
        <f ca="1">((100/H62)*C69)/100</f>
        <v>0</v>
      </c>
      <c r="E69" s="125"/>
      <c r="F69" s="126"/>
      <c r="G69" s="115"/>
      <c r="H69" s="115"/>
      <c r="I69" s="19" t="s">
        <v>138</v>
      </c>
      <c r="J69" s="23">
        <f>(IF(D62&gt;2,(H62/(D62+2)+J68),0))</f>
        <v>0</v>
      </c>
    </row>
    <row r="70" spans="1:16" ht="21" x14ac:dyDescent="0.35">
      <c r="A70" s="133" t="s">
        <v>164</v>
      </c>
      <c r="B70" s="134"/>
      <c r="C70" s="72">
        <v>0</v>
      </c>
      <c r="D70" s="5">
        <f ca="1">((100/(H62))*C70)/100</f>
        <v>0</v>
      </c>
      <c r="E70" s="125"/>
      <c r="F70" s="126"/>
      <c r="G70" s="115"/>
      <c r="H70" s="115"/>
      <c r="I70" s="19" t="s">
        <v>140</v>
      </c>
      <c r="J70" s="24">
        <f>(IF(D62&gt;3,(H62/(D62+2)+J69),0))</f>
        <v>0</v>
      </c>
    </row>
    <row r="71" spans="1:16" ht="21" x14ac:dyDescent="0.35">
      <c r="A71" s="115" t="s">
        <v>139</v>
      </c>
      <c r="B71" s="115"/>
      <c r="C71" s="72">
        <v>0</v>
      </c>
      <c r="D71" s="5">
        <f ca="1">((100/(H62))*C71)/100</f>
        <v>0</v>
      </c>
      <c r="E71" s="125"/>
      <c r="F71" s="126"/>
      <c r="G71" s="115"/>
      <c r="H71" s="115"/>
      <c r="I71" s="19" t="s">
        <v>141</v>
      </c>
      <c r="J71" s="23">
        <f>(IF(D62&gt;4,(H62/(D62+2)+J70),0))</f>
        <v>0</v>
      </c>
    </row>
    <row r="72" spans="1:16" ht="21" customHeight="1" x14ac:dyDescent="0.35">
      <c r="A72" s="115" t="s">
        <v>166</v>
      </c>
      <c r="B72" s="115"/>
      <c r="C72" s="72">
        <v>0</v>
      </c>
      <c r="D72" s="5">
        <f ca="1">((100/H62)*C72)/100</f>
        <v>0</v>
      </c>
      <c r="E72" s="125"/>
      <c r="F72" s="126"/>
      <c r="G72" s="115"/>
      <c r="H72" s="115"/>
      <c r="I72" s="19" t="s">
        <v>127</v>
      </c>
      <c r="J72" s="23">
        <f ca="1">(IF(D62=1,(H62/(D62+3)+J67),IF(D62=0,(H62*0.3+J67),IF(D62&gt;1,0))))</f>
        <v>11.9</v>
      </c>
    </row>
    <row r="73" spans="1:16" ht="21.75" thickBot="1" x14ac:dyDescent="0.4">
      <c r="A73" s="115" t="s">
        <v>165</v>
      </c>
      <c r="B73" s="115"/>
      <c r="C73" s="28">
        <v>0</v>
      </c>
      <c r="D73" s="5">
        <f ca="1">((100/H62)*C73)/100</f>
        <v>0</v>
      </c>
      <c r="E73" s="125"/>
      <c r="F73" s="126"/>
      <c r="G73" s="115"/>
      <c r="H73" s="115"/>
      <c r="I73" s="21" t="s">
        <v>128</v>
      </c>
      <c r="J73" s="25">
        <f ca="1">(IF(D62&gt;1.5,(H62/(D62+2)+J67+MAX(0,J68-J67)+MAX(0,J69-J68)+MAX(0,J70-J69)+MAX(0,J71-J70)+MAX(0,J72-J71)),IF(D62=1,(H62/(D62+3)+J72),IF(D62=0,H62*0.3+J72))))</f>
        <v>17</v>
      </c>
    </row>
    <row r="74" spans="1:16" ht="20.25" x14ac:dyDescent="0.25">
      <c r="A74" s="115" t="s">
        <v>142</v>
      </c>
      <c r="B74" s="115"/>
      <c r="C74" s="28">
        <v>0</v>
      </c>
      <c r="D74" s="5">
        <f ca="1">((100/(H62))*C74)/100</f>
        <v>0</v>
      </c>
      <c r="E74" s="125"/>
      <c r="F74" s="126"/>
      <c r="G74" s="115"/>
      <c r="H74" s="115"/>
      <c r="O74" s="76"/>
      <c r="P74" s="76"/>
    </row>
    <row r="75" spans="1:16" ht="20.25" x14ac:dyDescent="0.25">
      <c r="A75" s="115" t="s">
        <v>143</v>
      </c>
      <c r="B75" s="115"/>
      <c r="C75" s="28">
        <v>0</v>
      </c>
      <c r="D75" s="5">
        <f ca="1">((100/(H62))*C75)/100</f>
        <v>0</v>
      </c>
      <c r="E75" s="127"/>
      <c r="F75" s="128"/>
      <c r="G75" s="115"/>
      <c r="H75" s="115"/>
      <c r="J75" s="1">
        <f>3071000/421</f>
        <v>7294.5368171021373</v>
      </c>
      <c r="P75" s="76"/>
    </row>
    <row r="76" spans="1:16" ht="21" hidden="1" thickBot="1" x14ac:dyDescent="0.3">
      <c r="A76" s="119" t="s">
        <v>69</v>
      </c>
      <c r="B76" s="119"/>
      <c r="C76" s="119"/>
      <c r="D76" s="119"/>
      <c r="E76" s="119"/>
      <c r="F76" s="119"/>
      <c r="G76" s="119"/>
      <c r="H76" s="119"/>
    </row>
    <row r="77" spans="1:16" ht="20.25" hidden="1" customHeight="1" x14ac:dyDescent="0.3">
      <c r="A77" s="120" t="str">
        <f>CONCATENATE((IF(OR(A47="",A47="NA"),"",A47)),"= ",(IF(OR(D47="",D47="NA"),"",D47)),".")</f>
        <v>Tower 2 = .</v>
      </c>
      <c r="B77" s="120"/>
      <c r="C77" s="120"/>
      <c r="D77" s="28" t="s">
        <v>116</v>
      </c>
      <c r="E77" s="113" t="s">
        <v>103</v>
      </c>
      <c r="F77" s="113"/>
      <c r="G77" s="28" t="s">
        <v>117</v>
      </c>
      <c r="H77" s="28" t="s">
        <v>118</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7"/>
    </row>
    <row r="78" spans="1:16" ht="20.25" hidden="1" x14ac:dyDescent="0.3">
      <c r="A78" s="120"/>
      <c r="B78" s="120"/>
      <c r="C78" s="120"/>
      <c r="D78" s="49">
        <f>IF(AND(ISNUMBER(SEARCH("1B",A77))),1,IF(AND(ISNUMBER(SEARCH("2B",A77))),2,IF(AND(ISNUMBER(SEARCH("3B",A77))),3,IF(AND(ISNUMBER(SEARCH("4B",A77))),4,IF(ISNUMBER(SEARCH("5B",A77)),5,0)))))</f>
        <v>0</v>
      </c>
      <c r="E78" s="113">
        <v>1</v>
      </c>
      <c r="F78" s="113"/>
      <c r="G78" s="49">
        <v>0</v>
      </c>
      <c r="H78" s="28">
        <f ca="1">--TRIM(RIGHT(SUBSTITUTE(LEFT(A77,_xlfn.AGGREGATE(16,6,FIND({0,1,2,3,4,5,6,7,8,9},A77,ROW(INDIRECT("1:"&amp;LEN(A77)))),1))," ",REPT(" ",LEN(A77))),LEN(A77)))</f>
        <v>2</v>
      </c>
      <c r="I78" s="16" t="s">
        <v>122</v>
      </c>
      <c r="J78" s="17"/>
    </row>
    <row r="79" spans="1:16" ht="20.25" hidden="1" customHeight="1" x14ac:dyDescent="0.3">
      <c r="A79" s="114" t="s">
        <v>120</v>
      </c>
      <c r="B79" s="114"/>
      <c r="C79" s="26" t="s">
        <v>130</v>
      </c>
      <c r="D79" s="26" t="s">
        <v>131</v>
      </c>
      <c r="E79" s="114" t="s">
        <v>121</v>
      </c>
      <c r="F79" s="114"/>
      <c r="G79" s="27" t="s">
        <v>119</v>
      </c>
      <c r="H79" s="27"/>
      <c r="I79" s="19" t="s">
        <v>132</v>
      </c>
      <c r="J79" s="18">
        <f ca="1">H78*25%</f>
        <v>0.5</v>
      </c>
    </row>
    <row r="80" spans="1:16" ht="20.25" hidden="1" customHeight="1" x14ac:dyDescent="0.3">
      <c r="A80" s="115" t="s">
        <v>133</v>
      </c>
      <c r="B80" s="115"/>
      <c r="C80" s="28">
        <f ca="1">J81</f>
        <v>2</v>
      </c>
      <c r="D80" s="5">
        <f ca="1">((100/H78)*C80)/100</f>
        <v>1</v>
      </c>
      <c r="E80" s="123">
        <f ca="1">(((C80/H78*10)+(C81/H78*15)+(25/(E78+G78+H78)*C82)+(5/(H78)*C83)+(2.5/(H78)*C84)+(2.5/(H78)*C85)+(5/H78*C86)+(10/H78*C87)+(2.5/H78*C88)+(2.5/H78*C89)+(10/H78*C90)+(10/H78*C91))/100)</f>
        <v>0.25</v>
      </c>
      <c r="F80" s="124"/>
      <c r="G80" s="115" t="str">
        <f ca="1">I77</f>
        <v>Excavation work Completed. Plinth work completed</v>
      </c>
      <c r="H80" s="115"/>
      <c r="I80" s="19" t="s">
        <v>123</v>
      </c>
      <c r="J80" s="22">
        <f ca="1">H78*50%</f>
        <v>1</v>
      </c>
    </row>
    <row r="81" spans="1:10" ht="20.25" hidden="1" x14ac:dyDescent="0.3">
      <c r="A81" s="115" t="s">
        <v>104</v>
      </c>
      <c r="B81" s="115"/>
      <c r="C81" s="30">
        <f ca="1">J89</f>
        <v>2</v>
      </c>
      <c r="D81" s="5">
        <f ca="1">((100/H78)*C81)/100</f>
        <v>1</v>
      </c>
      <c r="E81" s="125"/>
      <c r="F81" s="126"/>
      <c r="G81" s="115"/>
      <c r="H81" s="115"/>
      <c r="I81" s="19" t="s">
        <v>124</v>
      </c>
      <c r="J81" s="22">
        <f ca="1">H78</f>
        <v>2</v>
      </c>
    </row>
    <row r="82" spans="1:10" ht="21" hidden="1" customHeight="1" x14ac:dyDescent="0.35">
      <c r="A82" s="115" t="s">
        <v>134</v>
      </c>
      <c r="B82" s="115"/>
      <c r="C82" s="28">
        <v>0</v>
      </c>
      <c r="D82" s="5">
        <f ca="1">((100/(E78+G78+H78))*C82)/100</f>
        <v>0</v>
      </c>
      <c r="E82" s="125"/>
      <c r="F82" s="126"/>
      <c r="G82" s="115"/>
      <c r="H82" s="115"/>
      <c r="I82" s="19" t="s">
        <v>125</v>
      </c>
      <c r="J82" s="23">
        <f ca="1">(IF(D78&gt;1,(H78/(D78+2)),H78*0.2))</f>
        <v>0.4</v>
      </c>
    </row>
    <row r="83" spans="1:10" ht="21" hidden="1" customHeight="1" x14ac:dyDescent="0.35">
      <c r="A83" s="115" t="s">
        <v>135</v>
      </c>
      <c r="B83" s="115"/>
      <c r="C83" s="28">
        <v>0</v>
      </c>
      <c r="D83" s="5">
        <f ca="1">((100/H78)*C83)/100</f>
        <v>0</v>
      </c>
      <c r="E83" s="125"/>
      <c r="F83" s="126"/>
      <c r="G83" s="115"/>
      <c r="H83" s="115"/>
      <c r="I83" s="19" t="s">
        <v>126</v>
      </c>
      <c r="J83" s="23">
        <f ca="1">(IF(D78&gt;1,(H78/(D78+2)+J82),H78*0.2+J82))</f>
        <v>0.8</v>
      </c>
    </row>
    <row r="84" spans="1:10" ht="21" hidden="1" customHeight="1" x14ac:dyDescent="0.35">
      <c r="A84" s="133" t="s">
        <v>136</v>
      </c>
      <c r="B84" s="134"/>
      <c r="C84" s="28">
        <v>0</v>
      </c>
      <c r="D84" s="5">
        <f ca="1">((100/H78)*C84)/100</f>
        <v>0</v>
      </c>
      <c r="E84" s="125"/>
      <c r="F84" s="126"/>
      <c r="G84" s="115"/>
      <c r="H84" s="115"/>
      <c r="I84" s="19" t="s">
        <v>137</v>
      </c>
      <c r="J84" s="23">
        <f>(IF(D78&gt;1,(H78/(D78+2)+J83),0))</f>
        <v>0</v>
      </c>
    </row>
    <row r="85" spans="1:10" ht="21" hidden="1" customHeight="1" x14ac:dyDescent="0.35">
      <c r="A85" s="133" t="s">
        <v>167</v>
      </c>
      <c r="B85" s="134"/>
      <c r="C85" s="28">
        <v>0</v>
      </c>
      <c r="D85" s="5">
        <f ca="1">((100/H78)*C85)/100</f>
        <v>0</v>
      </c>
      <c r="E85" s="125"/>
      <c r="F85" s="126"/>
      <c r="G85" s="115"/>
      <c r="H85" s="115"/>
      <c r="I85" s="19" t="s">
        <v>138</v>
      </c>
      <c r="J85" s="23">
        <f>(IF(D78&gt;2,(H78/(D78+2)+J84),0))</f>
        <v>0</v>
      </c>
    </row>
    <row r="86" spans="1:10" ht="57.75" hidden="1" customHeight="1" x14ac:dyDescent="0.35">
      <c r="A86" s="133" t="s">
        <v>164</v>
      </c>
      <c r="B86" s="134"/>
      <c r="C86" s="28">
        <v>0</v>
      </c>
      <c r="D86" s="5">
        <f ca="1">((100/(H78))*C86)/100</f>
        <v>0</v>
      </c>
      <c r="E86" s="125"/>
      <c r="F86" s="126"/>
      <c r="G86" s="115"/>
      <c r="H86" s="115"/>
      <c r="I86" s="19" t="s">
        <v>140</v>
      </c>
      <c r="J86" s="24">
        <f>(IF(D78&gt;3,(H78/(D78+2)+J85),0))</f>
        <v>0</v>
      </c>
    </row>
    <row r="87" spans="1:10" ht="21" hidden="1" x14ac:dyDescent="0.35">
      <c r="A87" s="115" t="s">
        <v>139</v>
      </c>
      <c r="B87" s="115"/>
      <c r="C87" s="28">
        <v>0</v>
      </c>
      <c r="D87" s="5">
        <f ca="1">((100/(H78))*C87)/100</f>
        <v>0</v>
      </c>
      <c r="E87" s="125"/>
      <c r="F87" s="126"/>
      <c r="G87" s="115"/>
      <c r="H87" s="115"/>
      <c r="I87" s="19" t="s">
        <v>141</v>
      </c>
      <c r="J87" s="23">
        <f>(IF(D78&gt;4,(H78/(D78+2)+J86),0))</f>
        <v>0</v>
      </c>
    </row>
    <row r="88" spans="1:10" ht="21" hidden="1" customHeight="1" x14ac:dyDescent="0.35">
      <c r="A88" s="115" t="s">
        <v>166</v>
      </c>
      <c r="B88" s="115"/>
      <c r="C88" s="28">
        <v>0</v>
      </c>
      <c r="D88" s="5">
        <f ca="1">((100/H78)*C88)/100</f>
        <v>0</v>
      </c>
      <c r="E88" s="125"/>
      <c r="F88" s="126"/>
      <c r="G88" s="115"/>
      <c r="H88" s="115"/>
      <c r="I88" s="19" t="s">
        <v>127</v>
      </c>
      <c r="J88" s="23">
        <f ca="1">(IF(D78=1,(H78/(D78+3)+J83),IF(D78=0,(H78*0.3+J83),IF(D78&gt;1,0))))</f>
        <v>1.4</v>
      </c>
    </row>
    <row r="89" spans="1:10" ht="21.75" hidden="1" thickBot="1" x14ac:dyDescent="0.4">
      <c r="A89" s="115" t="s">
        <v>165</v>
      </c>
      <c r="B89" s="115"/>
      <c r="C89" s="28">
        <v>0</v>
      </c>
      <c r="D89" s="5">
        <f ca="1">((100/H78)*C89)/100</f>
        <v>0</v>
      </c>
      <c r="E89" s="125"/>
      <c r="F89" s="126"/>
      <c r="G89" s="115"/>
      <c r="H89" s="115"/>
      <c r="I89" s="21" t="s">
        <v>128</v>
      </c>
      <c r="J89" s="25">
        <f ca="1">(IF(D78&gt;1.5,(H78/(D78+2)+J83+MAX(0,J84-J83)+MAX(0,J85-J84)+MAX(0,J86-J85)+MAX(0,J87-J86)+MAX(0,J88-J87)),IF(D78=1,(H78/(D78+3)+J88),IF(D78=0,H78*0.3+J88))))</f>
        <v>2</v>
      </c>
    </row>
    <row r="90" spans="1:10" ht="20.25" hidden="1" x14ac:dyDescent="0.25">
      <c r="A90" s="115" t="s">
        <v>142</v>
      </c>
      <c r="B90" s="115"/>
      <c r="C90" s="28">
        <v>0</v>
      </c>
      <c r="D90" s="5">
        <f ca="1">((100/(H78))*C90)/100</f>
        <v>0</v>
      </c>
      <c r="E90" s="125"/>
      <c r="F90" s="126"/>
      <c r="G90" s="115"/>
      <c r="H90" s="115"/>
    </row>
    <row r="91" spans="1:10" ht="20.25" hidden="1" x14ac:dyDescent="0.25">
      <c r="A91" s="115" t="s">
        <v>143</v>
      </c>
      <c r="B91" s="115"/>
      <c r="C91" s="28">
        <v>0</v>
      </c>
      <c r="D91" s="5">
        <f ca="1">((100/(H78))*C91)/100</f>
        <v>0</v>
      </c>
      <c r="E91" s="127"/>
      <c r="F91" s="128"/>
      <c r="G91" s="115"/>
      <c r="H91" s="115"/>
    </row>
    <row r="92" spans="1:10" ht="21" hidden="1" thickBot="1" x14ac:dyDescent="0.3">
      <c r="A92" s="119" t="s">
        <v>69</v>
      </c>
      <c r="B92" s="119"/>
      <c r="C92" s="119"/>
      <c r="D92" s="119"/>
      <c r="E92" s="119"/>
      <c r="F92" s="119"/>
      <c r="G92" s="119"/>
      <c r="H92" s="119"/>
    </row>
    <row r="93" spans="1:10" ht="20.25" hidden="1" customHeight="1" x14ac:dyDescent="0.3">
      <c r="A93" s="120" t="str">
        <f>CONCATENATE((IF(OR(A48="",A48="NA"),"",A48)),"= ",(IF(OR(D48="",D48="NA"),"",D48)),".")</f>
        <v>Tower 3 = .</v>
      </c>
      <c r="B93" s="120"/>
      <c r="C93" s="120"/>
      <c r="D93" s="28" t="s">
        <v>116</v>
      </c>
      <c r="E93" s="113" t="s">
        <v>103</v>
      </c>
      <c r="F93" s="113"/>
      <c r="G93" s="28" t="s">
        <v>117</v>
      </c>
      <c r="H93" s="28" t="s">
        <v>118</v>
      </c>
      <c r="I93" s="15"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7"/>
    </row>
    <row r="94" spans="1:10" ht="20.25" hidden="1" x14ac:dyDescent="0.3">
      <c r="A94" s="120"/>
      <c r="B94" s="120"/>
      <c r="C94" s="120"/>
      <c r="D94" s="49">
        <f>IF(AND(ISNUMBER(SEARCH("1B",A93))),1,IF(AND(ISNUMBER(SEARCH("2B",A93))),2,IF(AND(ISNUMBER(SEARCH("3B",A93))),3,IF(AND(ISNUMBER(SEARCH("4B",A93))),4,IF(ISNUMBER(SEARCH("5B",A93)),5,0)))))</f>
        <v>0</v>
      </c>
      <c r="E94" s="113">
        <v>1</v>
      </c>
      <c r="F94" s="113"/>
      <c r="G94" s="49">
        <v>0</v>
      </c>
      <c r="H94" s="28">
        <f ca="1">--TRIM(RIGHT(SUBSTITUTE(LEFT(A93,_xlfn.AGGREGATE(16,6,FIND({0,1,2,3,4,5,6,7,8,9},A93,ROW(INDIRECT("1:"&amp;LEN(A93)))),1))," ",REPT(" ",LEN(A93))),LEN(A93)))</f>
        <v>3</v>
      </c>
      <c r="I94" s="16" t="s">
        <v>122</v>
      </c>
      <c r="J94" s="17"/>
    </row>
    <row r="95" spans="1:10" ht="20.25" hidden="1" customHeight="1" x14ac:dyDescent="0.3">
      <c r="A95" s="114" t="s">
        <v>120</v>
      </c>
      <c r="B95" s="114"/>
      <c r="C95" s="26" t="s">
        <v>130</v>
      </c>
      <c r="D95" s="26" t="s">
        <v>131</v>
      </c>
      <c r="E95" s="114" t="s">
        <v>121</v>
      </c>
      <c r="F95" s="114"/>
      <c r="G95" s="27" t="s">
        <v>119</v>
      </c>
      <c r="H95" s="27"/>
      <c r="I95" s="19" t="s">
        <v>132</v>
      </c>
      <c r="J95" s="18">
        <f ca="1">H94*25%</f>
        <v>0.75</v>
      </c>
    </row>
    <row r="96" spans="1:10" ht="20.25" hidden="1" customHeight="1" x14ac:dyDescent="0.3">
      <c r="A96" s="115" t="s">
        <v>133</v>
      </c>
      <c r="B96" s="115"/>
      <c r="C96" s="28">
        <f ca="1">J97</f>
        <v>3</v>
      </c>
      <c r="D96" s="5">
        <f ca="1">((100/H94)*C96)/100</f>
        <v>1</v>
      </c>
      <c r="E96" s="123">
        <f ca="1">(((C96/H94*10)+(C97/H94*15)+(25/(E94+G94+H94)*C98)+(5/(H94)*C99)+(2.5/(H94)*C100)+(2.5/(H94)*C101)+(5/H94*C102)+(10/H94*C103)+(2.5/H94*C104)+(2.5/H94*C105)+(10/H94*C106)+(10/H94*C107))/100)</f>
        <v>0.25</v>
      </c>
      <c r="F96" s="124"/>
      <c r="G96" s="115" t="str">
        <f ca="1">I93</f>
        <v>Excavation work Completed. Plinth work completed</v>
      </c>
      <c r="H96" s="115"/>
      <c r="I96" s="19" t="s">
        <v>123</v>
      </c>
      <c r="J96" s="22">
        <f ca="1">H94*50%</f>
        <v>1.5</v>
      </c>
    </row>
    <row r="97" spans="1:12" ht="20.25" hidden="1" x14ac:dyDescent="0.3">
      <c r="A97" s="115" t="s">
        <v>104</v>
      </c>
      <c r="B97" s="115"/>
      <c r="C97" s="30">
        <f ca="1">J105</f>
        <v>3</v>
      </c>
      <c r="D97" s="5">
        <f ca="1">((100/H94)*C97)/100</f>
        <v>1</v>
      </c>
      <c r="E97" s="125"/>
      <c r="F97" s="126"/>
      <c r="G97" s="115"/>
      <c r="H97" s="115"/>
      <c r="I97" s="19" t="s">
        <v>124</v>
      </c>
      <c r="J97" s="22">
        <f ca="1">H94</f>
        <v>3</v>
      </c>
    </row>
    <row r="98" spans="1:12" ht="21" hidden="1" customHeight="1" x14ac:dyDescent="0.35">
      <c r="A98" s="115" t="s">
        <v>134</v>
      </c>
      <c r="B98" s="115"/>
      <c r="C98" s="28">
        <v>0</v>
      </c>
      <c r="D98" s="5">
        <f ca="1">((100/(E94+G94+H94))*C98)/100</f>
        <v>0</v>
      </c>
      <c r="E98" s="125"/>
      <c r="F98" s="126"/>
      <c r="G98" s="115"/>
      <c r="H98" s="115"/>
      <c r="I98" s="19" t="s">
        <v>125</v>
      </c>
      <c r="J98" s="23">
        <f ca="1">(IF(D94&gt;1,(H94/(D94+2)),H94*0.2))</f>
        <v>0.60000000000000009</v>
      </c>
    </row>
    <row r="99" spans="1:12" ht="21" hidden="1" customHeight="1" x14ac:dyDescent="0.35">
      <c r="A99" s="115" t="s">
        <v>135</v>
      </c>
      <c r="B99" s="115"/>
      <c r="C99" s="28">
        <v>0</v>
      </c>
      <c r="D99" s="5">
        <f ca="1">((100/H94)*C99)/100</f>
        <v>0</v>
      </c>
      <c r="E99" s="125"/>
      <c r="F99" s="126"/>
      <c r="G99" s="115"/>
      <c r="H99" s="115"/>
      <c r="I99" s="19" t="s">
        <v>126</v>
      </c>
      <c r="J99" s="23">
        <f ca="1">(IF(D94&gt;1,(H94/(D94+2)+J98),H94*0.2+J98))</f>
        <v>1.2000000000000002</v>
      </c>
    </row>
    <row r="100" spans="1:12" ht="21" hidden="1" customHeight="1" x14ac:dyDescent="0.35">
      <c r="A100" s="133" t="s">
        <v>136</v>
      </c>
      <c r="B100" s="134"/>
      <c r="C100" s="28">
        <v>0</v>
      </c>
      <c r="D100" s="5">
        <f ca="1">((100/H94)*C100)/100</f>
        <v>0</v>
      </c>
      <c r="E100" s="125"/>
      <c r="F100" s="126"/>
      <c r="G100" s="115"/>
      <c r="H100" s="115"/>
      <c r="I100" s="19" t="s">
        <v>137</v>
      </c>
      <c r="J100" s="23">
        <f>(IF(D94&gt;1,(H94/(D94+2)+J99),0))</f>
        <v>0</v>
      </c>
    </row>
    <row r="101" spans="1:12" ht="21" hidden="1" customHeight="1" x14ac:dyDescent="0.35">
      <c r="A101" s="133" t="s">
        <v>167</v>
      </c>
      <c r="B101" s="134"/>
      <c r="C101" s="28">
        <v>0</v>
      </c>
      <c r="D101" s="5">
        <f ca="1">((100/H94)*C101)/100</f>
        <v>0</v>
      </c>
      <c r="E101" s="125"/>
      <c r="F101" s="126"/>
      <c r="G101" s="115"/>
      <c r="H101" s="115"/>
      <c r="I101" s="19" t="s">
        <v>138</v>
      </c>
      <c r="J101" s="23">
        <f>(IF(D94&gt;2,(H94/(D94+2)+J100),0))</f>
        <v>0</v>
      </c>
    </row>
    <row r="102" spans="1:12" ht="57.75" hidden="1" customHeight="1" x14ac:dyDescent="0.35">
      <c r="A102" s="133" t="s">
        <v>164</v>
      </c>
      <c r="B102" s="134"/>
      <c r="C102" s="28">
        <v>0</v>
      </c>
      <c r="D102" s="5">
        <f ca="1">((100/(H94))*C102)/100</f>
        <v>0</v>
      </c>
      <c r="E102" s="125"/>
      <c r="F102" s="126"/>
      <c r="G102" s="115"/>
      <c r="H102" s="115"/>
      <c r="I102" s="19" t="s">
        <v>140</v>
      </c>
      <c r="J102" s="24">
        <f>(IF(D94&gt;3,(H94/(D94+2)+J101),0))</f>
        <v>0</v>
      </c>
    </row>
    <row r="103" spans="1:12" ht="21" hidden="1" x14ac:dyDescent="0.35">
      <c r="A103" s="115" t="s">
        <v>139</v>
      </c>
      <c r="B103" s="115"/>
      <c r="C103" s="28">
        <v>0</v>
      </c>
      <c r="D103" s="5">
        <f ca="1">((100/(H94))*C103)/100</f>
        <v>0</v>
      </c>
      <c r="E103" s="125"/>
      <c r="F103" s="126"/>
      <c r="G103" s="115"/>
      <c r="H103" s="115"/>
      <c r="I103" s="19" t="s">
        <v>141</v>
      </c>
      <c r="J103" s="23">
        <f>(IF(D94&gt;4,(H94/(D94+2)+J102),0))</f>
        <v>0</v>
      </c>
    </row>
    <row r="104" spans="1:12" ht="21" hidden="1" customHeight="1" x14ac:dyDescent="0.35">
      <c r="A104" s="115" t="s">
        <v>166</v>
      </c>
      <c r="B104" s="115"/>
      <c r="C104" s="28">
        <v>0</v>
      </c>
      <c r="D104" s="5">
        <f ca="1">((100/H94)*C104)/100</f>
        <v>0</v>
      </c>
      <c r="E104" s="125"/>
      <c r="F104" s="126"/>
      <c r="G104" s="115"/>
      <c r="H104" s="115"/>
      <c r="I104" s="19" t="s">
        <v>127</v>
      </c>
      <c r="J104" s="23">
        <f ca="1">(IF(D94=1,(H94/(D94+3)+J99),IF(D94=0,(H94*0.3+J99),IF(D94&gt;1,0))))</f>
        <v>2.1</v>
      </c>
    </row>
    <row r="105" spans="1:12" ht="21.75" hidden="1" thickBot="1" x14ac:dyDescent="0.4">
      <c r="A105" s="115" t="s">
        <v>165</v>
      </c>
      <c r="B105" s="115"/>
      <c r="C105" s="28">
        <v>0</v>
      </c>
      <c r="D105" s="5">
        <f ca="1">((100/H94)*C105)/100</f>
        <v>0</v>
      </c>
      <c r="E105" s="125"/>
      <c r="F105" s="126"/>
      <c r="G105" s="115"/>
      <c r="H105" s="115"/>
      <c r="I105" s="21" t="s">
        <v>128</v>
      </c>
      <c r="J105" s="25">
        <f ca="1">(IF(D94&gt;1.5,(H94/(D94+2)+J99+MAX(0,J100-J99)+MAX(0,J101-J100)+MAX(0,J102-J101)+MAX(0,J103-J102)+MAX(0,J104-J103)),IF(D94=1,(H94/(D94+3)+J104),IF(D94=0,H94*0.3+J104))))</f>
        <v>3</v>
      </c>
    </row>
    <row r="106" spans="1:12" ht="20.25" hidden="1" x14ac:dyDescent="0.25">
      <c r="A106" s="115" t="s">
        <v>142</v>
      </c>
      <c r="B106" s="115"/>
      <c r="C106" s="28">
        <v>0</v>
      </c>
      <c r="D106" s="5">
        <f ca="1">((100/(H94))*C106)/100</f>
        <v>0</v>
      </c>
      <c r="E106" s="125"/>
      <c r="F106" s="126"/>
      <c r="G106" s="115"/>
      <c r="H106" s="115"/>
    </row>
    <row r="107" spans="1:12" ht="20.25" hidden="1" x14ac:dyDescent="0.25">
      <c r="A107" s="115" t="s">
        <v>143</v>
      </c>
      <c r="B107" s="115"/>
      <c r="C107" s="28">
        <v>0</v>
      </c>
      <c r="D107" s="5">
        <f ca="1">((100/(H94))*C107)/100</f>
        <v>0</v>
      </c>
      <c r="E107" s="127"/>
      <c r="F107" s="128"/>
      <c r="G107" s="115"/>
      <c r="H107" s="115"/>
    </row>
    <row r="108" spans="1:12" ht="36.75" customHeight="1" x14ac:dyDescent="0.3">
      <c r="A108" s="129" t="s">
        <v>129</v>
      </c>
      <c r="B108" s="130"/>
      <c r="C108" s="130"/>
      <c r="D108" s="130"/>
      <c r="E108" s="130"/>
      <c r="F108" s="130"/>
      <c r="G108" s="121">
        <f ca="1">AVERAGE(E64)</f>
        <v>0.25</v>
      </c>
      <c r="H108" s="122"/>
      <c r="I108" s="19"/>
      <c r="J108" s="81">
        <f>3836000/521</f>
        <v>7362.7639155470251</v>
      </c>
      <c r="K108" s="20"/>
      <c r="L108" s="1">
        <f>4200000/600</f>
        <v>7000</v>
      </c>
    </row>
    <row r="109" spans="1:12" ht="20.25" x14ac:dyDescent="0.25">
      <c r="A109" s="139" t="s">
        <v>73</v>
      </c>
      <c r="B109" s="140"/>
      <c r="C109" s="140"/>
      <c r="D109" s="140"/>
      <c r="E109" s="140"/>
      <c r="F109" s="140"/>
      <c r="G109" s="140"/>
      <c r="H109" s="141"/>
      <c r="I109" s="1" t="s">
        <v>339</v>
      </c>
      <c r="L109" s="1">
        <f>6600000/880</f>
        <v>7500</v>
      </c>
    </row>
    <row r="110" spans="1:12" ht="45" customHeight="1" x14ac:dyDescent="0.25">
      <c r="A110" s="142" t="s">
        <v>74</v>
      </c>
      <c r="B110" s="143"/>
      <c r="C110" s="136" t="s">
        <v>108</v>
      </c>
      <c r="D110" s="137"/>
      <c r="E110" s="142" t="s">
        <v>144</v>
      </c>
      <c r="F110" s="143" t="s">
        <v>4</v>
      </c>
      <c r="G110" s="144" t="s">
        <v>157</v>
      </c>
      <c r="H110" s="144"/>
      <c r="I110" s="1">
        <f>5500*1.5</f>
        <v>8250</v>
      </c>
    </row>
    <row r="111" spans="1:12" ht="44.25" customHeight="1" x14ac:dyDescent="0.25">
      <c r="A111" s="142" t="s">
        <v>154</v>
      </c>
      <c r="B111" s="143"/>
      <c r="C111" s="136" t="s">
        <v>360</v>
      </c>
      <c r="D111" s="137"/>
      <c r="E111" s="142" t="s">
        <v>155</v>
      </c>
      <c r="F111" s="143" t="s">
        <v>4</v>
      </c>
      <c r="G111" s="118" t="s">
        <v>145</v>
      </c>
      <c r="H111" s="118"/>
      <c r="I111" s="75" t="s">
        <v>320</v>
      </c>
    </row>
    <row r="112" spans="1:12" ht="20.25" x14ac:dyDescent="0.25">
      <c r="A112" s="142" t="s">
        <v>75</v>
      </c>
      <c r="B112" s="143"/>
      <c r="C112" s="147">
        <v>300000</v>
      </c>
      <c r="D112" s="148"/>
      <c r="E112" s="142" t="s">
        <v>102</v>
      </c>
      <c r="F112" s="143" t="s">
        <v>4</v>
      </c>
      <c r="G112" s="136" t="s">
        <v>109</v>
      </c>
      <c r="H112" s="137"/>
      <c r="I112" s="1">
        <f>9500-8500</f>
        <v>1000</v>
      </c>
    </row>
    <row r="113" spans="1:150 16226:16383" ht="20.25" x14ac:dyDescent="0.25">
      <c r="A113" s="139" t="s">
        <v>72</v>
      </c>
      <c r="B113" s="140"/>
      <c r="C113" s="140"/>
      <c r="D113" s="140"/>
      <c r="E113" s="140"/>
      <c r="F113" s="140"/>
      <c r="G113" s="140"/>
      <c r="H113" s="141"/>
    </row>
    <row r="114" spans="1:150 16226:16383" ht="20.25" customHeight="1" x14ac:dyDescent="0.25">
      <c r="A114" s="142" t="s">
        <v>8</v>
      </c>
      <c r="B114" s="149"/>
      <c r="C114" s="149"/>
      <c r="D114" s="149"/>
      <c r="E114" s="149"/>
      <c r="F114" s="143"/>
      <c r="G114" s="145">
        <f>5000/10.764</f>
        <v>464.51133407655152</v>
      </c>
      <c r="H114" s="146"/>
    </row>
    <row r="115" spans="1:150 16226:16383" ht="20.25" customHeight="1" x14ac:dyDescent="0.25">
      <c r="A115" s="142" t="s">
        <v>28</v>
      </c>
      <c r="B115" s="149"/>
      <c r="C115" s="149"/>
      <c r="D115" s="149"/>
      <c r="E115" s="149"/>
      <c r="F115" s="143" t="s">
        <v>4</v>
      </c>
      <c r="G115" s="138">
        <f>47300/10.764</f>
        <v>4394.2772203641771</v>
      </c>
      <c r="H115" s="138"/>
    </row>
    <row r="116" spans="1:150 16226:16383" ht="20.25" customHeight="1" x14ac:dyDescent="0.25">
      <c r="A116" s="142" t="s">
        <v>110</v>
      </c>
      <c r="B116" s="149"/>
      <c r="C116" s="149"/>
      <c r="D116" s="149"/>
      <c r="E116" s="149"/>
      <c r="F116" s="143" t="s">
        <v>4</v>
      </c>
      <c r="G116" s="138">
        <f>G114*0.8</f>
        <v>371.60906726124125</v>
      </c>
      <c r="H116" s="138"/>
    </row>
    <row r="117" spans="1:150 16226:16383" ht="20.25" x14ac:dyDescent="0.25">
      <c r="A117" s="150" t="s">
        <v>355</v>
      </c>
      <c r="B117" s="151"/>
      <c r="C117" s="151"/>
      <c r="D117" s="151"/>
      <c r="E117" s="151"/>
      <c r="F117" s="151"/>
      <c r="G117" s="151"/>
      <c r="H117" s="98"/>
    </row>
    <row r="118" spans="1:150 16226:16383" s="3" customFormat="1" ht="20.25" x14ac:dyDescent="0.25">
      <c r="A118" s="93" t="s">
        <v>151</v>
      </c>
      <c r="B118" s="94"/>
      <c r="C118" s="93" t="s">
        <v>152</v>
      </c>
      <c r="D118" s="94"/>
      <c r="E118" s="93" t="s">
        <v>150</v>
      </c>
      <c r="F118" s="94"/>
      <c r="G118" s="93" t="s">
        <v>162</v>
      </c>
      <c r="H118" s="9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06" t="s">
        <v>315</v>
      </c>
      <c r="B119" s="107"/>
      <c r="C119" s="106" t="s">
        <v>96</v>
      </c>
      <c r="D119" s="107"/>
      <c r="E119" s="106">
        <f>COUNT(E133:E146)</f>
        <v>14</v>
      </c>
      <c r="F119" s="107"/>
      <c r="G119" s="106">
        <f>SUM(H133:H146)</f>
        <v>2338.5909455999999</v>
      </c>
      <c r="H119" s="10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106"/>
      <c r="B120" s="107"/>
      <c r="C120" s="106"/>
      <c r="D120" s="107"/>
      <c r="E120" s="106"/>
      <c r="F120" s="107"/>
      <c r="G120" s="106"/>
      <c r="H120" s="10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93" t="s">
        <v>153</v>
      </c>
      <c r="B121" s="94"/>
      <c r="C121" s="93" t="s">
        <v>96</v>
      </c>
      <c r="D121" s="94"/>
      <c r="E121" s="93">
        <f>E119</f>
        <v>14</v>
      </c>
      <c r="F121" s="94"/>
      <c r="G121" s="93">
        <f>G119</f>
        <v>2338.5909455999999</v>
      </c>
      <c r="H121" s="9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50" t="s">
        <v>356</v>
      </c>
      <c r="B122" s="151"/>
      <c r="C122" s="151"/>
      <c r="D122" s="151"/>
      <c r="E122" s="151"/>
      <c r="F122" s="151"/>
      <c r="G122" s="151"/>
      <c r="H122" s="98"/>
    </row>
    <row r="123" spans="1:150 16226:16383" s="3" customFormat="1" ht="20.25" x14ac:dyDescent="0.25">
      <c r="A123" s="93" t="s">
        <v>151</v>
      </c>
      <c r="B123" s="94"/>
      <c r="C123" s="93" t="s">
        <v>152</v>
      </c>
      <c r="D123" s="94"/>
      <c r="E123" s="93" t="s">
        <v>150</v>
      </c>
      <c r="F123" s="94"/>
      <c r="G123" s="93" t="s">
        <v>162</v>
      </c>
      <c r="H123" s="9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06" t="s">
        <v>315</v>
      </c>
      <c r="B124" s="107"/>
      <c r="C124" s="93" t="s">
        <v>96</v>
      </c>
      <c r="D124" s="94"/>
      <c r="E124" s="106">
        <f>COUNT(E148:E153)*14+COUNT(E155:E157,E159:E160)*2</f>
        <v>94</v>
      </c>
      <c r="F124" s="107"/>
      <c r="G124" s="106">
        <f>SUM(H148:H153)*14+SUM(H155:H157,H159:H160)*2</f>
        <v>41698.670364000005</v>
      </c>
      <c r="H124" s="10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hidden="1" customHeight="1" x14ac:dyDescent="0.25">
      <c r="A125" s="106"/>
      <c r="B125" s="107"/>
      <c r="C125" s="93" t="s">
        <v>96</v>
      </c>
      <c r="D125" s="94"/>
      <c r="E125" s="106"/>
      <c r="F125" s="107"/>
      <c r="G125" s="106"/>
      <c r="H125" s="10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thickBot="1" x14ac:dyDescent="0.3">
      <c r="A126" s="111" t="s">
        <v>153</v>
      </c>
      <c r="B126" s="112"/>
      <c r="C126" s="111" t="s">
        <v>96</v>
      </c>
      <c r="D126" s="112"/>
      <c r="E126" s="111">
        <f>E124</f>
        <v>94</v>
      </c>
      <c r="F126" s="112"/>
      <c r="G126" s="111">
        <f>G124</f>
        <v>41698.670364000005</v>
      </c>
      <c r="H126" s="11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thickBot="1" x14ac:dyDescent="0.3">
      <c r="A127" s="174" t="s">
        <v>238</v>
      </c>
      <c r="B127" s="175"/>
      <c r="C127" s="176" t="s">
        <v>96</v>
      </c>
      <c r="D127" s="175"/>
      <c r="E127" s="176">
        <f>SUM(E121,E126)</f>
        <v>108</v>
      </c>
      <c r="F127" s="175"/>
      <c r="G127" s="176">
        <f>SUM(G121,G126)</f>
        <v>44037.261309600006</v>
      </c>
      <c r="H127" s="177"/>
      <c r="I127" s="1"/>
      <c r="J127" s="1"/>
      <c r="K127" s="1">
        <f>6100*1.5</f>
        <v>9150</v>
      </c>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08" t="s">
        <v>149</v>
      </c>
      <c r="B128" s="109"/>
      <c r="C128" s="109"/>
      <c r="D128" s="109"/>
      <c r="E128" s="109"/>
      <c r="F128" s="109"/>
      <c r="G128" s="109"/>
      <c r="H128" s="110"/>
    </row>
    <row r="129" spans="1:150 16226:16383" ht="66" customHeight="1" x14ac:dyDescent="0.25">
      <c r="A129" s="50" t="s">
        <v>230</v>
      </c>
      <c r="B129" s="29" t="s">
        <v>231</v>
      </c>
      <c r="C129" s="78" t="s">
        <v>232</v>
      </c>
      <c r="D129" s="29" t="s">
        <v>90</v>
      </c>
      <c r="E129" s="29" t="s">
        <v>163</v>
      </c>
      <c r="F129" s="31" t="s">
        <v>357</v>
      </c>
      <c r="G129" s="29" t="s">
        <v>92</v>
      </c>
      <c r="H129" s="29" t="s">
        <v>91</v>
      </c>
      <c r="I129" s="73">
        <v>10.763999999999999</v>
      </c>
      <c r="L129" s="1">
        <f>6100*1.5</f>
        <v>9150</v>
      </c>
    </row>
    <row r="130" spans="1:150 16226:16383" s="3" customFormat="1" ht="20.25" x14ac:dyDescent="0.25">
      <c r="A130" s="96" t="s">
        <v>326</v>
      </c>
      <c r="B130" s="97"/>
      <c r="C130" s="97"/>
      <c r="D130" s="97"/>
      <c r="E130" s="97"/>
      <c r="F130" s="97"/>
      <c r="G130" s="97"/>
      <c r="H130" s="98"/>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96" t="s">
        <v>315</v>
      </c>
      <c r="B131" s="97"/>
      <c r="C131" s="97"/>
      <c r="D131" s="97"/>
      <c r="E131" s="97"/>
      <c r="F131" s="97"/>
      <c r="G131" s="97"/>
      <c r="H131" s="98"/>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96" t="s">
        <v>361</v>
      </c>
      <c r="B132" s="97"/>
      <c r="C132" s="97"/>
      <c r="D132" s="97"/>
      <c r="E132" s="97"/>
      <c r="F132" s="97"/>
      <c r="G132" s="97"/>
      <c r="H132" s="98"/>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02">
        <v>1</v>
      </c>
      <c r="B133" s="102"/>
      <c r="C133" s="51" t="s">
        <v>96</v>
      </c>
      <c r="D133" s="51" t="s">
        <v>321</v>
      </c>
      <c r="E133" s="85">
        <f>(3.65*2.74)*10.764</f>
        <v>107.65076400000001</v>
      </c>
      <c r="F133" s="74">
        <v>0</v>
      </c>
      <c r="G133" s="74">
        <v>0</v>
      </c>
      <c r="H133" s="74">
        <f>E133+F133+(IF(G133&lt;101,G133,IF(G133&lt;201,G133/2,IF(G133&lt;=301,G133/3,G133/4))))</f>
        <v>107.65076400000001</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91">
        <f>A133+1</f>
        <v>2</v>
      </c>
      <c r="B134" s="92"/>
      <c r="C134" s="51" t="s">
        <v>96</v>
      </c>
      <c r="D134" s="51" t="s">
        <v>321</v>
      </c>
      <c r="E134" s="85">
        <f>(3.65*2.29)*10.764</f>
        <v>89.970893999999987</v>
      </c>
      <c r="F134" s="74">
        <v>0</v>
      </c>
      <c r="G134" s="74">
        <v>0</v>
      </c>
      <c r="H134" s="74">
        <f t="shared" ref="H134:H146" si="0">E134+F134+(IF(G134&lt;101,G134,IF(G134&lt;201,G134/2,IF(G134&lt;=301,G134/3,G134/4))))</f>
        <v>89.970893999999987</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91">
        <f t="shared" ref="A135:A146" si="1">A134+1</f>
        <v>3</v>
      </c>
      <c r="B135" s="92"/>
      <c r="C135" s="51" t="s">
        <v>96</v>
      </c>
      <c r="D135" s="51" t="s">
        <v>321</v>
      </c>
      <c r="E135" s="85">
        <f>(3.35*3.35)*10.764</f>
        <v>120.79898999999999</v>
      </c>
      <c r="F135" s="74">
        <v>0</v>
      </c>
      <c r="G135" s="74">
        <v>0</v>
      </c>
      <c r="H135" s="74">
        <f t="shared" si="0"/>
        <v>120.79898999999999</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91">
        <f t="shared" si="1"/>
        <v>4</v>
      </c>
      <c r="B136" s="92"/>
      <c r="C136" s="51" t="s">
        <v>96</v>
      </c>
      <c r="D136" s="51" t="s">
        <v>321</v>
      </c>
      <c r="E136" s="85">
        <f>(3.05*7.06)*10.764</f>
        <v>231.78121199999995</v>
      </c>
      <c r="F136" s="74">
        <v>0</v>
      </c>
      <c r="G136" s="74">
        <v>0</v>
      </c>
      <c r="H136" s="74">
        <f t="shared" si="0"/>
        <v>231.78121199999995</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91">
        <f t="shared" si="1"/>
        <v>5</v>
      </c>
      <c r="B137" s="92"/>
      <c r="C137" s="51" t="s">
        <v>96</v>
      </c>
      <c r="D137" s="51" t="s">
        <v>321</v>
      </c>
      <c r="E137" s="85">
        <f>(2.74*7.06)*10.764</f>
        <v>208.22312159999998</v>
      </c>
      <c r="F137" s="74">
        <v>0</v>
      </c>
      <c r="G137" s="74">
        <v>0</v>
      </c>
      <c r="H137" s="74">
        <f t="shared" si="0"/>
        <v>208.22312159999998</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91">
        <f t="shared" si="1"/>
        <v>6</v>
      </c>
      <c r="B138" s="92"/>
      <c r="C138" s="51" t="s">
        <v>96</v>
      </c>
      <c r="D138" s="51" t="s">
        <v>321</v>
      </c>
      <c r="E138" s="85">
        <f>(4.4*3.56+2.9*2)*10.764</f>
        <v>231.03849600000001</v>
      </c>
      <c r="F138" s="74">
        <v>0</v>
      </c>
      <c r="G138" s="74">
        <v>0</v>
      </c>
      <c r="H138" s="74">
        <f t="shared" si="0"/>
        <v>231.03849600000001</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91">
        <f t="shared" si="1"/>
        <v>7</v>
      </c>
      <c r="B139" s="92"/>
      <c r="C139" s="51" t="s">
        <v>96</v>
      </c>
      <c r="D139" s="51" t="s">
        <v>321</v>
      </c>
      <c r="E139" s="85">
        <f>(4.4*3.56+2.9*2)*10.764</f>
        <v>231.03849600000001</v>
      </c>
      <c r="F139" s="74">
        <v>0</v>
      </c>
      <c r="G139" s="74">
        <v>0</v>
      </c>
      <c r="H139" s="74">
        <f t="shared" si="0"/>
        <v>231.03849600000001</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91">
        <f t="shared" si="1"/>
        <v>8</v>
      </c>
      <c r="B140" s="92"/>
      <c r="C140" s="51" t="s">
        <v>96</v>
      </c>
      <c r="D140" s="51" t="s">
        <v>321</v>
      </c>
      <c r="E140" s="85">
        <f>(2.74*7.06)*10.764</f>
        <v>208.22312159999998</v>
      </c>
      <c r="F140" s="74">
        <v>0</v>
      </c>
      <c r="G140" s="74">
        <v>0</v>
      </c>
      <c r="H140" s="74">
        <f t="shared" si="0"/>
        <v>208.22312159999998</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91">
        <f t="shared" si="1"/>
        <v>9</v>
      </c>
      <c r="B141" s="92"/>
      <c r="C141" s="51" t="s">
        <v>96</v>
      </c>
      <c r="D141" s="51" t="s">
        <v>321</v>
      </c>
      <c r="E141" s="85">
        <f>(2.74*7.06)*10.764</f>
        <v>208.22312159999998</v>
      </c>
      <c r="F141" s="74">
        <v>0</v>
      </c>
      <c r="G141" s="74">
        <v>0</v>
      </c>
      <c r="H141" s="74">
        <f t="shared" si="0"/>
        <v>208.22312159999998</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91">
        <f t="shared" si="1"/>
        <v>10</v>
      </c>
      <c r="B142" s="92"/>
      <c r="C142" s="51" t="s">
        <v>96</v>
      </c>
      <c r="D142" s="51" t="s">
        <v>321</v>
      </c>
      <c r="E142" s="85">
        <f>(2.29*4.38+1.1*1.2)*10.764</f>
        <v>122.1735528</v>
      </c>
      <c r="F142" s="74">
        <v>0</v>
      </c>
      <c r="G142" s="74">
        <v>0</v>
      </c>
      <c r="H142" s="74">
        <f t="shared" si="0"/>
        <v>122.1735528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91">
        <f t="shared" si="1"/>
        <v>11</v>
      </c>
      <c r="B143" s="92"/>
      <c r="C143" s="51" t="s">
        <v>96</v>
      </c>
      <c r="D143" s="51" t="s">
        <v>321</v>
      </c>
      <c r="E143" s="85">
        <f>(2.74*3.6+0.9)*10.764</f>
        <v>115.863696</v>
      </c>
      <c r="F143" s="74">
        <v>0</v>
      </c>
      <c r="G143" s="74">
        <v>0</v>
      </c>
      <c r="H143" s="74">
        <f t="shared" si="0"/>
        <v>115.863696</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91">
        <f t="shared" si="1"/>
        <v>12</v>
      </c>
      <c r="B144" s="92"/>
      <c r="C144" s="51" t="s">
        <v>96</v>
      </c>
      <c r="D144" s="51" t="s">
        <v>321</v>
      </c>
      <c r="E144" s="85">
        <f>(2.74*5.4)*10.764</f>
        <v>159.26414400000002</v>
      </c>
      <c r="F144" s="74">
        <v>0</v>
      </c>
      <c r="G144" s="74">
        <v>0</v>
      </c>
      <c r="H144" s="74">
        <f t="shared" si="0"/>
        <v>159.26414400000002</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91">
        <f t="shared" si="1"/>
        <v>13</v>
      </c>
      <c r="B145" s="92"/>
      <c r="C145" s="51" t="s">
        <v>96</v>
      </c>
      <c r="D145" s="51" t="s">
        <v>321</v>
      </c>
      <c r="E145" s="85">
        <f>(3.35*5.7)*10.764</f>
        <v>205.53858000000002</v>
      </c>
      <c r="F145" s="74">
        <v>0</v>
      </c>
      <c r="G145" s="74">
        <v>0</v>
      </c>
      <c r="H145" s="74">
        <f t="shared" si="0"/>
        <v>205.53858000000002</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91">
        <f t="shared" si="1"/>
        <v>14</v>
      </c>
      <c r="B146" s="92"/>
      <c r="C146" s="51" t="s">
        <v>96</v>
      </c>
      <c r="D146" s="51" t="s">
        <v>321</v>
      </c>
      <c r="E146" s="85">
        <f>(3.35*2.74)*10.764</f>
        <v>98.802756000000002</v>
      </c>
      <c r="F146" s="74">
        <v>0</v>
      </c>
      <c r="G146" s="74">
        <v>0</v>
      </c>
      <c r="H146" s="74">
        <f t="shared" si="0"/>
        <v>98.802756000000002</v>
      </c>
      <c r="I146" s="1"/>
      <c r="J146" s="1">
        <f>3500000-(3500000*0.08)</f>
        <v>3220000</v>
      </c>
      <c r="K146" s="1"/>
      <c r="L146" s="1"/>
      <c r="M146" s="1">
        <f>(8500+9500)/2</f>
        <v>9000</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99" t="s">
        <v>362</v>
      </c>
      <c r="B147" s="100"/>
      <c r="C147" s="100"/>
      <c r="D147" s="100"/>
      <c r="E147" s="100"/>
      <c r="F147" s="100"/>
      <c r="G147" s="100"/>
      <c r="H147" s="101"/>
      <c r="I147" s="4">
        <v>14</v>
      </c>
      <c r="J147" s="1"/>
      <c r="K147" s="1"/>
      <c r="L147" s="1">
        <v>9000</v>
      </c>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02">
        <v>1</v>
      </c>
      <c r="B148" s="102"/>
      <c r="C148" s="51" t="s">
        <v>96</v>
      </c>
      <c r="D148" s="89" t="s">
        <v>322</v>
      </c>
      <c r="E148" s="90">
        <f>(28.01)*10.764</f>
        <v>301.49964</v>
      </c>
      <c r="F148" s="90">
        <f>(0.75*(2.74+1.85+3.05))*10.764</f>
        <v>61.677719999999994</v>
      </c>
      <c r="G148" s="74">
        <v>0</v>
      </c>
      <c r="H148" s="74">
        <f>E148+F148+(IF(G148&lt;101,G148,IF(G148&lt;201,G148/2,IF(G148&lt;=301,G148/3,G148/4))))</f>
        <v>363.17736000000002</v>
      </c>
      <c r="I148" s="79">
        <f>2.74*4.26+2.13*2.13+3.05*2.44+1.2*(2.13+1.8)+2.25*0.9</f>
        <v>30.392299999999999</v>
      </c>
      <c r="J148" s="1">
        <f>3199000/H148</f>
        <v>8808.3684511611627</v>
      </c>
      <c r="K148" s="1"/>
      <c r="L148" s="86">
        <f>H148*$L$147</f>
        <v>3268596.24</v>
      </c>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91">
        <f>A148+1</f>
        <v>2</v>
      </c>
      <c r="B149" s="92"/>
      <c r="C149" s="51" t="s">
        <v>96</v>
      </c>
      <c r="D149" s="89" t="s">
        <v>323</v>
      </c>
      <c r="E149" s="90">
        <f>(43.58)*10.764</f>
        <v>469.09511999999995</v>
      </c>
      <c r="F149" s="90">
        <f>(0.75*(2.74+2.29+3.35+2.74))*10.764</f>
        <v>89.771759999999986</v>
      </c>
      <c r="G149" s="74">
        <v>0</v>
      </c>
      <c r="H149" s="74">
        <f t="shared" ref="H149:H153" si="2">E149+F149+(IF(G149&lt;101,G149,IF(G149&lt;201,G149/2,IF(G149&lt;=301,G149/3,G149/4))))</f>
        <v>558.86687999999992</v>
      </c>
      <c r="I149" s="4"/>
      <c r="J149" s="1"/>
      <c r="K149" s="1"/>
      <c r="L149" s="86">
        <f t="shared" ref="L149:L153" si="3">H149*$L$147</f>
        <v>5029801.919999999</v>
      </c>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91">
        <f t="shared" ref="A150:A153" si="4">A149+1</f>
        <v>3</v>
      </c>
      <c r="B150" s="92"/>
      <c r="C150" s="88" t="s">
        <v>96</v>
      </c>
      <c r="D150" s="89" t="s">
        <v>322</v>
      </c>
      <c r="E150" s="90">
        <f>(31.6)*10.764</f>
        <v>340.14240000000001</v>
      </c>
      <c r="F150" s="90">
        <f>(0.75*(2.74+2.29+2.74))*10.764</f>
        <v>62.727209999999999</v>
      </c>
      <c r="G150" s="74">
        <v>0</v>
      </c>
      <c r="H150" s="74">
        <f t="shared" si="2"/>
        <v>402.86961000000002</v>
      </c>
      <c r="I150" s="79">
        <f>2.74*4.26+2.29*2.13+2.74*3.2+1.2*(1.8+1.8)+1.05*0.9+1.2*1.35</f>
        <v>32.203099999999999</v>
      </c>
      <c r="J150" s="1">
        <f>3100000/H150</f>
        <v>7694.7973315733589</v>
      </c>
      <c r="K150" s="1"/>
      <c r="L150" s="86">
        <f t="shared" si="3"/>
        <v>3625826.49</v>
      </c>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91">
        <f t="shared" si="4"/>
        <v>4</v>
      </c>
      <c r="B151" s="92"/>
      <c r="C151" s="51" t="s">
        <v>96</v>
      </c>
      <c r="D151" s="89" t="s">
        <v>322</v>
      </c>
      <c r="E151" s="90">
        <f>(28.01)*10.764</f>
        <v>301.49964</v>
      </c>
      <c r="F151" s="90">
        <f>(0.75*(2.74+1.85+3.05))*10.764</f>
        <v>61.677719999999994</v>
      </c>
      <c r="G151" s="74">
        <v>0</v>
      </c>
      <c r="H151" s="74">
        <f t="shared" si="2"/>
        <v>363.17736000000002</v>
      </c>
      <c r="I151" s="4"/>
      <c r="J151" s="1">
        <f>3200000/H151</f>
        <v>8811.121926763275</v>
      </c>
      <c r="K151" s="1"/>
      <c r="L151" s="87">
        <f t="shared" si="3"/>
        <v>3268596.24</v>
      </c>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1">
        <f t="shared" si="4"/>
        <v>5</v>
      </c>
      <c r="B152" s="92"/>
      <c r="C152" s="51" t="s">
        <v>96</v>
      </c>
      <c r="D152" s="89" t="s">
        <v>322</v>
      </c>
      <c r="E152" s="90">
        <f>(28.01)*10.764</f>
        <v>301.49964</v>
      </c>
      <c r="F152" s="90">
        <f>(0.75*(2.74+1.85+3.05))*10.764</f>
        <v>61.677719999999994</v>
      </c>
      <c r="G152" s="74">
        <v>0</v>
      </c>
      <c r="H152" s="74">
        <f t="shared" si="2"/>
        <v>363.17736000000002</v>
      </c>
      <c r="I152" s="4"/>
      <c r="J152" s="1"/>
      <c r="K152" s="1"/>
      <c r="L152" s="86">
        <f t="shared" si="3"/>
        <v>3268596.24</v>
      </c>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91">
        <f t="shared" si="4"/>
        <v>6</v>
      </c>
      <c r="B153" s="92"/>
      <c r="C153" s="51" t="s">
        <v>96</v>
      </c>
      <c r="D153" s="89" t="s">
        <v>323</v>
      </c>
      <c r="E153" s="90">
        <f>(45)*10.764</f>
        <v>484.38</v>
      </c>
      <c r="F153" s="90">
        <f>(0.75*(3.05+2.29+3.35+2.74))*10.764</f>
        <v>92.274389999999997</v>
      </c>
      <c r="G153" s="74">
        <v>0</v>
      </c>
      <c r="H153" s="74">
        <f t="shared" si="2"/>
        <v>576.65439000000003</v>
      </c>
      <c r="I153" s="79">
        <f>3.05*4.26+2.29*2.29+3.35*2.6+3.05*2.74+1.2*(2.29+2.13)+3.35*0.9</f>
        <v>43.623100000000001</v>
      </c>
      <c r="J153" s="1"/>
      <c r="K153" s="1"/>
      <c r="L153" s="86">
        <f t="shared" si="3"/>
        <v>5189889.5100000007</v>
      </c>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03" t="s">
        <v>324</v>
      </c>
      <c r="B154" s="104"/>
      <c r="C154" s="104"/>
      <c r="D154" s="104"/>
      <c r="E154" s="104"/>
      <c r="F154" s="104"/>
      <c r="G154" s="104"/>
      <c r="H154" s="105"/>
      <c r="I154" s="4">
        <v>2</v>
      </c>
      <c r="J154" s="1"/>
      <c r="K154" s="1"/>
      <c r="L154" s="8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02">
        <v>1</v>
      </c>
      <c r="B155" s="102"/>
      <c r="C155" s="51" t="s">
        <v>96</v>
      </c>
      <c r="D155" s="51" t="s">
        <v>322</v>
      </c>
      <c r="E155" s="73">
        <f>(28.01)*10.764</f>
        <v>301.49964</v>
      </c>
      <c r="F155" s="85">
        <f>(0.75*(2.74+1.85+3.05))*10.764</f>
        <v>61.677719999999994</v>
      </c>
      <c r="G155" s="74">
        <v>0</v>
      </c>
      <c r="H155" s="74">
        <f>E155+F155+(IF(G155&lt;101,G155,IF(G155&lt;201,G155/2,IF(G155&lt;=301,G155/3,G155/4))))</f>
        <v>363.17736000000002</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91">
        <f>A155+1</f>
        <v>2</v>
      </c>
      <c r="B156" s="92"/>
      <c r="C156" s="51" t="s">
        <v>96</v>
      </c>
      <c r="D156" s="51" t="s">
        <v>323</v>
      </c>
      <c r="E156" s="73">
        <f>(43.58)*10.764</f>
        <v>469.09511999999995</v>
      </c>
      <c r="F156" s="73">
        <f>(0.75*(2.74+2.29+3.35+2.74))*10.764</f>
        <v>89.771759999999986</v>
      </c>
      <c r="G156" s="74">
        <v>0</v>
      </c>
      <c r="H156" s="74">
        <f t="shared" ref="H156:H160" si="5">E156+F156+(IF(G156&lt;101,G156,IF(G156&lt;201,G156/2,IF(G156&lt;=301,G156/3,G156/4))))</f>
        <v>558.86687999999992</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91">
        <f t="shared" ref="A157" si="6">A156+1</f>
        <v>3</v>
      </c>
      <c r="B157" s="92"/>
      <c r="C157" s="51" t="s">
        <v>96</v>
      </c>
      <c r="D157" s="51" t="s">
        <v>323</v>
      </c>
      <c r="E157" s="73">
        <f>(2.74*4.26+2.29*2.13+2.74*(3.2+4.26)+1.2*(1.8+1.8+1.8)+1.8*0.6+1.05*0.9+1.2*1.35)*10.764</f>
        <v>507.15124199999997</v>
      </c>
      <c r="F157" s="73">
        <f>(0.75*(2.74+2.74+2.29+2.74))*10.764</f>
        <v>84.84723000000001</v>
      </c>
      <c r="G157" s="74">
        <v>0</v>
      </c>
      <c r="H157" s="74">
        <f t="shared" si="5"/>
        <v>591.99847199999999</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91" t="s">
        <v>325</v>
      </c>
      <c r="B158" s="95"/>
      <c r="C158" s="95"/>
      <c r="D158" s="95"/>
      <c r="E158" s="95"/>
      <c r="F158" s="95"/>
      <c r="G158" s="95"/>
      <c r="H158" s="92"/>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91">
        <f>A157+1</f>
        <v>4</v>
      </c>
      <c r="B159" s="92"/>
      <c r="C159" s="51" t="s">
        <v>96</v>
      </c>
      <c r="D159" s="51" t="s">
        <v>322</v>
      </c>
      <c r="E159" s="85">
        <f>(28.01)*10.764</f>
        <v>301.49964</v>
      </c>
      <c r="F159" s="85">
        <f>(0.75*(2.74+1.85+3.05))*10.764</f>
        <v>61.677719999999994</v>
      </c>
      <c r="G159" s="74">
        <v>0</v>
      </c>
      <c r="H159" s="74">
        <f t="shared" si="5"/>
        <v>363.17736000000002</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91">
        <f>A159+1</f>
        <v>5</v>
      </c>
      <c r="B160" s="92"/>
      <c r="C160" s="51" t="s">
        <v>96</v>
      </c>
      <c r="D160" s="51" t="s">
        <v>323</v>
      </c>
      <c r="E160" s="85">
        <f>(45)*10.764</f>
        <v>484.38</v>
      </c>
      <c r="F160" s="73">
        <f>(0.75*(3.05+2.29+3.35+2.74))*10.764</f>
        <v>92.274389999999997</v>
      </c>
      <c r="G160" s="74">
        <v>0</v>
      </c>
      <c r="H160" s="74">
        <f t="shared" si="5"/>
        <v>576.65439000000003</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103" t="s">
        <v>358</v>
      </c>
      <c r="B161" s="104"/>
      <c r="C161" s="104"/>
      <c r="D161" s="104"/>
      <c r="E161" s="104"/>
      <c r="F161" s="104"/>
      <c r="G161" s="104"/>
      <c r="H161" s="10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ht="20.25" x14ac:dyDescent="0.25">
      <c r="A162" s="119" t="s">
        <v>70</v>
      </c>
      <c r="B162" s="119"/>
      <c r="C162" s="119"/>
      <c r="D162" s="119"/>
      <c r="E162" s="119"/>
      <c r="F162" s="119"/>
      <c r="G162" s="119"/>
      <c r="H162" s="119"/>
    </row>
    <row r="163" spans="1:150 16226:16383" ht="20.25" x14ac:dyDescent="0.25">
      <c r="A163" s="2" t="s">
        <v>233</v>
      </c>
      <c r="B163" s="179" t="s">
        <v>327</v>
      </c>
      <c r="C163" s="180"/>
      <c r="D163" s="180"/>
      <c r="E163" s="180"/>
      <c r="F163" s="180"/>
      <c r="G163" s="180"/>
      <c r="H163" s="181"/>
    </row>
    <row r="164" spans="1:150 16226:16383" ht="20.25" x14ac:dyDescent="0.25">
      <c r="A164" s="2" t="s">
        <v>233</v>
      </c>
      <c r="B164" s="147" t="s">
        <v>234</v>
      </c>
      <c r="C164" s="166"/>
      <c r="D164" s="166"/>
      <c r="E164" s="166"/>
      <c r="F164" s="166"/>
      <c r="G164" s="166"/>
      <c r="H164" s="148"/>
    </row>
    <row r="165" spans="1:150 16226:16383" ht="20.25" x14ac:dyDescent="0.25">
      <c r="A165" s="2" t="s">
        <v>233</v>
      </c>
      <c r="B165" s="147" t="s">
        <v>359</v>
      </c>
      <c r="C165" s="166"/>
      <c r="D165" s="166"/>
      <c r="E165" s="166"/>
      <c r="F165" s="166"/>
      <c r="G165" s="166"/>
      <c r="H165" s="148"/>
    </row>
    <row r="166" spans="1:150 16226:16383" ht="20.25" x14ac:dyDescent="0.25">
      <c r="A166" s="2" t="s">
        <v>233</v>
      </c>
      <c r="B166" s="147" t="s">
        <v>235</v>
      </c>
      <c r="C166" s="166"/>
      <c r="D166" s="166"/>
      <c r="E166" s="166"/>
      <c r="F166" s="166"/>
      <c r="G166" s="166"/>
      <c r="H166" s="148"/>
    </row>
    <row r="167" spans="1:150 16226:16383" ht="20.25" x14ac:dyDescent="0.25">
      <c r="A167" s="2" t="s">
        <v>233</v>
      </c>
      <c r="B167" s="147" t="s">
        <v>236</v>
      </c>
      <c r="C167" s="166"/>
      <c r="D167" s="166"/>
      <c r="E167" s="166"/>
      <c r="F167" s="166"/>
      <c r="G167" s="166"/>
      <c r="H167" s="148"/>
    </row>
    <row r="168" spans="1:150 16226:16383" ht="20.25" x14ac:dyDescent="0.25">
      <c r="A168" s="2" t="s">
        <v>233</v>
      </c>
      <c r="B168" s="179" t="s">
        <v>329</v>
      </c>
      <c r="C168" s="180"/>
      <c r="D168" s="180"/>
      <c r="E168" s="180"/>
      <c r="F168" s="180"/>
      <c r="G168" s="180"/>
      <c r="H168" s="181"/>
    </row>
    <row r="169" spans="1:150 16226:16383" ht="46.5" hidden="1" customHeight="1" x14ac:dyDescent="0.25">
      <c r="A169" s="2" t="s">
        <v>233</v>
      </c>
      <c r="B169" s="178" t="s">
        <v>237</v>
      </c>
      <c r="C169" s="166"/>
      <c r="D169" s="166"/>
      <c r="E169" s="166"/>
      <c r="F169" s="166"/>
      <c r="G169" s="166"/>
      <c r="H169" s="148"/>
    </row>
    <row r="170" spans="1:150 16226:16383" ht="20.25" x14ac:dyDescent="0.25">
      <c r="A170" s="155" t="s">
        <v>76</v>
      </c>
      <c r="B170" s="155"/>
      <c r="C170" s="155"/>
      <c r="D170" s="155"/>
      <c r="E170" s="155"/>
      <c r="F170" s="155"/>
      <c r="G170" s="155"/>
      <c r="H170" s="155"/>
    </row>
    <row r="171" spans="1:150 16226:16383" ht="20.25" x14ac:dyDescent="0.25">
      <c r="A171" s="135" t="s">
        <v>71</v>
      </c>
      <c r="B171" s="135"/>
      <c r="C171" s="135"/>
      <c r="D171" s="147" t="str">
        <f>C3</f>
        <v>The Vaidiki Signature ­ C Wing</v>
      </c>
      <c r="E171" s="166"/>
      <c r="F171" s="166"/>
      <c r="G171" s="166"/>
      <c r="H171" s="148"/>
    </row>
    <row r="172" spans="1:150 16226:16383" ht="60.75" customHeight="1" x14ac:dyDescent="0.25">
      <c r="A172" s="135" t="s">
        <v>105</v>
      </c>
      <c r="B172" s="135"/>
      <c r="C172" s="135"/>
      <c r="D172" s="147" t="s">
        <v>328</v>
      </c>
      <c r="E172" s="156"/>
      <c r="F172" s="156"/>
      <c r="G172" s="156"/>
      <c r="H172" s="137"/>
    </row>
    <row r="173" spans="1:150 16226:16383" ht="20.25" customHeight="1" x14ac:dyDescent="0.25">
      <c r="A173" s="167" t="s">
        <v>111</v>
      </c>
      <c r="B173" s="167"/>
      <c r="C173" s="167"/>
      <c r="D173" s="147" t="str">
        <f>G3</f>
        <v>22/09/2025 at 01:04PM</v>
      </c>
      <c r="E173" s="166"/>
      <c r="F173" s="166"/>
      <c r="G173" s="166"/>
      <c r="H173" s="148"/>
    </row>
    <row r="174" spans="1:150 16226:16383" ht="20.25" x14ac:dyDescent="0.25">
      <c r="A174" s="9"/>
      <c r="B174" s="10"/>
      <c r="C174" s="10"/>
      <c r="D174" s="10"/>
      <c r="E174" s="10"/>
      <c r="F174" s="10"/>
      <c r="G174" s="10"/>
      <c r="H174" s="6"/>
    </row>
    <row r="175" spans="1:150 16226:16383" ht="20.25" x14ac:dyDescent="0.25">
      <c r="A175" s="11"/>
      <c r="B175" s="12"/>
      <c r="C175" s="12"/>
      <c r="D175" s="12"/>
      <c r="E175" s="12"/>
      <c r="F175" s="12"/>
      <c r="G175" s="12"/>
      <c r="H175" s="7"/>
    </row>
    <row r="176" spans="1:150 16226:16383" ht="20.25" x14ac:dyDescent="0.25">
      <c r="A176" s="11"/>
      <c r="B176" s="12"/>
      <c r="C176" s="12"/>
      <c r="D176" s="12"/>
      <c r="E176" s="12"/>
      <c r="F176" s="12"/>
      <c r="G176" s="12"/>
      <c r="H176" s="7"/>
    </row>
    <row r="177" spans="1:8" ht="20.25" x14ac:dyDescent="0.25">
      <c r="A177" s="11"/>
      <c r="B177" s="12"/>
      <c r="C177" s="12"/>
      <c r="D177" s="12"/>
      <c r="E177" s="12"/>
      <c r="F177" s="12"/>
      <c r="G177" s="12"/>
      <c r="H177" s="7"/>
    </row>
    <row r="178" spans="1:8" ht="20.25" x14ac:dyDescent="0.25">
      <c r="A178" s="11"/>
      <c r="B178" s="12"/>
      <c r="C178" s="12"/>
      <c r="D178" s="12"/>
      <c r="E178" s="12"/>
      <c r="F178" s="12"/>
      <c r="G178" s="12"/>
      <c r="H178" s="7"/>
    </row>
    <row r="179" spans="1:8" ht="20.25" x14ac:dyDescent="0.25">
      <c r="A179" s="11"/>
      <c r="B179" s="12"/>
      <c r="C179" s="12"/>
      <c r="D179" s="12"/>
      <c r="E179" s="12"/>
      <c r="F179" s="12"/>
      <c r="G179" s="12"/>
      <c r="H179" s="7"/>
    </row>
    <row r="180" spans="1:8" ht="20.25" x14ac:dyDescent="0.25">
      <c r="A180" s="11"/>
      <c r="B180" s="12"/>
      <c r="C180" s="12"/>
      <c r="D180" s="12"/>
      <c r="E180" s="12"/>
      <c r="F180" s="12"/>
      <c r="G180" s="12"/>
      <c r="H180" s="7"/>
    </row>
    <row r="181" spans="1:8" ht="20.25" x14ac:dyDescent="0.25">
      <c r="A181" s="11"/>
      <c r="B181" s="12"/>
      <c r="C181" s="12"/>
      <c r="D181" s="12"/>
      <c r="E181" s="12"/>
      <c r="F181" s="12"/>
      <c r="G181" s="12"/>
      <c r="H181" s="7"/>
    </row>
    <row r="182" spans="1:8" ht="20.25" x14ac:dyDescent="0.25">
      <c r="A182" s="11"/>
      <c r="B182" s="12"/>
      <c r="C182" s="12"/>
      <c r="D182" s="12"/>
      <c r="E182" s="12"/>
      <c r="F182" s="12"/>
      <c r="G182" s="12"/>
      <c r="H182" s="7"/>
    </row>
    <row r="183" spans="1:8" ht="20.25" x14ac:dyDescent="0.25">
      <c r="A183" s="11"/>
      <c r="B183" s="12"/>
      <c r="C183" s="12"/>
      <c r="D183" s="12"/>
      <c r="E183" s="12"/>
      <c r="F183" s="12"/>
      <c r="G183" s="12"/>
      <c r="H183" s="7"/>
    </row>
    <row r="184" spans="1:8" ht="20.25" x14ac:dyDescent="0.25">
      <c r="A184" s="11"/>
      <c r="B184" s="12"/>
      <c r="C184" s="12"/>
      <c r="D184" s="12"/>
      <c r="E184" s="12"/>
      <c r="F184" s="12"/>
      <c r="G184" s="12"/>
      <c r="H184" s="7"/>
    </row>
    <row r="185" spans="1:8" ht="20.25" x14ac:dyDescent="0.25">
      <c r="A185" s="11"/>
      <c r="B185" s="12"/>
      <c r="C185" s="12"/>
      <c r="D185" s="12"/>
      <c r="E185" s="12"/>
      <c r="F185" s="12"/>
      <c r="G185" s="12"/>
      <c r="H185" s="7"/>
    </row>
    <row r="186" spans="1:8" ht="20.25" x14ac:dyDescent="0.25">
      <c r="A186" s="11"/>
      <c r="B186" s="12"/>
      <c r="C186" s="12"/>
      <c r="D186" s="12"/>
      <c r="E186" s="12"/>
      <c r="F186" s="12"/>
      <c r="G186" s="12"/>
      <c r="H186" s="7"/>
    </row>
    <row r="187" spans="1:8" ht="20.25" x14ac:dyDescent="0.25">
      <c r="A187" s="11"/>
      <c r="B187" s="12"/>
      <c r="C187" s="12"/>
      <c r="D187" s="12"/>
      <c r="E187" s="12"/>
      <c r="F187" s="12"/>
      <c r="G187" s="12"/>
      <c r="H187" s="7"/>
    </row>
    <row r="188" spans="1:8" ht="20.25" x14ac:dyDescent="0.25">
      <c r="A188" s="11"/>
      <c r="B188" s="12"/>
      <c r="C188" s="12"/>
      <c r="D188" s="12"/>
      <c r="E188" s="12"/>
      <c r="F188" s="12"/>
      <c r="G188" s="12"/>
      <c r="H188" s="7"/>
    </row>
    <row r="189" spans="1:8" ht="20.25" x14ac:dyDescent="0.25">
      <c r="A189" s="11"/>
      <c r="B189" s="12"/>
      <c r="C189" s="12"/>
      <c r="D189" s="12"/>
      <c r="E189" s="12"/>
      <c r="F189" s="12"/>
      <c r="G189" s="12"/>
      <c r="H189" s="7"/>
    </row>
    <row r="190" spans="1:8" ht="20.25" x14ac:dyDescent="0.25">
      <c r="A190" s="11"/>
      <c r="B190" s="12"/>
      <c r="C190" s="12"/>
      <c r="D190" s="12"/>
      <c r="E190" s="12"/>
      <c r="F190" s="12"/>
      <c r="G190" s="12"/>
      <c r="H190" s="7"/>
    </row>
    <row r="191" spans="1:8" ht="20.25" x14ac:dyDescent="0.25">
      <c r="A191" s="11"/>
      <c r="B191" s="12"/>
      <c r="C191" s="12"/>
      <c r="D191" s="12"/>
      <c r="E191" s="12"/>
      <c r="F191" s="12"/>
      <c r="G191" s="12"/>
      <c r="H191" s="7"/>
    </row>
    <row r="192" spans="1:8" ht="20.25" x14ac:dyDescent="0.25">
      <c r="A192" s="11"/>
      <c r="B192" s="12"/>
      <c r="C192" s="12"/>
      <c r="D192" s="12"/>
      <c r="E192" s="12"/>
      <c r="F192" s="12"/>
      <c r="G192" s="12"/>
      <c r="H192" s="7"/>
    </row>
    <row r="193" spans="1:8" ht="20.25" x14ac:dyDescent="0.25">
      <c r="A193" s="11"/>
      <c r="B193" s="12"/>
      <c r="C193" s="12"/>
      <c r="D193" s="12"/>
      <c r="E193" s="12"/>
      <c r="F193" s="12"/>
      <c r="G193" s="12"/>
      <c r="H193" s="7"/>
    </row>
    <row r="194" spans="1:8" ht="20.25" x14ac:dyDescent="0.25">
      <c r="A194" s="11"/>
      <c r="B194" s="12"/>
      <c r="C194" s="12"/>
      <c r="D194" s="12"/>
      <c r="E194" s="12"/>
      <c r="F194" s="12"/>
      <c r="G194" s="12"/>
      <c r="H194" s="7"/>
    </row>
    <row r="195" spans="1:8" ht="20.25" x14ac:dyDescent="0.25">
      <c r="A195" s="11"/>
      <c r="B195" s="12"/>
      <c r="C195" s="12"/>
      <c r="D195" s="12"/>
      <c r="E195" s="12"/>
      <c r="F195" s="12"/>
      <c r="G195" s="12"/>
      <c r="H195" s="7"/>
    </row>
    <row r="196" spans="1:8" ht="20.25" x14ac:dyDescent="0.25">
      <c r="A196" s="11"/>
      <c r="B196" s="12"/>
      <c r="C196" s="12"/>
      <c r="D196" s="12"/>
      <c r="E196" s="12"/>
      <c r="F196" s="12"/>
      <c r="G196" s="12"/>
      <c r="H196" s="7"/>
    </row>
    <row r="197" spans="1:8" ht="20.25" x14ac:dyDescent="0.25">
      <c r="A197" s="11"/>
      <c r="B197" s="12"/>
      <c r="C197" s="12"/>
      <c r="D197" s="12"/>
      <c r="E197" s="12"/>
      <c r="F197" s="12"/>
      <c r="G197" s="12"/>
      <c r="H197" s="7"/>
    </row>
    <row r="198" spans="1:8" ht="20.25" x14ac:dyDescent="0.25">
      <c r="A198" s="11"/>
      <c r="B198" s="12"/>
      <c r="C198" s="12"/>
      <c r="D198" s="12"/>
      <c r="E198" s="12"/>
      <c r="F198" s="12"/>
      <c r="G198" s="12"/>
      <c r="H198" s="7"/>
    </row>
    <row r="199" spans="1:8" ht="20.25" x14ac:dyDescent="0.25">
      <c r="A199" s="11"/>
      <c r="B199" s="12"/>
      <c r="C199" s="12"/>
      <c r="D199" s="12"/>
      <c r="E199" s="12"/>
      <c r="F199" s="12"/>
      <c r="G199" s="12"/>
      <c r="H199" s="7"/>
    </row>
    <row r="200" spans="1:8" ht="20.25" x14ac:dyDescent="0.25">
      <c r="A200" s="11"/>
      <c r="B200" s="12"/>
      <c r="C200" s="12"/>
      <c r="D200" s="12"/>
      <c r="E200" s="12"/>
      <c r="F200" s="12"/>
      <c r="G200" s="12"/>
      <c r="H200" s="7"/>
    </row>
    <row r="201" spans="1:8" ht="20.25" x14ac:dyDescent="0.25">
      <c r="A201" s="11"/>
      <c r="B201" s="12"/>
      <c r="C201" s="12"/>
      <c r="D201" s="12"/>
      <c r="E201" s="12"/>
      <c r="F201" s="12"/>
      <c r="G201" s="12"/>
      <c r="H201" s="7"/>
    </row>
    <row r="202" spans="1:8" ht="20.25" x14ac:dyDescent="0.25">
      <c r="A202" s="11"/>
      <c r="B202" s="12"/>
      <c r="C202" s="12"/>
      <c r="D202" s="12"/>
      <c r="E202" s="12"/>
      <c r="F202" s="12"/>
      <c r="G202" s="12"/>
      <c r="H202" s="7"/>
    </row>
    <row r="203" spans="1:8" ht="20.25" x14ac:dyDescent="0.25">
      <c r="A203" s="11"/>
      <c r="B203" s="12"/>
      <c r="C203" s="12"/>
      <c r="D203" s="12"/>
      <c r="E203" s="12"/>
      <c r="F203" s="12"/>
      <c r="G203" s="12"/>
      <c r="H203" s="7"/>
    </row>
    <row r="204" spans="1:8" ht="20.25" x14ac:dyDescent="0.25">
      <c r="A204" s="11"/>
      <c r="B204" s="12"/>
      <c r="C204" s="12"/>
      <c r="D204" s="12"/>
      <c r="E204" s="12"/>
      <c r="F204" s="12"/>
      <c r="G204" s="12"/>
      <c r="H204" s="7"/>
    </row>
    <row r="205" spans="1:8" ht="20.25" x14ac:dyDescent="0.25">
      <c r="A205" s="11"/>
      <c r="B205" s="12"/>
      <c r="C205" s="12"/>
      <c r="D205" s="12"/>
      <c r="E205" s="12"/>
      <c r="F205" s="12"/>
      <c r="G205" s="12"/>
      <c r="H205" s="7"/>
    </row>
    <row r="206" spans="1:8" ht="20.25" x14ac:dyDescent="0.25">
      <c r="A206" s="11"/>
      <c r="B206" s="12"/>
      <c r="C206" s="12"/>
      <c r="D206" s="12"/>
      <c r="E206" s="12"/>
      <c r="F206" s="12"/>
      <c r="G206" s="12"/>
      <c r="H206" s="7"/>
    </row>
    <row r="207" spans="1:8" ht="20.25" x14ac:dyDescent="0.25">
      <c r="A207" s="11"/>
      <c r="B207" s="12"/>
      <c r="C207" s="12"/>
      <c r="D207" s="12"/>
      <c r="E207" s="12"/>
      <c r="F207" s="12"/>
      <c r="G207" s="12"/>
      <c r="H207" s="7"/>
    </row>
    <row r="208" spans="1:8" ht="20.25" x14ac:dyDescent="0.25">
      <c r="A208" s="11"/>
      <c r="B208" s="12"/>
      <c r="C208" s="12"/>
      <c r="D208" s="12"/>
      <c r="E208" s="12"/>
      <c r="F208" s="12"/>
      <c r="G208" s="12"/>
      <c r="H208" s="7"/>
    </row>
    <row r="209" spans="1:8" ht="20.25" x14ac:dyDescent="0.25">
      <c r="A209" s="11"/>
      <c r="B209" s="12"/>
      <c r="C209" s="12"/>
      <c r="D209" s="12"/>
      <c r="E209" s="12"/>
      <c r="F209" s="12"/>
      <c r="G209" s="12"/>
      <c r="H209" s="7"/>
    </row>
    <row r="210" spans="1:8" ht="20.25" x14ac:dyDescent="0.25">
      <c r="A210" s="11"/>
      <c r="B210" s="12"/>
      <c r="C210" s="12"/>
      <c r="D210" s="12"/>
      <c r="E210" s="12"/>
      <c r="F210" s="12"/>
      <c r="G210" s="12"/>
      <c r="H210" s="7"/>
    </row>
    <row r="211" spans="1:8" ht="20.25" x14ac:dyDescent="0.25">
      <c r="A211" s="11"/>
      <c r="B211" s="12"/>
      <c r="C211" s="12"/>
      <c r="D211" s="12"/>
      <c r="E211" s="12"/>
      <c r="F211" s="12"/>
      <c r="G211" s="12"/>
      <c r="H211" s="7"/>
    </row>
    <row r="212" spans="1:8" ht="20.25" x14ac:dyDescent="0.25">
      <c r="A212" s="11"/>
      <c r="B212" s="12"/>
      <c r="C212" s="12"/>
      <c r="D212" s="12"/>
      <c r="E212" s="12"/>
      <c r="F212" s="12"/>
      <c r="G212" s="12"/>
      <c r="H212" s="7"/>
    </row>
    <row r="213" spans="1:8" ht="20.25" x14ac:dyDescent="0.25">
      <c r="A213" s="11"/>
      <c r="B213" s="12"/>
      <c r="C213" s="12"/>
      <c r="D213" s="12"/>
      <c r="E213" s="12"/>
      <c r="F213" s="12"/>
      <c r="G213" s="12"/>
      <c r="H213" s="7"/>
    </row>
    <row r="214" spans="1:8" ht="20.25" x14ac:dyDescent="0.25">
      <c r="A214" s="11"/>
      <c r="B214" s="12"/>
      <c r="C214" s="12"/>
      <c r="D214" s="12"/>
      <c r="E214" s="12"/>
      <c r="F214" s="12"/>
      <c r="G214" s="12"/>
      <c r="H214" s="7"/>
    </row>
    <row r="215" spans="1:8" ht="20.25" x14ac:dyDescent="0.25">
      <c r="A215" s="11"/>
      <c r="B215" s="12"/>
      <c r="C215" s="12"/>
      <c r="D215" s="12"/>
      <c r="E215" s="12"/>
      <c r="F215" s="12"/>
      <c r="G215" s="12"/>
      <c r="H215" s="7"/>
    </row>
    <row r="216" spans="1:8" ht="20.25" x14ac:dyDescent="0.25">
      <c r="A216" s="11"/>
      <c r="B216" s="12"/>
      <c r="C216" s="12"/>
      <c r="D216" s="12"/>
      <c r="E216" s="12"/>
      <c r="F216" s="12"/>
      <c r="G216" s="12"/>
      <c r="H216" s="7"/>
    </row>
    <row r="217" spans="1:8" ht="20.25" x14ac:dyDescent="0.25">
      <c r="A217" s="13"/>
      <c r="B217" s="14"/>
      <c r="C217" s="14"/>
      <c r="D217" s="14"/>
      <c r="E217" s="14"/>
      <c r="F217" s="14"/>
      <c r="G217" s="14"/>
      <c r="H217" s="8"/>
    </row>
    <row r="218" spans="1:8" ht="20.25" x14ac:dyDescent="0.25">
      <c r="A218" s="119" t="s">
        <v>159</v>
      </c>
      <c r="B218" s="119"/>
      <c r="C218" s="119"/>
      <c r="D218" s="119"/>
      <c r="E218" s="119"/>
      <c r="F218" s="119"/>
      <c r="G218" s="119"/>
      <c r="H218" s="119"/>
    </row>
    <row r="219" spans="1:8" ht="20.25" x14ac:dyDescent="0.25">
      <c r="A219" s="9"/>
      <c r="B219" s="10"/>
      <c r="C219" s="10"/>
      <c r="D219" s="10"/>
      <c r="E219" s="10"/>
      <c r="F219" s="10"/>
      <c r="G219" s="10"/>
      <c r="H219" s="6"/>
    </row>
    <row r="220" spans="1:8" ht="20.25" x14ac:dyDescent="0.25">
      <c r="A220" s="11"/>
      <c r="B220" s="12"/>
      <c r="C220" s="12"/>
      <c r="D220" s="12"/>
      <c r="E220" s="12"/>
      <c r="F220" s="12"/>
      <c r="G220" s="12"/>
      <c r="H220" s="7"/>
    </row>
    <row r="221" spans="1:8" ht="20.25" x14ac:dyDescent="0.25">
      <c r="A221" s="11"/>
      <c r="B221" s="12"/>
      <c r="C221" s="12"/>
      <c r="D221" s="12"/>
      <c r="E221" s="12"/>
      <c r="F221" s="12"/>
      <c r="G221" s="12"/>
      <c r="H221" s="7"/>
    </row>
    <row r="222" spans="1:8" ht="20.25" x14ac:dyDescent="0.25">
      <c r="A222" s="11"/>
      <c r="B222" s="12"/>
      <c r="C222" s="12"/>
      <c r="D222" s="12"/>
      <c r="E222" s="12"/>
      <c r="F222" s="12"/>
      <c r="G222" s="12"/>
      <c r="H222" s="7"/>
    </row>
    <row r="223" spans="1:8" ht="20.25" x14ac:dyDescent="0.25">
      <c r="A223" s="11"/>
      <c r="B223" s="12"/>
      <c r="C223" s="12"/>
      <c r="D223" s="12"/>
      <c r="E223" s="12"/>
      <c r="F223" s="12"/>
      <c r="G223" s="12"/>
      <c r="H223" s="7"/>
    </row>
    <row r="224" spans="1:8" ht="20.25" x14ac:dyDescent="0.25">
      <c r="A224" s="11"/>
      <c r="B224" s="12"/>
      <c r="C224" s="12"/>
      <c r="D224" s="12"/>
      <c r="E224" s="12"/>
      <c r="F224" s="12"/>
      <c r="G224" s="12"/>
      <c r="H224" s="7"/>
    </row>
    <row r="225" spans="1:8" ht="20.25" x14ac:dyDescent="0.25">
      <c r="A225" s="11"/>
      <c r="B225" s="12"/>
      <c r="C225" s="12"/>
      <c r="D225" s="12"/>
      <c r="E225" s="12"/>
      <c r="F225" s="12"/>
      <c r="G225" s="12"/>
      <c r="H225" s="7"/>
    </row>
    <row r="226" spans="1:8" ht="20.25" x14ac:dyDescent="0.25">
      <c r="A226" s="11"/>
      <c r="B226" s="12"/>
      <c r="C226" s="12"/>
      <c r="D226" s="12"/>
      <c r="E226" s="12"/>
      <c r="F226" s="12"/>
      <c r="G226" s="12"/>
      <c r="H226" s="7"/>
    </row>
    <row r="227" spans="1:8" ht="20.25" x14ac:dyDescent="0.25">
      <c r="A227" s="11"/>
      <c r="B227" s="12"/>
      <c r="C227" s="12"/>
      <c r="D227" s="12"/>
      <c r="E227" s="12"/>
      <c r="F227" s="12"/>
      <c r="G227" s="12"/>
      <c r="H227" s="7"/>
    </row>
    <row r="228" spans="1:8" ht="20.25" x14ac:dyDescent="0.25">
      <c r="A228" s="11"/>
      <c r="B228" s="12"/>
      <c r="C228" s="12"/>
      <c r="D228" s="12"/>
      <c r="E228" s="12"/>
      <c r="F228" s="12"/>
      <c r="G228" s="12"/>
      <c r="H228" s="7"/>
    </row>
    <row r="229" spans="1:8" ht="20.25" x14ac:dyDescent="0.25">
      <c r="A229" s="11"/>
      <c r="B229" s="12"/>
      <c r="C229" s="12"/>
      <c r="D229" s="12"/>
      <c r="E229" s="12"/>
      <c r="F229" s="12"/>
      <c r="G229" s="12"/>
      <c r="H229" s="7"/>
    </row>
    <row r="230" spans="1:8" ht="20.25" x14ac:dyDescent="0.25">
      <c r="A230" s="11"/>
      <c r="B230" s="12"/>
      <c r="C230" s="12"/>
      <c r="D230" s="12"/>
      <c r="E230" s="12"/>
      <c r="F230" s="12"/>
      <c r="G230" s="12"/>
      <c r="H230" s="7"/>
    </row>
    <row r="231" spans="1:8" ht="20.25" x14ac:dyDescent="0.25">
      <c r="A231" s="11"/>
      <c r="B231" s="12"/>
      <c r="C231" s="12"/>
      <c r="D231" s="12"/>
      <c r="E231" s="12"/>
      <c r="F231" s="12"/>
      <c r="G231" s="12"/>
      <c r="H231" s="7"/>
    </row>
    <row r="232" spans="1:8" ht="20.25" x14ac:dyDescent="0.25">
      <c r="A232" s="11"/>
      <c r="B232" s="12"/>
      <c r="C232" s="12"/>
      <c r="D232" s="12"/>
      <c r="E232" s="12"/>
      <c r="F232" s="12"/>
      <c r="G232" s="12"/>
      <c r="H232" s="7"/>
    </row>
    <row r="233" spans="1:8" ht="20.25" x14ac:dyDescent="0.25">
      <c r="A233" s="11"/>
      <c r="B233" s="12"/>
      <c r="C233" s="12"/>
      <c r="D233" s="12"/>
      <c r="E233" s="12"/>
      <c r="F233" s="12"/>
      <c r="G233" s="12"/>
      <c r="H233" s="7"/>
    </row>
    <row r="234" spans="1:8" ht="20.25" x14ac:dyDescent="0.25">
      <c r="A234" s="11"/>
      <c r="B234" s="12"/>
      <c r="C234" s="12"/>
      <c r="D234" s="12"/>
      <c r="E234" s="12"/>
      <c r="F234" s="12"/>
      <c r="G234" s="12"/>
      <c r="H234" s="7"/>
    </row>
    <row r="235" spans="1:8" ht="20.25" x14ac:dyDescent="0.25">
      <c r="A235" s="11"/>
      <c r="B235" s="12"/>
      <c r="C235" s="12"/>
      <c r="D235" s="12"/>
      <c r="E235" s="12"/>
      <c r="F235" s="12"/>
      <c r="G235" s="12"/>
      <c r="H235" s="7"/>
    </row>
    <row r="236" spans="1:8" ht="20.25" x14ac:dyDescent="0.25">
      <c r="A236" s="11"/>
      <c r="B236" s="12"/>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1"/>
      <c r="B247" s="12"/>
      <c r="C247" s="12"/>
      <c r="D247" s="12"/>
      <c r="E247" s="12"/>
      <c r="F247" s="12"/>
      <c r="G247" s="12"/>
      <c r="H247" s="7"/>
    </row>
    <row r="248" spans="1:8" ht="20.25" x14ac:dyDescent="0.25">
      <c r="A248" s="11"/>
      <c r="B248" s="12"/>
      <c r="C248" s="12"/>
      <c r="D248" s="12"/>
      <c r="E248" s="12"/>
      <c r="F248" s="12"/>
      <c r="G248" s="12"/>
      <c r="H248" s="7"/>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1"/>
      <c r="B251" s="12"/>
      <c r="C251" s="12"/>
      <c r="D251" s="12"/>
      <c r="E251" s="12"/>
      <c r="F251" s="12"/>
      <c r="G251" s="12"/>
      <c r="H251" s="7"/>
    </row>
    <row r="252" spans="1:8" ht="20.25" x14ac:dyDescent="0.25">
      <c r="A252" s="11"/>
      <c r="B252" s="12"/>
      <c r="C252" s="12"/>
      <c r="D252" s="12"/>
      <c r="E252" s="12"/>
      <c r="F252" s="12"/>
      <c r="G252" s="12"/>
      <c r="H252" s="7"/>
    </row>
    <row r="253" spans="1:8" ht="20.25" x14ac:dyDescent="0.25">
      <c r="A253" s="11"/>
      <c r="B253" s="12"/>
      <c r="C253" s="12"/>
      <c r="D253" s="12"/>
      <c r="E253" s="12"/>
      <c r="F253" s="12"/>
      <c r="G253" s="12"/>
      <c r="H253" s="7"/>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x14ac:dyDescent="0.25">
      <c r="A257" s="11"/>
      <c r="B257" s="12"/>
      <c r="C257" s="12"/>
      <c r="D257" s="12"/>
      <c r="E257" s="12"/>
      <c r="F257" s="12"/>
      <c r="G257" s="12"/>
      <c r="H257" s="7"/>
    </row>
    <row r="258" spans="1:8" ht="20.25" x14ac:dyDescent="0.25">
      <c r="A258" s="11"/>
      <c r="B258" s="12"/>
      <c r="C258" s="12"/>
      <c r="D258" s="12"/>
      <c r="E258" s="12"/>
      <c r="F258" s="12"/>
      <c r="G258" s="12"/>
      <c r="H258" s="7"/>
    </row>
    <row r="259" spans="1:8" ht="20.25" x14ac:dyDescent="0.25">
      <c r="A259" s="11"/>
      <c r="B259" s="12"/>
      <c r="C259" s="12"/>
      <c r="D259" s="12"/>
      <c r="E259" s="12"/>
      <c r="F259" s="12"/>
      <c r="G259" s="12"/>
      <c r="H259" s="7"/>
    </row>
    <row r="260" spans="1:8" ht="20.25" x14ac:dyDescent="0.25">
      <c r="A260" s="11"/>
      <c r="B260" s="12"/>
      <c r="C260" s="12"/>
      <c r="D260" s="12"/>
      <c r="E260" s="12"/>
      <c r="F260" s="12"/>
      <c r="G260" s="12"/>
      <c r="H260" s="7"/>
    </row>
    <row r="261" spans="1:8" ht="20.25" x14ac:dyDescent="0.25">
      <c r="A261" s="11"/>
      <c r="B261" s="12"/>
      <c r="C261" s="12"/>
      <c r="D261" s="12"/>
      <c r="E261" s="12"/>
      <c r="F261" s="12"/>
      <c r="G261" s="12"/>
      <c r="H261" s="7"/>
    </row>
    <row r="262" spans="1:8" ht="20.25" x14ac:dyDescent="0.25">
      <c r="A262" s="11"/>
      <c r="B262" s="12"/>
      <c r="C262" s="12"/>
      <c r="D262" s="12"/>
      <c r="E262" s="12"/>
      <c r="F262" s="12"/>
      <c r="G262" s="12"/>
      <c r="H262" s="7"/>
    </row>
    <row r="263" spans="1:8" ht="20.25" x14ac:dyDescent="0.25">
      <c r="A263" s="11"/>
      <c r="B263" s="12"/>
      <c r="C263" s="12"/>
      <c r="D263" s="12"/>
      <c r="E263" s="12"/>
      <c r="F263" s="12"/>
      <c r="G263" s="12"/>
      <c r="H263" s="7"/>
    </row>
    <row r="264" spans="1:8" ht="20.25" x14ac:dyDescent="0.25">
      <c r="A264" s="11"/>
      <c r="B264" s="12"/>
      <c r="C264" s="12"/>
      <c r="D264" s="12"/>
      <c r="E264" s="12"/>
      <c r="F264" s="12"/>
      <c r="G264" s="12"/>
      <c r="H264" s="7"/>
    </row>
    <row r="265" spans="1:8" ht="20.25" x14ac:dyDescent="0.25">
      <c r="A265" s="11"/>
      <c r="B265" s="12"/>
      <c r="C265" s="12"/>
      <c r="D265" s="12"/>
      <c r="E265" s="12"/>
      <c r="F265" s="12"/>
      <c r="G265" s="12"/>
      <c r="H265" s="7"/>
    </row>
    <row r="266" spans="1:8" ht="20.25" x14ac:dyDescent="0.25">
      <c r="A266" s="11"/>
      <c r="B266" s="12"/>
      <c r="C266" s="12"/>
      <c r="D266" s="12"/>
      <c r="E266" s="12"/>
      <c r="F266" s="12"/>
      <c r="G266" s="12"/>
      <c r="H266" s="7"/>
    </row>
    <row r="267" spans="1:8" ht="20.25" x14ac:dyDescent="0.25">
      <c r="A267" s="13"/>
      <c r="B267" s="14"/>
      <c r="C267" s="14"/>
      <c r="D267" s="14"/>
      <c r="E267" s="14"/>
      <c r="F267" s="14"/>
      <c r="G267" s="14"/>
      <c r="H267" s="8"/>
    </row>
    <row r="268" spans="1:8" ht="20.25" x14ac:dyDescent="0.25">
      <c r="A268" s="139" t="s">
        <v>77</v>
      </c>
      <c r="B268" s="140"/>
      <c r="C268" s="140"/>
      <c r="D268" s="140"/>
      <c r="E268" s="140"/>
      <c r="F268" s="140"/>
      <c r="G268" s="140"/>
      <c r="H268" s="141"/>
    </row>
    <row r="269" spans="1:8" ht="20.25" x14ac:dyDescent="0.25">
      <c r="A269" s="9"/>
      <c r="B269" s="10"/>
      <c r="C269" s="10"/>
      <c r="D269" s="10"/>
      <c r="E269" s="10"/>
      <c r="F269" s="10"/>
      <c r="G269" s="10"/>
      <c r="H269" s="6"/>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9" t="s">
        <v>24</v>
      </c>
      <c r="B299" s="119"/>
      <c r="C299" s="119"/>
      <c r="D299" s="119"/>
      <c r="E299" s="119"/>
      <c r="F299" s="119"/>
      <c r="G299" s="119"/>
      <c r="H299" s="119"/>
    </row>
    <row r="300" spans="1:8" ht="20.25" x14ac:dyDescent="0.25">
      <c r="A300" s="157" t="s">
        <v>78</v>
      </c>
      <c r="B300" s="158"/>
      <c r="C300" s="158"/>
      <c r="D300" s="158"/>
      <c r="E300" s="158"/>
      <c r="F300" s="158"/>
      <c r="G300" s="158"/>
      <c r="H300" s="159"/>
    </row>
    <row r="301" spans="1:8" ht="20.25" x14ac:dyDescent="0.25">
      <c r="A301" s="160" t="s">
        <v>79</v>
      </c>
      <c r="B301" s="161"/>
      <c r="C301" s="161"/>
      <c r="D301" s="161"/>
      <c r="E301" s="161"/>
      <c r="F301" s="161"/>
      <c r="G301" s="161"/>
      <c r="H301" s="162"/>
    </row>
    <row r="302" spans="1:8" ht="45" customHeight="1" x14ac:dyDescent="0.25">
      <c r="A302" s="160" t="s">
        <v>80</v>
      </c>
      <c r="B302" s="161"/>
      <c r="C302" s="161"/>
      <c r="D302" s="161"/>
      <c r="E302" s="161"/>
      <c r="F302" s="161"/>
      <c r="G302" s="161"/>
      <c r="H302" s="162"/>
    </row>
    <row r="303" spans="1:8" ht="42.75" customHeight="1" x14ac:dyDescent="0.25">
      <c r="A303" s="160" t="s">
        <v>81</v>
      </c>
      <c r="B303" s="161"/>
      <c r="C303" s="161"/>
      <c r="D303" s="161"/>
      <c r="E303" s="161"/>
      <c r="F303" s="161"/>
      <c r="G303" s="161"/>
      <c r="H303" s="162"/>
    </row>
    <row r="304" spans="1:8" ht="20.25" x14ac:dyDescent="0.25">
      <c r="A304" s="160" t="s">
        <v>82</v>
      </c>
      <c r="B304" s="161"/>
      <c r="C304" s="161"/>
      <c r="D304" s="161"/>
      <c r="E304" s="161"/>
      <c r="F304" s="161"/>
      <c r="G304" s="161"/>
      <c r="H304" s="162"/>
    </row>
    <row r="305" spans="1:8" ht="20.25" x14ac:dyDescent="0.25">
      <c r="A305" s="160" t="s">
        <v>83</v>
      </c>
      <c r="B305" s="161"/>
      <c r="C305" s="161"/>
      <c r="D305" s="161"/>
      <c r="E305" s="161"/>
      <c r="F305" s="161"/>
      <c r="G305" s="161"/>
      <c r="H305" s="162"/>
    </row>
    <row r="306" spans="1:8" ht="45" customHeight="1" x14ac:dyDescent="0.25">
      <c r="A306" s="160" t="s">
        <v>84</v>
      </c>
      <c r="B306" s="161"/>
      <c r="C306" s="161"/>
      <c r="D306" s="161"/>
      <c r="E306" s="161"/>
      <c r="F306" s="161"/>
      <c r="G306" s="161"/>
      <c r="H306" s="162"/>
    </row>
    <row r="307" spans="1:8" ht="45" customHeight="1" x14ac:dyDescent="0.25">
      <c r="A307" s="160" t="s">
        <v>85</v>
      </c>
      <c r="B307" s="161"/>
      <c r="C307" s="161"/>
      <c r="D307" s="161"/>
      <c r="E307" s="161"/>
      <c r="F307" s="161"/>
      <c r="G307" s="161"/>
      <c r="H307" s="162"/>
    </row>
    <row r="308" spans="1:8" ht="20.25" x14ac:dyDescent="0.25">
      <c r="A308" s="163" t="s">
        <v>86</v>
      </c>
      <c r="B308" s="164"/>
      <c r="C308" s="164"/>
      <c r="D308" s="164"/>
      <c r="E308" s="164"/>
      <c r="F308" s="164"/>
      <c r="G308" s="164"/>
      <c r="H308" s="165"/>
    </row>
    <row r="309" spans="1:8" ht="92.25" customHeight="1" x14ac:dyDescent="0.25">
      <c r="A309" s="168" t="s">
        <v>30</v>
      </c>
      <c r="B309" s="169"/>
      <c r="C309" s="170" t="s">
        <v>330</v>
      </c>
      <c r="D309" s="171"/>
      <c r="E309" s="168" t="s">
        <v>9</v>
      </c>
      <c r="F309" s="169"/>
      <c r="G309" s="154"/>
      <c r="H309" s="154"/>
    </row>
  </sheetData>
  <mergeCells count="35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66:B66"/>
    <mergeCell ref="A67:B67"/>
    <mergeCell ref="A69:B69"/>
    <mergeCell ref="B169:H169"/>
    <mergeCell ref="B164:H164"/>
    <mergeCell ref="B163:H163"/>
    <mergeCell ref="B167:H167"/>
    <mergeCell ref="B166:H166"/>
    <mergeCell ref="B165:H165"/>
    <mergeCell ref="B168:H168"/>
    <mergeCell ref="A162:H162"/>
    <mergeCell ref="A145:B145"/>
    <mergeCell ref="A146:B146"/>
    <mergeCell ref="A155:B155"/>
    <mergeCell ref="A156:B156"/>
    <mergeCell ref="A157:B157"/>
    <mergeCell ref="A161:H161"/>
    <mergeCell ref="A64:B64"/>
    <mergeCell ref="E63:F63"/>
    <mergeCell ref="E61:F61"/>
    <mergeCell ref="E126:F126"/>
    <mergeCell ref="E124:F124"/>
    <mergeCell ref="C123:D123"/>
    <mergeCell ref="E125:F125"/>
    <mergeCell ref="C125:D125"/>
    <mergeCell ref="E127:F127"/>
    <mergeCell ref="C126:D126"/>
    <mergeCell ref="A124:B124"/>
    <mergeCell ref="A125:B125"/>
    <mergeCell ref="A126:B126"/>
    <mergeCell ref="A102:B102"/>
    <mergeCell ref="A103:B103"/>
    <mergeCell ref="A104:B104"/>
    <mergeCell ref="A105:B105"/>
    <mergeCell ref="A116:F116"/>
    <mergeCell ref="C120:D120"/>
    <mergeCell ref="A111:B111"/>
    <mergeCell ref="A106:B106"/>
    <mergeCell ref="A107:B107"/>
    <mergeCell ref="A110:B110"/>
    <mergeCell ref="C110:D110"/>
    <mergeCell ref="E309:F309"/>
    <mergeCell ref="A309:B309"/>
    <mergeCell ref="C309:D309"/>
    <mergeCell ref="A136:B136"/>
    <mergeCell ref="G14:H14"/>
    <mergeCell ref="G16:H16"/>
    <mergeCell ref="G17:H17"/>
    <mergeCell ref="G15:H15"/>
    <mergeCell ref="G18:H18"/>
    <mergeCell ref="G19:H19"/>
    <mergeCell ref="G46:H46"/>
    <mergeCell ref="G31:H31"/>
    <mergeCell ref="G22:H22"/>
    <mergeCell ref="G36:H36"/>
    <mergeCell ref="G35:H35"/>
    <mergeCell ref="A127:B127"/>
    <mergeCell ref="G127:H127"/>
    <mergeCell ref="A122:H122"/>
    <mergeCell ref="A123:B123"/>
    <mergeCell ref="E123:F123"/>
    <mergeCell ref="C124:D124"/>
    <mergeCell ref="C127:D127"/>
    <mergeCell ref="A60:H60"/>
    <mergeCell ref="A63:B63"/>
    <mergeCell ref="A33:H33"/>
    <mergeCell ref="G30:H30"/>
    <mergeCell ref="G29:H29"/>
    <mergeCell ref="A13:H13"/>
    <mergeCell ref="C26:D26"/>
    <mergeCell ref="G309:H309"/>
    <mergeCell ref="A170:H170"/>
    <mergeCell ref="D172:H172"/>
    <mergeCell ref="A300:H300"/>
    <mergeCell ref="A306:H306"/>
    <mergeCell ref="A307:H307"/>
    <mergeCell ref="A308:H308"/>
    <mergeCell ref="A301:H301"/>
    <mergeCell ref="A302:H302"/>
    <mergeCell ref="A303:H303"/>
    <mergeCell ref="A304:H304"/>
    <mergeCell ref="A172:C172"/>
    <mergeCell ref="A299:H299"/>
    <mergeCell ref="A305:H305"/>
    <mergeCell ref="A268:H268"/>
    <mergeCell ref="D171:H171"/>
    <mergeCell ref="A173:C173"/>
    <mergeCell ref="D173:H173"/>
    <mergeCell ref="A218:H218"/>
    <mergeCell ref="A99:B99"/>
    <mergeCell ref="A100:B100"/>
    <mergeCell ref="A101:B101"/>
    <mergeCell ref="A92:H92"/>
    <mergeCell ref="A93:C94"/>
    <mergeCell ref="A1:H1"/>
    <mergeCell ref="A171:C171"/>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G112:H112"/>
    <mergeCell ref="G116:H116"/>
    <mergeCell ref="A113:H113"/>
    <mergeCell ref="E110:F110"/>
    <mergeCell ref="A112:B112"/>
    <mergeCell ref="E111:F111"/>
    <mergeCell ref="G111:H111"/>
    <mergeCell ref="A109:H109"/>
    <mergeCell ref="G110:H110"/>
    <mergeCell ref="G114:H114"/>
    <mergeCell ref="C111:D111"/>
    <mergeCell ref="C112:D112"/>
    <mergeCell ref="E112:F112"/>
    <mergeCell ref="A114:F114"/>
    <mergeCell ref="A115:F115"/>
    <mergeCell ref="C18:D18"/>
    <mergeCell ref="C19:D19"/>
    <mergeCell ref="C20:D20"/>
    <mergeCell ref="C21:D21"/>
    <mergeCell ref="C22:D22"/>
    <mergeCell ref="C24:H24"/>
    <mergeCell ref="C23:H23"/>
    <mergeCell ref="A68:B68"/>
    <mergeCell ref="A71:B71"/>
    <mergeCell ref="D45:F45"/>
    <mergeCell ref="D47:F47"/>
    <mergeCell ref="A48:B48"/>
    <mergeCell ref="D48:F48"/>
    <mergeCell ref="A58:B58"/>
    <mergeCell ref="A59:B59"/>
    <mergeCell ref="C56:F56"/>
    <mergeCell ref="C57:F57"/>
    <mergeCell ref="C58:F58"/>
    <mergeCell ref="C59:F59"/>
    <mergeCell ref="E62:F62"/>
    <mergeCell ref="A61:C62"/>
    <mergeCell ref="A70:B70"/>
    <mergeCell ref="E64:F75"/>
    <mergeCell ref="G64:H75"/>
    <mergeCell ref="E78:F78"/>
    <mergeCell ref="A79:B79"/>
    <mergeCell ref="E79:F79"/>
    <mergeCell ref="A80:B80"/>
    <mergeCell ref="A45:B45"/>
    <mergeCell ref="A46:B46"/>
    <mergeCell ref="A47:B47"/>
    <mergeCell ref="D46:F46"/>
    <mergeCell ref="A118:B118"/>
    <mergeCell ref="C118:D118"/>
    <mergeCell ref="E93:F93"/>
    <mergeCell ref="A76:H76"/>
    <mergeCell ref="A77:C78"/>
    <mergeCell ref="E77:F77"/>
    <mergeCell ref="G108:H108"/>
    <mergeCell ref="E94:F94"/>
    <mergeCell ref="A95:B95"/>
    <mergeCell ref="E95:F95"/>
    <mergeCell ref="A96:B96"/>
    <mergeCell ref="E96:F107"/>
    <mergeCell ref="G96:H107"/>
    <mergeCell ref="A108:F108"/>
    <mergeCell ref="A97:B97"/>
    <mergeCell ref="A98:B98"/>
    <mergeCell ref="A121:B121"/>
    <mergeCell ref="C119:D119"/>
    <mergeCell ref="G118:H118"/>
    <mergeCell ref="G119:H119"/>
    <mergeCell ref="G120:H120"/>
    <mergeCell ref="G121:H121"/>
    <mergeCell ref="C121:D121"/>
    <mergeCell ref="A138:B138"/>
    <mergeCell ref="A139:B139"/>
    <mergeCell ref="A128:H128"/>
    <mergeCell ref="G123:H123"/>
    <mergeCell ref="G124:H124"/>
    <mergeCell ref="G125:H125"/>
    <mergeCell ref="G126:H126"/>
    <mergeCell ref="E118:F118"/>
    <mergeCell ref="E119:F119"/>
    <mergeCell ref="E120:F120"/>
    <mergeCell ref="A119:B119"/>
    <mergeCell ref="A120:B120"/>
    <mergeCell ref="A140:B140"/>
    <mergeCell ref="A141:B141"/>
    <mergeCell ref="A142:B142"/>
    <mergeCell ref="A143:B143"/>
    <mergeCell ref="A144:B144"/>
    <mergeCell ref="A159:B159"/>
    <mergeCell ref="E121:F121"/>
    <mergeCell ref="A160:B160"/>
    <mergeCell ref="A158:H158"/>
    <mergeCell ref="A130:H130"/>
    <mergeCell ref="A131:H131"/>
    <mergeCell ref="A147:H147"/>
    <mergeCell ref="A148:B148"/>
    <mergeCell ref="A149:B149"/>
    <mergeCell ref="A150:B150"/>
    <mergeCell ref="A151:B151"/>
    <mergeCell ref="A152:B152"/>
    <mergeCell ref="A153:B153"/>
    <mergeCell ref="A154:H154"/>
    <mergeCell ref="A132:H132"/>
    <mergeCell ref="A133:B133"/>
    <mergeCell ref="A134:B134"/>
    <mergeCell ref="A135:B135"/>
    <mergeCell ref="A137:B137"/>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           PAP,Sale / Mhada,Sale / Landowner"</formula1>
    </dataValidation>
  </dataValidations>
  <hyperlinks>
    <hyperlink ref="C23" r:id="rId1"/>
    <hyperlink ref="I24" r:id="rId2"/>
    <hyperlink ref="I111" r:id="rId3"/>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4" manualBreakCount="4">
    <brk id="59" max="16383" man="1"/>
    <brk id="169" max="8" man="1"/>
    <brk id="217" max="16383" man="1"/>
    <brk id="267"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9" t="s">
        <v>69</v>
      </c>
      <c r="B3" s="119"/>
      <c r="C3" s="119"/>
      <c r="D3" s="119"/>
      <c r="E3" s="119"/>
      <c r="F3" s="119"/>
      <c r="G3" s="119"/>
      <c r="H3" s="119"/>
      <c r="I3" s="119"/>
    </row>
    <row r="4" spans="1:11" s="1" customFormat="1" ht="20.25" customHeight="1" x14ac:dyDescent="0.3">
      <c r="A4" s="197">
        <v>1</v>
      </c>
      <c r="B4" s="197"/>
      <c r="C4" s="197"/>
      <c r="D4" s="198" t="s">
        <v>4</v>
      </c>
      <c r="E4" s="28" t="s">
        <v>116</v>
      </c>
      <c r="F4" s="113" t="s">
        <v>103</v>
      </c>
      <c r="G4" s="113"/>
      <c r="H4" s="28" t="s">
        <v>117</v>
      </c>
      <c r="I4" s="28"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7"/>
      <c r="B5" s="197"/>
      <c r="C5" s="197"/>
      <c r="D5" s="198"/>
      <c r="E5" s="28">
        <v>3</v>
      </c>
      <c r="F5" s="113">
        <v>1</v>
      </c>
      <c r="G5" s="113"/>
      <c r="H5" s="28">
        <v>0</v>
      </c>
      <c r="I5" s="28">
        <f ca="1">--TRIM(RIGHT(SUBSTITUTE(LEFT(A4,_xlfn.AGGREGATE(16,6,FIND({0,1,2,3,4,5,6,7,8,9},A4,ROW(INDIRECT("1:"&amp;LEN(A4)))),1))," ",REPT(" ",LEN(A4))),LEN(A4)))</f>
        <v>1</v>
      </c>
      <c r="J5" s="16" t="s">
        <v>122</v>
      </c>
      <c r="K5" s="17"/>
    </row>
    <row r="6" spans="1:11" s="1" customFormat="1" ht="20.25" customHeight="1" x14ac:dyDescent="0.3">
      <c r="A6" s="114" t="s">
        <v>120</v>
      </c>
      <c r="B6" s="114"/>
      <c r="C6" s="114" t="s">
        <v>130</v>
      </c>
      <c r="D6" s="114"/>
      <c r="E6" s="26" t="s">
        <v>131</v>
      </c>
      <c r="F6" s="114" t="s">
        <v>121</v>
      </c>
      <c r="G6" s="114"/>
      <c r="H6" s="27" t="s">
        <v>119</v>
      </c>
      <c r="I6" s="27"/>
      <c r="J6" s="19" t="s">
        <v>132</v>
      </c>
      <c r="K6" s="18">
        <f ca="1">I5*25%</f>
        <v>0.25</v>
      </c>
    </row>
    <row r="7" spans="1:11" s="1" customFormat="1" ht="20.25" customHeight="1" x14ac:dyDescent="0.3">
      <c r="A7" s="115" t="s">
        <v>133</v>
      </c>
      <c r="B7" s="115"/>
      <c r="C7" s="113">
        <f ca="1">K8</f>
        <v>1</v>
      </c>
      <c r="D7" s="113"/>
      <c r="E7" s="5">
        <f ca="1">((100/I5)*C7)/100</f>
        <v>1</v>
      </c>
      <c r="F7" s="115">
        <f ca="1">(((C7/I5*5)+(C8/I5*20)+(25/(F5+H5+I5)*C9)+(5/(I5)*C10)+(2.5/(I5)*C11)+(2.5/(I5)*C12)+(5/I5*C13)+(10/I5*C14)+(2.5/I5*C15)+(2.5/I5*C16)+(10/I5*C17)+(10/I5*C18))/100)</f>
        <v>0.25</v>
      </c>
      <c r="G7" s="115"/>
      <c r="H7" s="115" t="str">
        <f ca="1">J4</f>
        <v>Excavation work Completed. Plinth work completed</v>
      </c>
      <c r="I7" s="115"/>
      <c r="J7" s="19" t="s">
        <v>123</v>
      </c>
      <c r="K7" s="22">
        <f ca="1">I5*50%</f>
        <v>0.5</v>
      </c>
    </row>
    <row r="8" spans="1:11" s="1" customFormat="1" ht="20.25" x14ac:dyDescent="0.3">
      <c r="A8" s="115" t="s">
        <v>104</v>
      </c>
      <c r="B8" s="115"/>
      <c r="C8" s="196">
        <f ca="1">K16</f>
        <v>1</v>
      </c>
      <c r="D8" s="113"/>
      <c r="E8" s="5">
        <f ca="1">((100/I5)*C8)/100</f>
        <v>1</v>
      </c>
      <c r="F8" s="115"/>
      <c r="G8" s="115"/>
      <c r="H8" s="115"/>
      <c r="I8" s="115"/>
      <c r="J8" s="19" t="s">
        <v>124</v>
      </c>
      <c r="K8" s="22">
        <f ca="1">I5</f>
        <v>1</v>
      </c>
    </row>
    <row r="9" spans="1:11" s="1" customFormat="1" ht="21" customHeight="1" x14ac:dyDescent="0.35">
      <c r="A9" s="115" t="s">
        <v>134</v>
      </c>
      <c r="B9" s="115"/>
      <c r="C9" s="113">
        <v>0</v>
      </c>
      <c r="D9" s="113"/>
      <c r="E9" s="5">
        <f ca="1">((100/(F5+H5+I5))*C9)/100</f>
        <v>0</v>
      </c>
      <c r="F9" s="115"/>
      <c r="G9" s="115"/>
      <c r="H9" s="115"/>
      <c r="I9" s="115"/>
      <c r="J9" s="19" t="s">
        <v>125</v>
      </c>
      <c r="K9" s="23">
        <f ca="1">(IF(E5&gt;1,(I5/(E5+2)),I5*0.2))</f>
        <v>0.2</v>
      </c>
    </row>
    <row r="10" spans="1:11" s="1" customFormat="1" ht="21" customHeight="1" x14ac:dyDescent="0.35">
      <c r="A10" s="115" t="s">
        <v>135</v>
      </c>
      <c r="B10" s="115"/>
      <c r="C10" s="113">
        <v>0</v>
      </c>
      <c r="D10" s="113"/>
      <c r="E10" s="5">
        <f ca="1">((100/I5)*C10)/100</f>
        <v>0</v>
      </c>
      <c r="F10" s="115"/>
      <c r="G10" s="115"/>
      <c r="H10" s="115"/>
      <c r="I10" s="115"/>
      <c r="J10" s="19" t="s">
        <v>126</v>
      </c>
      <c r="K10" s="23">
        <f ca="1">(IF(E5&gt;1,(I5/(E5+2)+K9),I5*0.2+K9))</f>
        <v>0.4</v>
      </c>
    </row>
    <row r="11" spans="1:11" s="1" customFormat="1" ht="21" customHeight="1" x14ac:dyDescent="0.35">
      <c r="A11" s="133" t="s">
        <v>136</v>
      </c>
      <c r="B11" s="134"/>
      <c r="C11" s="113">
        <v>0</v>
      </c>
      <c r="D11" s="113"/>
      <c r="E11" s="5">
        <f ca="1">((100/I5)*C11)/100</f>
        <v>0</v>
      </c>
      <c r="F11" s="115"/>
      <c r="G11" s="115"/>
      <c r="H11" s="115"/>
      <c r="I11" s="115"/>
      <c r="J11" s="19" t="s">
        <v>137</v>
      </c>
      <c r="K11" s="23">
        <f ca="1">(IF(E5&gt;1,(I5/(E5+2)+K10),0))</f>
        <v>0.60000000000000009</v>
      </c>
    </row>
    <row r="12" spans="1:11" s="1" customFormat="1" ht="21" customHeight="1" x14ac:dyDescent="0.35">
      <c r="A12" s="133" t="s">
        <v>167</v>
      </c>
      <c r="B12" s="134"/>
      <c r="C12" s="113">
        <v>0</v>
      </c>
      <c r="D12" s="113"/>
      <c r="E12" s="5">
        <f ca="1">((100/I5)*C12)/100</f>
        <v>0</v>
      </c>
      <c r="F12" s="115"/>
      <c r="G12" s="115"/>
      <c r="H12" s="115"/>
      <c r="I12" s="115"/>
      <c r="J12" s="19" t="s">
        <v>138</v>
      </c>
      <c r="K12" s="23">
        <f ca="1">(IF(E5&gt;2,(I5/(E5+2)+K11),0))</f>
        <v>0.8</v>
      </c>
    </row>
    <row r="13" spans="1:11" s="1" customFormat="1" ht="57.75" customHeight="1" x14ac:dyDescent="0.35">
      <c r="A13" s="133" t="s">
        <v>164</v>
      </c>
      <c r="B13" s="134"/>
      <c r="C13" s="113">
        <v>0</v>
      </c>
      <c r="D13" s="113"/>
      <c r="E13" s="5">
        <f ca="1">((100/(I5))*C13)/100</f>
        <v>0</v>
      </c>
      <c r="F13" s="115"/>
      <c r="G13" s="115"/>
      <c r="H13" s="115"/>
      <c r="I13" s="115"/>
      <c r="J13" s="19" t="s">
        <v>140</v>
      </c>
      <c r="K13" s="24">
        <f>(IF(E5&gt;3,(I5/(E5+2)+K12),0))</f>
        <v>0</v>
      </c>
    </row>
    <row r="14" spans="1:11" s="1" customFormat="1" ht="21" x14ac:dyDescent="0.35">
      <c r="A14" s="115" t="s">
        <v>139</v>
      </c>
      <c r="B14" s="115"/>
      <c r="C14" s="113">
        <v>0</v>
      </c>
      <c r="D14" s="113"/>
      <c r="E14" s="5">
        <f ca="1">((100/(I5))*C14)/100</f>
        <v>0</v>
      </c>
      <c r="F14" s="115"/>
      <c r="G14" s="115"/>
      <c r="H14" s="115"/>
      <c r="I14" s="115"/>
      <c r="J14" s="19" t="s">
        <v>141</v>
      </c>
      <c r="K14" s="23">
        <f>(IF(E5&gt;4,(I5/(E5+2)+K13),0))</f>
        <v>0</v>
      </c>
    </row>
    <row r="15" spans="1:11" s="1" customFormat="1" ht="21" customHeight="1" x14ac:dyDescent="0.35">
      <c r="A15" s="115" t="s">
        <v>166</v>
      </c>
      <c r="B15" s="115"/>
      <c r="C15" s="113">
        <v>0</v>
      </c>
      <c r="D15" s="113"/>
      <c r="E15" s="5">
        <f ca="1">((100/I5)*C15)/100</f>
        <v>0</v>
      </c>
      <c r="F15" s="115"/>
      <c r="G15" s="115"/>
      <c r="H15" s="115"/>
      <c r="I15" s="115"/>
      <c r="J15" s="19" t="s">
        <v>127</v>
      </c>
      <c r="K15" s="23">
        <f>(IF(E5=1,(I5/(E5+3)+K10),IF(E5=0,(I5*0.3+K10),IF(E5&gt;1,0))))</f>
        <v>0</v>
      </c>
    </row>
    <row r="16" spans="1:11" s="1" customFormat="1" ht="21.75" thickBot="1" x14ac:dyDescent="0.4">
      <c r="A16" s="115" t="s">
        <v>165</v>
      </c>
      <c r="B16" s="115"/>
      <c r="C16" s="113">
        <v>0</v>
      </c>
      <c r="D16" s="113"/>
      <c r="E16" s="5">
        <f ca="1">((100/I5)*C16)/100</f>
        <v>0</v>
      </c>
      <c r="F16" s="115"/>
      <c r="G16" s="115"/>
      <c r="H16" s="115"/>
      <c r="I16" s="115"/>
      <c r="J16" s="21" t="s">
        <v>128</v>
      </c>
      <c r="K16" s="25">
        <f ca="1">(IF(E5&gt;1.5,(I5/(E5+2)+K10+MAX(0,K11-K10)+MAX(0,K12-K11)+MAX(0,K13-K12)+MAX(0,K14-K13)+MAX(0,K15-K14)),IF(E5=1,(I5/(E5+3)+K15),IF(E5=0,I5*0.3+K15))))</f>
        <v>1</v>
      </c>
    </row>
    <row r="17" spans="1:9" s="1" customFormat="1" ht="20.25" x14ac:dyDescent="0.25">
      <c r="A17" s="115" t="s">
        <v>142</v>
      </c>
      <c r="B17" s="115"/>
      <c r="C17" s="113">
        <v>0</v>
      </c>
      <c r="D17" s="113"/>
      <c r="E17" s="5">
        <f ca="1">((100/(I5))*C17)/100</f>
        <v>0</v>
      </c>
      <c r="F17" s="115"/>
      <c r="G17" s="115"/>
      <c r="H17" s="115"/>
      <c r="I17" s="115"/>
    </row>
    <row r="18" spans="1:9" s="1" customFormat="1" ht="20.25" x14ac:dyDescent="0.25">
      <c r="A18" s="115" t="s">
        <v>143</v>
      </c>
      <c r="B18" s="115"/>
      <c r="C18" s="113">
        <v>0</v>
      </c>
      <c r="D18" s="113"/>
      <c r="E18" s="5">
        <f ca="1">((100/(I5))*C18)/100</f>
        <v>0</v>
      </c>
      <c r="F18" s="115"/>
      <c r="G18" s="115"/>
      <c r="H18" s="115"/>
      <c r="I18" s="115"/>
    </row>
    <row r="23" spans="1:9" x14ac:dyDescent="0.25">
      <c r="B23" s="195" t="s">
        <v>168</v>
      </c>
      <c r="C23" s="195"/>
      <c r="D23" s="195"/>
      <c r="E23" s="195"/>
      <c r="F23" s="195"/>
      <c r="G23" s="195"/>
    </row>
    <row r="24" spans="1:9" ht="14.45" customHeight="1" x14ac:dyDescent="0.25">
      <c r="B24" s="190" t="s">
        <v>169</v>
      </c>
      <c r="C24" s="190" t="s">
        <v>170</v>
      </c>
      <c r="D24" s="193" t="s">
        <v>171</v>
      </c>
      <c r="E24" s="194" t="s">
        <v>172</v>
      </c>
      <c r="F24" s="191" t="s">
        <v>173</v>
      </c>
      <c r="G24" s="190" t="s">
        <v>174</v>
      </c>
    </row>
    <row r="25" spans="1:9" x14ac:dyDescent="0.25">
      <c r="B25" s="190"/>
      <c r="C25" s="190"/>
      <c r="D25" s="193"/>
      <c r="E25" s="194"/>
      <c r="F25" s="191"/>
      <c r="G25" s="190"/>
    </row>
    <row r="26" spans="1:9" x14ac:dyDescent="0.25">
      <c r="B26" s="34" t="s">
        <v>175</v>
      </c>
      <c r="C26" s="35">
        <v>10</v>
      </c>
      <c r="D26" s="35">
        <v>1</v>
      </c>
      <c r="E26" s="36"/>
      <c r="F26" s="37">
        <f>((E26/D26)*0.05)*100</f>
        <v>0</v>
      </c>
      <c r="G26" s="37">
        <f t="shared" ref="G26:G37" si="0">((E26/D26)*(C26/100))*100</f>
        <v>0</v>
      </c>
    </row>
    <row r="27" spans="1:9" x14ac:dyDescent="0.25">
      <c r="B27" s="34" t="s">
        <v>176</v>
      </c>
      <c r="C27" s="36">
        <v>10</v>
      </c>
      <c r="D27" s="36">
        <v>1</v>
      </c>
      <c r="E27" s="36"/>
      <c r="F27" s="37">
        <f>((E27/D27)*0.05)*100</f>
        <v>0</v>
      </c>
      <c r="G27" s="37">
        <f t="shared" si="0"/>
        <v>0</v>
      </c>
    </row>
    <row r="28" spans="1:9" x14ac:dyDescent="0.25">
      <c r="B28" s="34" t="s">
        <v>177</v>
      </c>
      <c r="C28" s="36">
        <v>15</v>
      </c>
      <c r="D28" s="36">
        <v>1</v>
      </c>
      <c r="E28" s="36"/>
      <c r="F28" s="37">
        <f>((E28/D28)*0.15)*100</f>
        <v>0</v>
      </c>
      <c r="G28" s="37">
        <f t="shared" si="0"/>
        <v>0</v>
      </c>
    </row>
    <row r="29" spans="1:9" x14ac:dyDescent="0.25">
      <c r="B29" s="38" t="s">
        <v>178</v>
      </c>
      <c r="C29" s="36">
        <v>25</v>
      </c>
      <c r="D29" s="36">
        <v>40</v>
      </c>
      <c r="E29" s="36"/>
      <c r="F29" s="37">
        <f>((E29/D29)*0.25)*100</f>
        <v>0</v>
      </c>
      <c r="G29" s="37">
        <f t="shared" si="0"/>
        <v>0</v>
      </c>
    </row>
    <row r="30" spans="1:9" x14ac:dyDescent="0.25">
      <c r="B30" s="38" t="s">
        <v>179</v>
      </c>
      <c r="C30" s="36">
        <v>5</v>
      </c>
      <c r="D30" s="36">
        <v>39</v>
      </c>
      <c r="E30" s="36"/>
      <c r="F30" s="37">
        <f>((E30/D30)*0.05)*100</f>
        <v>0</v>
      </c>
      <c r="G30" s="37">
        <f t="shared" si="0"/>
        <v>0</v>
      </c>
    </row>
    <row r="31" spans="1:9" ht="30" x14ac:dyDescent="0.25">
      <c r="B31" s="38" t="s">
        <v>180</v>
      </c>
      <c r="C31" s="36">
        <v>2.5</v>
      </c>
      <c r="D31" s="36">
        <v>39</v>
      </c>
      <c r="E31" s="36"/>
      <c r="F31" s="37">
        <f>((E31/D31)*0.025)*100</f>
        <v>0</v>
      </c>
      <c r="G31" s="37">
        <f t="shared" si="0"/>
        <v>0</v>
      </c>
    </row>
    <row r="32" spans="1:9" ht="30" x14ac:dyDescent="0.25">
      <c r="B32" s="38" t="s">
        <v>181</v>
      </c>
      <c r="C32" s="36">
        <v>2.5</v>
      </c>
      <c r="D32" s="36">
        <v>39</v>
      </c>
      <c r="E32" s="36"/>
      <c r="F32" s="37">
        <f>((E32/D32)*0.025)*100</f>
        <v>0</v>
      </c>
      <c r="G32" s="37">
        <f t="shared" si="0"/>
        <v>0</v>
      </c>
    </row>
    <row r="33" spans="1:7" ht="45" x14ac:dyDescent="0.25">
      <c r="B33" s="39" t="s">
        <v>182</v>
      </c>
      <c r="C33" s="36">
        <v>5</v>
      </c>
      <c r="D33" s="36">
        <v>39</v>
      </c>
      <c r="E33" s="36"/>
      <c r="F33" s="37">
        <f>((E33/D33)*0.05)*100</f>
        <v>0</v>
      </c>
      <c r="G33" s="37">
        <f t="shared" si="0"/>
        <v>0</v>
      </c>
    </row>
    <row r="34" spans="1:7" ht="30" x14ac:dyDescent="0.25">
      <c r="B34" s="39" t="s">
        <v>183</v>
      </c>
      <c r="C34" s="36">
        <v>5</v>
      </c>
      <c r="D34" s="36">
        <v>39</v>
      </c>
      <c r="E34" s="36"/>
      <c r="F34" s="37">
        <f>((E34/D34)*0.1)*100</f>
        <v>0</v>
      </c>
      <c r="G34" s="37">
        <f t="shared" si="0"/>
        <v>0</v>
      </c>
    </row>
    <row r="35" spans="1:7" ht="30" x14ac:dyDescent="0.25">
      <c r="B35" s="39" t="s">
        <v>184</v>
      </c>
      <c r="C35" s="36">
        <v>5</v>
      </c>
      <c r="D35" s="36">
        <v>39</v>
      </c>
      <c r="E35" s="36"/>
      <c r="F35" s="37">
        <f>((E35/D35)*0.05)*100</f>
        <v>0</v>
      </c>
      <c r="G35" s="37">
        <f t="shared" si="0"/>
        <v>0</v>
      </c>
    </row>
    <row r="36" spans="1:7" ht="60" x14ac:dyDescent="0.25">
      <c r="B36" s="39" t="s">
        <v>185</v>
      </c>
      <c r="C36" s="36">
        <v>10</v>
      </c>
      <c r="D36" s="36">
        <v>39</v>
      </c>
      <c r="E36" s="36"/>
      <c r="F36" s="37">
        <f>((E36/D36)*0.1)*100</f>
        <v>0</v>
      </c>
      <c r="G36" s="37">
        <f t="shared" si="0"/>
        <v>0</v>
      </c>
    </row>
    <row r="37" spans="1:7" ht="45" x14ac:dyDescent="0.25">
      <c r="B37" s="39" t="s">
        <v>186</v>
      </c>
      <c r="C37" s="36">
        <v>5</v>
      </c>
      <c r="D37" s="36">
        <v>39</v>
      </c>
      <c r="E37" s="36"/>
      <c r="F37" s="37">
        <f>((E37/D37)*0.1)*100</f>
        <v>0</v>
      </c>
      <c r="G37" s="37">
        <f t="shared" si="0"/>
        <v>0</v>
      </c>
    </row>
    <row r="38" spans="1:7" ht="15.75" x14ac:dyDescent="0.25">
      <c r="B38" s="40" t="s">
        <v>187</v>
      </c>
      <c r="C38" s="41">
        <f>SUM(C26:C37)</f>
        <v>100</v>
      </c>
      <c r="D38" s="40"/>
      <c r="E38" s="40"/>
      <c r="F38" s="41">
        <f>SUM(F26:F37)</f>
        <v>0</v>
      </c>
      <c r="G38" s="41">
        <f>SUM(G26:G37)</f>
        <v>0</v>
      </c>
    </row>
    <row r="39" spans="1:7" x14ac:dyDescent="0.25">
      <c r="B39" s="191" t="s">
        <v>188</v>
      </c>
      <c r="C39" s="191"/>
      <c r="D39" s="191"/>
      <c r="E39" s="191"/>
      <c r="F39" s="191"/>
      <c r="G39" s="191"/>
    </row>
    <row r="40" spans="1:7" x14ac:dyDescent="0.25">
      <c r="B40" s="192" t="s">
        <v>189</v>
      </c>
      <c r="C40" s="192"/>
      <c r="D40" s="192"/>
      <c r="E40" s="192" t="s">
        <v>190</v>
      </c>
      <c r="F40" s="192"/>
      <c r="G40" s="192"/>
    </row>
    <row r="41" spans="1:7" x14ac:dyDescent="0.25">
      <c r="B41" s="188" t="s">
        <v>191</v>
      </c>
      <c r="C41" s="188"/>
      <c r="D41" s="188"/>
      <c r="E41" s="188" t="s">
        <v>192</v>
      </c>
      <c r="F41" s="188"/>
      <c r="G41" s="188"/>
    </row>
    <row r="42" spans="1:7" x14ac:dyDescent="0.25">
      <c r="B42" s="188" t="s">
        <v>193</v>
      </c>
      <c r="C42" s="188"/>
      <c r="D42" s="188"/>
      <c r="E42" s="188" t="s">
        <v>194</v>
      </c>
      <c r="F42" s="188"/>
      <c r="G42" s="188"/>
    </row>
    <row r="43" spans="1:7" x14ac:dyDescent="0.25">
      <c r="B43" s="189" t="s">
        <v>195</v>
      </c>
      <c r="C43" s="189"/>
      <c r="D43" s="189"/>
      <c r="E43" s="189" t="s">
        <v>196</v>
      </c>
      <c r="F43" s="189"/>
      <c r="G43" s="189"/>
    </row>
    <row r="45" spans="1:7" ht="15.75" thickBot="1" x14ac:dyDescent="0.3"/>
    <row r="46" spans="1:7" ht="17.25" thickTop="1" thickBot="1" x14ac:dyDescent="0.3">
      <c r="A46" s="42" t="s">
        <v>197</v>
      </c>
      <c r="B46" s="42" t="s">
        <v>169</v>
      </c>
      <c r="C46" s="43" t="s">
        <v>198</v>
      </c>
      <c r="D46" s="43" t="s">
        <v>199</v>
      </c>
      <c r="E46" s="43" t="s">
        <v>200</v>
      </c>
    </row>
    <row r="47" spans="1:7" ht="31.5" thickTop="1" thickBot="1" x14ac:dyDescent="0.3">
      <c r="A47" s="44">
        <v>1</v>
      </c>
      <c r="B47" s="45" t="s">
        <v>201</v>
      </c>
      <c r="C47" s="46">
        <v>0</v>
      </c>
      <c r="D47" s="47">
        <v>0.1</v>
      </c>
      <c r="E47" s="46">
        <v>0.1</v>
      </c>
    </row>
    <row r="48" spans="1:7" ht="31.5" thickTop="1" thickBot="1" x14ac:dyDescent="0.3">
      <c r="A48" s="44">
        <v>2</v>
      </c>
      <c r="B48" s="45" t="s">
        <v>202</v>
      </c>
      <c r="C48" s="46" t="s">
        <v>203</v>
      </c>
      <c r="D48" s="47" t="s">
        <v>204</v>
      </c>
      <c r="E48" s="46">
        <v>0.3</v>
      </c>
    </row>
    <row r="49" spans="1:5" ht="61.5" thickTop="1" thickBot="1" x14ac:dyDescent="0.3">
      <c r="A49" s="44">
        <v>3</v>
      </c>
      <c r="B49" s="45" t="s">
        <v>205</v>
      </c>
      <c r="C49" s="46" t="s">
        <v>206</v>
      </c>
      <c r="D49" s="47" t="s">
        <v>207</v>
      </c>
      <c r="E49" s="46">
        <v>0.45</v>
      </c>
    </row>
    <row r="50" spans="1:5" ht="76.5" thickTop="1" thickBot="1" x14ac:dyDescent="0.3">
      <c r="A50" s="44">
        <v>4</v>
      </c>
      <c r="B50" s="45" t="s">
        <v>208</v>
      </c>
      <c r="C50" s="46" t="s">
        <v>209</v>
      </c>
      <c r="D50" s="47" t="s">
        <v>210</v>
      </c>
      <c r="E50" s="46">
        <v>0.7</v>
      </c>
    </row>
    <row r="51" spans="1:5" ht="76.5" thickTop="1" thickBot="1" x14ac:dyDescent="0.3">
      <c r="A51" s="44">
        <v>5</v>
      </c>
      <c r="B51" s="45" t="s">
        <v>211</v>
      </c>
      <c r="C51" s="46" t="s">
        <v>212</v>
      </c>
      <c r="D51" s="47" t="s">
        <v>213</v>
      </c>
      <c r="E51" s="46">
        <v>0.75</v>
      </c>
    </row>
    <row r="52" spans="1:5" ht="76.5" thickTop="1" thickBot="1" x14ac:dyDescent="0.3">
      <c r="A52" s="44">
        <v>6</v>
      </c>
      <c r="B52" s="45" t="s">
        <v>214</v>
      </c>
      <c r="C52" s="46" t="s">
        <v>215</v>
      </c>
      <c r="D52" s="47" t="s">
        <v>216</v>
      </c>
      <c r="E52" s="46">
        <v>0.8</v>
      </c>
    </row>
    <row r="53" spans="1:5" ht="121.5" thickTop="1" thickBot="1" x14ac:dyDescent="0.3">
      <c r="A53" s="44">
        <v>7</v>
      </c>
      <c r="B53" s="45" t="s">
        <v>217</v>
      </c>
      <c r="C53" s="46" t="s">
        <v>218</v>
      </c>
      <c r="D53" s="47" t="s">
        <v>219</v>
      </c>
      <c r="E53" s="46">
        <v>0.85</v>
      </c>
    </row>
    <row r="54" spans="1:5" ht="211.5" thickTop="1" thickBot="1" x14ac:dyDescent="0.3">
      <c r="A54" s="44">
        <v>8</v>
      </c>
      <c r="B54" s="45" t="s">
        <v>220</v>
      </c>
      <c r="C54" s="46" t="s">
        <v>221</v>
      </c>
      <c r="D54" s="47" t="s">
        <v>222</v>
      </c>
      <c r="E54" s="46">
        <v>0.95</v>
      </c>
    </row>
    <row r="55" spans="1:5" ht="91.5" thickTop="1" thickBot="1" x14ac:dyDescent="0.3">
      <c r="A55" s="44">
        <v>9</v>
      </c>
      <c r="B55" s="45" t="s">
        <v>223</v>
      </c>
      <c r="C55" s="46" t="s">
        <v>224</v>
      </c>
      <c r="D55" s="47" t="s">
        <v>225</v>
      </c>
      <c r="E55" s="46">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6">
        <v>1</v>
      </c>
      <c r="C2" s="54" t="s">
        <v>239</v>
      </c>
    </row>
    <row r="3" spans="2:3" x14ac:dyDescent="0.25">
      <c r="B3" s="36">
        <v>2</v>
      </c>
      <c r="C3" s="55" t="s">
        <v>240</v>
      </c>
    </row>
    <row r="4" spans="2:3" x14ac:dyDescent="0.25">
      <c r="B4" s="36">
        <v>3</v>
      </c>
      <c r="C4" s="36" t="s">
        <v>241</v>
      </c>
    </row>
    <row r="5" spans="2:3" x14ac:dyDescent="0.25">
      <c r="B5" s="36">
        <v>4</v>
      </c>
      <c r="C5" s="55" t="s">
        <v>242</v>
      </c>
    </row>
    <row r="6" spans="2:3" x14ac:dyDescent="0.25">
      <c r="B6" s="36">
        <v>5</v>
      </c>
      <c r="C6" s="36" t="s">
        <v>243</v>
      </c>
    </row>
    <row r="7" spans="2:3" ht="30" x14ac:dyDescent="0.25">
      <c r="B7" s="36">
        <v>6</v>
      </c>
      <c r="C7" s="55" t="s">
        <v>244</v>
      </c>
    </row>
    <row r="8" spans="2:3" ht="75" x14ac:dyDescent="0.25">
      <c r="B8" s="36">
        <v>7</v>
      </c>
      <c r="C8" s="55" t="s">
        <v>245</v>
      </c>
    </row>
    <row r="9" spans="2:3" x14ac:dyDescent="0.25">
      <c r="B9" s="36">
        <v>8</v>
      </c>
      <c r="C9" s="36" t="s">
        <v>246</v>
      </c>
    </row>
    <row r="10" spans="2:3" x14ac:dyDescent="0.25">
      <c r="B10" s="36">
        <v>9</v>
      </c>
      <c r="C10" s="36" t="s">
        <v>247</v>
      </c>
    </row>
    <row r="11" spans="2:3" x14ac:dyDescent="0.25">
      <c r="B11" s="36">
        <v>10</v>
      </c>
      <c r="C11" s="36" t="s">
        <v>248</v>
      </c>
    </row>
    <row r="12" spans="2:3" x14ac:dyDescent="0.25">
      <c r="B12" s="36">
        <v>11</v>
      </c>
      <c r="C12" s="36" t="s">
        <v>249</v>
      </c>
    </row>
    <row r="13" spans="2:3" x14ac:dyDescent="0.25">
      <c r="B13" s="36">
        <v>12</v>
      </c>
      <c r="C13" s="36" t="s">
        <v>250</v>
      </c>
    </row>
    <row r="14" spans="2:3" x14ac:dyDescent="0.25">
      <c r="B14" s="36">
        <v>13</v>
      </c>
      <c r="C14" s="36" t="s">
        <v>251</v>
      </c>
    </row>
    <row r="15" spans="2:3" x14ac:dyDescent="0.25">
      <c r="B15" s="36">
        <v>14</v>
      </c>
      <c r="C15" s="36" t="s">
        <v>241</v>
      </c>
    </row>
    <row r="16" spans="2:3" x14ac:dyDescent="0.25">
      <c r="B16" s="36">
        <v>15</v>
      </c>
      <c r="C16" s="36" t="s">
        <v>237</v>
      </c>
    </row>
    <row r="17" spans="2:3" x14ac:dyDescent="0.25">
      <c r="B17" s="56">
        <v>16</v>
      </c>
      <c r="C17" s="57" t="s">
        <v>252</v>
      </c>
    </row>
    <row r="18" spans="2:3" x14ac:dyDescent="0.25">
      <c r="B18" s="58">
        <v>17</v>
      </c>
      <c r="C18" s="57" t="s">
        <v>253</v>
      </c>
    </row>
    <row r="19" spans="2:3" x14ac:dyDescent="0.25">
      <c r="B19" s="59">
        <v>18</v>
      </c>
      <c r="C19" s="36" t="s">
        <v>254</v>
      </c>
    </row>
    <row r="20" spans="2:3" x14ac:dyDescent="0.25">
      <c r="B20" s="58">
        <v>19</v>
      </c>
      <c r="C20" s="36" t="s">
        <v>255</v>
      </c>
    </row>
    <row r="21" spans="2:3" x14ac:dyDescent="0.25">
      <c r="B21" s="36">
        <v>20</v>
      </c>
      <c r="C21" s="36" t="s">
        <v>256</v>
      </c>
    </row>
    <row r="22" spans="2:3" x14ac:dyDescent="0.25">
      <c r="B22" s="58">
        <v>21</v>
      </c>
      <c r="C22" s="36" t="s">
        <v>254</v>
      </c>
    </row>
    <row r="23" spans="2:3" s="61" customFormat="1" ht="30" x14ac:dyDescent="0.25">
      <c r="B23" s="60">
        <v>22</v>
      </c>
      <c r="C23" s="54" t="s">
        <v>257</v>
      </c>
    </row>
    <row r="24" spans="2:3" s="61" customFormat="1" ht="30" x14ac:dyDescent="0.25">
      <c r="B24" s="62">
        <v>23</v>
      </c>
      <c r="C24" s="54" t="s">
        <v>258</v>
      </c>
    </row>
    <row r="25" spans="2:3" x14ac:dyDescent="0.25">
      <c r="B25" s="36">
        <v>24</v>
      </c>
      <c r="C25" s="36" t="s">
        <v>259</v>
      </c>
    </row>
    <row r="26" spans="2:3" x14ac:dyDescent="0.25">
      <c r="B26" s="58">
        <v>25</v>
      </c>
      <c r="C26" s="36" t="s">
        <v>260</v>
      </c>
    </row>
    <row r="27" spans="2:3" x14ac:dyDescent="0.25">
      <c r="B27" s="62">
        <v>26</v>
      </c>
      <c r="C27" s="36" t="s">
        <v>261</v>
      </c>
    </row>
    <row r="28" spans="2:3" x14ac:dyDescent="0.25">
      <c r="B28" s="58">
        <v>27</v>
      </c>
      <c r="C28" s="36" t="s">
        <v>262</v>
      </c>
    </row>
    <row r="29" spans="2:3" ht="60" x14ac:dyDescent="0.25">
      <c r="B29" s="63">
        <v>28</v>
      </c>
      <c r="C29" s="55" t="s">
        <v>263</v>
      </c>
    </row>
    <row r="30" spans="2:3" x14ac:dyDescent="0.25">
      <c r="B30" s="62">
        <v>29</v>
      </c>
      <c r="C30" s="36" t="s">
        <v>264</v>
      </c>
    </row>
    <row r="31" spans="2:3" ht="30" x14ac:dyDescent="0.25">
      <c r="B31" s="62">
        <v>30</v>
      </c>
      <c r="C31" s="55" t="s">
        <v>292</v>
      </c>
    </row>
    <row r="32" spans="2:3" x14ac:dyDescent="0.25">
      <c r="B32" s="62">
        <v>31</v>
      </c>
      <c r="C32" s="36" t="s">
        <v>293</v>
      </c>
    </row>
    <row r="33" spans="2:3" x14ac:dyDescent="0.25">
      <c r="B33" s="62">
        <v>32</v>
      </c>
      <c r="C33" s="36" t="s">
        <v>294</v>
      </c>
    </row>
    <row r="34" spans="2:3" ht="30" x14ac:dyDescent="0.25">
      <c r="B34" s="62">
        <v>33</v>
      </c>
      <c r="C34" s="57" t="s">
        <v>295</v>
      </c>
    </row>
    <row r="35" spans="2:3" x14ac:dyDescent="0.25">
      <c r="B35" s="62">
        <v>34</v>
      </c>
      <c r="C35" s="36"/>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4"/>
    <col min="2" max="2" width="12.28515625" style="64" customWidth="1"/>
    <col min="3" max="16384" width="9.140625" style="64"/>
  </cols>
  <sheetData>
    <row r="2" spans="1:12" x14ac:dyDescent="0.25">
      <c r="B2" s="65" t="s">
        <v>265</v>
      </c>
      <c r="C2" s="199"/>
      <c r="D2" s="199"/>
    </row>
    <row r="3" spans="1:12" x14ac:dyDescent="0.25">
      <c r="D3" s="66"/>
      <c r="E3" s="66"/>
      <c r="F3" s="66"/>
      <c r="G3" s="66"/>
      <c r="H3" s="66"/>
      <c r="I3" s="66"/>
    </row>
    <row r="4" spans="1:12" x14ac:dyDescent="0.25">
      <c r="A4" s="65" t="s">
        <v>266</v>
      </c>
      <c r="B4" s="53" t="s">
        <v>267</v>
      </c>
      <c r="C4" s="200" t="s">
        <v>268</v>
      </c>
      <c r="D4" s="200"/>
      <c r="E4" s="200"/>
      <c r="F4" s="53"/>
      <c r="G4" s="201" t="s">
        <v>269</v>
      </c>
      <c r="H4" s="201"/>
      <c r="I4" s="201"/>
      <c r="J4" s="202" t="s">
        <v>270</v>
      </c>
      <c r="K4" s="202"/>
      <c r="L4" s="202"/>
    </row>
    <row r="5" spans="1:12" x14ac:dyDescent="0.25">
      <c r="A5" s="65"/>
      <c r="B5" s="53"/>
      <c r="C5" s="53" t="s">
        <v>271</v>
      </c>
      <c r="D5" s="53" t="s">
        <v>272</v>
      </c>
      <c r="E5" s="53" t="s">
        <v>273</v>
      </c>
      <c r="F5" s="53"/>
      <c r="G5" s="53" t="s">
        <v>271</v>
      </c>
      <c r="H5" s="53" t="s">
        <v>272</v>
      </c>
      <c r="I5" s="53" t="s">
        <v>273</v>
      </c>
      <c r="J5" s="53" t="s">
        <v>271</v>
      </c>
      <c r="K5" s="53" t="s">
        <v>272</v>
      </c>
      <c r="L5" s="53" t="s">
        <v>273</v>
      </c>
    </row>
    <row r="6" spans="1:12" x14ac:dyDescent="0.25">
      <c r="B6" s="52" t="s">
        <v>274</v>
      </c>
      <c r="C6" s="52"/>
      <c r="D6" s="52"/>
      <c r="E6" s="52">
        <f>C6*D6</f>
        <v>0</v>
      </c>
      <c r="F6" s="52" t="s">
        <v>275</v>
      </c>
      <c r="G6" s="52"/>
      <c r="H6" s="52"/>
      <c r="I6" s="52">
        <f>G6*H6</f>
        <v>0</v>
      </c>
      <c r="J6" s="52"/>
      <c r="K6" s="52"/>
      <c r="L6" s="52">
        <f>J6*K6</f>
        <v>0</v>
      </c>
    </row>
    <row r="7" spans="1:12" x14ac:dyDescent="0.25">
      <c r="B7" s="52"/>
      <c r="C7" s="52"/>
      <c r="D7" s="52"/>
      <c r="E7" s="52">
        <f t="shared" ref="E7:E41" si="0">C7*D7</f>
        <v>0</v>
      </c>
      <c r="F7" s="52" t="s">
        <v>275</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276</v>
      </c>
      <c r="G9" s="52"/>
      <c r="H9" s="52"/>
      <c r="I9" s="52">
        <f t="shared" si="1"/>
        <v>0</v>
      </c>
      <c r="J9" s="52"/>
      <c r="K9" s="52"/>
      <c r="L9" s="52">
        <f t="shared" si="2"/>
        <v>0</v>
      </c>
    </row>
    <row r="10" spans="1:12" x14ac:dyDescent="0.25">
      <c r="B10" s="52" t="s">
        <v>277</v>
      </c>
      <c r="C10" s="52"/>
      <c r="D10" s="52"/>
      <c r="E10" s="52">
        <f t="shared" si="0"/>
        <v>0</v>
      </c>
      <c r="F10" s="52" t="s">
        <v>276</v>
      </c>
      <c r="G10" s="52"/>
      <c r="H10" s="52"/>
      <c r="I10" s="52">
        <f t="shared" si="1"/>
        <v>0</v>
      </c>
      <c r="J10" s="52"/>
      <c r="K10" s="52"/>
      <c r="L10" s="52">
        <f t="shared" si="2"/>
        <v>0</v>
      </c>
    </row>
    <row r="11" spans="1:12" x14ac:dyDescent="0.25">
      <c r="B11" s="52"/>
      <c r="C11" s="52"/>
      <c r="D11" s="52"/>
      <c r="E11" s="52">
        <f t="shared" si="0"/>
        <v>0</v>
      </c>
      <c r="F11" s="52" t="s">
        <v>278</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279</v>
      </c>
      <c r="C14" s="52"/>
      <c r="D14" s="52"/>
      <c r="E14" s="52">
        <f t="shared" si="0"/>
        <v>0</v>
      </c>
      <c r="F14" s="52" t="s">
        <v>276</v>
      </c>
      <c r="G14" s="52"/>
      <c r="H14" s="52"/>
      <c r="I14" s="52">
        <f t="shared" si="1"/>
        <v>0</v>
      </c>
      <c r="J14" s="52"/>
      <c r="K14" s="52"/>
      <c r="L14" s="52">
        <f t="shared" si="2"/>
        <v>0</v>
      </c>
    </row>
    <row r="15" spans="1:12" x14ac:dyDescent="0.25">
      <c r="B15" s="52"/>
      <c r="C15" s="52"/>
      <c r="D15" s="52"/>
      <c r="E15" s="52">
        <f t="shared" si="0"/>
        <v>0</v>
      </c>
      <c r="F15" s="52" t="s">
        <v>278</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280</v>
      </c>
      <c r="C18" s="52"/>
      <c r="D18" s="52"/>
      <c r="E18" s="52">
        <f t="shared" si="0"/>
        <v>0</v>
      </c>
      <c r="F18" s="52" t="s">
        <v>276</v>
      </c>
      <c r="G18" s="52"/>
      <c r="H18" s="52"/>
      <c r="I18" s="52">
        <f t="shared" si="1"/>
        <v>0</v>
      </c>
      <c r="J18" s="52"/>
      <c r="K18" s="52"/>
      <c r="L18" s="52">
        <f t="shared" si="2"/>
        <v>0</v>
      </c>
    </row>
    <row r="19" spans="2:12" x14ac:dyDescent="0.25">
      <c r="B19" s="52"/>
      <c r="C19" s="52"/>
      <c r="D19" s="52"/>
      <c r="E19" s="52">
        <f t="shared" si="0"/>
        <v>0</v>
      </c>
      <c r="F19" s="52" t="s">
        <v>278</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281</v>
      </c>
      <c r="C21" s="52"/>
      <c r="D21" s="52"/>
      <c r="E21" s="52">
        <f t="shared" si="0"/>
        <v>0</v>
      </c>
      <c r="F21" s="52" t="s">
        <v>276</v>
      </c>
      <c r="G21" s="52"/>
      <c r="H21" s="52"/>
      <c r="I21" s="52">
        <f t="shared" si="1"/>
        <v>0</v>
      </c>
      <c r="J21" s="52"/>
      <c r="K21" s="52"/>
      <c r="L21" s="52">
        <f t="shared" si="2"/>
        <v>0</v>
      </c>
    </row>
    <row r="22" spans="2:12" x14ac:dyDescent="0.25">
      <c r="B22" s="52"/>
      <c r="C22" s="52"/>
      <c r="D22" s="52"/>
      <c r="E22" s="52">
        <f t="shared" si="0"/>
        <v>0</v>
      </c>
      <c r="F22" s="52" t="s">
        <v>278</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282</v>
      </c>
      <c r="C24" s="52"/>
      <c r="D24" s="52"/>
      <c r="E24" s="52">
        <f t="shared" si="0"/>
        <v>0</v>
      </c>
      <c r="F24" s="52" t="s">
        <v>283</v>
      </c>
      <c r="G24" s="52"/>
      <c r="H24" s="52"/>
      <c r="I24" s="52">
        <f t="shared" si="1"/>
        <v>0</v>
      </c>
      <c r="J24" s="52"/>
      <c r="K24" s="52"/>
      <c r="L24" s="52">
        <f t="shared" si="2"/>
        <v>0</v>
      </c>
    </row>
    <row r="25" spans="2:12" x14ac:dyDescent="0.25">
      <c r="B25" s="52"/>
      <c r="C25" s="52"/>
      <c r="D25" s="52"/>
      <c r="E25" s="52">
        <f t="shared" si="0"/>
        <v>0</v>
      </c>
      <c r="F25" s="52" t="s">
        <v>283</v>
      </c>
      <c r="G25" s="52"/>
      <c r="H25" s="52"/>
      <c r="I25" s="52">
        <f t="shared" si="1"/>
        <v>0</v>
      </c>
      <c r="J25" s="52"/>
      <c r="K25" s="52"/>
      <c r="L25" s="52">
        <f t="shared" si="2"/>
        <v>0</v>
      </c>
    </row>
    <row r="26" spans="2:12" x14ac:dyDescent="0.25">
      <c r="B26" s="52"/>
      <c r="C26" s="52"/>
      <c r="D26" s="52"/>
      <c r="E26" s="52">
        <f t="shared" si="0"/>
        <v>0</v>
      </c>
      <c r="F26" s="52" t="s">
        <v>283</v>
      </c>
      <c r="G26" s="52"/>
      <c r="H26" s="52"/>
      <c r="I26" s="52">
        <f t="shared" si="1"/>
        <v>0</v>
      </c>
      <c r="J26" s="52"/>
      <c r="K26" s="52"/>
      <c r="L26" s="52">
        <f t="shared" si="2"/>
        <v>0</v>
      </c>
    </row>
    <row r="27" spans="2:12" x14ac:dyDescent="0.25">
      <c r="B27" s="52"/>
      <c r="C27" s="52"/>
      <c r="D27" s="52"/>
      <c r="E27" s="52">
        <f t="shared" si="0"/>
        <v>0</v>
      </c>
      <c r="F27" s="52" t="s">
        <v>283</v>
      </c>
      <c r="G27" s="52"/>
      <c r="H27" s="52"/>
      <c r="I27" s="52">
        <f t="shared" si="1"/>
        <v>0</v>
      </c>
      <c r="J27" s="52"/>
      <c r="K27" s="52"/>
      <c r="L27" s="52">
        <f t="shared" si="2"/>
        <v>0</v>
      </c>
    </row>
    <row r="28" spans="2:12" x14ac:dyDescent="0.25">
      <c r="B28" s="52" t="s">
        <v>284</v>
      </c>
      <c r="C28" s="52"/>
      <c r="D28" s="52"/>
      <c r="E28" s="52">
        <f t="shared" si="0"/>
        <v>0</v>
      </c>
      <c r="F28" s="52" t="s">
        <v>283</v>
      </c>
      <c r="G28" s="52"/>
      <c r="H28" s="52"/>
      <c r="I28" s="52">
        <f t="shared" si="1"/>
        <v>0</v>
      </c>
      <c r="J28" s="52"/>
      <c r="K28" s="52"/>
      <c r="L28" s="52">
        <f t="shared" si="2"/>
        <v>0</v>
      </c>
    </row>
    <row r="29" spans="2:12" x14ac:dyDescent="0.25">
      <c r="B29" s="52" t="s">
        <v>285</v>
      </c>
      <c r="C29" s="52"/>
      <c r="D29" s="52"/>
      <c r="E29" s="52">
        <f t="shared" si="0"/>
        <v>0</v>
      </c>
      <c r="F29" s="52" t="s">
        <v>283</v>
      </c>
      <c r="G29" s="52"/>
      <c r="H29" s="52"/>
      <c r="I29" s="52">
        <f t="shared" si="1"/>
        <v>0</v>
      </c>
      <c r="J29" s="52"/>
      <c r="K29" s="52"/>
      <c r="L29" s="52">
        <f t="shared" si="2"/>
        <v>0</v>
      </c>
    </row>
    <row r="30" spans="2:12" x14ac:dyDescent="0.25">
      <c r="B30" s="52" t="s">
        <v>286</v>
      </c>
      <c r="C30" s="52"/>
      <c r="D30" s="52"/>
      <c r="E30" s="52">
        <f t="shared" si="0"/>
        <v>0</v>
      </c>
      <c r="F30" s="52"/>
      <c r="G30" s="52"/>
      <c r="H30" s="52"/>
      <c r="I30" s="52">
        <f t="shared" si="1"/>
        <v>0</v>
      </c>
      <c r="J30" s="52"/>
      <c r="K30" s="52"/>
      <c r="L30" s="52">
        <f t="shared" si="2"/>
        <v>0</v>
      </c>
    </row>
    <row r="31" spans="2:12" x14ac:dyDescent="0.25">
      <c r="B31" s="52"/>
      <c r="C31" s="52"/>
      <c r="D31" s="52"/>
      <c r="E31" s="52">
        <f t="shared" si="0"/>
        <v>0</v>
      </c>
      <c r="F31" s="52"/>
      <c r="G31" s="52"/>
      <c r="H31" s="52"/>
      <c r="I31" s="52">
        <f t="shared" si="1"/>
        <v>0</v>
      </c>
      <c r="J31" s="52"/>
      <c r="K31" s="52"/>
      <c r="L31" s="52">
        <f t="shared" si="2"/>
        <v>0</v>
      </c>
    </row>
    <row r="32" spans="2:12" x14ac:dyDescent="0.25">
      <c r="B32" s="52"/>
      <c r="C32" s="52"/>
      <c r="D32" s="52"/>
      <c r="E32" s="52">
        <f t="shared" si="0"/>
        <v>0</v>
      </c>
      <c r="F32" s="52"/>
      <c r="G32" s="52"/>
      <c r="H32" s="52"/>
      <c r="I32" s="52">
        <f t="shared" si="1"/>
        <v>0</v>
      </c>
      <c r="J32" s="52"/>
      <c r="K32" s="52"/>
      <c r="L32" s="52">
        <f t="shared" si="2"/>
        <v>0</v>
      </c>
    </row>
    <row r="33" spans="2:12" x14ac:dyDescent="0.25">
      <c r="B33" s="52" t="s">
        <v>287</v>
      </c>
      <c r="C33" s="52"/>
      <c r="D33" s="52"/>
      <c r="E33" s="52">
        <f t="shared" si="0"/>
        <v>0</v>
      </c>
      <c r="F33" s="52"/>
      <c r="G33" s="52"/>
      <c r="H33" s="52"/>
      <c r="I33" s="52">
        <f t="shared" si="1"/>
        <v>0</v>
      </c>
      <c r="J33" s="52"/>
      <c r="K33" s="52"/>
      <c r="L33" s="52">
        <f t="shared" si="2"/>
        <v>0</v>
      </c>
    </row>
    <row r="34" spans="2:12" x14ac:dyDescent="0.25">
      <c r="B34" s="52" t="s">
        <v>288</v>
      </c>
      <c r="C34" s="52"/>
      <c r="D34" s="52"/>
      <c r="E34" s="52">
        <f t="shared" si="0"/>
        <v>0</v>
      </c>
      <c r="F34" s="52"/>
      <c r="G34" s="52"/>
      <c r="H34" s="52"/>
      <c r="I34" s="52">
        <f t="shared" si="1"/>
        <v>0</v>
      </c>
      <c r="J34" s="52"/>
      <c r="K34" s="52"/>
      <c r="L34" s="52">
        <f t="shared" si="2"/>
        <v>0</v>
      </c>
    </row>
    <row r="35" spans="2:12" x14ac:dyDescent="0.25">
      <c r="B35" s="52" t="s">
        <v>289</v>
      </c>
      <c r="C35" s="52"/>
      <c r="D35" s="52"/>
      <c r="E35" s="52">
        <f t="shared" si="0"/>
        <v>0</v>
      </c>
      <c r="F35" s="52"/>
      <c r="G35" s="52"/>
      <c r="H35" s="52"/>
      <c r="I35" s="52">
        <f t="shared" si="1"/>
        <v>0</v>
      </c>
      <c r="J35" s="52"/>
      <c r="K35" s="52"/>
      <c r="L35" s="52">
        <f t="shared" si="2"/>
        <v>0</v>
      </c>
    </row>
    <row r="36" spans="2:12" x14ac:dyDescent="0.25">
      <c r="B36" s="52" t="s">
        <v>290</v>
      </c>
      <c r="C36" s="52"/>
      <c r="D36" s="52"/>
      <c r="E36" s="52">
        <f t="shared" si="0"/>
        <v>0</v>
      </c>
      <c r="F36" s="52"/>
      <c r="G36" s="52"/>
      <c r="H36" s="52"/>
      <c r="I36" s="52">
        <f>G36*H36</f>
        <v>0</v>
      </c>
      <c r="J36" s="52"/>
      <c r="K36" s="52"/>
      <c r="L36" s="52">
        <f>J36*K36</f>
        <v>0</v>
      </c>
    </row>
    <row r="37" spans="2:12" x14ac:dyDescent="0.25">
      <c r="B37" s="52"/>
      <c r="C37" s="52"/>
      <c r="D37" s="52"/>
      <c r="E37" s="52">
        <f t="shared" si="0"/>
        <v>0</v>
      </c>
      <c r="F37" s="52"/>
      <c r="G37" s="52"/>
      <c r="H37" s="52"/>
      <c r="I37" s="52">
        <f t="shared" ref="I37:I38" si="3">G37*H37</f>
        <v>0</v>
      </c>
      <c r="J37" s="52"/>
      <c r="K37" s="52"/>
      <c r="L37" s="52">
        <f t="shared" ref="L37:L38" si="4">J37*K37</f>
        <v>0</v>
      </c>
    </row>
    <row r="38" spans="2:12" x14ac:dyDescent="0.25">
      <c r="B38" s="52" t="s">
        <v>291</v>
      </c>
      <c r="C38" s="52"/>
      <c r="D38" s="52"/>
      <c r="E38" s="52">
        <f t="shared" si="0"/>
        <v>0</v>
      </c>
      <c r="F38" s="52"/>
      <c r="G38" s="52"/>
      <c r="H38" s="52"/>
      <c r="I38" s="52">
        <f t="shared" si="3"/>
        <v>0</v>
      </c>
      <c r="J38" s="52"/>
      <c r="K38" s="52"/>
      <c r="L38" s="52">
        <f t="shared" si="4"/>
        <v>0</v>
      </c>
    </row>
    <row r="39" spans="2:12" x14ac:dyDescent="0.25">
      <c r="B39" s="52"/>
      <c r="C39" s="52"/>
      <c r="D39" s="52"/>
      <c r="E39" s="52">
        <f t="shared" si="0"/>
        <v>0</v>
      </c>
      <c r="F39" s="52"/>
      <c r="G39" s="52"/>
      <c r="H39" s="52"/>
      <c r="I39" s="52">
        <f>G39*H39</f>
        <v>0</v>
      </c>
      <c r="J39" s="52"/>
      <c r="K39" s="52"/>
      <c r="L39" s="52">
        <f>J39*K39</f>
        <v>0</v>
      </c>
    </row>
    <row r="40" spans="2:12" x14ac:dyDescent="0.25">
      <c r="B40" s="52"/>
      <c r="C40" s="52"/>
      <c r="D40" s="52"/>
      <c r="E40" s="52">
        <f t="shared" si="0"/>
        <v>0</v>
      </c>
      <c r="F40" s="52"/>
      <c r="G40" s="52"/>
      <c r="H40" s="52"/>
      <c r="I40" s="52">
        <f>G40*H40</f>
        <v>0</v>
      </c>
      <c r="J40" s="52"/>
      <c r="K40" s="52"/>
      <c r="L40" s="52">
        <f>J40*K40</f>
        <v>0</v>
      </c>
    </row>
    <row r="41" spans="2:12" x14ac:dyDescent="0.25">
      <c r="B41" s="52"/>
      <c r="C41" s="52"/>
      <c r="D41" s="52"/>
      <c r="E41" s="52">
        <f t="shared" si="0"/>
        <v>0</v>
      </c>
      <c r="F41" s="52"/>
      <c r="G41" s="52"/>
      <c r="H41" s="52"/>
      <c r="I41" s="52">
        <f>G41*H41</f>
        <v>0</v>
      </c>
      <c r="J41" s="52"/>
      <c r="K41" s="52"/>
      <c r="L41" s="52">
        <f>J41*K41</f>
        <v>0</v>
      </c>
    </row>
    <row r="42" spans="2:12" x14ac:dyDescent="0.25">
      <c r="B42" s="52" t="s">
        <v>153</v>
      </c>
      <c r="C42" s="52"/>
      <c r="D42" s="52">
        <f>E42*10.764</f>
        <v>0</v>
      </c>
      <c r="E42" s="67">
        <f>SUM(E6:E41)</f>
        <v>0</v>
      </c>
      <c r="F42" s="52"/>
      <c r="G42" s="52"/>
      <c r="H42" s="52">
        <f>I42*10.764</f>
        <v>0</v>
      </c>
      <c r="I42" s="68">
        <f>SUM(I6:I41)</f>
        <v>0</v>
      </c>
      <c r="J42" s="52"/>
      <c r="K42" s="52">
        <f>L42*10.764</f>
        <v>0</v>
      </c>
      <c r="L42" s="69">
        <f>SUM(L6:L41)</f>
        <v>0</v>
      </c>
    </row>
    <row r="44" spans="2:12" x14ac:dyDescent="0.25">
      <c r="D44" s="64">
        <f>D42+H42</f>
        <v>0</v>
      </c>
      <c r="E44" s="6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2025-09-25T05:56:47Z</cp:lastPrinted>
  <dcterms:created xsi:type="dcterms:W3CDTF">2010-11-23T11:42:48Z</dcterms:created>
  <dcterms:modified xsi:type="dcterms:W3CDTF">2025-09-25T05:56:48Z</dcterms:modified>
</cp:coreProperties>
</file>