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20-09-2025\"/>
    </mc:Choice>
  </mc:AlternateContent>
  <bookViews>
    <workbookView xWindow="0" yWindow="0" windowWidth="19200" windowHeight="6640" tabRatio="771"/>
  </bookViews>
  <sheets>
    <sheet name="Report" sheetId="1" r:id="rId1"/>
    <sheet name="Note." sheetId="7" r:id="rId2"/>
    <sheet name="Valuation" sheetId="8" r:id="rId3"/>
    <sheet name="A" sheetId="4" r:id="rId4"/>
    <sheet name="B" sheetId="5" r:id="rId5"/>
    <sheet name="C" sheetId="9" r:id="rId6"/>
    <sheet name="D" sheetId="6" r:id="rId7"/>
    <sheet name=" E" sheetId="10" r:id="rId8"/>
  </sheets>
  <definedNames>
    <definedName name="_xlnm.Print_Area" localSheetId="0">Report!$A$1:$H$910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0" i="1" l="1"/>
  <c r="C90" i="1" l="1"/>
  <c r="C85" i="1"/>
  <c r="C600" i="1" l="1"/>
  <c r="E600" i="1" s="1"/>
  <c r="C599" i="1"/>
  <c r="E599" i="1" s="1"/>
  <c r="C598" i="1"/>
  <c r="E598" i="1" s="1"/>
  <c r="C597" i="1"/>
  <c r="E597" i="1" s="1"/>
  <c r="C596" i="1"/>
  <c r="E596" i="1" s="1"/>
  <c r="C595" i="1"/>
  <c r="E595" i="1" s="1"/>
  <c r="C594" i="1"/>
  <c r="E594" i="1" s="1"/>
  <c r="A594" i="1"/>
  <c r="A595" i="1" s="1"/>
  <c r="A596" i="1" s="1"/>
  <c r="A597" i="1" s="1"/>
  <c r="A598" i="1" s="1"/>
  <c r="A599" i="1" s="1"/>
  <c r="A600" i="1" s="1"/>
  <c r="F593" i="1"/>
  <c r="C593" i="1"/>
  <c r="E593" i="1" s="1"/>
  <c r="F50" i="1" l="1"/>
  <c r="D133" i="1" l="1"/>
  <c r="D132" i="1"/>
  <c r="K113" i="1"/>
  <c r="D131" i="1"/>
  <c r="D130" i="1"/>
  <c r="D129" i="1"/>
  <c r="D128" i="1"/>
  <c r="D127" i="1"/>
  <c r="K108" i="1"/>
  <c r="K109" i="1" s="1"/>
  <c r="D126" i="1"/>
  <c r="K107" i="1"/>
  <c r="C124" i="1" s="1"/>
  <c r="K106" i="1"/>
  <c r="K105" i="1"/>
  <c r="C591" i="1"/>
  <c r="E591" i="1" s="1"/>
  <c r="C590" i="1"/>
  <c r="E590" i="1" s="1"/>
  <c r="C589" i="1"/>
  <c r="E589" i="1" s="1"/>
  <c r="C586" i="1"/>
  <c r="E586" i="1" s="1"/>
  <c r="C585" i="1"/>
  <c r="E585" i="1" s="1"/>
  <c r="A585" i="1"/>
  <c r="A586" i="1" s="1"/>
  <c r="A587" i="1" s="1"/>
  <c r="A588" i="1" s="1"/>
  <c r="A589" i="1" s="1"/>
  <c r="A590" i="1" s="1"/>
  <c r="A591" i="1" s="1"/>
  <c r="F584" i="1"/>
  <c r="C584" i="1"/>
  <c r="E584" i="1" s="1"/>
  <c r="C582" i="1"/>
  <c r="E582" i="1" s="1"/>
  <c r="C581" i="1"/>
  <c r="E581" i="1" s="1"/>
  <c r="C580" i="1"/>
  <c r="E580" i="1" s="1"/>
  <c r="C577" i="1"/>
  <c r="E577" i="1" s="1"/>
  <c r="C576" i="1"/>
  <c r="E576" i="1" s="1"/>
  <c r="A576" i="1"/>
  <c r="A577" i="1" s="1"/>
  <c r="A578" i="1" s="1"/>
  <c r="A579" i="1" s="1"/>
  <c r="A580" i="1" s="1"/>
  <c r="A581" i="1" s="1"/>
  <c r="A582" i="1" s="1"/>
  <c r="F575" i="1"/>
  <c r="C575" i="1"/>
  <c r="E575" i="1" s="1"/>
  <c r="C573" i="1"/>
  <c r="E573" i="1" s="1"/>
  <c r="C572" i="1"/>
  <c r="E572" i="1" s="1"/>
  <c r="C571" i="1"/>
  <c r="C570" i="1"/>
  <c r="E570" i="1" s="1"/>
  <c r="C569" i="1"/>
  <c r="E569" i="1" s="1"/>
  <c r="C568" i="1"/>
  <c r="E568" i="1" s="1"/>
  <c r="C567" i="1"/>
  <c r="E567" i="1" s="1"/>
  <c r="C566" i="1"/>
  <c r="A567" i="1"/>
  <c r="A568" i="1" s="1"/>
  <c r="A569" i="1" s="1"/>
  <c r="A570" i="1" s="1"/>
  <c r="A571" i="1" s="1"/>
  <c r="A572" i="1" s="1"/>
  <c r="A573" i="1" s="1"/>
  <c r="F566" i="1"/>
  <c r="E571" i="1"/>
  <c r="B156" i="1" l="1"/>
  <c r="D156" i="1"/>
  <c r="E566" i="1"/>
  <c r="K110" i="1"/>
  <c r="K111" i="1" s="1"/>
  <c r="K112" i="1" s="1"/>
  <c r="D124" i="1"/>
  <c r="K114" i="1" l="1"/>
  <c r="K115" i="1" s="1"/>
  <c r="C125" i="1" s="1"/>
  <c r="D125" i="1" s="1"/>
  <c r="K72" i="1"/>
  <c r="K74" i="1" s="1"/>
  <c r="K71" i="1"/>
  <c r="I102" i="1" l="1"/>
  <c r="E124" i="1" s="1"/>
  <c r="G124" i="1"/>
  <c r="K75" i="1"/>
  <c r="K77" i="1" s="1"/>
  <c r="K79" i="1" s="1"/>
  <c r="C552" i="1"/>
  <c r="C531" i="1"/>
  <c r="C511" i="1"/>
  <c r="C509" i="1"/>
  <c r="C507" i="1"/>
  <c r="F46" i="1" l="1"/>
  <c r="B46" i="1"/>
  <c r="C557" i="1"/>
  <c r="E557" i="1" s="1"/>
  <c r="C560" i="1"/>
  <c r="E560" i="1" s="1"/>
  <c r="C559" i="1"/>
  <c r="E559" i="1" s="1"/>
  <c r="C558" i="1"/>
  <c r="E558" i="1" s="1"/>
  <c r="C556" i="1"/>
  <c r="E556" i="1" s="1"/>
  <c r="F555" i="1"/>
  <c r="C555" i="1"/>
  <c r="E555" i="1" s="1"/>
  <c r="C545" i="1"/>
  <c r="C544" i="1"/>
  <c r="C539" i="1"/>
  <c r="C537" i="1"/>
  <c r="C538" i="1"/>
  <c r="C524" i="1"/>
  <c r="C523" i="1"/>
  <c r="C517" i="1"/>
  <c r="C516" i="1"/>
  <c r="C512" i="1"/>
  <c r="C510" i="1"/>
  <c r="C508" i="1"/>
  <c r="D3" i="1" l="1"/>
  <c r="L84" i="1" l="1"/>
  <c r="D103" i="1" l="1"/>
  <c r="D102" i="1"/>
  <c r="K85" i="1"/>
  <c r="D101" i="1"/>
  <c r="D100" i="1"/>
  <c r="D99" i="1"/>
  <c r="D98" i="1"/>
  <c r="D97" i="1"/>
  <c r="D96" i="1"/>
  <c r="K84" i="1"/>
  <c r="C94" i="1" s="1"/>
  <c r="K83" i="1"/>
  <c r="K82" i="1"/>
  <c r="F347" i="1"/>
  <c r="D94" i="1" l="1"/>
  <c r="C467" i="1"/>
  <c r="E467" i="1" s="1"/>
  <c r="K86" i="1" l="1"/>
  <c r="K87" i="1" s="1"/>
  <c r="C95" i="1" s="1"/>
  <c r="C553" i="1"/>
  <c r="E553" i="1" s="1"/>
  <c r="C550" i="1"/>
  <c r="E550" i="1" s="1"/>
  <c r="C549" i="1"/>
  <c r="E552" i="1"/>
  <c r="F549" i="1"/>
  <c r="C542" i="1"/>
  <c r="E542" i="1" s="1"/>
  <c r="C547" i="1"/>
  <c r="E547" i="1" s="1"/>
  <c r="C546" i="1"/>
  <c r="E546" i="1" s="1"/>
  <c r="E545" i="1"/>
  <c r="E544" i="1"/>
  <c r="C543" i="1"/>
  <c r="E543" i="1" s="1"/>
  <c r="F542" i="1"/>
  <c r="C540" i="1"/>
  <c r="E540" i="1" s="1"/>
  <c r="C536" i="1"/>
  <c r="E536" i="1" s="1"/>
  <c r="C535" i="1"/>
  <c r="E535" i="1" s="1"/>
  <c r="E539" i="1"/>
  <c r="E538" i="1"/>
  <c r="E537" i="1"/>
  <c r="F535" i="1"/>
  <c r="C526" i="1"/>
  <c r="E526" i="1" s="1"/>
  <c r="C525" i="1"/>
  <c r="E525" i="1" s="1"/>
  <c r="E524" i="1"/>
  <c r="E523" i="1"/>
  <c r="C522" i="1"/>
  <c r="E522" i="1" s="1"/>
  <c r="F521" i="1"/>
  <c r="C521" i="1"/>
  <c r="E521" i="1" s="1"/>
  <c r="C532" i="1"/>
  <c r="C529" i="1"/>
  <c r="C528" i="1"/>
  <c r="C519" i="1"/>
  <c r="E519" i="1" s="1"/>
  <c r="C518" i="1"/>
  <c r="E517" i="1"/>
  <c r="C515" i="1"/>
  <c r="E515" i="1" s="1"/>
  <c r="C514" i="1"/>
  <c r="E512" i="1"/>
  <c r="E511" i="1"/>
  <c r="E510" i="1"/>
  <c r="E509" i="1"/>
  <c r="E508" i="1"/>
  <c r="C339" i="1"/>
  <c r="C333" i="1"/>
  <c r="C332" i="1"/>
  <c r="C334" i="1"/>
  <c r="C331" i="1"/>
  <c r="C328" i="1"/>
  <c r="C329" i="1"/>
  <c r="C326" i="1"/>
  <c r="C324" i="1"/>
  <c r="C323" i="1"/>
  <c r="C322" i="1"/>
  <c r="C321" i="1"/>
  <c r="C319" i="1"/>
  <c r="C318" i="1"/>
  <c r="C317" i="1"/>
  <c r="C316" i="1"/>
  <c r="F42" i="1"/>
  <c r="F528" i="1"/>
  <c r="F514" i="1"/>
  <c r="F507" i="1"/>
  <c r="B155" i="1" l="1"/>
  <c r="D155" i="1"/>
  <c r="D95" i="1"/>
  <c r="G94" i="1"/>
  <c r="E94" i="1"/>
  <c r="E549" i="1"/>
  <c r="E516" i="1"/>
  <c r="E518" i="1"/>
  <c r="E529" i="1"/>
  <c r="E531" i="1"/>
  <c r="E532" i="1"/>
  <c r="E514" i="1"/>
  <c r="E528" i="1"/>
  <c r="E507" i="1"/>
  <c r="D117" i="1"/>
  <c r="D116" i="1"/>
  <c r="K99" i="1"/>
  <c r="D115" i="1"/>
  <c r="D114" i="1"/>
  <c r="D113" i="1"/>
  <c r="D112" i="1"/>
  <c r="D111" i="1"/>
  <c r="K94" i="1"/>
  <c r="D110" i="1"/>
  <c r="K93" i="1"/>
  <c r="C108" i="1" s="1"/>
  <c r="K92" i="1"/>
  <c r="K91" i="1"/>
  <c r="K95" i="1" l="1"/>
  <c r="K96" i="1" s="1"/>
  <c r="D108" i="1"/>
  <c r="K97" i="1" l="1"/>
  <c r="K98" i="1" s="1"/>
  <c r="K100" i="1" l="1"/>
  <c r="K101" i="1" s="1"/>
  <c r="C109" i="1" s="1"/>
  <c r="D109" i="1" s="1"/>
  <c r="I88" i="1" l="1"/>
  <c r="G108" i="1"/>
  <c r="C245" i="1"/>
  <c r="C7" i="4"/>
  <c r="C8" i="10"/>
  <c r="C7" i="10"/>
  <c r="C7" i="9"/>
  <c r="C106" i="1" l="1"/>
  <c r="E108" i="1" s="1"/>
  <c r="C7" i="6"/>
  <c r="G15" i="10"/>
  <c r="G16" i="10" s="1"/>
  <c r="C15" i="10" s="1"/>
  <c r="C9" i="10"/>
  <c r="B7" i="10"/>
  <c r="H15" i="10" s="1"/>
  <c r="B16" i="10" s="1"/>
  <c r="D6" i="10"/>
  <c r="C5" i="10"/>
  <c r="B9" i="10" s="1"/>
  <c r="C8" i="5"/>
  <c r="C7" i="5"/>
  <c r="G15" i="9"/>
  <c r="B15" i="9" s="1"/>
  <c r="C9" i="9"/>
  <c r="B7" i="9"/>
  <c r="H16" i="9" s="1"/>
  <c r="C16" i="9" s="1"/>
  <c r="D6" i="9"/>
  <c r="C5" i="9"/>
  <c r="B11" i="9" s="1"/>
  <c r="C9" i="4"/>
  <c r="B8" i="9" l="1"/>
  <c r="I16" i="9" s="1"/>
  <c r="C17" i="9" s="1"/>
  <c r="B15" i="10"/>
  <c r="B10" i="9"/>
  <c r="K16" i="9" s="1"/>
  <c r="C19" i="9" s="1"/>
  <c r="D7" i="10"/>
  <c r="H16" i="10"/>
  <c r="C16" i="10" s="1"/>
  <c r="B12" i="9"/>
  <c r="M16" i="9" s="1"/>
  <c r="C21" i="9" s="1"/>
  <c r="J16" i="10"/>
  <c r="C18" i="10" s="1"/>
  <c r="J15" i="10"/>
  <c r="B18" i="10" s="1"/>
  <c r="D9" i="10"/>
  <c r="B11" i="10"/>
  <c r="B8" i="10"/>
  <c r="B10" i="10"/>
  <c r="B12" i="10"/>
  <c r="D11" i="9"/>
  <c r="L16" i="9"/>
  <c r="C20" i="9" s="1"/>
  <c r="L15" i="9"/>
  <c r="B20" i="9" s="1"/>
  <c r="B9" i="9"/>
  <c r="H15" i="9"/>
  <c r="B16" i="9" s="1"/>
  <c r="G16" i="9"/>
  <c r="C15" i="9" s="1"/>
  <c r="D8" i="9"/>
  <c r="D7" i="9"/>
  <c r="I15" i="9"/>
  <c r="B17" i="9" s="1"/>
  <c r="D10" i="9" l="1"/>
  <c r="K15" i="9"/>
  <c r="B19" i="9" s="1"/>
  <c r="M15" i="9"/>
  <c r="B21" i="9" s="1"/>
  <c r="D12" i="9"/>
  <c r="L15" i="10"/>
  <c r="B20" i="10" s="1"/>
  <c r="D11" i="10"/>
  <c r="L16" i="10"/>
  <c r="C20" i="10" s="1"/>
  <c r="D12" i="10"/>
  <c r="M16" i="10"/>
  <c r="C21" i="10" s="1"/>
  <c r="M15" i="10"/>
  <c r="B21" i="10" s="1"/>
  <c r="K16" i="10"/>
  <c r="C19" i="10" s="1"/>
  <c r="D10" i="10"/>
  <c r="K15" i="10"/>
  <c r="B19" i="10" s="1"/>
  <c r="D8" i="10"/>
  <c r="I16" i="10"/>
  <c r="C17" i="10" s="1"/>
  <c r="I15" i="10"/>
  <c r="B17" i="10" s="1"/>
  <c r="J15" i="9"/>
  <c r="B18" i="9" s="1"/>
  <c r="D9" i="9"/>
  <c r="J16" i="9"/>
  <c r="C18" i="9" s="1"/>
  <c r="C22" i="9" s="1"/>
  <c r="D36" i="1"/>
  <c r="D37" i="1" s="1"/>
  <c r="B22" i="9" l="1"/>
  <c r="B22" i="10"/>
  <c r="C22" i="10"/>
  <c r="G15" i="6"/>
  <c r="G16" i="6" s="1"/>
  <c r="C15" i="6" s="1"/>
  <c r="C9" i="6"/>
  <c r="B7" i="6"/>
  <c r="H16" i="6" s="1"/>
  <c r="C16" i="6" s="1"/>
  <c r="D6" i="6"/>
  <c r="C5" i="6"/>
  <c r="B12" i="6" s="1"/>
  <c r="G15" i="5"/>
  <c r="G16" i="5" s="1"/>
  <c r="C15" i="5" s="1"/>
  <c r="C9" i="5"/>
  <c r="B7" i="5"/>
  <c r="H15" i="5" s="1"/>
  <c r="B16" i="5" s="1"/>
  <c r="D6" i="5"/>
  <c r="C5" i="5"/>
  <c r="B11" i="5" s="1"/>
  <c r="G15" i="4"/>
  <c r="B15" i="4" s="1"/>
  <c r="B7" i="4"/>
  <c r="H16" i="4" s="1"/>
  <c r="C16" i="4" s="1"/>
  <c r="D6" i="4"/>
  <c r="C5" i="4"/>
  <c r="B12" i="4" s="1"/>
  <c r="J14" i="8"/>
  <c r="F14" i="8"/>
  <c r="G14" i="8" s="1"/>
  <c r="J13" i="8"/>
  <c r="F13" i="8"/>
  <c r="G13" i="8" s="1"/>
  <c r="J12" i="8"/>
  <c r="F12" i="8"/>
  <c r="G12" i="8" s="1"/>
  <c r="J11" i="8"/>
  <c r="F11" i="8"/>
  <c r="G11" i="8" s="1"/>
  <c r="J10" i="8"/>
  <c r="F10" i="8"/>
  <c r="G10" i="8" s="1"/>
  <c r="J9" i="8"/>
  <c r="F9" i="8"/>
  <c r="G9" i="8" s="1"/>
  <c r="J8" i="8"/>
  <c r="G8" i="8"/>
  <c r="J7" i="8"/>
  <c r="G7" i="8"/>
  <c r="J6" i="8"/>
  <c r="G6" i="8"/>
  <c r="J5" i="8"/>
  <c r="F5" i="8"/>
  <c r="G5" i="8" s="1"/>
  <c r="C496" i="1"/>
  <c r="E496" i="1" s="1"/>
  <c r="C495" i="1"/>
  <c r="C494" i="1"/>
  <c r="C493" i="1"/>
  <c r="C492" i="1"/>
  <c r="F491" i="1"/>
  <c r="C491" i="1"/>
  <c r="C489" i="1"/>
  <c r="C488" i="1"/>
  <c r="C487" i="1"/>
  <c r="C486" i="1"/>
  <c r="C485" i="1"/>
  <c r="F484" i="1"/>
  <c r="C484" i="1"/>
  <c r="C482" i="1"/>
  <c r="C481" i="1"/>
  <c r="C480" i="1"/>
  <c r="C479" i="1"/>
  <c r="C478" i="1"/>
  <c r="F477" i="1"/>
  <c r="C477" i="1"/>
  <c r="C475" i="1"/>
  <c r="C474" i="1"/>
  <c r="C473" i="1"/>
  <c r="C472" i="1"/>
  <c r="C471" i="1"/>
  <c r="F470" i="1"/>
  <c r="C470" i="1"/>
  <c r="C466" i="1"/>
  <c r="C465" i="1"/>
  <c r="C464" i="1"/>
  <c r="C463" i="1"/>
  <c r="F462" i="1"/>
  <c r="C462" i="1"/>
  <c r="C460" i="1"/>
  <c r="C459" i="1"/>
  <c r="C458" i="1"/>
  <c r="C457" i="1"/>
  <c r="C456" i="1"/>
  <c r="F455" i="1"/>
  <c r="C455" i="1"/>
  <c r="C453" i="1"/>
  <c r="C452" i="1"/>
  <c r="C451" i="1"/>
  <c r="C450" i="1"/>
  <c r="C449" i="1"/>
  <c r="F448" i="1"/>
  <c r="C448" i="1"/>
  <c r="C446" i="1"/>
  <c r="C445" i="1"/>
  <c r="C444" i="1"/>
  <c r="C443" i="1"/>
  <c r="C442" i="1"/>
  <c r="F441" i="1"/>
  <c r="C441" i="1"/>
  <c r="C430" i="1"/>
  <c r="C429" i="1"/>
  <c r="C428" i="1"/>
  <c r="C427" i="1"/>
  <c r="F426" i="1"/>
  <c r="C426" i="1"/>
  <c r="C424" i="1"/>
  <c r="C423" i="1"/>
  <c r="C422" i="1"/>
  <c r="C421" i="1"/>
  <c r="F420" i="1"/>
  <c r="C420" i="1"/>
  <c r="C418" i="1"/>
  <c r="C417" i="1"/>
  <c r="C416" i="1"/>
  <c r="C415" i="1"/>
  <c r="F414" i="1"/>
  <c r="C414" i="1"/>
  <c r="C412" i="1"/>
  <c r="C411" i="1"/>
  <c r="C410" i="1"/>
  <c r="C409" i="1"/>
  <c r="F408" i="1"/>
  <c r="C408" i="1"/>
  <c r="C405" i="1"/>
  <c r="C404" i="1"/>
  <c r="C403" i="1"/>
  <c r="C402" i="1"/>
  <c r="C401" i="1"/>
  <c r="F400" i="1"/>
  <c r="C400" i="1"/>
  <c r="C397" i="1"/>
  <c r="C396" i="1"/>
  <c r="C395" i="1"/>
  <c r="C394" i="1"/>
  <c r="C393" i="1"/>
  <c r="F392" i="1"/>
  <c r="C392" i="1"/>
  <c r="C389" i="1"/>
  <c r="C388" i="1"/>
  <c r="C387" i="1"/>
  <c r="C386" i="1"/>
  <c r="F385" i="1"/>
  <c r="C385" i="1"/>
  <c r="C383" i="1"/>
  <c r="C382" i="1"/>
  <c r="C381" i="1"/>
  <c r="C380" i="1"/>
  <c r="C379" i="1"/>
  <c r="F378" i="1"/>
  <c r="C378" i="1"/>
  <c r="C376" i="1"/>
  <c r="C375" i="1"/>
  <c r="C374" i="1"/>
  <c r="C373" i="1"/>
  <c r="C372" i="1"/>
  <c r="F371" i="1"/>
  <c r="C371" i="1"/>
  <c r="C360" i="1"/>
  <c r="C359" i="1"/>
  <c r="C358" i="1"/>
  <c r="F357" i="1"/>
  <c r="C357" i="1"/>
  <c r="C355" i="1"/>
  <c r="C354" i="1"/>
  <c r="C353" i="1"/>
  <c r="F352" i="1"/>
  <c r="C352" i="1"/>
  <c r="C350" i="1"/>
  <c r="C349" i="1"/>
  <c r="C348" i="1"/>
  <c r="C347" i="1"/>
  <c r="D345" i="1"/>
  <c r="C345" i="1"/>
  <c r="D344" i="1"/>
  <c r="C344" i="1"/>
  <c r="D343" i="1"/>
  <c r="C343" i="1"/>
  <c r="F342" i="1"/>
  <c r="D342" i="1"/>
  <c r="C342" i="1"/>
  <c r="C340" i="1"/>
  <c r="C338" i="1"/>
  <c r="F337" i="1"/>
  <c r="C337" i="1"/>
  <c r="F331" i="1"/>
  <c r="F326" i="1"/>
  <c r="F321" i="1"/>
  <c r="F316" i="1"/>
  <c r="C305" i="1"/>
  <c r="C304" i="1"/>
  <c r="C303" i="1"/>
  <c r="C302" i="1"/>
  <c r="C301" i="1"/>
  <c r="F300" i="1"/>
  <c r="C300" i="1"/>
  <c r="C298" i="1"/>
  <c r="C297" i="1"/>
  <c r="C296" i="1"/>
  <c r="C295" i="1"/>
  <c r="C294" i="1"/>
  <c r="F293" i="1"/>
  <c r="C293" i="1"/>
  <c r="C291" i="1"/>
  <c r="C290" i="1"/>
  <c r="C289" i="1"/>
  <c r="C288" i="1"/>
  <c r="C287" i="1"/>
  <c r="F286" i="1"/>
  <c r="C286" i="1"/>
  <c r="C284" i="1"/>
  <c r="C283" i="1"/>
  <c r="D282" i="1"/>
  <c r="C282" i="1"/>
  <c r="D281" i="1"/>
  <c r="C281" i="1"/>
  <c r="D280" i="1"/>
  <c r="C280" i="1"/>
  <c r="F279" i="1"/>
  <c r="D279" i="1"/>
  <c r="C279" i="1"/>
  <c r="C276" i="1"/>
  <c r="C275" i="1"/>
  <c r="C274" i="1"/>
  <c r="C273" i="1"/>
  <c r="F272" i="1"/>
  <c r="C272" i="1"/>
  <c r="C269" i="1"/>
  <c r="C268" i="1"/>
  <c r="C267" i="1"/>
  <c r="C266" i="1"/>
  <c r="C265" i="1"/>
  <c r="F264" i="1"/>
  <c r="C264" i="1"/>
  <c r="C262" i="1"/>
  <c r="C261" i="1"/>
  <c r="C260" i="1"/>
  <c r="C259" i="1"/>
  <c r="C258" i="1"/>
  <c r="F257" i="1"/>
  <c r="C257" i="1"/>
  <c r="C255" i="1"/>
  <c r="C254" i="1"/>
  <c r="C253" i="1"/>
  <c r="C252" i="1"/>
  <c r="C251" i="1"/>
  <c r="F250" i="1"/>
  <c r="C250" i="1"/>
  <c r="C248" i="1"/>
  <c r="C247" i="1"/>
  <c r="C246" i="1"/>
  <c r="E245" i="1"/>
  <c r="C244" i="1"/>
  <c r="F243" i="1"/>
  <c r="C243" i="1"/>
  <c r="C232" i="1"/>
  <c r="C231" i="1"/>
  <c r="C230" i="1"/>
  <c r="C229" i="1"/>
  <c r="C228" i="1"/>
  <c r="F227" i="1"/>
  <c r="C227" i="1"/>
  <c r="C225" i="1"/>
  <c r="C224" i="1"/>
  <c r="C223" i="1"/>
  <c r="C222" i="1"/>
  <c r="C221" i="1"/>
  <c r="F220" i="1"/>
  <c r="C220" i="1"/>
  <c r="C218" i="1"/>
  <c r="C217" i="1"/>
  <c r="C216" i="1"/>
  <c r="C215" i="1"/>
  <c r="C214" i="1"/>
  <c r="F213" i="1"/>
  <c r="C213" i="1"/>
  <c r="C211" i="1"/>
  <c r="C210" i="1"/>
  <c r="D209" i="1"/>
  <c r="C209" i="1"/>
  <c r="D208" i="1"/>
  <c r="C208" i="1"/>
  <c r="D207" i="1"/>
  <c r="C207" i="1"/>
  <c r="F206" i="1"/>
  <c r="D206" i="1"/>
  <c r="C206" i="1"/>
  <c r="C203" i="1"/>
  <c r="C202" i="1"/>
  <c r="C201" i="1"/>
  <c r="C200" i="1"/>
  <c r="F199" i="1"/>
  <c r="C199" i="1"/>
  <c r="C196" i="1"/>
  <c r="C195" i="1"/>
  <c r="C194" i="1"/>
  <c r="C193" i="1"/>
  <c r="C192" i="1"/>
  <c r="F191" i="1"/>
  <c r="C191" i="1"/>
  <c r="C188" i="1"/>
  <c r="C187" i="1"/>
  <c r="C186" i="1"/>
  <c r="C185" i="1"/>
  <c r="F184" i="1"/>
  <c r="C184" i="1"/>
  <c r="C182" i="1"/>
  <c r="C181" i="1"/>
  <c r="C180" i="1"/>
  <c r="C179" i="1"/>
  <c r="C178" i="1"/>
  <c r="F177" i="1"/>
  <c r="C177" i="1"/>
  <c r="C175" i="1"/>
  <c r="C174" i="1"/>
  <c r="C173" i="1"/>
  <c r="C172" i="1"/>
  <c r="C171" i="1"/>
  <c r="F170" i="1"/>
  <c r="C170" i="1"/>
  <c r="B9" i="6" l="1"/>
  <c r="K431" i="1"/>
  <c r="J431" i="1"/>
  <c r="I431" i="1"/>
  <c r="H15" i="6"/>
  <c r="B16" i="6" s="1"/>
  <c r="H16" i="5"/>
  <c r="C16" i="5" s="1"/>
  <c r="J15" i="8"/>
  <c r="G16" i="4"/>
  <c r="C15" i="4" s="1"/>
  <c r="D7" i="5"/>
  <c r="B9" i="4"/>
  <c r="D9" i="4" s="1"/>
  <c r="B11" i="6"/>
  <c r="L15" i="6" s="1"/>
  <c r="B20" i="6" s="1"/>
  <c r="G15" i="8"/>
  <c r="B15" i="6"/>
  <c r="M16" i="6"/>
  <c r="C21" i="6" s="1"/>
  <c r="M15" i="6"/>
  <c r="B21" i="6" s="1"/>
  <c r="D12" i="6"/>
  <c r="L16" i="5"/>
  <c r="C20" i="5" s="1"/>
  <c r="L15" i="5"/>
  <c r="B20" i="5" s="1"/>
  <c r="D11" i="5"/>
  <c r="M16" i="4"/>
  <c r="C21" i="4" s="1"/>
  <c r="M15" i="4"/>
  <c r="B21" i="4" s="1"/>
  <c r="D12" i="4"/>
  <c r="H15" i="4"/>
  <c r="B16" i="4" s="1"/>
  <c r="D7" i="4"/>
  <c r="B11" i="4"/>
  <c r="B8" i="5"/>
  <c r="B10" i="5"/>
  <c r="B12" i="5"/>
  <c r="B8" i="4"/>
  <c r="D7" i="6"/>
  <c r="D9" i="6"/>
  <c r="B10" i="4"/>
  <c r="B9" i="5"/>
  <c r="J16" i="5" s="1"/>
  <c r="C18" i="5" s="1"/>
  <c r="B15" i="5"/>
  <c r="B8" i="6"/>
  <c r="B10" i="6"/>
  <c r="B154" i="1"/>
  <c r="D154" i="1"/>
  <c r="E379" i="1"/>
  <c r="E430" i="1"/>
  <c r="E192" i="1"/>
  <c r="E200" i="1"/>
  <c r="E221" i="1"/>
  <c r="E229" i="1"/>
  <c r="E246" i="1"/>
  <c r="E254" i="1"/>
  <c r="E262" i="1"/>
  <c r="E272" i="1"/>
  <c r="E284" i="1"/>
  <c r="E293" i="1"/>
  <c r="E317" i="1"/>
  <c r="E326" i="1"/>
  <c r="E334" i="1"/>
  <c r="E355" i="1"/>
  <c r="E372" i="1"/>
  <c r="E380" i="1"/>
  <c r="E388" i="1"/>
  <c r="E397" i="1"/>
  <c r="E408" i="1"/>
  <c r="E415" i="1"/>
  <c r="E423" i="1"/>
  <c r="E441" i="1"/>
  <c r="E456" i="1"/>
  <c r="E464" i="1"/>
  <c r="E473" i="1"/>
  <c r="E481" i="1"/>
  <c r="E489" i="1"/>
  <c r="E207" i="1"/>
  <c r="E261" i="1"/>
  <c r="E347" i="1"/>
  <c r="E354" i="1"/>
  <c r="E387" i="1"/>
  <c r="E396" i="1"/>
  <c r="E422" i="1"/>
  <c r="E448" i="1"/>
  <c r="E463" i="1"/>
  <c r="E472" i="1"/>
  <c r="E480" i="1"/>
  <c r="E488" i="1"/>
  <c r="E185" i="1"/>
  <c r="E201" i="1"/>
  <c r="E208" i="1"/>
  <c r="E214" i="1"/>
  <c r="E222" i="1"/>
  <c r="E230" i="1"/>
  <c r="E247" i="1"/>
  <c r="E255" i="1"/>
  <c r="E264" i="1"/>
  <c r="E280" i="1"/>
  <c r="E286" i="1"/>
  <c r="E301" i="1"/>
  <c r="E318" i="1"/>
  <c r="E337" i="1"/>
  <c r="E343" i="1"/>
  <c r="E348" i="1"/>
  <c r="E357" i="1"/>
  <c r="E373" i="1"/>
  <c r="E381" i="1"/>
  <c r="E389" i="1"/>
  <c r="E400" i="1"/>
  <c r="E416" i="1"/>
  <c r="E424" i="1"/>
  <c r="E449" i="1"/>
  <c r="E457" i="1"/>
  <c r="E465" i="1"/>
  <c r="E474" i="1"/>
  <c r="E482" i="1"/>
  <c r="E491" i="1"/>
  <c r="E253" i="1"/>
  <c r="E291" i="1"/>
  <c r="E324" i="1"/>
  <c r="E405" i="1"/>
  <c r="E186" i="1"/>
  <c r="E231" i="1"/>
  <c r="E248" i="1"/>
  <c r="E257" i="1"/>
  <c r="E273" i="1"/>
  <c r="E294" i="1"/>
  <c r="E426" i="1"/>
  <c r="E187" i="1"/>
  <c r="E194" i="1"/>
  <c r="E203" i="1"/>
  <c r="E209" i="1"/>
  <c r="E216" i="1"/>
  <c r="E224" i="1"/>
  <c r="E232" i="1"/>
  <c r="E250" i="1"/>
  <c r="E265" i="1"/>
  <c r="E274" i="1"/>
  <c r="E281" i="1"/>
  <c r="E287" i="1"/>
  <c r="E295" i="1"/>
  <c r="E303" i="1"/>
  <c r="E321" i="1"/>
  <c r="E329" i="1"/>
  <c r="E338" i="1"/>
  <c r="E350" i="1"/>
  <c r="E358" i="1"/>
  <c r="E375" i="1"/>
  <c r="E383" i="1"/>
  <c r="E401" i="1"/>
  <c r="E410" i="1"/>
  <c r="E418" i="1"/>
  <c r="E443" i="1"/>
  <c r="E451" i="1"/>
  <c r="E459" i="1"/>
  <c r="E477" i="1"/>
  <c r="E492" i="1"/>
  <c r="E213" i="1"/>
  <c r="E223" i="1"/>
  <c r="E382" i="1"/>
  <c r="E450" i="1"/>
  <c r="E172" i="1"/>
  <c r="E188" i="1"/>
  <c r="E195" i="1"/>
  <c r="E206" i="1"/>
  <c r="E217" i="1"/>
  <c r="E225" i="1"/>
  <c r="E258" i="1"/>
  <c r="E266" i="1"/>
  <c r="E275" i="1"/>
  <c r="E288" i="1"/>
  <c r="E296" i="1"/>
  <c r="E304" i="1"/>
  <c r="E331" i="1"/>
  <c r="E339" i="1"/>
  <c r="E352" i="1"/>
  <c r="E359" i="1"/>
  <c r="E376" i="1"/>
  <c r="E385" i="1"/>
  <c r="E393" i="1"/>
  <c r="E402" i="1"/>
  <c r="E411" i="1"/>
  <c r="E420" i="1"/>
  <c r="E427" i="1"/>
  <c r="E444" i="1"/>
  <c r="E452" i="1"/>
  <c r="E460" i="1"/>
  <c r="E470" i="1"/>
  <c r="E485" i="1"/>
  <c r="E493" i="1"/>
  <c r="E175" i="1"/>
  <c r="E184" i="1"/>
  <c r="E228" i="1"/>
  <c r="E283" i="1"/>
  <c r="E333" i="1"/>
  <c r="E215" i="1"/>
  <c r="E319" i="1"/>
  <c r="E349" i="1"/>
  <c r="E409" i="1"/>
  <c r="E191" i="1"/>
  <c r="E196" i="1"/>
  <c r="E210" i="1"/>
  <c r="E218" i="1"/>
  <c r="E227" i="1"/>
  <c r="E251" i="1"/>
  <c r="E259" i="1"/>
  <c r="E267" i="1"/>
  <c r="E276" i="1"/>
  <c r="E282" i="1"/>
  <c r="E289" i="1"/>
  <c r="E297" i="1"/>
  <c r="E305" i="1"/>
  <c r="E322" i="1"/>
  <c r="E340" i="1"/>
  <c r="E360" i="1"/>
  <c r="E378" i="1"/>
  <c r="E394" i="1"/>
  <c r="E403" i="1"/>
  <c r="E412" i="1"/>
  <c r="E428" i="1"/>
  <c r="E445" i="1"/>
  <c r="E453" i="1"/>
  <c r="E462" i="1"/>
  <c r="E478" i="1"/>
  <c r="E486" i="1"/>
  <c r="E494" i="1"/>
  <c r="E269" i="1"/>
  <c r="E300" i="1"/>
  <c r="E193" i="1"/>
  <c r="E202" i="1"/>
  <c r="E302" i="1"/>
  <c r="E328" i="1"/>
  <c r="E374" i="1"/>
  <c r="E392" i="1"/>
  <c r="E417" i="1"/>
  <c r="E442" i="1"/>
  <c r="E458" i="1"/>
  <c r="E466" i="1"/>
  <c r="E475" i="1"/>
  <c r="E484" i="1"/>
  <c r="E174" i="1"/>
  <c r="E199" i="1"/>
  <c r="E211" i="1"/>
  <c r="E220" i="1"/>
  <c r="E252" i="1"/>
  <c r="E260" i="1"/>
  <c r="E268" i="1"/>
  <c r="E279" i="1"/>
  <c r="E290" i="1"/>
  <c r="E298" i="1"/>
  <c r="E316" i="1"/>
  <c r="E323" i="1"/>
  <c r="E332" i="1"/>
  <c r="E353" i="1"/>
  <c r="E371" i="1"/>
  <c r="E386" i="1"/>
  <c r="E395" i="1"/>
  <c r="E404" i="1"/>
  <c r="E414" i="1"/>
  <c r="E421" i="1"/>
  <c r="E429" i="1"/>
  <c r="E446" i="1"/>
  <c r="E455" i="1"/>
  <c r="E471" i="1"/>
  <c r="E479" i="1"/>
  <c r="E487" i="1"/>
  <c r="E495" i="1"/>
  <c r="E342" i="1"/>
  <c r="E243" i="1"/>
  <c r="D151" i="1"/>
  <c r="E345" i="1"/>
  <c r="B151" i="1"/>
  <c r="D150" i="1"/>
  <c r="J15" i="5"/>
  <c r="B18" i="5" s="1"/>
  <c r="D152" i="1"/>
  <c r="E344" i="1"/>
  <c r="J15" i="6"/>
  <c r="B18" i="6" s="1"/>
  <c r="J16" i="6"/>
  <c r="C18" i="6" s="1"/>
  <c r="B153" i="1"/>
  <c r="E173" i="1"/>
  <c r="E244" i="1"/>
  <c r="B150" i="1"/>
  <c r="D153" i="1"/>
  <c r="B152" i="1"/>
  <c r="B157" i="1" l="1"/>
  <c r="D157" i="1"/>
  <c r="J16" i="4"/>
  <c r="C18" i="4" s="1"/>
  <c r="J15" i="4"/>
  <c r="B18" i="4" s="1"/>
  <c r="L16" i="6"/>
  <c r="C20" i="6" s="1"/>
  <c r="D11" i="6"/>
  <c r="D9" i="5"/>
  <c r="K15" i="6"/>
  <c r="B19" i="6" s="1"/>
  <c r="K16" i="6"/>
  <c r="C19" i="6" s="1"/>
  <c r="D10" i="6"/>
  <c r="K15" i="4"/>
  <c r="B19" i="4" s="1"/>
  <c r="K16" i="4"/>
  <c r="C19" i="4" s="1"/>
  <c r="D10" i="4"/>
  <c r="I15" i="5"/>
  <c r="B17" i="5" s="1"/>
  <c r="D8" i="5"/>
  <c r="I16" i="5"/>
  <c r="C17" i="5" s="1"/>
  <c r="I15" i="6"/>
  <c r="B17" i="6" s="1"/>
  <c r="I16" i="6"/>
  <c r="C17" i="6" s="1"/>
  <c r="D8" i="6"/>
  <c r="I16" i="4"/>
  <c r="C17" i="4" s="1"/>
  <c r="D8" i="4"/>
  <c r="I15" i="4"/>
  <c r="B17" i="4" s="1"/>
  <c r="L15" i="4"/>
  <c r="B20" i="4" s="1"/>
  <c r="D11" i="4"/>
  <c r="L16" i="4"/>
  <c r="C20" i="4" s="1"/>
  <c r="M15" i="5"/>
  <c r="B21" i="5" s="1"/>
  <c r="D12" i="5"/>
  <c r="M16" i="5"/>
  <c r="C21" i="5" s="1"/>
  <c r="K16" i="5"/>
  <c r="C19" i="5" s="1"/>
  <c r="D10" i="5"/>
  <c r="K15" i="5"/>
  <c r="B19" i="5" s="1"/>
  <c r="B22" i="4" l="1"/>
  <c r="C22" i="6"/>
  <c r="B22" i="5"/>
  <c r="B22" i="6"/>
  <c r="C22" i="4"/>
  <c r="C22" i="5"/>
</calcChain>
</file>

<file path=xl/sharedStrings.xml><?xml version="1.0" encoding="utf-8"?>
<sst xmlns="http://schemas.openxmlformats.org/spreadsheetml/2006/main" count="1149" uniqueCount="360">
  <si>
    <r>
      <rPr>
        <b/>
        <sz val="11"/>
        <rFont val="Times New Roman"/>
        <family val="1"/>
      </rPr>
      <t>Valuation Report</t>
    </r>
  </si>
  <si>
    <r>
      <rPr>
        <sz val="11"/>
        <rFont val="Times New Roman"/>
        <family val="1"/>
      </rPr>
      <t>Date:</t>
    </r>
  </si>
  <si>
    <r>
      <rPr>
        <sz val="11"/>
        <rFont val="Times New Roman"/>
        <family val="1"/>
      </rPr>
      <t>CPC Name:</t>
    </r>
  </si>
  <si>
    <r>
      <rPr>
        <sz val="11"/>
        <rFont val="Times New Roman"/>
        <family val="1"/>
      </rPr>
      <t>Date Of Property Visit</t>
    </r>
  </si>
  <si>
    <r>
      <rPr>
        <sz val="11"/>
        <rFont val="Times New Roman"/>
        <family val="1"/>
      </rPr>
      <t>Name of the builder group</t>
    </r>
  </si>
  <si>
    <r>
      <rPr>
        <sz val="11"/>
        <rFont val="Times New Roman"/>
        <family val="1"/>
      </rPr>
      <t>M/s. Evie Real Estate Pvt. Ltd</t>
    </r>
  </si>
  <si>
    <r>
      <rPr>
        <sz val="11"/>
        <rFont val="Times New Roman"/>
        <family val="1"/>
      </rPr>
      <t>Name of the builder company</t>
    </r>
  </si>
  <si>
    <r>
      <rPr>
        <sz val="11"/>
        <rFont val="Times New Roman"/>
        <family val="1"/>
      </rPr>
      <t>Name of the Project</t>
    </r>
  </si>
  <si>
    <r>
      <rPr>
        <sz val="11"/>
        <rFont val="Times New Roman"/>
        <family val="1"/>
      </rPr>
      <t>Name &amp; No. of the Project</t>
    </r>
  </si>
  <si>
    <r>
      <rPr>
        <sz val="11"/>
        <rFont val="Times New Roman"/>
        <family val="1"/>
      </rPr>
      <t>Contect Details ( Name &amp; Contect No.)</t>
    </r>
  </si>
  <si>
    <r>
      <rPr>
        <sz val="11"/>
        <rFont val="Times New Roman"/>
        <family val="1"/>
      </rPr>
      <t>9833992106 /8433948516</t>
    </r>
  </si>
  <si>
    <r>
      <rPr>
        <sz val="11"/>
        <rFont val="Times New Roman"/>
        <family val="1"/>
      </rPr>
      <t>RERA No.</t>
    </r>
  </si>
  <si>
    <r>
      <rPr>
        <sz val="11"/>
        <rFont val="Times New Roman"/>
        <family val="1"/>
      </rPr>
      <t>Docouments Provided</t>
    </r>
  </si>
  <si>
    <r>
      <rPr>
        <sz val="11"/>
        <rFont val="Times New Roman"/>
        <family val="1"/>
      </rPr>
      <t>Project location details</t>
    </r>
  </si>
  <si>
    <r>
      <rPr>
        <sz val="11"/>
        <rFont val="Times New Roman"/>
        <family val="1"/>
      </rPr>
      <t>CTS No</t>
    </r>
  </si>
  <si>
    <r>
      <rPr>
        <sz val="11"/>
        <rFont val="Times New Roman"/>
        <family val="1"/>
      </rPr>
      <t>1004, 1005(PTO, 1005/1, 1006, 1007/3 (pt) &amp; 1009 (pt)</t>
    </r>
  </si>
  <si>
    <r>
      <rPr>
        <sz val="11"/>
        <rFont val="Times New Roman"/>
        <family val="1"/>
      </rPr>
      <t>Locality</t>
    </r>
  </si>
  <si>
    <r>
      <rPr>
        <sz val="11"/>
        <rFont val="Times New Roman"/>
        <family val="1"/>
      </rPr>
      <t>Road</t>
    </r>
  </si>
  <si>
    <r>
      <rPr>
        <sz val="11"/>
        <rFont val="Times New Roman"/>
        <family val="1"/>
      </rPr>
      <t>Veer Savarkar Road</t>
    </r>
  </si>
  <si>
    <r>
      <rPr>
        <sz val="11"/>
        <rFont val="Times New Roman"/>
        <family val="1"/>
      </rPr>
      <t>Mumbai</t>
    </r>
  </si>
  <si>
    <r>
      <rPr>
        <sz val="11"/>
        <rFont val="Times New Roman"/>
        <family val="1"/>
      </rPr>
      <t>City</t>
    </r>
  </si>
  <si>
    <r>
      <rPr>
        <sz val="11"/>
        <rFont val="Times New Roman"/>
        <family val="1"/>
      </rPr>
      <t>Kurla</t>
    </r>
  </si>
  <si>
    <r>
      <rPr>
        <sz val="11"/>
        <rFont val="Times New Roman"/>
        <family val="1"/>
      </rPr>
      <t>Near by Landmark</t>
    </r>
  </si>
  <si>
    <r>
      <rPr>
        <sz val="11"/>
        <rFont val="Times New Roman"/>
        <family val="1"/>
      </rPr>
      <t>Goodwill</t>
    </r>
  </si>
  <si>
    <r>
      <rPr>
        <sz val="11"/>
        <rFont val="Times New Roman"/>
        <family val="1"/>
      </rPr>
      <t>all available at  1 to 2 km.</t>
    </r>
  </si>
  <si>
    <r>
      <rPr>
        <sz val="11"/>
        <rFont val="Times New Roman"/>
        <family val="1"/>
      </rPr>
      <t xml:space="preserve">Does the property have electricity/water/Drainage
</t>
    </r>
    <r>
      <rPr>
        <sz val="11"/>
        <rFont val="Times New Roman"/>
        <family val="1"/>
      </rPr>
      <t>Connection</t>
    </r>
  </si>
  <si>
    <r>
      <rPr>
        <sz val="11"/>
        <rFont val="Times New Roman"/>
        <family val="1"/>
      </rPr>
      <t>Yes</t>
    </r>
  </si>
  <si>
    <r>
      <rPr>
        <sz val="11"/>
        <rFont val="Times New Roman"/>
        <family val="1"/>
      </rPr>
      <t>Class of locality</t>
    </r>
  </si>
  <si>
    <r>
      <rPr>
        <sz val="11"/>
        <rFont val="Times New Roman"/>
        <family val="1"/>
      </rPr>
      <t>Upper class</t>
    </r>
  </si>
  <si>
    <r>
      <rPr>
        <sz val="11"/>
        <rFont val="Times New Roman"/>
        <family val="1"/>
      </rPr>
      <t>Nature of land with topographical condtion</t>
    </r>
  </si>
  <si>
    <r>
      <rPr>
        <sz val="11"/>
        <rFont val="Times New Roman"/>
        <family val="1"/>
      </rPr>
      <t>Plane</t>
    </r>
  </si>
  <si>
    <r>
      <rPr>
        <sz val="11"/>
        <rFont val="Times New Roman"/>
        <family val="1"/>
      </rPr>
      <t>Nature of the locality</t>
    </r>
  </si>
  <si>
    <r>
      <rPr>
        <sz val="11"/>
        <rFont val="Times New Roman"/>
        <family val="1"/>
      </rPr>
      <t>Developed</t>
    </r>
  </si>
  <si>
    <r>
      <rPr>
        <sz val="11"/>
        <rFont val="Times New Roman"/>
        <family val="1"/>
      </rPr>
      <t>Quality of infrastructure in vicinity</t>
    </r>
  </si>
  <si>
    <r>
      <rPr>
        <sz val="11"/>
        <rFont val="Times New Roman"/>
        <family val="1"/>
      </rPr>
      <t>Good</t>
    </r>
  </si>
  <si>
    <r>
      <rPr>
        <sz val="11"/>
        <rFont val="Times New Roman"/>
        <family val="1"/>
      </rPr>
      <t>Boundaries</t>
    </r>
  </si>
  <si>
    <r>
      <rPr>
        <sz val="11"/>
        <rFont val="Times New Roman"/>
        <family val="1"/>
      </rPr>
      <t>East</t>
    </r>
  </si>
  <si>
    <r>
      <rPr>
        <sz val="11"/>
        <rFont val="Times New Roman"/>
        <family val="1"/>
      </rPr>
      <t>West</t>
    </r>
  </si>
  <si>
    <r>
      <rPr>
        <sz val="11"/>
        <rFont val="Times New Roman"/>
        <family val="1"/>
      </rPr>
      <t>South</t>
    </r>
  </si>
  <si>
    <r>
      <rPr>
        <sz val="11"/>
        <rFont val="Times New Roman"/>
        <family val="1"/>
      </rPr>
      <t>North</t>
    </r>
  </si>
  <si>
    <r>
      <rPr>
        <sz val="11"/>
        <rFont val="Times New Roman"/>
        <family val="1"/>
      </rPr>
      <t>At site</t>
    </r>
  </si>
  <si>
    <r>
      <rPr>
        <sz val="11"/>
        <rFont val="Times New Roman"/>
        <family val="1"/>
      </rPr>
      <t>Does the boundaries at site match, as mentioned in the Docoumentation: NA</t>
    </r>
  </si>
  <si>
    <r>
      <rPr>
        <sz val="11"/>
        <rFont val="Times New Roman"/>
        <family val="1"/>
      </rPr>
      <t>Latitude &amp; Longitude</t>
    </r>
  </si>
  <si>
    <r>
      <rPr>
        <b/>
        <sz val="11"/>
        <rFont val="Times New Roman"/>
        <family val="1"/>
      </rPr>
      <t>Approval details:</t>
    </r>
  </si>
  <si>
    <r>
      <rPr>
        <sz val="11"/>
        <rFont val="Times New Roman"/>
        <family val="1"/>
      </rPr>
      <t xml:space="preserve">Approved usage of the Property: Residential
</t>
    </r>
    <r>
      <rPr>
        <sz val="11"/>
        <rFont val="Times New Roman"/>
        <family val="1"/>
      </rPr>
      <t>(Restrictive convenants in regards to land use , if any)</t>
    </r>
  </si>
  <si>
    <r>
      <rPr>
        <sz val="11"/>
        <rFont val="Times New Roman"/>
        <family val="1"/>
      </rPr>
      <t>Total land area of the project in Sq. Mt.</t>
    </r>
  </si>
  <si>
    <r>
      <rPr>
        <sz val="11"/>
        <rFont val="Times New Roman"/>
        <family val="1"/>
      </rPr>
      <t>Permissible FSI</t>
    </r>
  </si>
  <si>
    <r>
      <rPr>
        <sz val="11"/>
        <rFont val="Times New Roman"/>
        <family val="1"/>
      </rPr>
      <t>Permissible TDR/Paid FSI</t>
    </r>
  </si>
  <si>
    <r>
      <rPr>
        <sz val="11"/>
        <rFont val="Times New Roman"/>
        <family val="1"/>
      </rPr>
      <t>Total FSI availaible for the project</t>
    </r>
  </si>
  <si>
    <r>
      <rPr>
        <sz val="11"/>
        <rFont val="Times New Roman"/>
        <family val="1"/>
      </rPr>
      <t>Total Approved Builtup area of the project in Sq. Mt.</t>
    </r>
  </si>
  <si>
    <r>
      <rPr>
        <sz val="11"/>
        <rFont val="Times New Roman"/>
        <family val="1"/>
      </rPr>
      <t>Total number of Buildings</t>
    </r>
  </si>
  <si>
    <r>
      <rPr>
        <sz val="11"/>
        <rFont val="Times New Roman"/>
        <family val="1"/>
      </rPr>
      <t>Layout Approval No</t>
    </r>
  </si>
  <si>
    <r>
      <rPr>
        <sz val="11"/>
        <rFont val="Times New Roman"/>
        <family val="1"/>
      </rPr>
      <t>CHE/ES/1699/S/337 (New)</t>
    </r>
  </si>
  <si>
    <r>
      <rPr>
        <sz val="11"/>
        <rFont val="Times New Roman"/>
        <family val="1"/>
      </rPr>
      <t>Dated</t>
    </r>
  </si>
  <si>
    <r>
      <rPr>
        <sz val="11"/>
        <rFont val="Times New Roman"/>
        <family val="1"/>
      </rPr>
      <t>Building plan approval No</t>
    </r>
  </si>
  <si>
    <r>
      <rPr>
        <sz val="11"/>
        <rFont val="Times New Roman"/>
        <family val="1"/>
      </rPr>
      <t>24/10/2019.</t>
    </r>
  </si>
  <si>
    <r>
      <rPr>
        <sz val="11"/>
        <rFont val="Times New Roman"/>
        <family val="1"/>
      </rPr>
      <t>Commencement date of construction</t>
    </r>
  </si>
  <si>
    <r>
      <rPr>
        <sz val="11"/>
        <rFont val="Times New Roman"/>
        <family val="1"/>
      </rPr>
      <t>Expected Completion</t>
    </r>
  </si>
  <si>
    <r>
      <rPr>
        <b/>
        <sz val="11"/>
        <rFont val="Times New Roman"/>
        <family val="1"/>
      </rPr>
      <t>Building wise Construction details</t>
    </r>
  </si>
  <si>
    <r>
      <rPr>
        <sz val="11"/>
        <rFont val="Times New Roman"/>
        <family val="1"/>
      </rPr>
      <t>Approved area of the building in Sq.Mt</t>
    </r>
  </si>
  <si>
    <r>
      <rPr>
        <sz val="11"/>
        <rFont val="Times New Roman"/>
        <family val="1"/>
      </rPr>
      <t>Maintenance Charges  (For</t>
    </r>
    <r>
      <rPr>
        <sz val="10.5"/>
        <rFont val="Georgia"/>
        <family val="1"/>
      </rPr>
      <t xml:space="preserve"> </t>
    </r>
    <r>
      <rPr>
        <sz val="11"/>
        <rFont val="Times New Roman"/>
        <family val="1"/>
      </rPr>
      <t>24th Months)</t>
    </r>
  </si>
  <si>
    <r>
      <rPr>
        <sz val="11"/>
        <rFont val="Times New Roman"/>
        <family val="1"/>
      </rPr>
      <t>Society Formation</t>
    </r>
  </si>
  <si>
    <r>
      <rPr>
        <sz val="11"/>
        <rFont val="Times New Roman"/>
        <family val="1"/>
      </rPr>
      <t>MSEB Charges</t>
    </r>
  </si>
  <si>
    <r>
      <rPr>
        <b/>
        <sz val="11"/>
        <rFont val="Times New Roman"/>
        <family val="1"/>
      </rPr>
      <t>Distress valuation of the property Per Sq. Ft.</t>
    </r>
  </si>
  <si>
    <r>
      <rPr>
        <sz val="11"/>
        <rFont val="Times New Roman"/>
        <family val="1"/>
      </rPr>
      <t>Undertaking :</t>
    </r>
  </si>
  <si>
    <r>
      <rPr>
        <sz val="11"/>
        <rFont val="Times New Roman"/>
        <family val="1"/>
      </rPr>
      <t>1) We have personally visited the property &amp; identified the same based on the documents provided</t>
    </r>
  </si>
  <si>
    <r>
      <rPr>
        <sz val="11"/>
        <rFont val="Times New Roman"/>
        <family val="1"/>
      </rPr>
      <t>2) I/We have no direct or Indirect Interest in the property being valued</t>
    </r>
  </si>
  <si>
    <r>
      <rPr>
        <sz val="11"/>
        <rFont val="Times New Roman"/>
        <family val="1"/>
      </rPr>
      <t>3) The information furnished above is true and correct to my/our knowledge.</t>
    </r>
  </si>
  <si>
    <r>
      <rPr>
        <sz val="11"/>
        <rFont val="Times New Roman"/>
        <family val="1"/>
      </rPr>
      <t>4) Legal title of the property is not verified by us.</t>
    </r>
  </si>
  <si>
    <r>
      <rPr>
        <sz val="11"/>
        <rFont val="Times New Roman"/>
        <family val="1"/>
      </rPr>
      <t>5) Gross carpet area =  Net Carpet area + Fungible area.</t>
    </r>
  </si>
  <si>
    <r>
      <rPr>
        <sz val="11"/>
        <rFont val="Times New Roman"/>
        <family val="1"/>
      </rPr>
      <t xml:space="preserve">6) Fungible Area= Enclosed Balcony + Flower Bed + Covered Balcony + Service Slab + Duct + Chajja + Wheather
</t>
    </r>
    <r>
      <rPr>
        <sz val="11"/>
        <rFont val="Times New Roman"/>
        <family val="1"/>
      </rPr>
      <t>Shed area.</t>
    </r>
  </si>
  <si>
    <r>
      <rPr>
        <b/>
        <sz val="11"/>
        <rFont val="Times New Roman"/>
        <family val="1"/>
      </rPr>
      <t>PHOTOGRAPHS OF PROPERTY :    Runwal Bliss</t>
    </r>
  </si>
  <si>
    <t>Authorized Signatory 
Name &amp; Seal of the agency</t>
  </si>
  <si>
    <t>Runwal Bliss, Proposed Residential Development On Property Bearing C.T.S No.- 1004, 1005(PTO, 1005/1, 1006, 1007/3 (pt) &amp; 1009 (pt) Of Village - Kanjur, Near Crompton Greaves Compound, Saikrupa Society, Indira Nagar, Veer Savarkar Road, At. Kanjurmarg East, Mumbai 400042.</t>
  </si>
  <si>
    <t>Accessibility of the project from the city:(Proximities to civic amenities like school, hospital &amp; market,etc.)</t>
  </si>
  <si>
    <t>Runwal Bliss</t>
  </si>
  <si>
    <t>Basement</t>
  </si>
  <si>
    <t>Podium</t>
  </si>
  <si>
    <t>Ground</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</si>
  <si>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</si>
  <si>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</si>
  <si>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</si>
  <si>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</si>
  <si>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</si>
  <si>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</si>
  <si>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</si>
  <si>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</si>
  <si>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</si>
  <si>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</si>
  <si>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</si>
  <si>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</si>
  <si>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</si>
  <si>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</si>
  <si>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</si>
  <si>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</si>
  <si>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</si>
  <si>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</si>
  <si>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</si>
  <si>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</si>
  <si>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</si>
  <si>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</si>
  <si>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</si>
  <si>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</si>
  <si>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</si>
  <si>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</si>
  <si>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</si>
  <si>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</si>
  <si>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</si>
  <si>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Plinth</t>
  </si>
  <si>
    <t>RCC</t>
  </si>
  <si>
    <t xml:space="preserve">Recommended </t>
  </si>
  <si>
    <t>total</t>
  </si>
  <si>
    <t>Thane - G + 7</t>
  </si>
  <si>
    <t>Thane - G + 15</t>
  </si>
  <si>
    <t>400000/-</t>
  </si>
  <si>
    <t>Excavation in process</t>
  </si>
  <si>
    <t>Thane - G + 25</t>
  </si>
  <si>
    <t>600000/-</t>
  </si>
  <si>
    <t>Excavation Completed</t>
  </si>
  <si>
    <t>Footing in Process</t>
  </si>
  <si>
    <t>Footing Completed</t>
  </si>
  <si>
    <t>Plinth in process</t>
  </si>
  <si>
    <t>Plinth completed</t>
  </si>
  <si>
    <t>% adhich jast dilet OV la match karun</t>
  </si>
  <si>
    <t>Flat/Shop No.</t>
  </si>
  <si>
    <t>Description</t>
  </si>
  <si>
    <t>Gross Carpet area</t>
  </si>
  <si>
    <t>Attached Terrace area</t>
  </si>
  <si>
    <t>Floor</t>
  </si>
  <si>
    <t>2BHK</t>
  </si>
  <si>
    <t>2nd, 3rd, 6th to 10th, 13th to 17th, 20th to 24th, 27th to 31st, 34th to 38th Floor</t>
  </si>
  <si>
    <t>Refuge Area</t>
  </si>
  <si>
    <t>5th, 12th, 19th, 26th, 33rd Floor</t>
  </si>
  <si>
    <t>29/09/2020.</t>
  </si>
  <si>
    <t>single Plan &amp; CC updated</t>
  </si>
  <si>
    <t>By Asmita</t>
  </si>
  <si>
    <t>Provided by Ankita goregaon</t>
  </si>
  <si>
    <t>Rate comes approx 24K on Carpet</t>
  </si>
  <si>
    <t>1st Floor</t>
  </si>
  <si>
    <t>39th Floor</t>
  </si>
  <si>
    <t>40th Floor</t>
  </si>
  <si>
    <t>41st To 45th &amp; 48th To 50th Floor</t>
  </si>
  <si>
    <t>47th Floor</t>
  </si>
  <si>
    <t>Fire Check Between 18th &amp; 19th Floor</t>
  </si>
  <si>
    <t>3BHK</t>
  </si>
  <si>
    <t>Service Floor Between 39th &amp; 40th Floor</t>
  </si>
  <si>
    <t>1.5BHK</t>
  </si>
  <si>
    <t>33rd Floor</t>
  </si>
  <si>
    <t>34th To 38th &amp; 41st To 43rd Floor</t>
  </si>
  <si>
    <t>5th, 12th, 19th &amp; 26th Floor</t>
  </si>
  <si>
    <t>Building &amp; Wing</t>
  </si>
  <si>
    <t>Total Carpet Area</t>
  </si>
  <si>
    <t>Total</t>
  </si>
  <si>
    <t>No. of units</t>
  </si>
  <si>
    <t>Residential Area Details:</t>
  </si>
  <si>
    <t>A wing</t>
  </si>
  <si>
    <t>B wing</t>
  </si>
  <si>
    <t>C wing</t>
  </si>
  <si>
    <t>D wing</t>
  </si>
  <si>
    <t>E wing</t>
  </si>
  <si>
    <t>Pratiksha</t>
  </si>
  <si>
    <t>Kanjur</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</si>
  <si>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</si>
  <si>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</si>
  <si>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</si>
  <si>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</si>
  <si>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</si>
  <si>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</si>
  <si>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</si>
  <si>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</si>
  <si>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</si>
  <si>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</si>
  <si>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</si>
  <si>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</si>
  <si>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1BHK</t>
  </si>
  <si>
    <t>Proptiger</t>
  </si>
  <si>
    <t>Housing</t>
  </si>
  <si>
    <t>22100/-</t>
  </si>
  <si>
    <t>Carpet</t>
  </si>
  <si>
    <t>Approved Plan, CC</t>
  </si>
  <si>
    <t>C.certificate No</t>
  </si>
  <si>
    <t>39th Floor ( Part Refuge Floor)</t>
  </si>
  <si>
    <t>4th, 11th, 18th, 25th, 32nd Floor (Part Refuge Area)</t>
  </si>
  <si>
    <t>5BHK</t>
  </si>
  <si>
    <t>2nd, 3rd, 6th to 10th, 13th to 17th, 20th to 24th, 27th to 31st Floor</t>
  </si>
  <si>
    <t>Lower Basement Floor for Parking</t>
  </si>
  <si>
    <t>Middle Basement Floor for Parking</t>
  </si>
  <si>
    <t>Upper Basement Floor for Parking</t>
  </si>
  <si>
    <t>Ground Floor for Parking</t>
  </si>
  <si>
    <t>1st Podium Floor for Parking</t>
  </si>
  <si>
    <t>2nd Podium Floor for Parking</t>
  </si>
  <si>
    <t>3rd Podium Floor for Parking</t>
  </si>
  <si>
    <t>Podium Top Floor (Stilt Floor) for Parking</t>
  </si>
  <si>
    <t>46th Floor (Part Refuge Area)</t>
  </si>
  <si>
    <t>A Wing - Ivy</t>
  </si>
  <si>
    <t>B Wing - Daffodils</t>
  </si>
  <si>
    <t>C Wing - Iris</t>
  </si>
  <si>
    <t>D Wing - Marigold</t>
  </si>
  <si>
    <t>E Wing - Jasmine</t>
  </si>
  <si>
    <t>Recommended rate of the flat Per Sq. Ft. ( on Carpet Area )</t>
  </si>
  <si>
    <t>CHE/ES/1699/S/337 (New)</t>
  </si>
  <si>
    <t>M/s. Evie Real Estate Pvt. Ltd</t>
  </si>
  <si>
    <t>Construction details:</t>
  </si>
  <si>
    <t>Floors</t>
  </si>
  <si>
    <t xml:space="preserve">Stage of construction: </t>
  </si>
  <si>
    <t>All work Completed. Provide OC.</t>
  </si>
  <si>
    <t>Type of Work</t>
  </si>
  <si>
    <t>Slab/Floor</t>
  </si>
  <si>
    <t>Complition %</t>
  </si>
  <si>
    <t>Progress %</t>
  </si>
  <si>
    <t>Disbursement %</t>
  </si>
  <si>
    <t>All work Completed. OC Received.</t>
  </si>
  <si>
    <t>Excavation</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</si>
  <si>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</si>
  <si>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</si>
  <si>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</si>
  <si>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</si>
  <si>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</si>
  <si>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</si>
  <si>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</si>
  <si>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</si>
  <si>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</si>
  <si>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</si>
  <si>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Piling Work in process</t>
  </si>
  <si>
    <t>Basement 1</t>
  </si>
  <si>
    <t>Basement 2</t>
  </si>
  <si>
    <t>Basement 3</t>
  </si>
  <si>
    <t>Basement 4</t>
  </si>
  <si>
    <t>Axis Sanpada</t>
  </si>
  <si>
    <t>Type of Structure : RCC Framed Structure</t>
  </si>
  <si>
    <t>Recommended Car Parking</t>
  </si>
  <si>
    <t>Development Charges on RERA Carpet Area</t>
  </si>
  <si>
    <t>Floor rise rate Per Sq. Ft.</t>
  </si>
  <si>
    <t xml:space="preserve">Other Charges </t>
  </si>
  <si>
    <t>Google Map :</t>
  </si>
  <si>
    <t>Wing F = 3 Basement + Stilt/Ground + 3Podium + 1st to 50th Floor</t>
  </si>
  <si>
    <t>F Wing</t>
  </si>
  <si>
    <t>F wing</t>
  </si>
  <si>
    <t>2.5BHK</t>
  </si>
  <si>
    <t>2nd, 3rd, 6th to 10th &amp; 13th to 17th Floor</t>
  </si>
  <si>
    <t>5th &amp; 12th Floor</t>
  </si>
  <si>
    <t>4th, 11th &amp; 18th (Part Refuge Area)</t>
  </si>
  <si>
    <t>Proposed no of Floors</t>
  </si>
  <si>
    <t>Approved no of Floors</t>
  </si>
  <si>
    <t>Date of approval:</t>
  </si>
  <si>
    <t>Dated</t>
  </si>
  <si>
    <t>https://goo.gl/maps/vZj7BxMkrhofmZfR9</t>
  </si>
  <si>
    <t>19.133388,72.9313024</t>
  </si>
  <si>
    <t>Basement Floor for Parking &amp; Pump Room</t>
  </si>
  <si>
    <t>1st Floor for Residential</t>
  </si>
  <si>
    <t>19th to 24th, 27th to 31st &amp; 34th to 38th Floor</t>
  </si>
  <si>
    <t>Service Floor Between 18th &amp; 19th Floor</t>
  </si>
  <si>
    <t>26th &amp; 33rd Floor</t>
  </si>
  <si>
    <t>25th, 32nd &amp; 39th Floor (Part Refuge Area)</t>
  </si>
  <si>
    <t xml:space="preserve">CHE/ES/1699/S/337(NEW)/FCC/5/Amend
Valid Up to:
Further CC is extended for wing ‘A’ upto 50th floor, 'B' upto 50th floor, ‘C’ upto 50th floor, Wing ‘D’ upto 50th floor full CC for Wings ‘A’,’B’,’C’ &amp; ‘D’ &amp; full CC is re-endorsed for wing E upto 43rd floor as per approved amended plans dated 20.10.2020
</t>
  </si>
  <si>
    <t xml:space="preserve">Valid Upto Date
14/07/2022
</t>
  </si>
  <si>
    <t xml:space="preserve">Dated
</t>
  </si>
  <si>
    <t>CHE/ES/1699/S/337 (New)/337/16/Amend</t>
  </si>
  <si>
    <t>Approval Detail : Plan approval (Wing F)</t>
  </si>
  <si>
    <t>4.5BHK</t>
  </si>
  <si>
    <t>9833527629 rishi patak</t>
  </si>
  <si>
    <t>C.certificate No
Valid Upto :</t>
  </si>
  <si>
    <t>O. Certificate No.:
Valid Upto :</t>
  </si>
  <si>
    <t xml:space="preserve">Site Person - Contact Details ( Name &amp; Contact No.)
</t>
  </si>
  <si>
    <t xml:space="preserve">CHE/ES/1699/S/337(NEW)/OCC/1/New 
</t>
  </si>
  <si>
    <t>Wing D &amp; E in building no. 1 consisting of 1 level Basement (Pt) + Stilt floor (i.e. within the building line ) + 3 Level podiums (i.e. within the building line ) + podium top ( i.e. within the building line) + 1st to 25th upper floors including OHT &amp; Lift Machine room</t>
  </si>
  <si>
    <t>Full Occupation for Wing D &amp; E of building no. 1 consisting of common 1 level Basement (pt) + Stilt floor (pt) + 1st and 2nd Level podiums (pt) + 26th to 50th upper floors in wing D and 26th to 43rd upper floors in wing E + OHT &amp; Lift Machine room in continuation with earlier occupation certificate issued on 13 January 2023</t>
  </si>
  <si>
    <t xml:space="preserve">CHE/ES/1699/S/337(NEW)/OCC/2/New
</t>
  </si>
  <si>
    <t>part OC for Wings A, B &amp; C in building no. 1 consisting of common 1 level Basement (pt) + Stilt floor (pt) + 3 Level podiums (pt) + podium top (i.e. within the building line only) + 6th to 17th upper residential floors for wing A (except 1st to 5th floor and Lift no. 2 &amp; 3) and 1st to 12th upper residential floors for wing B (except Lift no. 2 &amp; 3) and 1st to 12th upper residential floors for wing C including OHT &amp; Lift Machine room)</t>
  </si>
  <si>
    <t xml:space="preserve">CHE/ES/1699/S/337(NEW)/OCC/3/New
</t>
  </si>
  <si>
    <t>Layout Plan :</t>
  </si>
  <si>
    <t>24500 TO 26500 BY Sanket on 30/10/2023.</t>
  </si>
  <si>
    <t>Other charges &amp; parking also on 30/10/2023</t>
  </si>
  <si>
    <t xml:space="preserve">CHE/ES/1699/S/337(NEW)/OCC/4/New
</t>
  </si>
  <si>
    <t>Part OC for Wing A, B &amp; C in building no. 1 consisting of common 1 level Basement (pt) + Stilt floor (pt) + 3 Level podiums (pt) + podium top (i.e. within the building line only) + 1st to 5th floor &amp; 18th to 50th upper residential floors for wing A and 13th to 45th upper residential floors for wing B and 13th to 45th upper residential floors for wing C including OHT &amp; Lift Machine room</t>
  </si>
  <si>
    <t>CHE/ES/1699/S/337(NEW)/FCC/7/Amend
Further C.C. is granted for wing 'F' upto 33rd upper floors and C.C. is re-endorsed for wing ‘B’ and ‘C’ of building u/r as per approved amended plan dated 27.03.2023.” as proposed by restricting C.C. for Temporary Site Office, area equivalent to 10% of instalment, EWS building subject to timely renewal of B.G., SWM NOC, Workmen’s compensation policy and taking all sorts of precautions during construction along with precautionary measures for air pollution.</t>
  </si>
  <si>
    <t>Office No. 1031, Wing J, Akshar Business Park, Plot No. 03 Sector 25, Near APMC Market, 
Vashi, Navi Mumbai, Maharashtra 400703 TEL: 022-46090378/79/80                                                                       
E mail : vsjcapf@gmail.com. Web site : www.vsjadon.com</t>
  </si>
  <si>
    <t>District</t>
  </si>
  <si>
    <t>Pin Code</t>
  </si>
  <si>
    <t>Distance from city centre:</t>
  </si>
  <si>
    <t>Full O.C. for Wing A, B &amp; C in building no. 1 consisting of common 1 level Basement (pt) + Stilt floor (pt) + 3 Level podiums (pt) + podium top (within building line) for wing A and 46th to 50th upper residential floors for wing B and wing C including OHT &amp; Lift Machine room in continuation with earlier occupation certificate issued on 13 January 2023, 17 March 2023, 22 June 2023 and 11 September 2023</t>
  </si>
  <si>
    <t>1.2Km Distance From Kanjur Railway Station</t>
  </si>
  <si>
    <t>Mr.Nandu : 7710065736 &amp; Mr.Dhareshi : 9769347990</t>
  </si>
  <si>
    <t>VR = 21500000</t>
  </si>
  <si>
    <t>170/- Floor rise from 2nd Habitable Floor</t>
  </si>
  <si>
    <t>26500 to 27000 &amp; 160 to 170Floor Rise by sanjay on 29/01/2025</t>
  </si>
  <si>
    <t>Valid Upto Date
08/02/2026</t>
  </si>
  <si>
    <t xml:space="preserve">P-3927/2019/(CTS Nos. 1004 And Other)/S Ward/KANJUR-E/OCC/1/New 
</t>
  </si>
  <si>
    <t>Part OC</t>
  </si>
  <si>
    <t>Basement Floor For STP, Fire Tank, Pump Room, Domestic Tank</t>
  </si>
  <si>
    <t>Ground Floor For Society Room, Meter Room, OWC Room, Panel Room, Fire Panel Room</t>
  </si>
  <si>
    <t>8th Floor For Residential (Part Refuge Area)</t>
  </si>
  <si>
    <t>15th Floor For Residential (Part Refuge Area)</t>
  </si>
  <si>
    <t>All work Completed. Part OC Received.</t>
  </si>
  <si>
    <t>P-3927/2019/(CTS Nos. 1004 And Other)/S Ward/KANJUR-E/337/2/Amend</t>
  </si>
  <si>
    <t>Valid Upto Date
21/06/2025</t>
  </si>
  <si>
    <t xml:space="preserve">Building No. 7 - No RERA No. </t>
  </si>
  <si>
    <t>Wing A - Ivy
Wing B - Daffodils 
Wing C - Iris
Wing D - Marigold 
Wing E - Jasmine
Wing F - Sunflower
EWS Building No. 7</t>
  </si>
  <si>
    <t>Wing A</t>
  </si>
  <si>
    <t>Runwal Wing A</t>
  </si>
  <si>
    <t>Open Plot</t>
  </si>
  <si>
    <t>Veer Savarkar Road</t>
  </si>
  <si>
    <t>As per Layout</t>
  </si>
  <si>
    <t>Other Plot</t>
  </si>
  <si>
    <t>12.20 M Wide Existing Road</t>
  </si>
  <si>
    <t>P-3927/2019/(CTS Nos. 1004 And Other)/S Ward/KANJUR-E/FCC/2/Amend
Valid Up to: 
Full C.C. is re- endorsed as per amended approved plan dated 05.03.2025, subject to timely renewal of B.G, SWM NOC, Workmen’s compensation policy and taking all sorts of precautions during construction and for air pollution.</t>
  </si>
  <si>
    <t xml:space="preserve">[P-3927/2019/(CTS Nos. 1004 And Other)/S Ward/KANJUR-E/OCC/1/New </t>
  </si>
  <si>
    <t>Valid Upto Date
05/10/2023</t>
  </si>
  <si>
    <t xml:space="preserve">C.certificate No
</t>
  </si>
  <si>
    <r>
      <t xml:space="preserve">P-3927/2019/(CTS Nos. 1004 And Other)/S
Ward/KANJUR-E/FCC/1/New
Valid Upto :
Full C.C.is granted for </t>
    </r>
    <r>
      <rPr>
        <b/>
        <sz val="11"/>
        <rFont val="Times New Roman"/>
        <family val="1"/>
      </rPr>
      <t xml:space="preserve">EWS building </t>
    </r>
    <r>
      <rPr>
        <sz val="11"/>
        <rFont val="Times New Roman"/>
        <family val="1"/>
      </rPr>
      <t>up to 22nd upper floors including OHT, lift machine room as per approved IOD plan dated 04.11.2020</t>
    </r>
  </si>
  <si>
    <t>Building No.7 = B + Gr + 1st to 21st Floor</t>
  </si>
  <si>
    <t>Wing A to E &amp; EWS Bldg No.7= Completed
Wing F = 31/12/2026</t>
  </si>
  <si>
    <t xml:space="preserve">Environmental Clearance Certificate (EC) No
Valid Up for: </t>
  </si>
  <si>
    <t>SIA/MH/MIS/72088/2017</t>
  </si>
  <si>
    <t>CTS. No. 1004, 1005, 1005/1, 1006, 1007(pt), 1007/3(pt), 1007/4, 1009(pt), 1009/5 &amp; 6, 1010(pt), 1013(pt), 1014(pt), 1014/1 to 6, 1017, 1017/1 to 6, 1018, 1018/1 to 9
Proposed BUA = 613114.60 Sq.M
EWS Building = B + Gr + 1st to 22nd Floor</t>
  </si>
  <si>
    <t xml:space="preserve"> P-3927/2019/(CTS Nos. 1004 And Other)/S Ward/KANJUR-E-CFO/1/New</t>
  </si>
  <si>
    <t xml:space="preserve">Fire Noc No
Valid Up to: </t>
  </si>
  <si>
    <t>EWS Building = G + 1st to 22nd upper residential floors (69.25 mtrs Height)</t>
  </si>
  <si>
    <t>EWS Building No. 7</t>
  </si>
  <si>
    <t>Power NOC No</t>
  </si>
  <si>
    <t>TLJ/REQ-372(PS)/393</t>
  </si>
  <si>
    <t xml:space="preserve">1st to 7th, 9th to 14th &amp; 16th to 21st Floor For Residential </t>
  </si>
  <si>
    <t>22nd Floor</t>
  </si>
  <si>
    <t xml:space="preserve">Power NOC : </t>
  </si>
  <si>
    <t>EWS Building No.7 = G + 1st to 22nd Floor</t>
  </si>
  <si>
    <t>EWS Bldg No. 7</t>
  </si>
  <si>
    <t>Garden Heights</t>
  </si>
  <si>
    <t>Runwal Bliss (Wing A to F) &amp; Garden Heights</t>
  </si>
  <si>
    <t>Approval Detail : Plan approval (Wing A to E)</t>
  </si>
  <si>
    <t>07 Buildings</t>
  </si>
  <si>
    <t>Wing E = 3 Basement + Stilt/Ground + 3Podium + 1st to 43rd Floor</t>
  </si>
  <si>
    <t>Wing A to D = 3 Basement + Stilt/Ground + 3Podium + 1st to 50th Floor</t>
  </si>
  <si>
    <t xml:space="preserve">Wing A - P51800001670 
Wing B - P51800005684 
Wing C - P51800001903 
Wing D - P51800001296 
Wing E - P51800001477
Wing F - P51800032824
Garden Heights (EWS Building No. 7) = Not Registered </t>
  </si>
  <si>
    <t>Approved no of units residential</t>
  </si>
  <si>
    <t>Flats - 1712</t>
  </si>
  <si>
    <r>
      <rPr>
        <b/>
        <sz val="11"/>
        <rFont val="Times New Roman"/>
        <family val="1"/>
      </rPr>
      <t xml:space="preserve">Wing A, B, C, D </t>
    </r>
    <r>
      <rPr>
        <sz val="11"/>
        <rFont val="Times New Roman"/>
        <family val="1"/>
      </rPr>
      <t xml:space="preserve">= LB + Middle Basement + Upper Basement + Gr + 1st To 3rd Podium + Podium Top + 1st To 50th Floor
</t>
    </r>
    <r>
      <rPr>
        <b/>
        <sz val="11"/>
        <rFont val="Times New Roman"/>
        <family val="1"/>
      </rPr>
      <t>Wing E</t>
    </r>
    <r>
      <rPr>
        <sz val="11"/>
        <rFont val="Times New Roman"/>
        <family val="1"/>
      </rPr>
      <t xml:space="preserve"> =  LB + Middle Basement + Upper Basement + Gr + 1st To 3rd Podium + Podium Top + 1st To 43rd Floor
</t>
    </r>
    <r>
      <rPr>
        <b/>
        <sz val="11"/>
        <rFont val="Times New Roman"/>
        <family val="1"/>
      </rPr>
      <t xml:space="preserve">Wing F </t>
    </r>
    <r>
      <rPr>
        <sz val="11"/>
        <rFont val="Times New Roman"/>
        <family val="1"/>
      </rPr>
      <t xml:space="preserve">=  Basement + Gr/Stilt + 1st To 3rd Podium + Podium Top + 1st To 40th Floor
</t>
    </r>
    <r>
      <rPr>
        <b/>
        <sz val="11"/>
        <rFont val="Times New Roman"/>
        <family val="1"/>
      </rPr>
      <t>EWS Building No.7 =</t>
    </r>
    <r>
      <rPr>
        <sz val="11"/>
        <rFont val="Times New Roman"/>
        <family val="1"/>
      </rPr>
      <t xml:space="preserve"> G + 1st to 22nd Floor</t>
    </r>
  </si>
  <si>
    <r>
      <rPr>
        <b/>
        <sz val="11"/>
        <rFont val="Times New Roman"/>
        <family val="1"/>
      </rPr>
      <t xml:space="preserve">Wing A, B, C, D, E &amp; F </t>
    </r>
    <r>
      <rPr>
        <sz val="11"/>
        <rFont val="Times New Roman"/>
        <family val="1"/>
      </rPr>
      <t xml:space="preserve">= 3 Basement + Stilt/Ground + 3Podium + 1st to 50th Floor
</t>
    </r>
    <r>
      <rPr>
        <b/>
        <sz val="11"/>
        <rFont val="Times New Roman"/>
        <family val="1"/>
      </rPr>
      <t>Wing E</t>
    </r>
    <r>
      <rPr>
        <sz val="11"/>
        <rFont val="Times New Roman"/>
        <family val="1"/>
      </rPr>
      <t xml:space="preserve"> = 3 Basement + Stilt/Ground + 3Podium + 1st to 43rd Floor
</t>
    </r>
    <r>
      <rPr>
        <b/>
        <sz val="11"/>
        <rFont val="Times New Roman"/>
        <family val="1"/>
      </rPr>
      <t>EWS Building No.7</t>
    </r>
    <r>
      <rPr>
        <sz val="11"/>
        <rFont val="Times New Roman"/>
        <family val="1"/>
      </rPr>
      <t xml:space="preserve"> = G + 1st to 22nd Floor</t>
    </r>
  </si>
  <si>
    <t>Expected Completion</t>
  </si>
  <si>
    <t>Wing A to E &amp; EWS Bldg No.7 = Completed
Wing F = 31/12/2026</t>
  </si>
  <si>
    <t>Quality of construction:</t>
  </si>
  <si>
    <t>Good</t>
  </si>
  <si>
    <t>Projected life of the structure:</t>
  </si>
  <si>
    <t>60 Years After Complition</t>
  </si>
  <si>
    <t>Material laying at Site</t>
  </si>
  <si>
    <t>Bricks, Cement &amp; Steel etc.</t>
  </si>
  <si>
    <t>Violations Observed if any :</t>
  </si>
  <si>
    <t>NA</t>
  </si>
  <si>
    <t>Wheather the construction is as per approved Building plan :</t>
  </si>
  <si>
    <t>Under Construction</t>
  </si>
  <si>
    <t>Proposed Amenities</t>
  </si>
  <si>
    <t>Recommended Rates of the Property : Runwal Bliss (Wing A to F)</t>
  </si>
  <si>
    <t>Recommended Rates of the Property : Garden Heights</t>
  </si>
  <si>
    <t>Distress valuation of the property Per Sq. Ft.</t>
  </si>
  <si>
    <t>DG Backup in Common Area, Speed Lift, Multiple Level Parking, CCTV Survelliance, Video Door Phone, Intercom Facility, Swimming Pool with Kids Pool, Indoor Games, Library, MultiPurpose Hall, Jogging Track, JacuzziYoga Room, etc.</t>
  </si>
  <si>
    <t>https://www.99acres.com/runwal-bliss-kanjurmarg-east-central-mumbai-suburbs-npxid-r91047#showModal</t>
  </si>
  <si>
    <t>Approval Detail : Plan approval (EWS Building No. 7)</t>
  </si>
  <si>
    <t>23500 to 25000</t>
  </si>
  <si>
    <t xml:space="preserve">bhargav </t>
  </si>
  <si>
    <t xml:space="preserve">Cost sheet </t>
  </si>
  <si>
    <t>Remarks:
1. A to E Wing = All work Completed. OC Received.
    F Wing = Construction work is in process at the time of visit. Internal photographs was not allowed.
   EWS Building No.7 = All work Completed. Part OC Received.
2. We considered Saleable area as per our calculation
3. We considered Carpet area as per Approved Plan.
4. We considered Gross carpet area = Net carpet + Enclose balcony + C.B Area +Utility Area.
5. We considered Flat rate as per Market Inquire.
6. Car parking is subjected to authentic documentation.
7. In Approved Plan of D Wing, from 40th to 50th Floor Flat no.1 &amp; 2 are merged and numbered it as Flat No.1
8. We have updated revised approved floor plan &amp; C.C (on 21/02/2022).
9. We have updated Part OC of Wing D &amp; E (on 27/01/2023 &amp; on 28/03/2023).
10. We have updated revised approved floor plans of Wing F (On 30/08/2023).
11. We Updated approved Full OC of Wing A, B &amp; C From MCGM site (on 20/03/2024).
12. We have updated revised approved CC (On 20/03/2024).
13. Validity of CC for F wing is expired on date 08/02/2024. Please provide latest CC.
14. On site we met Mr. nandu - 7710065736 &amp; Mr. Dhareshi - 9769347990.
15. We have referred Approved EC, Fire Noc &amp; HT Line Noc from MCGM Site on 31/03/2025
16. We have added project Garden Heights on 06/05/2025.
17.We have received approved Part OC dtd.26/03/2025 for Building No.7 = B + Gr + 1st to 21st Floor,
And approved CC &amp; approved plan dtd. 26/03/2025 for Building No.7 = B + Gr + 1st to 22nd Floor
Please Provide Full OC or RERA Certificate
18. Since Project Runwal Bliss Garden Heights is not registered on RERA site, we are releasing report on basis of Part
OC received (upto 21st Floor) for project. 22nd Floor should not be considered for Valuation till it receives further OC.
19. Recommended Rates/Other Charges of the Property have been revised on 30/10/2023, 29/01/2025 &amp; 25/08/2025.
8. Details collected from Miss. Aditi Dubey - 9653256964.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</si>
</sst>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0.00_);_(* \(#,##0.00\);_(* &quot;-&quot;??_);_(@_)"/>
    <numFmt numFmtId="165" formatCode="_(* #,##0_);_(* \(#,##0\);_(* &quot;-&quot;??_);_(@_)"/>
    <numFmt numFmtId="166" formatCode="0.0"/>
  </numFmts>
  <fonts count="30" x14ac:knownFonts="1">
    <font>
      <sz val="10"/>
      <color rgb="FF000000"/>
      <name val="Times New Roman"/>
      <charset val="204"/>
    </font>
    <font>
      <sz val="11"/>
      <color theme="1"/>
      <name val="Calibri"/>
      <family val="2"/>
      <scheme val="minor"/>
    </font>
    <font>
      <sz val="11"/>
      <color theme="1"/>
      <name val="Calibri"/>
      <family val="2"/>
      <scheme val="minor"/>
    </font>
    <font>
      <b/>
      <sz val="11"/>
      <name val="Times New Roman"/>
      <family val="1"/>
    </font>
    <font>
      <sz val="11"/>
      <name val="Times New Roman"/>
      <family val="1"/>
    </font>
    <font>
      <sz val="11"/>
      <color rgb="FF000000"/>
      <name val="Times New Roman"/>
      <family val="2"/>
    </font>
    <font>
      <sz val="10.5"/>
      <name val="Georgia"/>
      <family val="1"/>
    </font>
    <font>
      <sz val="10"/>
      <color rgb="FF000000"/>
      <name val="Times New Roman"/>
      <family val="1"/>
    </font>
    <font>
      <b/>
      <sz val="11"/>
      <color rgb="FF000000"/>
      <name val="Times New Roman"/>
      <family val="1"/>
    </font>
    <font>
      <sz val="11"/>
      <color rgb="FF000000"/>
      <name val="Times New Roman"/>
      <family val="1"/>
    </font>
    <font>
      <b/>
      <sz val="11"/>
      <color theme="1"/>
      <name val="Times New Roman"/>
      <family val="1"/>
    </font>
    <font>
      <b/>
      <sz val="12"/>
      <color indexed="8"/>
      <name val="Times New Roman"/>
      <family val="1"/>
    </font>
    <font>
      <b/>
      <sz val="11"/>
      <color indexed="8"/>
      <name val="Times New Roman"/>
      <family val="1"/>
    </font>
    <font>
      <sz val="12"/>
      <color indexed="8"/>
      <name val="Times New Roman"/>
      <family val="1"/>
    </font>
    <font>
      <sz val="11"/>
      <color rgb="FFFF0000"/>
      <name val="Calibri"/>
      <family val="2"/>
      <scheme val="minor"/>
    </font>
    <font>
      <b/>
      <sz val="11"/>
      <color theme="1"/>
      <name val="Calibri"/>
      <family val="2"/>
      <scheme val="minor"/>
    </font>
    <font>
      <sz val="12"/>
      <name val="Times New Roman"/>
      <family val="1"/>
    </font>
    <font>
      <sz val="11"/>
      <color indexed="8"/>
      <name val="Calibri"/>
      <family val="2"/>
    </font>
    <font>
      <sz val="11"/>
      <color rgb="FFFF0000"/>
      <name val="Calibri"/>
      <family val="2"/>
    </font>
    <font>
      <sz val="8"/>
      <name val="Times New Roman"/>
      <family val="1"/>
    </font>
    <font>
      <b/>
      <sz val="11"/>
      <color indexed="8"/>
      <name val="Calibri"/>
      <family val="2"/>
    </font>
    <font>
      <sz val="11"/>
      <color theme="1"/>
      <name val="Times New Roman"/>
      <family val="1"/>
    </font>
    <font>
      <sz val="10"/>
      <name val="Times New Roman"/>
      <family val="1"/>
    </font>
    <font>
      <b/>
      <sz val="12"/>
      <color rgb="FF000000"/>
      <name val="Times New Roman"/>
      <family val="1"/>
    </font>
    <font>
      <sz val="10"/>
      <color rgb="FFFF0000"/>
      <name val="Times New Roman"/>
      <family val="1"/>
    </font>
    <font>
      <b/>
      <sz val="10"/>
      <color rgb="FF000000"/>
      <name val="Times New Roman"/>
      <family val="1"/>
    </font>
    <font>
      <u/>
      <sz val="10"/>
      <color theme="10"/>
      <name val="Times New Roman"/>
      <family val="1"/>
    </font>
    <font>
      <b/>
      <sz val="12"/>
      <name val="Times New Roman"/>
      <family val="1"/>
    </font>
    <font>
      <b/>
      <sz val="10"/>
      <color rgb="FFFF0000"/>
      <name val="Times New Roman"/>
      <family val="1"/>
    </font>
    <font>
      <sz val="12"/>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7">
    <xf numFmtId="0" fontId="0" fillId="0" borderId="0"/>
    <xf numFmtId="9" fontId="7" fillId="0" borderId="0" applyFont="0" applyFill="0" applyBorder="0" applyAlignment="0" applyProtection="0"/>
    <xf numFmtId="0" fontId="2" fillId="0" borderId="0"/>
    <xf numFmtId="0" fontId="17" fillId="0" borderId="0"/>
    <xf numFmtId="0" fontId="1" fillId="0" borderId="0"/>
    <xf numFmtId="164" fontId="17" fillId="0" borderId="0" applyFont="0" applyFill="0" applyBorder="0" applyAlignment="0" applyProtection="0"/>
    <xf numFmtId="0" fontId="26" fillId="0" borderId="0" applyNumberFormat="0" applyFill="0" applyBorder="0" applyAlignment="0" applyProtection="0"/>
  </cellStyleXfs>
  <cellXfs count="219">
    <xf numFmtId="0" fontId="0" fillId="0" borderId="0" xfId="0" applyAlignment="1">
      <alignment horizontal="left" vertical="top"/>
    </xf>
    <xf numFmtId="0" fontId="3" fillId="0" borderId="0" xfId="0" applyFont="1" applyAlignment="1">
      <alignment vertical="top" wrapText="1"/>
    </xf>
    <xf numFmtId="9" fontId="0" fillId="0" borderId="0" xfId="0" applyNumberFormat="1" applyAlignment="1">
      <alignment horizontal="left" vertical="top"/>
    </xf>
    <xf numFmtId="0" fontId="9" fillId="0" borderId="1" xfId="0" applyFont="1" applyBorder="1"/>
    <xf numFmtId="0" fontId="9" fillId="0" borderId="0" xfId="0" applyFont="1"/>
    <xf numFmtId="0" fontId="9" fillId="2" borderId="1" xfId="0" applyFont="1" applyFill="1" applyBorder="1"/>
    <xf numFmtId="0" fontId="10" fillId="0" borderId="1" xfId="0" applyFont="1" applyBorder="1" applyAlignment="1">
      <alignment horizontal="center"/>
    </xf>
    <xf numFmtId="0" fontId="10" fillId="0" borderId="0" xfId="0" applyFont="1" applyAlignment="1">
      <alignment horizontal="center"/>
    </xf>
    <xf numFmtId="0" fontId="9" fillId="0" borderId="1" xfId="0" applyFont="1" applyBorder="1" applyAlignment="1">
      <alignment horizontal="center"/>
    </xf>
    <xf numFmtId="0" fontId="9" fillId="2" borderId="1" xfId="0" applyFont="1" applyFill="1" applyBorder="1" applyAlignment="1">
      <alignment horizontal="center"/>
    </xf>
    <xf numFmtId="9" fontId="9" fillId="0" borderId="0" xfId="1" applyFont="1" applyBorder="1"/>
    <xf numFmtId="0" fontId="8" fillId="0" borderId="1" xfId="0" applyFont="1" applyBorder="1" applyAlignment="1">
      <alignment horizontal="center"/>
    </xf>
    <xf numFmtId="0" fontId="9" fillId="0" borderId="0" xfId="0" applyFont="1" applyAlignment="1">
      <alignment horizontal="right"/>
    </xf>
    <xf numFmtId="0" fontId="9" fillId="0" borderId="0" xfId="0" applyFont="1" applyAlignment="1">
      <alignment wrapText="1"/>
    </xf>
    <xf numFmtId="0" fontId="9" fillId="0" borderId="2" xfId="0" applyFont="1" applyBorder="1"/>
    <xf numFmtId="0" fontId="9" fillId="0" borderId="1" xfId="0" applyFont="1" applyBorder="1" applyAlignment="1">
      <alignment wrapText="1"/>
    </xf>
    <xf numFmtId="9" fontId="9" fillId="0" borderId="1" xfId="1" applyFont="1" applyBorder="1"/>
    <xf numFmtId="9" fontId="9" fillId="0" borderId="0" xfId="0" applyNumberFormat="1" applyFont="1"/>
    <xf numFmtId="1" fontId="11" fillId="0" borderId="1" xfId="2" applyNumberFormat="1" applyFont="1" applyBorder="1" applyAlignment="1" applyProtection="1">
      <alignment horizontal="center" vertical="top" wrapText="1"/>
      <protection locked="0"/>
    </xf>
    <xf numFmtId="1" fontId="13" fillId="0" borderId="1" xfId="2" applyNumberFormat="1" applyFont="1" applyBorder="1" applyAlignment="1" applyProtection="1">
      <alignment horizontal="center" vertical="center" wrapText="1"/>
      <protection locked="0"/>
    </xf>
    <xf numFmtId="0" fontId="7" fillId="0" borderId="0" xfId="0" applyFont="1" applyAlignment="1">
      <alignment horizontal="left" vertical="top"/>
    </xf>
    <xf numFmtId="1" fontId="16" fillId="0" borderId="1" xfId="2" applyNumberFormat="1" applyFont="1" applyBorder="1" applyAlignment="1" applyProtection="1">
      <alignment horizontal="center" vertical="center" wrapText="1"/>
      <protection locked="0"/>
    </xf>
    <xf numFmtId="1" fontId="11" fillId="0" borderId="1" xfId="2" applyNumberFormat="1" applyFont="1" applyBorder="1" applyAlignment="1" applyProtection="1">
      <alignment vertical="center" wrapText="1"/>
      <protection locked="0"/>
    </xf>
    <xf numFmtId="1" fontId="11" fillId="0" borderId="1" xfId="2" applyNumberFormat="1" applyFont="1" applyBorder="1" applyAlignment="1" applyProtection="1">
      <alignment horizontal="center" vertical="center" wrapText="1"/>
      <protection locked="0"/>
    </xf>
    <xf numFmtId="14" fontId="0" fillId="0" borderId="0" xfId="0" applyNumberFormat="1" applyAlignment="1">
      <alignment horizontal="left" vertical="top"/>
    </xf>
    <xf numFmtId="0" fontId="17" fillId="0" borderId="0" xfId="3"/>
    <xf numFmtId="0" fontId="1" fillId="0" borderId="0" xfId="4"/>
    <xf numFmtId="0" fontId="15" fillId="0" borderId="1" xfId="4" applyFont="1" applyBorder="1" applyAlignment="1">
      <alignment horizontal="center" vertical="top" wrapText="1"/>
    </xf>
    <xf numFmtId="0" fontId="1" fillId="0" borderId="1" xfId="4" applyBorder="1" applyAlignment="1">
      <alignment horizontal="center" vertical="center"/>
    </xf>
    <xf numFmtId="0" fontId="1" fillId="0" borderId="1" xfId="4" applyBorder="1" applyAlignment="1">
      <alignment horizontal="left" vertical="center"/>
    </xf>
    <xf numFmtId="1" fontId="1" fillId="0" borderId="1" xfId="4" applyNumberFormat="1" applyBorder="1" applyAlignment="1">
      <alignment horizontal="center" vertical="center"/>
    </xf>
    <xf numFmtId="165" fontId="1" fillId="0" borderId="1" xfId="5" applyNumberFormat="1" applyFont="1" applyBorder="1" applyAlignment="1">
      <alignment horizontal="right" vertical="center"/>
    </xf>
    <xf numFmtId="0" fontId="15" fillId="0" borderId="1" xfId="4" applyFont="1" applyBorder="1" applyAlignment="1">
      <alignment horizontal="center" vertical="center"/>
    </xf>
    <xf numFmtId="1" fontId="14" fillId="0" borderId="1" xfId="4" applyNumberFormat="1" applyFont="1" applyBorder="1" applyAlignment="1">
      <alignment horizontal="center" vertical="center"/>
    </xf>
    <xf numFmtId="0" fontId="17" fillId="0" borderId="1" xfId="3" applyBorder="1" applyAlignment="1">
      <alignment horizontal="center" vertical="center"/>
    </xf>
    <xf numFmtId="0" fontId="18" fillId="0" borderId="0" xfId="3" applyFont="1"/>
    <xf numFmtId="14" fontId="17" fillId="0" borderId="0" xfId="3" applyNumberFormat="1"/>
    <xf numFmtId="43" fontId="17" fillId="0" borderId="0" xfId="3" applyNumberFormat="1"/>
    <xf numFmtId="0" fontId="20" fillId="0" borderId="0" xfId="3" applyFont="1"/>
    <xf numFmtId="0" fontId="9" fillId="0" borderId="0" xfId="0" applyFont="1" applyProtection="1">
      <protection hidden="1"/>
    </xf>
    <xf numFmtId="9" fontId="9" fillId="0" borderId="0" xfId="0" applyNumberFormat="1" applyFont="1" applyProtection="1">
      <protection hidden="1"/>
    </xf>
    <xf numFmtId="0" fontId="9" fillId="0" borderId="11" xfId="0" applyFont="1" applyBorder="1" applyProtection="1">
      <protection hidden="1"/>
    </xf>
    <xf numFmtId="0" fontId="9" fillId="0" borderId="12" xfId="0" applyFont="1" applyBorder="1" applyProtection="1">
      <protection hidden="1"/>
    </xf>
    <xf numFmtId="9" fontId="9" fillId="0" borderId="12" xfId="0" applyNumberFormat="1" applyFont="1" applyBorder="1" applyProtection="1">
      <protection hidden="1"/>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23" fillId="0" borderId="0" xfId="0" applyFont="1" applyAlignment="1">
      <alignment horizontal="left" vertical="top"/>
    </xf>
    <xf numFmtId="0" fontId="24" fillId="0" borderId="0" xfId="0" applyFont="1" applyAlignment="1">
      <alignment horizontal="left" vertical="top"/>
    </xf>
    <xf numFmtId="0" fontId="9" fillId="0" borderId="0" xfId="0" applyFont="1" applyAlignment="1">
      <alignment horizontal="left" vertical="top"/>
    </xf>
    <xf numFmtId="0" fontId="21" fillId="0" borderId="9" xfId="2" applyFont="1" applyBorder="1" applyProtection="1">
      <protection hidden="1"/>
    </xf>
    <xf numFmtId="0" fontId="21" fillId="0" borderId="10" xfId="2" applyFont="1" applyBorder="1" applyProtection="1">
      <protection hidden="1"/>
    </xf>
    <xf numFmtId="0" fontId="4" fillId="0" borderId="1" xfId="2" applyFont="1" applyBorder="1" applyAlignment="1" applyProtection="1">
      <alignment horizontal="center" vertical="top"/>
      <protection locked="0"/>
    </xf>
    <xf numFmtId="0" fontId="21" fillId="0" borderId="0" xfId="2" applyFont="1" applyProtection="1">
      <protection hidden="1"/>
    </xf>
    <xf numFmtId="0" fontId="21" fillId="0" borderId="11" xfId="2" applyFont="1" applyBorder="1" applyProtection="1">
      <protection hidden="1"/>
    </xf>
    <xf numFmtId="0" fontId="21" fillId="0" borderId="0" xfId="2" applyFont="1"/>
    <xf numFmtId="0" fontId="21" fillId="0" borderId="11" xfId="2" applyFont="1" applyBorder="1"/>
    <xf numFmtId="0" fontId="4" fillId="0" borderId="1" xfId="2" applyFont="1" applyBorder="1" applyAlignment="1" applyProtection="1">
      <alignment horizontal="center" wrapText="1"/>
      <protection locked="0"/>
    </xf>
    <xf numFmtId="1" fontId="4" fillId="0" borderId="1" xfId="2" applyNumberFormat="1" applyFont="1" applyBorder="1" applyAlignment="1" applyProtection="1">
      <alignment horizontal="center" wrapText="1"/>
      <protection locked="0"/>
    </xf>
    <xf numFmtId="1" fontId="9" fillId="0" borderId="11" xfId="0" applyNumberFormat="1" applyFont="1" applyBorder="1"/>
    <xf numFmtId="1" fontId="9" fillId="0" borderId="0" xfId="0" applyNumberFormat="1" applyFont="1"/>
    <xf numFmtId="166" fontId="9" fillId="0" borderId="0" xfId="0" applyNumberFormat="1" applyFont="1"/>
    <xf numFmtId="1" fontId="9" fillId="0" borderId="11" xfId="0" applyNumberFormat="1" applyFont="1" applyBorder="1" applyAlignment="1">
      <alignment horizontal="right"/>
    </xf>
    <xf numFmtId="0" fontId="9" fillId="0" borderId="11" xfId="0" applyFont="1" applyBorder="1"/>
    <xf numFmtId="1" fontId="9" fillId="0" borderId="13" xfId="0" applyNumberFormat="1" applyFont="1" applyBorder="1"/>
    <xf numFmtId="0" fontId="4" fillId="0" borderId="23" xfId="2" applyFont="1" applyBorder="1" applyAlignment="1" applyProtection="1">
      <alignment horizontal="center" vertical="top"/>
      <protection locked="0"/>
    </xf>
    <xf numFmtId="0" fontId="4" fillId="0" borderId="24" xfId="2" applyFont="1" applyBorder="1" applyAlignment="1" applyProtection="1">
      <alignment horizontal="center" vertical="top"/>
      <protection locked="0"/>
    </xf>
    <xf numFmtId="9" fontId="4" fillId="3" borderId="1" xfId="2" applyNumberFormat="1" applyFont="1" applyFill="1" applyBorder="1" applyAlignment="1" applyProtection="1">
      <alignment horizontal="center" vertical="center" wrapText="1"/>
      <protection hidden="1"/>
    </xf>
    <xf numFmtId="0" fontId="25" fillId="0" borderId="0" xfId="0" applyFont="1" applyAlignment="1">
      <alignment horizontal="left" vertical="top"/>
    </xf>
    <xf numFmtId="0" fontId="21" fillId="0" borderId="0" xfId="2" applyFont="1" applyAlignment="1" applyProtection="1">
      <alignment horizontal="center" vertical="center"/>
      <protection hidden="1"/>
    </xf>
    <xf numFmtId="0" fontId="21" fillId="0" borderId="11" xfId="2" applyFont="1" applyBorder="1" applyAlignment="1" applyProtection="1">
      <alignment horizontal="center" vertical="center"/>
      <protection hidden="1"/>
    </xf>
    <xf numFmtId="0" fontId="0" fillId="0" borderId="0" xfId="0" applyAlignment="1">
      <alignment horizontal="center" vertical="center"/>
    </xf>
    <xf numFmtId="0" fontId="4" fillId="0" borderId="19" xfId="2" applyFont="1" applyBorder="1" applyAlignment="1" applyProtection="1">
      <alignment horizontal="center" vertical="top" wrapText="1"/>
      <protection locked="0"/>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1" fontId="7" fillId="0" borderId="0" xfId="0" applyNumberFormat="1" applyFont="1" applyAlignment="1">
      <alignment horizontal="left" vertical="top"/>
    </xf>
    <xf numFmtId="0" fontId="28" fillId="0" borderId="0" xfId="0" applyFont="1" applyAlignment="1">
      <alignment horizontal="left" vertical="top"/>
    </xf>
    <xf numFmtId="0" fontId="13" fillId="0" borderId="1" xfId="2" applyFont="1" applyBorder="1" applyAlignment="1">
      <alignment horizontal="center" vertical="center" wrapText="1"/>
    </xf>
    <xf numFmtId="1" fontId="29" fillId="0" borderId="1" xfId="0" applyNumberFormat="1" applyFont="1" applyBorder="1" applyAlignment="1">
      <alignment horizontal="center" vertical="top"/>
    </xf>
    <xf numFmtId="0" fontId="4" fillId="0" borderId="1" xfId="2" applyFont="1" applyBorder="1" applyAlignment="1" applyProtection="1">
      <alignment horizontal="center" vertical="top" wrapText="1"/>
      <protection locked="0"/>
    </xf>
    <xf numFmtId="0" fontId="4" fillId="0" borderId="2" xfId="2" applyFont="1" applyBorder="1" applyAlignment="1" applyProtection="1">
      <alignment horizontal="center" wrapText="1"/>
      <protection locked="0"/>
    </xf>
    <xf numFmtId="9" fontId="4" fillId="3" borderId="2" xfId="2" applyNumberFormat="1" applyFont="1" applyFill="1" applyBorder="1" applyAlignment="1" applyProtection="1">
      <alignment horizontal="center" vertical="center" wrapText="1"/>
      <protection hidden="1"/>
    </xf>
    <xf numFmtId="0" fontId="26" fillId="0" borderId="0" xfId="6" applyAlignment="1">
      <alignment horizontal="left" vertical="top"/>
    </xf>
    <xf numFmtId="0" fontId="4" fillId="0" borderId="1" xfId="0" applyFont="1" applyBorder="1" applyAlignment="1">
      <alignment horizontal="left" vertical="top" wrapText="1"/>
    </xf>
    <xf numFmtId="0" fontId="4" fillId="0" borderId="1" xfId="2" applyFont="1" applyBorder="1" applyAlignment="1" applyProtection="1">
      <alignment horizontal="center" vertical="top" wrapText="1"/>
      <protection locked="0"/>
    </xf>
    <xf numFmtId="9" fontId="4" fillId="3" borderId="1" xfId="2" applyNumberFormat="1" applyFont="1" applyFill="1" applyBorder="1" applyAlignment="1" applyProtection="1">
      <alignment horizontal="center" vertical="center" wrapText="1"/>
      <protection hidden="1"/>
    </xf>
    <xf numFmtId="14" fontId="4" fillId="0" borderId="1" xfId="0" applyNumberFormat="1" applyFont="1" applyBorder="1" applyAlignment="1">
      <alignment horizontal="left" vertical="top" wrapText="1"/>
    </xf>
    <xf numFmtId="0" fontId="4" fillId="0" borderId="1" xfId="0" applyFont="1" applyBorder="1" applyAlignment="1">
      <alignment vertical="top" wrapText="1"/>
    </xf>
    <xf numFmtId="9" fontId="4" fillId="3" borderId="2" xfId="2" applyNumberFormat="1" applyFont="1" applyFill="1" applyBorder="1" applyAlignment="1" applyProtection="1">
      <alignment horizontal="center" vertical="center" wrapText="1"/>
      <protection hidden="1"/>
    </xf>
    <xf numFmtId="0" fontId="21" fillId="0" borderId="1" xfId="0" applyFont="1" applyBorder="1" applyAlignment="1">
      <alignment horizontal="left" vertical="top" wrapText="1"/>
    </xf>
    <xf numFmtId="3" fontId="21" fillId="0" borderId="1" xfId="0" applyNumberFormat="1" applyFont="1" applyBorder="1" applyAlignment="1">
      <alignment horizontal="left" vertical="top" shrinkToFi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3" fillId="0" borderId="25" xfId="2"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9" fontId="3" fillId="0" borderId="3" xfId="2" applyNumberFormat="1" applyFont="1" applyBorder="1" applyAlignment="1" applyProtection="1">
      <alignment horizontal="center" vertical="center" wrapText="1"/>
      <protection locked="0"/>
    </xf>
    <xf numFmtId="0" fontId="3" fillId="0" borderId="4" xfId="2" applyFont="1" applyBorder="1" applyAlignment="1" applyProtection="1">
      <alignment horizontal="center" vertical="center" wrapText="1"/>
      <protection locked="0"/>
    </xf>
    <xf numFmtId="0" fontId="3" fillId="0" borderId="31" xfId="2" applyFont="1" applyBorder="1" applyAlignment="1" applyProtection="1">
      <alignment horizontal="center" vertical="center" wrapText="1"/>
      <protection locked="0"/>
    </xf>
    <xf numFmtId="0" fontId="3" fillId="0" borderId="30"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0" fontId="3" fillId="0" borderId="26" xfId="2" applyFont="1" applyBorder="1" applyAlignment="1" applyProtection="1">
      <alignment horizontal="center" vertical="center" wrapText="1"/>
      <protection locked="0"/>
    </xf>
    <xf numFmtId="0" fontId="3" fillId="0" borderId="13" xfId="2" applyFont="1" applyBorder="1" applyAlignment="1" applyProtection="1">
      <alignment horizontal="center" vertical="center" wrapText="1"/>
      <protection locked="0"/>
    </xf>
    <xf numFmtId="0" fontId="3"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3" fillId="0" borderId="20" xfId="2" applyFont="1" applyBorder="1" applyAlignment="1" applyProtection="1">
      <alignment horizontal="center" vertical="top" wrapText="1"/>
      <protection locked="0"/>
    </xf>
    <xf numFmtId="0" fontId="3" fillId="0" borderId="21" xfId="2" applyFont="1" applyBorder="1" applyAlignment="1" applyProtection="1">
      <alignment horizontal="center" vertical="top" wrapText="1"/>
      <protection locked="0"/>
    </xf>
    <xf numFmtId="14" fontId="4" fillId="0" borderId="1" xfId="0" applyNumberFormat="1" applyFont="1" applyBorder="1" applyAlignment="1">
      <alignment horizontal="left" vertical="top" wrapText="1"/>
    </xf>
    <xf numFmtId="0" fontId="3" fillId="0" borderId="0" xfId="0" applyFont="1" applyAlignment="1">
      <alignment horizontal="left" vertical="top" wrapText="1"/>
    </xf>
    <xf numFmtId="0" fontId="4" fillId="0" borderId="1" xfId="0" applyFont="1" applyBorder="1" applyAlignment="1">
      <alignment vertical="top" wrapText="1"/>
    </xf>
    <xf numFmtId="0" fontId="4" fillId="0" borderId="2" xfId="0" applyFont="1" applyBorder="1" applyAlignment="1">
      <alignment horizontal="left" vertical="top" wrapText="1"/>
    </xf>
    <xf numFmtId="0" fontId="4" fillId="0" borderId="19" xfId="0" applyFont="1" applyBorder="1" applyAlignment="1">
      <alignment horizontal="left" vertical="top" wrapText="1"/>
    </xf>
    <xf numFmtId="9" fontId="4" fillId="3" borderId="1" xfId="2" applyNumberFormat="1" applyFont="1" applyFill="1" applyBorder="1" applyAlignment="1" applyProtection="1">
      <alignment horizontal="center" vertical="center" wrapText="1"/>
      <protection hidden="1"/>
    </xf>
    <xf numFmtId="9" fontId="4" fillId="3" borderId="2" xfId="2" applyNumberFormat="1" applyFont="1" applyFill="1" applyBorder="1" applyAlignment="1" applyProtection="1">
      <alignment horizontal="center" vertical="center" wrapText="1"/>
      <protection hidden="1"/>
    </xf>
    <xf numFmtId="9" fontId="4" fillId="3" borderId="24" xfId="2" applyNumberFormat="1" applyFont="1" applyFill="1" applyBorder="1" applyAlignment="1" applyProtection="1">
      <alignment horizontal="center" vertical="center" wrapText="1"/>
      <protection hidden="1"/>
    </xf>
    <xf numFmtId="9" fontId="4" fillId="3" borderId="32" xfId="2" applyNumberFormat="1" applyFont="1" applyFill="1" applyBorder="1" applyAlignment="1" applyProtection="1">
      <alignment horizontal="center" vertical="center" wrapText="1"/>
      <protection hidden="1"/>
    </xf>
    <xf numFmtId="0" fontId="4" fillId="0" borderId="23" xfId="2" applyFont="1" applyBorder="1" applyAlignment="1" applyProtection="1">
      <alignment horizontal="center" vertical="top" wrapText="1"/>
      <protection locked="0"/>
    </xf>
    <xf numFmtId="0" fontId="4" fillId="0" borderId="1" xfId="2" applyFont="1" applyBorder="1" applyAlignment="1" applyProtection="1">
      <alignment horizontal="center" vertical="top" wrapText="1"/>
      <protection locked="0"/>
    </xf>
    <xf numFmtId="1" fontId="11" fillId="0" borderId="16" xfId="2" applyNumberFormat="1" applyFont="1" applyBorder="1" applyAlignment="1" applyProtection="1">
      <alignment horizontal="center" vertical="center" wrapText="1"/>
      <protection locked="0"/>
    </xf>
    <xf numFmtId="1" fontId="11" fillId="0" borderId="17" xfId="2" applyNumberFormat="1" applyFont="1" applyBorder="1" applyAlignment="1" applyProtection="1">
      <alignment horizontal="center" vertical="center" wrapText="1"/>
      <protection locked="0"/>
    </xf>
    <xf numFmtId="1" fontId="11" fillId="0" borderId="18" xfId="2" applyNumberFormat="1" applyFont="1" applyBorder="1" applyAlignment="1" applyProtection="1">
      <alignment horizontal="center" vertical="center" wrapText="1"/>
      <protection locked="0"/>
    </xf>
    <xf numFmtId="1" fontId="13" fillId="0" borderId="1" xfId="2" applyNumberFormat="1" applyFont="1" applyBorder="1" applyAlignment="1" applyProtection="1">
      <alignment horizontal="center" vertical="center" wrapText="1"/>
      <protection locked="0"/>
    </xf>
    <xf numFmtId="1" fontId="13" fillId="0" borderId="3" xfId="2" applyNumberFormat="1" applyFont="1" applyBorder="1" applyAlignment="1" applyProtection="1">
      <alignment horizontal="center" vertical="center" wrapText="1"/>
      <protection locked="0"/>
    </xf>
    <xf numFmtId="1" fontId="13" fillId="0" borderId="14" xfId="2" applyNumberFormat="1" applyFont="1" applyBorder="1" applyAlignment="1" applyProtection="1">
      <alignment horizontal="center" vertical="center" wrapText="1"/>
      <protection locked="0"/>
    </xf>
    <xf numFmtId="1" fontId="13" fillId="0" borderId="4" xfId="2" applyNumberFormat="1" applyFont="1" applyBorder="1" applyAlignment="1" applyProtection="1">
      <alignment horizontal="center" vertical="center" wrapText="1"/>
      <protection locked="0"/>
    </xf>
    <xf numFmtId="1" fontId="13" fillId="0" borderId="5" xfId="2" applyNumberFormat="1" applyFont="1" applyBorder="1" applyAlignment="1" applyProtection="1">
      <alignment horizontal="center" vertical="center" wrapText="1"/>
      <protection locked="0"/>
    </xf>
    <xf numFmtId="1" fontId="13" fillId="0" borderId="0" xfId="2" applyNumberFormat="1" applyFont="1" applyAlignment="1" applyProtection="1">
      <alignment horizontal="center" vertical="center" wrapText="1"/>
      <protection locked="0"/>
    </xf>
    <xf numFmtId="1" fontId="13" fillId="0" borderId="6" xfId="2" applyNumberFormat="1" applyFont="1" applyBorder="1" applyAlignment="1" applyProtection="1">
      <alignment horizontal="center" vertical="center" wrapText="1"/>
      <protection locked="0"/>
    </xf>
    <xf numFmtId="1" fontId="13" fillId="0" borderId="7" xfId="2" applyNumberFormat="1" applyFont="1" applyBorder="1" applyAlignment="1" applyProtection="1">
      <alignment horizontal="center" vertical="center" wrapText="1"/>
      <protection locked="0"/>
    </xf>
    <xf numFmtId="1" fontId="13" fillId="0" borderId="15" xfId="2" applyNumberFormat="1" applyFont="1" applyBorder="1" applyAlignment="1" applyProtection="1">
      <alignment horizontal="center" vertical="center" wrapText="1"/>
      <protection locked="0"/>
    </xf>
    <xf numFmtId="1" fontId="13" fillId="0" borderId="8" xfId="2" applyNumberFormat="1" applyFont="1" applyBorder="1" applyAlignment="1" applyProtection="1">
      <alignment horizontal="center" vertical="center" wrapText="1"/>
      <protection locked="0"/>
    </xf>
    <xf numFmtId="0" fontId="3" fillId="5" borderId="1" xfId="0" applyFont="1" applyFill="1" applyBorder="1" applyAlignment="1">
      <alignment horizontal="left" vertical="top" wrapText="1"/>
    </xf>
    <xf numFmtId="14" fontId="3" fillId="5" borderId="1" xfId="0" applyNumberFormat="1" applyFont="1" applyFill="1" applyBorder="1" applyAlignment="1">
      <alignment horizontal="left" vertical="top" wrapText="1"/>
    </xf>
    <xf numFmtId="0" fontId="0" fillId="0" borderId="1" xfId="0" applyBorder="1" applyAlignment="1">
      <alignment horizontal="left" vertical="top" wrapText="1"/>
    </xf>
    <xf numFmtId="2" fontId="21" fillId="0" borderId="1" xfId="0" applyNumberFormat="1" applyFont="1" applyBorder="1" applyAlignment="1">
      <alignment horizontal="left" vertical="top" shrinkToFit="1"/>
    </xf>
    <xf numFmtId="14" fontId="4" fillId="0" borderId="16" xfId="0" applyNumberFormat="1" applyFont="1" applyBorder="1" applyAlignment="1">
      <alignment horizontal="left" vertical="top" wrapText="1"/>
    </xf>
    <xf numFmtId="0" fontId="4" fillId="0" borderId="1" xfId="0" applyFont="1" applyBorder="1" applyAlignment="1">
      <alignment horizontal="center" vertical="center" wrapText="1"/>
    </xf>
    <xf numFmtId="0" fontId="4" fillId="0" borderId="27" xfId="2" applyFont="1" applyBorder="1" applyAlignment="1" applyProtection="1">
      <alignment horizontal="center" vertical="top" wrapText="1"/>
      <protection locked="0"/>
    </xf>
    <xf numFmtId="0" fontId="4" fillId="0" borderId="19" xfId="2" applyFont="1" applyBorder="1" applyAlignment="1" applyProtection="1">
      <alignment horizontal="center" vertical="top" wrapText="1"/>
      <protection locked="0"/>
    </xf>
    <xf numFmtId="0" fontId="4" fillId="0" borderId="28" xfId="2" applyFont="1" applyBorder="1" applyAlignment="1" applyProtection="1">
      <alignment horizontal="center" vertical="top" wrapText="1"/>
      <protection locked="0"/>
    </xf>
    <xf numFmtId="0" fontId="4" fillId="0" borderId="33" xfId="2" applyFont="1" applyBorder="1" applyAlignment="1" applyProtection="1">
      <alignment horizontal="center" vertical="top" wrapText="1"/>
      <protection locked="0"/>
    </xf>
    <xf numFmtId="0" fontId="4" fillId="0" borderId="2" xfId="2" applyFont="1" applyBorder="1" applyAlignment="1" applyProtection="1">
      <alignment horizontal="center" vertical="top" wrapText="1"/>
      <protection locked="0"/>
    </xf>
    <xf numFmtId="1" fontId="11" fillId="0" borderId="1" xfId="2" applyNumberFormat="1" applyFont="1" applyBorder="1" applyAlignment="1" applyProtection="1">
      <alignment horizontal="center" vertical="center" wrapText="1"/>
      <protection locked="0"/>
    </xf>
    <xf numFmtId="0" fontId="3" fillId="0" borderId="2" xfId="0" applyFont="1" applyBorder="1" applyAlignment="1">
      <alignment horizontal="left" vertical="top" wrapText="1"/>
    </xf>
    <xf numFmtId="0" fontId="3" fillId="0" borderId="19" xfId="0" applyFont="1" applyBorder="1" applyAlignment="1">
      <alignment horizontal="left" vertical="top" wrapText="1"/>
    </xf>
    <xf numFmtId="0" fontId="3" fillId="0" borderId="1"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5" borderId="1" xfId="0" applyFont="1" applyFill="1" applyBorder="1" applyAlignment="1">
      <alignment vertical="top" wrapText="1"/>
    </xf>
    <xf numFmtId="0" fontId="3" fillId="6" borderId="1" xfId="0" applyFont="1" applyFill="1" applyBorder="1" applyAlignment="1">
      <alignment vertical="top" wrapText="1"/>
    </xf>
    <xf numFmtId="14" fontId="3" fillId="6" borderId="1" xfId="0" applyNumberFormat="1" applyFont="1" applyFill="1" applyBorder="1" applyAlignment="1">
      <alignment horizontal="left" vertical="top" wrapText="1"/>
    </xf>
    <xf numFmtId="0" fontId="3" fillId="0" borderId="21" xfId="2" applyFont="1" applyBorder="1" applyAlignment="1" applyProtection="1">
      <alignment horizontal="left" vertical="top" wrapText="1"/>
      <protection locked="0"/>
    </xf>
    <xf numFmtId="0" fontId="3" fillId="0" borderId="22" xfId="2" applyFont="1" applyBorder="1" applyAlignment="1" applyProtection="1">
      <alignment horizontal="left" vertical="top" wrapText="1"/>
      <protection locked="0"/>
    </xf>
    <xf numFmtId="0" fontId="3" fillId="0" borderId="23" xfId="2" applyFont="1" applyBorder="1" applyAlignment="1" applyProtection="1">
      <alignment horizontal="left" vertical="top"/>
      <protection locked="0"/>
    </xf>
    <xf numFmtId="0" fontId="3" fillId="0" borderId="1" xfId="2" applyFont="1" applyBorder="1" applyAlignment="1" applyProtection="1">
      <alignment horizontal="left" vertical="top"/>
      <protection locked="0"/>
    </xf>
    <xf numFmtId="0" fontId="3" fillId="0" borderId="1" xfId="2" applyFont="1" applyBorder="1" applyAlignment="1" applyProtection="1">
      <alignment horizontal="left" vertical="top" wrapText="1"/>
      <protection locked="0"/>
    </xf>
    <xf numFmtId="0" fontId="3" fillId="0" borderId="24" xfId="2" applyFont="1" applyBorder="1" applyAlignment="1" applyProtection="1">
      <alignment horizontal="left" vertical="top" wrapText="1"/>
      <protection locked="0"/>
    </xf>
    <xf numFmtId="1" fontId="11" fillId="0" borderId="1" xfId="2" applyNumberFormat="1" applyFont="1" applyBorder="1" applyAlignment="1" applyProtection="1">
      <alignment horizontal="center" vertical="top" wrapText="1"/>
      <protection locked="0"/>
    </xf>
    <xf numFmtId="1" fontId="11" fillId="4" borderId="1" xfId="2" applyNumberFormat="1" applyFont="1" applyFill="1" applyBorder="1" applyAlignment="1" applyProtection="1">
      <alignment horizontal="center" vertical="center" wrapText="1"/>
      <protection locked="0"/>
    </xf>
    <xf numFmtId="1" fontId="12" fillId="0" borderId="1" xfId="2" applyNumberFormat="1" applyFont="1" applyBorder="1" applyAlignment="1" applyProtection="1">
      <alignment horizontal="center" vertical="top" wrapText="1"/>
      <protection locked="0"/>
    </xf>
    <xf numFmtId="0" fontId="22" fillId="0" borderId="1" xfId="0" applyFont="1" applyBorder="1" applyAlignment="1">
      <alignment horizontal="left"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1" fontId="11" fillId="0" borderId="3" xfId="2" applyNumberFormat="1" applyFont="1" applyBorder="1" applyAlignment="1" applyProtection="1">
      <alignment horizontal="center" vertical="center"/>
      <protection locked="0"/>
    </xf>
    <xf numFmtId="1" fontId="11" fillId="0" borderId="4" xfId="2" applyNumberFormat="1" applyFont="1" applyBorder="1" applyAlignment="1" applyProtection="1">
      <alignment horizontal="center" vertical="center"/>
      <protection locked="0"/>
    </xf>
    <xf numFmtId="1" fontId="11" fillId="0" borderId="3" xfId="2" applyNumberFormat="1" applyFont="1" applyBorder="1" applyAlignment="1" applyProtection="1">
      <alignment horizontal="center" vertical="center" wrapText="1"/>
      <protection locked="0"/>
    </xf>
    <xf numFmtId="1" fontId="11" fillId="0" borderId="14" xfId="2" applyNumberFormat="1" applyFont="1" applyBorder="1" applyAlignment="1" applyProtection="1">
      <alignment horizontal="center" vertical="center" wrapText="1"/>
      <protection locked="0"/>
    </xf>
    <xf numFmtId="1" fontId="11" fillId="0" borderId="4" xfId="2" applyNumberFormat="1" applyFont="1" applyBorder="1" applyAlignment="1" applyProtection="1">
      <alignment horizontal="center" vertical="center" wrapText="1"/>
      <protection locked="0"/>
    </xf>
    <xf numFmtId="2" fontId="4" fillId="0" borderId="1" xfId="0" applyNumberFormat="1" applyFont="1" applyBorder="1" applyAlignment="1">
      <alignment horizontal="left" vertical="top" shrinkToFit="1"/>
    </xf>
    <xf numFmtId="0" fontId="3" fillId="6" borderId="1" xfId="0" applyFont="1" applyFill="1" applyBorder="1" applyAlignment="1">
      <alignment horizontal="left" vertical="top" wrapText="1"/>
    </xf>
    <xf numFmtId="0" fontId="4" fillId="0" borderId="1" xfId="0" applyFont="1" applyBorder="1" applyAlignment="1">
      <alignment horizontal="center" vertical="top" wrapText="1"/>
    </xf>
    <xf numFmtId="0" fontId="3" fillId="0" borderId="1" xfId="0" applyFont="1" applyBorder="1" applyAlignment="1">
      <alignment horizontal="center" vertical="top" wrapText="1"/>
    </xf>
    <xf numFmtId="0" fontId="0" fillId="0" borderId="1" xfId="0" applyBorder="1" applyAlignment="1">
      <alignment horizontal="center" vertical="top" wrapText="1"/>
    </xf>
    <xf numFmtId="1" fontId="11" fillId="4" borderId="16" xfId="2" applyNumberFormat="1" applyFont="1" applyFill="1" applyBorder="1" applyAlignment="1" applyProtection="1">
      <alignment horizontal="center" vertical="center" wrapText="1"/>
      <protection locked="0"/>
    </xf>
    <xf numFmtId="1" fontId="11" fillId="4" borderId="17" xfId="2" applyNumberFormat="1" applyFont="1" applyFill="1" applyBorder="1" applyAlignment="1" applyProtection="1">
      <alignment horizontal="center" vertical="center" wrapText="1"/>
      <protection locked="0"/>
    </xf>
    <xf numFmtId="1" fontId="11" fillId="4" borderId="18" xfId="2" applyNumberFormat="1" applyFont="1" applyFill="1" applyBorder="1" applyAlignment="1" applyProtection="1">
      <alignment horizontal="center" vertical="center" wrapText="1"/>
      <protection locked="0"/>
    </xf>
    <xf numFmtId="0" fontId="4" fillId="0" borderId="24" xfId="2" applyFont="1" applyBorder="1" applyAlignment="1" applyProtection="1">
      <alignment horizontal="center" vertical="top" wrapText="1"/>
      <protection locked="0"/>
    </xf>
    <xf numFmtId="1" fontId="27" fillId="0" borderId="16" xfId="2" applyNumberFormat="1" applyFont="1" applyBorder="1" applyAlignment="1" applyProtection="1">
      <alignment horizontal="center" vertical="center" wrapText="1"/>
      <protection locked="0"/>
    </xf>
    <xf numFmtId="1" fontId="27" fillId="0" borderId="17" xfId="2" applyNumberFormat="1" applyFont="1" applyBorder="1" applyAlignment="1" applyProtection="1">
      <alignment horizontal="center" vertical="center" wrapText="1"/>
      <protection locked="0"/>
    </xf>
    <xf numFmtId="1" fontId="27" fillId="0" borderId="18" xfId="2" applyNumberFormat="1" applyFont="1" applyBorder="1" applyAlignment="1" applyProtection="1">
      <alignment horizontal="center" vertical="center" wrapText="1"/>
      <protection locked="0"/>
    </xf>
    <xf numFmtId="1" fontId="13" fillId="0" borderId="16" xfId="2" applyNumberFormat="1" applyFont="1" applyBorder="1" applyAlignment="1" applyProtection="1">
      <alignment horizontal="center" vertical="center" wrapText="1"/>
      <protection locked="0"/>
    </xf>
    <xf numFmtId="1" fontId="13" fillId="0" borderId="17" xfId="2" applyNumberFormat="1" applyFont="1" applyBorder="1" applyAlignment="1" applyProtection="1">
      <alignment horizontal="center" vertical="center" wrapText="1"/>
      <protection locked="0"/>
    </xf>
    <xf numFmtId="1" fontId="13" fillId="0" borderId="18" xfId="2" applyNumberFormat="1" applyFont="1" applyBorder="1" applyAlignment="1" applyProtection="1">
      <alignment horizontal="center" vertical="center" wrapText="1"/>
      <protection locked="0"/>
    </xf>
    <xf numFmtId="0" fontId="26" fillId="0" borderId="16" xfId="6" applyBorder="1" applyAlignment="1">
      <alignment horizontal="left" vertical="top" wrapText="1"/>
    </xf>
    <xf numFmtId="0" fontId="13" fillId="0" borderId="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8" xfId="2" applyFont="1" applyBorder="1" applyAlignment="1">
      <alignment horizontal="center" vertical="center" wrapText="1"/>
    </xf>
    <xf numFmtId="9" fontId="3" fillId="0" borderId="4" xfId="2" applyNumberFormat="1" applyFont="1" applyBorder="1" applyAlignment="1" applyProtection="1">
      <alignment horizontal="center" vertical="center" wrapText="1"/>
      <protection locked="0"/>
    </xf>
    <xf numFmtId="9" fontId="3" fillId="0" borderId="31" xfId="2" applyNumberFormat="1" applyFont="1" applyBorder="1" applyAlignment="1" applyProtection="1">
      <alignment horizontal="center" vertical="center" wrapText="1"/>
      <protection locked="0"/>
    </xf>
    <xf numFmtId="9" fontId="3" fillId="0" borderId="30" xfId="2" applyNumberFormat="1" applyFont="1" applyBorder="1" applyAlignment="1" applyProtection="1">
      <alignment horizontal="center" vertical="center" wrapText="1"/>
      <protection locked="0"/>
    </xf>
    <xf numFmtId="9" fontId="3" fillId="0" borderId="26" xfId="2" applyNumberFormat="1" applyFont="1" applyBorder="1" applyAlignment="1" applyProtection="1">
      <alignment horizontal="center" vertical="center" wrapText="1"/>
      <protection locked="0"/>
    </xf>
    <xf numFmtId="9" fontId="3" fillId="0" borderId="13" xfId="2" applyNumberFormat="1" applyFont="1" applyBorder="1" applyAlignment="1" applyProtection="1">
      <alignment horizontal="center" vertical="center" wrapText="1"/>
      <protection locked="0"/>
    </xf>
    <xf numFmtId="0" fontId="15" fillId="0" borderId="1" xfId="4" applyFont="1" applyBorder="1" applyAlignment="1">
      <alignment horizontal="left"/>
    </xf>
    <xf numFmtId="0" fontId="9" fillId="0" borderId="1" xfId="0" applyFont="1" applyBorder="1" applyAlignment="1">
      <alignment horizontal="left"/>
    </xf>
    <xf numFmtId="0" fontId="9" fillId="0" borderId="1" xfId="0" applyFont="1" applyBorder="1" applyAlignment="1">
      <alignment horizontal="center"/>
    </xf>
    <xf numFmtId="0" fontId="9" fillId="2" borderId="1" xfId="0" applyFont="1" applyFill="1" applyBorder="1" applyAlignment="1">
      <alignment horizontal="center"/>
    </xf>
    <xf numFmtId="0" fontId="8" fillId="0" borderId="1" xfId="0" applyFont="1" applyBorder="1" applyAlignment="1">
      <alignment horizontal="center"/>
    </xf>
    <xf numFmtId="2" fontId="5" fillId="0" borderId="1" xfId="0" applyNumberFormat="1" applyFont="1" applyBorder="1" applyAlignment="1">
      <alignment horizontal="left" vertical="top" shrinkToFit="1"/>
    </xf>
    <xf numFmtId="0" fontId="3" fillId="0" borderId="1" xfId="2" applyFont="1" applyBorder="1" applyAlignment="1" applyProtection="1">
      <alignment horizontal="center" vertical="top" wrapText="1"/>
      <protection locked="0"/>
    </xf>
    <xf numFmtId="0" fontId="3" fillId="0" borderId="1" xfId="2" applyFont="1" applyBorder="1" applyAlignment="1" applyProtection="1">
      <alignment horizontal="center" vertical="center"/>
      <protection locked="0"/>
    </xf>
    <xf numFmtId="9" fontId="3" fillId="0" borderId="1" xfId="2" applyNumberFormat="1" applyFont="1" applyBorder="1" applyAlignment="1" applyProtection="1">
      <alignment horizontal="center" vertical="center" wrapText="1"/>
      <protection locked="0"/>
    </xf>
    <xf numFmtId="0" fontId="3" fillId="0" borderId="1" xfId="2" applyFont="1" applyBorder="1" applyAlignment="1" applyProtection="1">
      <alignment horizontal="center" vertical="center" wrapText="1"/>
      <protection locked="0"/>
    </xf>
  </cellXfs>
  <cellStyles count="7">
    <cellStyle name="Comma 2" xfId="5"/>
    <cellStyle name="Excel Built-in Normal 2" xfId="3"/>
    <cellStyle name="Hyperlink" xfId="6" builtinId="8"/>
    <cellStyle name="Normal" xfId="0" builtinId="0"/>
    <cellStyle name="Normal 3" xfId="2"/>
    <cellStyle name="Normal 4" xfId="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9.jpg"/><Relationship Id="rId2" Type="http://schemas.openxmlformats.org/officeDocument/2006/relationships/image" Target="../media/image28.jpg"/><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35.png"/><Relationship Id="rId5" Type="http://schemas.openxmlformats.org/officeDocument/2006/relationships/image" Target="../media/image34.png"/><Relationship Id="rId4" Type="http://schemas.openxmlformats.org/officeDocument/2006/relationships/image" Target="../media/image3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10</xdr:col>
      <xdr:colOff>363074</xdr:colOff>
      <xdr:row>854</xdr:row>
      <xdr:rowOff>54268</xdr:rowOff>
    </xdr:from>
    <xdr:to>
      <xdr:col>19</xdr:col>
      <xdr:colOff>446576</xdr:colOff>
      <xdr:row>874</xdr:row>
      <xdr:rowOff>10940</xdr:rowOff>
    </xdr:to>
    <xdr:pic>
      <xdr:nvPicPr>
        <xdr:cNvPr id="43" name="image8.jpeg">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973549" y="146872618"/>
          <a:ext cx="4884102" cy="3239999"/>
        </a:xfrm>
        <a:prstGeom prst="rect">
          <a:avLst/>
        </a:prstGeom>
        <a:ln>
          <a:solidFill>
            <a:schemeClr val="tx1"/>
          </a:solidFill>
        </a:ln>
      </xdr:spPr>
    </xdr:pic>
    <xdr:clientData/>
  </xdr:twoCellAnchor>
  <xdr:twoCellAnchor editAs="oneCell">
    <xdr:from>
      <xdr:col>10</xdr:col>
      <xdr:colOff>382123</xdr:colOff>
      <xdr:row>684</xdr:row>
      <xdr:rowOff>161367</xdr:rowOff>
    </xdr:from>
    <xdr:to>
      <xdr:col>19</xdr:col>
      <xdr:colOff>472255</xdr:colOff>
      <xdr:row>705</xdr:row>
      <xdr:rowOff>12714</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7992598" y="143541192"/>
          <a:ext cx="4890732" cy="3240001"/>
        </a:xfrm>
        <a:prstGeom prst="rect">
          <a:avLst/>
        </a:prstGeom>
        <a:ln>
          <a:solidFill>
            <a:schemeClr val="tx1"/>
          </a:solidFill>
        </a:ln>
      </xdr:spPr>
    </xdr:pic>
    <xdr:clientData/>
  </xdr:twoCellAnchor>
  <xdr:twoCellAnchor>
    <xdr:from>
      <xdr:col>10</xdr:col>
      <xdr:colOff>314325</xdr:colOff>
      <xdr:row>602</xdr:row>
      <xdr:rowOff>19050</xdr:rowOff>
    </xdr:from>
    <xdr:to>
      <xdr:col>13</xdr:col>
      <xdr:colOff>523875</xdr:colOff>
      <xdr:row>607</xdr:row>
      <xdr:rowOff>19050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372475" y="122053350"/>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FFFF00"/>
              </a:solidFill>
            </a:rPr>
            <a:t>F Wing</a:t>
          </a:r>
        </a:p>
      </xdr:txBody>
    </xdr:sp>
    <xdr:clientData/>
  </xdr:twoCellAnchor>
  <xdr:twoCellAnchor>
    <xdr:from>
      <xdr:col>9</xdr:col>
      <xdr:colOff>428625</xdr:colOff>
      <xdr:row>603</xdr:row>
      <xdr:rowOff>114300</xdr:rowOff>
    </xdr:from>
    <xdr:to>
      <xdr:col>11</xdr:col>
      <xdr:colOff>104775</xdr:colOff>
      <xdr:row>608</xdr:row>
      <xdr:rowOff>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7953375" y="122310525"/>
          <a:ext cx="742950" cy="695325"/>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133350</xdr:colOff>
      <xdr:row>610</xdr:row>
      <xdr:rowOff>142875</xdr:rowOff>
    </xdr:from>
    <xdr:to>
      <xdr:col>11</xdr:col>
      <xdr:colOff>400050</xdr:colOff>
      <xdr:row>612</xdr:row>
      <xdr:rowOff>152400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6991350" y="123472575"/>
          <a:ext cx="1866900" cy="333375"/>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chemeClr val="tx1"/>
              </a:solidFill>
            </a:rPr>
            <a:t>Common Podium Slab</a:t>
          </a:r>
        </a:p>
      </xdr:txBody>
    </xdr:sp>
    <xdr:clientData/>
  </xdr:twoCellAnchor>
  <xdr:twoCellAnchor>
    <xdr:from>
      <xdr:col>5</xdr:col>
      <xdr:colOff>47625</xdr:colOff>
      <xdr:row>668</xdr:row>
      <xdr:rowOff>19050</xdr:rowOff>
    </xdr:from>
    <xdr:to>
      <xdr:col>7</xdr:col>
      <xdr:colOff>495300</xdr:colOff>
      <xdr:row>683</xdr:row>
      <xdr:rowOff>142875</xdr:rowOff>
    </xdr:to>
    <xdr:sp macro="" textlink="">
      <xdr:nvSpPr>
        <xdr:cNvPr id="3" name="Freeform 2">
          <a:extLst>
            <a:ext uri="{FF2B5EF4-FFF2-40B4-BE49-F238E27FC236}">
              <a16:creationId xmlns:a16="http://schemas.microsoft.com/office/drawing/2014/main" id="{00000000-0008-0000-0000-000003000000}"/>
            </a:ext>
          </a:extLst>
        </xdr:cNvPr>
        <xdr:cNvSpPr/>
      </xdr:nvSpPr>
      <xdr:spPr>
        <a:xfrm>
          <a:off x="4295775" y="126187200"/>
          <a:ext cx="1895475" cy="2552700"/>
        </a:xfrm>
        <a:custGeom>
          <a:avLst/>
          <a:gdLst>
            <a:gd name="connsiteX0" fmla="*/ 0 w 1876425"/>
            <a:gd name="connsiteY0" fmla="*/ 0 h 2476500"/>
            <a:gd name="connsiteX1" fmla="*/ 314325 w 1876425"/>
            <a:gd name="connsiteY1" fmla="*/ 1638300 h 2476500"/>
            <a:gd name="connsiteX2" fmla="*/ 1876425 w 1876425"/>
            <a:gd name="connsiteY2" fmla="*/ 2476500 h 2476500"/>
            <a:gd name="connsiteX3" fmla="*/ 1866900 w 1876425"/>
            <a:gd name="connsiteY3" fmla="*/ 0 h 2476500"/>
            <a:gd name="connsiteX4" fmla="*/ 0 w 1876425"/>
            <a:gd name="connsiteY4" fmla="*/ 0 h 24765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76425" h="2476500">
              <a:moveTo>
                <a:pt x="0" y="0"/>
              </a:moveTo>
              <a:lnTo>
                <a:pt x="314325" y="1638300"/>
              </a:lnTo>
              <a:lnTo>
                <a:pt x="1876425" y="2476500"/>
              </a:lnTo>
              <a:lnTo>
                <a:pt x="1866900" y="0"/>
              </a:lnTo>
              <a:lnTo>
                <a:pt x="0" y="0"/>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9</xdr:col>
      <xdr:colOff>76200</xdr:colOff>
      <xdr:row>586</xdr:row>
      <xdr:rowOff>57150</xdr:rowOff>
    </xdr:from>
    <xdr:to>
      <xdr:col>11</xdr:col>
      <xdr:colOff>123825</xdr:colOff>
      <xdr:row>589</xdr:row>
      <xdr:rowOff>76200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7600950" y="119367300"/>
          <a:ext cx="1114425" cy="504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ln>
                <a:noFill/>
              </a:ln>
              <a:solidFill>
                <a:srgbClr val="C00000"/>
              </a:solidFill>
            </a:rPr>
            <a:t>A</a:t>
          </a:r>
        </a:p>
      </xdr:txBody>
    </xdr:sp>
    <xdr:clientData/>
  </xdr:twoCellAnchor>
  <xdr:twoCellAnchor editAs="oneCell">
    <xdr:from>
      <xdr:col>9</xdr:col>
      <xdr:colOff>304799</xdr:colOff>
      <xdr:row>42</xdr:row>
      <xdr:rowOff>1295969</xdr:rowOff>
    </xdr:from>
    <xdr:to>
      <xdr:col>17</xdr:col>
      <xdr:colOff>389826</xdr:colOff>
      <xdr:row>46</xdr:row>
      <xdr:rowOff>1066454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7381874" y="13135544"/>
          <a:ext cx="4352227" cy="2161260"/>
        </a:xfrm>
        <a:prstGeom prst="rect">
          <a:avLst/>
        </a:prstGeom>
      </xdr:spPr>
    </xdr:pic>
    <xdr:clientData/>
  </xdr:twoCellAnchor>
  <xdr:twoCellAnchor editAs="oneCell">
    <xdr:from>
      <xdr:col>9</xdr:col>
      <xdr:colOff>273388</xdr:colOff>
      <xdr:row>39</xdr:row>
      <xdr:rowOff>47625</xdr:rowOff>
    </xdr:from>
    <xdr:to>
      <xdr:col>17</xdr:col>
      <xdr:colOff>494599</xdr:colOff>
      <xdr:row>42</xdr:row>
      <xdr:rowOff>1247463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7350463" y="11087100"/>
          <a:ext cx="4488411" cy="1999938"/>
        </a:xfrm>
        <a:prstGeom prst="rect">
          <a:avLst/>
        </a:prstGeom>
      </xdr:spPr>
    </xdr:pic>
    <xdr:clientData/>
  </xdr:twoCellAnchor>
  <xdr:twoCellAnchor editAs="oneCell">
    <xdr:from>
      <xdr:col>12</xdr:col>
      <xdr:colOff>142875</xdr:colOff>
      <xdr:row>90</xdr:row>
      <xdr:rowOff>118309</xdr:rowOff>
    </xdr:from>
    <xdr:to>
      <xdr:col>18</xdr:col>
      <xdr:colOff>513560</xdr:colOff>
      <xdr:row>112</xdr:row>
      <xdr:rowOff>26496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820150" y="27226459"/>
          <a:ext cx="3571085" cy="1976754"/>
        </a:xfrm>
        <a:prstGeom prst="rect">
          <a:avLst/>
        </a:prstGeom>
      </xdr:spPr>
    </xdr:pic>
    <xdr:clientData/>
  </xdr:twoCellAnchor>
  <xdr:twoCellAnchor editAs="oneCell">
    <xdr:from>
      <xdr:col>12</xdr:col>
      <xdr:colOff>47625</xdr:colOff>
      <xdr:row>104</xdr:row>
      <xdr:rowOff>104775</xdr:rowOff>
    </xdr:from>
    <xdr:to>
      <xdr:col>13</xdr:col>
      <xdr:colOff>259492</xdr:colOff>
      <xdr:row>113</xdr:row>
      <xdr:rowOff>171223</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24900" y="30518100"/>
          <a:ext cx="745267" cy="1800000"/>
        </a:xfrm>
        <a:prstGeom prst="rect">
          <a:avLst/>
        </a:prstGeom>
        <a:ln>
          <a:solidFill>
            <a:schemeClr val="tx1"/>
          </a:solidFill>
        </a:ln>
      </xdr:spPr>
    </xdr:pic>
    <xdr:clientData/>
  </xdr:twoCellAnchor>
  <xdr:twoCellAnchor>
    <xdr:from>
      <xdr:col>9</xdr:col>
      <xdr:colOff>95323</xdr:colOff>
      <xdr:row>649</xdr:row>
      <xdr:rowOff>61633</xdr:rowOff>
    </xdr:from>
    <xdr:to>
      <xdr:col>20</xdr:col>
      <xdr:colOff>9598</xdr:colOff>
      <xdr:row>693</xdr:row>
      <xdr:rowOff>64632</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7924499" y="140889692"/>
          <a:ext cx="6077511" cy="7264411"/>
          <a:chOff x="876300" y="140188950"/>
          <a:chExt cx="5781675" cy="6480000"/>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7"/>
          <a:srcRect l="28021" t="32075" r="44000" b="7311"/>
          <a:stretch/>
        </xdr:blipFill>
        <xdr:spPr>
          <a:xfrm>
            <a:off x="876300" y="140188950"/>
            <a:ext cx="5320156" cy="6480000"/>
          </a:xfrm>
          <a:prstGeom prst="rect">
            <a:avLst/>
          </a:prstGeom>
          <a:ln>
            <a:solidFill>
              <a:schemeClr val="tx1"/>
            </a:solidFill>
          </a:ln>
        </xdr:spPr>
      </xdr:pic>
      <xdr:sp macro="" textlink="">
        <xdr:nvSpPr>
          <xdr:cNvPr id="21" name="Rectangle 20">
            <a:extLst>
              <a:ext uri="{FF2B5EF4-FFF2-40B4-BE49-F238E27FC236}">
                <a16:creationId xmlns:a16="http://schemas.microsoft.com/office/drawing/2014/main" id="{00000000-0008-0000-0000-000015000000}"/>
              </a:ext>
            </a:extLst>
          </xdr:cNvPr>
          <xdr:cNvSpPr/>
        </xdr:nvSpPr>
        <xdr:spPr>
          <a:xfrm>
            <a:off x="1657350" y="142513050"/>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A</a:t>
            </a:r>
          </a:p>
        </xdr:txBody>
      </xdr:sp>
      <xdr:sp macro="" textlink="">
        <xdr:nvSpPr>
          <xdr:cNvPr id="22" name="Rectangle 21">
            <a:extLst>
              <a:ext uri="{FF2B5EF4-FFF2-40B4-BE49-F238E27FC236}">
                <a16:creationId xmlns:a16="http://schemas.microsoft.com/office/drawing/2014/main" id="{00000000-0008-0000-0000-000016000000}"/>
              </a:ext>
            </a:extLst>
          </xdr:cNvPr>
          <xdr:cNvSpPr/>
        </xdr:nvSpPr>
        <xdr:spPr>
          <a:xfrm>
            <a:off x="1695450" y="141779625"/>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B</a:t>
            </a:r>
          </a:p>
        </xdr:txBody>
      </xdr:sp>
      <xdr:sp macro="" textlink="">
        <xdr:nvSpPr>
          <xdr:cNvPr id="24" name="Rectangle 23">
            <a:extLst>
              <a:ext uri="{FF2B5EF4-FFF2-40B4-BE49-F238E27FC236}">
                <a16:creationId xmlns:a16="http://schemas.microsoft.com/office/drawing/2014/main" id="{00000000-0008-0000-0000-000018000000}"/>
              </a:ext>
            </a:extLst>
          </xdr:cNvPr>
          <xdr:cNvSpPr/>
        </xdr:nvSpPr>
        <xdr:spPr>
          <a:xfrm>
            <a:off x="1914525" y="140731875"/>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C</a:t>
            </a:r>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a:off x="3648075" y="140874750"/>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D</a:t>
            </a:r>
          </a:p>
        </xdr:txBody>
      </xdr:sp>
      <xdr:sp macro="" textlink="">
        <xdr:nvSpPr>
          <xdr:cNvPr id="26" name="Rectangle 25">
            <a:extLst>
              <a:ext uri="{FF2B5EF4-FFF2-40B4-BE49-F238E27FC236}">
                <a16:creationId xmlns:a16="http://schemas.microsoft.com/office/drawing/2014/main" id="{00000000-0008-0000-0000-00001A000000}"/>
              </a:ext>
            </a:extLst>
          </xdr:cNvPr>
          <xdr:cNvSpPr/>
        </xdr:nvSpPr>
        <xdr:spPr>
          <a:xfrm>
            <a:off x="3876675" y="141427200"/>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E</a:t>
            </a:r>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a:off x="4181475" y="142008225"/>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F</a:t>
            </a:r>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a:off x="4572000" y="143122650"/>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G</a:t>
            </a:r>
          </a:p>
        </xdr:txBody>
      </xdr:sp>
      <xdr:sp macro="" textlink="">
        <xdr:nvSpPr>
          <xdr:cNvPr id="29" name="Rectangle 28">
            <a:extLst>
              <a:ext uri="{FF2B5EF4-FFF2-40B4-BE49-F238E27FC236}">
                <a16:creationId xmlns:a16="http://schemas.microsoft.com/office/drawing/2014/main" id="{00000000-0008-0000-0000-00001D000000}"/>
              </a:ext>
            </a:extLst>
          </xdr:cNvPr>
          <xdr:cNvSpPr/>
        </xdr:nvSpPr>
        <xdr:spPr>
          <a:xfrm>
            <a:off x="5162550" y="143522700"/>
            <a:ext cx="1495425"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H</a:t>
            </a:r>
          </a:p>
        </xdr:txBody>
      </xdr:sp>
      <xdr:sp macro="" textlink="">
        <xdr:nvSpPr>
          <xdr:cNvPr id="44" name="Rectangle 43">
            <a:extLst>
              <a:ext uri="{FF2B5EF4-FFF2-40B4-BE49-F238E27FC236}">
                <a16:creationId xmlns:a16="http://schemas.microsoft.com/office/drawing/2014/main" id="{00000000-0008-0000-0000-00002C000000}"/>
              </a:ext>
            </a:extLst>
          </xdr:cNvPr>
          <xdr:cNvSpPr/>
        </xdr:nvSpPr>
        <xdr:spPr>
          <a:xfrm>
            <a:off x="1028700" y="143732250"/>
            <a:ext cx="180975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Building No. </a:t>
            </a:r>
            <a:r>
              <a:rPr lang="en-IN" sz="2000" b="1" baseline="0">
                <a:solidFill>
                  <a:srgbClr val="C00000"/>
                </a:solidFill>
              </a:rPr>
              <a:t>7</a:t>
            </a:r>
            <a:endParaRPr lang="en-IN" sz="2000" b="1">
              <a:solidFill>
                <a:srgbClr val="C00000"/>
              </a:solidFill>
            </a:endParaRPr>
          </a:p>
        </xdr:txBody>
      </xdr:sp>
    </xdr:grpSp>
    <xdr:clientData/>
  </xdr:twoCellAnchor>
  <xdr:twoCellAnchor>
    <xdr:from>
      <xdr:col>8</xdr:col>
      <xdr:colOff>533400</xdr:colOff>
      <xdr:row>610</xdr:row>
      <xdr:rowOff>158385</xdr:rowOff>
    </xdr:from>
    <xdr:to>
      <xdr:col>21</xdr:col>
      <xdr:colOff>76200</xdr:colOff>
      <xdr:row>645</xdr:row>
      <xdr:rowOff>59598</xdr:rowOff>
    </xdr:to>
    <xdr:grpSp>
      <xdr:nvGrpSpPr>
        <xdr:cNvPr id="48" name="Group 47">
          <a:extLst>
            <a:ext uri="{FF2B5EF4-FFF2-40B4-BE49-F238E27FC236}">
              <a16:creationId xmlns:a16="http://schemas.microsoft.com/office/drawing/2014/main" id="{00000000-0008-0000-0000-000030000000}"/>
            </a:ext>
          </a:extLst>
        </xdr:cNvPr>
        <xdr:cNvGrpSpPr/>
      </xdr:nvGrpSpPr>
      <xdr:grpSpPr>
        <a:xfrm>
          <a:off x="7802282" y="135876561"/>
          <a:ext cx="6826624" cy="4353684"/>
          <a:chOff x="-1869" y="0"/>
          <a:chExt cx="5912233" cy="5200458"/>
        </a:xfrm>
      </xdr:grpSpPr>
      <xdr:grpSp>
        <xdr:nvGrpSpPr>
          <xdr:cNvPr id="49" name="Group 48">
            <a:extLst>
              <a:ext uri="{FF2B5EF4-FFF2-40B4-BE49-F238E27FC236}">
                <a16:creationId xmlns:a16="http://schemas.microsoft.com/office/drawing/2014/main" id="{00000000-0008-0000-0000-000031000000}"/>
              </a:ext>
            </a:extLst>
          </xdr:cNvPr>
          <xdr:cNvGrpSpPr/>
        </xdr:nvGrpSpPr>
        <xdr:grpSpPr>
          <a:xfrm>
            <a:off x="-1869" y="0"/>
            <a:ext cx="5912233" cy="2520000"/>
            <a:chOff x="-1869" y="0"/>
            <a:chExt cx="5912233" cy="2520000"/>
          </a:xfrm>
        </xdr:grpSpPr>
        <xdr:grpSp>
          <xdr:nvGrpSpPr>
            <xdr:cNvPr id="58" name="Group 57">
              <a:extLst>
                <a:ext uri="{FF2B5EF4-FFF2-40B4-BE49-F238E27FC236}">
                  <a16:creationId xmlns:a16="http://schemas.microsoft.com/office/drawing/2014/main" id="{00000000-0008-0000-0000-00003A000000}"/>
                </a:ext>
              </a:extLst>
            </xdr:cNvPr>
            <xdr:cNvGrpSpPr/>
          </xdr:nvGrpSpPr>
          <xdr:grpSpPr>
            <a:xfrm>
              <a:off x="-1869" y="0"/>
              <a:ext cx="1895272" cy="2520000"/>
              <a:chOff x="-1869" y="0"/>
              <a:chExt cx="1895272" cy="2520000"/>
            </a:xfrm>
          </xdr:grpSpPr>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69" y="0"/>
                <a:ext cx="1895272" cy="2520000"/>
              </a:xfrm>
              <a:prstGeom prst="rect">
                <a:avLst/>
              </a:prstGeom>
              <a:ln>
                <a:solidFill>
                  <a:schemeClr val="tx1"/>
                </a:solidFill>
              </a:ln>
            </xdr:spPr>
          </xdr:pic>
          <xdr:sp macro="" textlink="">
            <xdr:nvSpPr>
              <xdr:cNvPr id="66" name="TextBox 64">
                <a:extLst>
                  <a:ext uri="{FF2B5EF4-FFF2-40B4-BE49-F238E27FC236}">
                    <a16:creationId xmlns:a16="http://schemas.microsoft.com/office/drawing/2014/main" id="{00000000-0008-0000-0000-000042000000}"/>
                  </a:ext>
                </a:extLst>
              </xdr:cNvPr>
              <xdr:cNvSpPr txBox="1"/>
            </xdr:nvSpPr>
            <xdr:spPr>
              <a:xfrm>
                <a:off x="736007" y="1375913"/>
                <a:ext cx="551774" cy="246221"/>
              </a:xfrm>
              <a:prstGeom prst="rect">
                <a:avLst/>
              </a:prstGeom>
              <a:solidFill>
                <a:srgbClr val="F5F5F5"/>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F</a:t>
                </a:r>
                <a:endParaRPr lang="en-IN" sz="1000" b="1"/>
              </a:p>
            </xdr:txBody>
          </xdr:sp>
        </xdr:grpSp>
        <xdr:grpSp>
          <xdr:nvGrpSpPr>
            <xdr:cNvPr id="59" name="Group 58">
              <a:extLst>
                <a:ext uri="{FF2B5EF4-FFF2-40B4-BE49-F238E27FC236}">
                  <a16:creationId xmlns:a16="http://schemas.microsoft.com/office/drawing/2014/main" id="{00000000-0008-0000-0000-00003B000000}"/>
                </a:ext>
              </a:extLst>
            </xdr:cNvPr>
            <xdr:cNvGrpSpPr/>
          </xdr:nvGrpSpPr>
          <xdr:grpSpPr>
            <a:xfrm>
              <a:off x="2024082" y="0"/>
              <a:ext cx="1895272" cy="2520000"/>
              <a:chOff x="2024082" y="0"/>
              <a:chExt cx="1895272" cy="2520000"/>
            </a:xfrm>
          </xdr:grpSpPr>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024082" y="0"/>
                <a:ext cx="1895272" cy="2520000"/>
              </a:xfrm>
              <a:prstGeom prst="rect">
                <a:avLst/>
              </a:prstGeom>
              <a:ln>
                <a:solidFill>
                  <a:schemeClr val="tx1"/>
                </a:solidFill>
              </a:ln>
            </xdr:spPr>
          </xdr:pic>
          <xdr:sp macro="" textlink="">
            <xdr:nvSpPr>
              <xdr:cNvPr id="64" name="TextBox 65">
                <a:extLst>
                  <a:ext uri="{FF2B5EF4-FFF2-40B4-BE49-F238E27FC236}">
                    <a16:creationId xmlns:a16="http://schemas.microsoft.com/office/drawing/2014/main" id="{00000000-0008-0000-0000-000040000000}"/>
                  </a:ext>
                </a:extLst>
              </xdr:cNvPr>
              <xdr:cNvSpPr txBox="1"/>
            </xdr:nvSpPr>
            <xdr:spPr>
              <a:xfrm>
                <a:off x="2631279" y="1136889"/>
                <a:ext cx="551774" cy="246221"/>
              </a:xfrm>
              <a:prstGeom prst="rect">
                <a:avLst/>
              </a:prstGeom>
              <a:solidFill>
                <a:srgbClr val="F5F5F5"/>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F</a:t>
                </a:r>
                <a:endParaRPr lang="en-IN" sz="1000" b="1"/>
              </a:p>
            </xdr:txBody>
          </xdr:sp>
        </xdr:grpSp>
        <xdr:grpSp>
          <xdr:nvGrpSpPr>
            <xdr:cNvPr id="60" name="Group 59">
              <a:extLst>
                <a:ext uri="{FF2B5EF4-FFF2-40B4-BE49-F238E27FC236}">
                  <a16:creationId xmlns:a16="http://schemas.microsoft.com/office/drawing/2014/main" id="{00000000-0008-0000-0000-00003C000000}"/>
                </a:ext>
              </a:extLst>
            </xdr:cNvPr>
            <xdr:cNvGrpSpPr/>
          </xdr:nvGrpSpPr>
          <xdr:grpSpPr>
            <a:xfrm>
              <a:off x="4015092" y="0"/>
              <a:ext cx="1895272" cy="2520000"/>
              <a:chOff x="4015092" y="0"/>
              <a:chExt cx="1895272" cy="2520000"/>
            </a:xfrm>
          </xdr:grpSpPr>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015092" y="0"/>
                <a:ext cx="1895272" cy="2520000"/>
              </a:xfrm>
              <a:prstGeom prst="rect">
                <a:avLst/>
              </a:prstGeom>
              <a:ln>
                <a:solidFill>
                  <a:schemeClr val="tx1"/>
                </a:solidFill>
              </a:ln>
            </xdr:spPr>
          </xdr:pic>
          <xdr:sp macro="" textlink="">
            <xdr:nvSpPr>
              <xdr:cNvPr id="62" name="TextBox 66">
                <a:extLst>
                  <a:ext uri="{FF2B5EF4-FFF2-40B4-BE49-F238E27FC236}">
                    <a16:creationId xmlns:a16="http://schemas.microsoft.com/office/drawing/2014/main" id="{00000000-0008-0000-0000-00003E000000}"/>
                  </a:ext>
                </a:extLst>
              </xdr:cNvPr>
              <xdr:cNvSpPr txBox="1"/>
            </xdr:nvSpPr>
            <xdr:spPr>
              <a:xfrm>
                <a:off x="4686841" y="1129692"/>
                <a:ext cx="551774" cy="246221"/>
              </a:xfrm>
              <a:prstGeom prst="rect">
                <a:avLst/>
              </a:prstGeom>
              <a:solidFill>
                <a:srgbClr val="F5F5F5"/>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F</a:t>
                </a:r>
                <a:endParaRPr lang="en-IN" sz="1000" b="1"/>
              </a:p>
            </xdr:txBody>
          </xdr:sp>
        </xdr:grpSp>
      </xdr:grpSp>
      <xdr:grpSp>
        <xdr:nvGrpSpPr>
          <xdr:cNvPr id="50" name="Group 49">
            <a:extLst>
              <a:ext uri="{FF2B5EF4-FFF2-40B4-BE49-F238E27FC236}">
                <a16:creationId xmlns:a16="http://schemas.microsoft.com/office/drawing/2014/main" id="{00000000-0008-0000-0000-000032000000}"/>
              </a:ext>
            </a:extLst>
          </xdr:cNvPr>
          <xdr:cNvGrpSpPr/>
        </xdr:nvGrpSpPr>
        <xdr:grpSpPr>
          <a:xfrm>
            <a:off x="850029" y="2680458"/>
            <a:ext cx="4243378" cy="2520000"/>
            <a:chOff x="850029" y="2680458"/>
            <a:chExt cx="4243378" cy="2520000"/>
          </a:xfrm>
        </xdr:grpSpPr>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24082" y="2680458"/>
              <a:ext cx="1895272" cy="2520000"/>
            </a:xfrm>
            <a:prstGeom prst="rect">
              <a:avLst/>
            </a:prstGeom>
          </xdr:spPr>
        </xdr:pic>
        <xdr:grpSp>
          <xdr:nvGrpSpPr>
            <xdr:cNvPr id="52" name="Group 51">
              <a:extLst>
                <a:ext uri="{FF2B5EF4-FFF2-40B4-BE49-F238E27FC236}">
                  <a16:creationId xmlns:a16="http://schemas.microsoft.com/office/drawing/2014/main" id="{00000000-0008-0000-0000-000034000000}"/>
                </a:ext>
              </a:extLst>
            </xdr:cNvPr>
            <xdr:cNvGrpSpPr/>
          </xdr:nvGrpSpPr>
          <xdr:grpSpPr>
            <a:xfrm>
              <a:off x="4050033" y="2680458"/>
              <a:ext cx="1043374" cy="2520000"/>
              <a:chOff x="4050033" y="2680458"/>
              <a:chExt cx="1043374" cy="2520000"/>
            </a:xfrm>
          </xdr:grpSpPr>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50033" y="2680458"/>
                <a:ext cx="1043374" cy="2520000"/>
              </a:xfrm>
              <a:prstGeom prst="rect">
                <a:avLst/>
              </a:prstGeom>
              <a:ln>
                <a:solidFill>
                  <a:schemeClr val="tx1"/>
                </a:solidFill>
              </a:ln>
            </xdr:spPr>
          </xdr:pic>
          <xdr:sp macro="" textlink="">
            <xdr:nvSpPr>
              <xdr:cNvPr id="57" name="TextBox 67">
                <a:extLst>
                  <a:ext uri="{FF2B5EF4-FFF2-40B4-BE49-F238E27FC236}">
                    <a16:creationId xmlns:a16="http://schemas.microsoft.com/office/drawing/2014/main" id="{00000000-0008-0000-0000-000039000000}"/>
                  </a:ext>
                </a:extLst>
              </xdr:cNvPr>
              <xdr:cNvSpPr txBox="1"/>
            </xdr:nvSpPr>
            <xdr:spPr>
              <a:xfrm>
                <a:off x="4093519" y="3403471"/>
                <a:ext cx="866982" cy="229506"/>
              </a:xfrm>
              <a:prstGeom prst="rect">
                <a:avLst/>
              </a:prstGeom>
              <a:solidFill>
                <a:srgbClr val="F5F5F5"/>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Building No. 7</a:t>
                </a:r>
                <a:endParaRPr lang="en-IN" sz="1000" b="1"/>
              </a:p>
            </xdr:txBody>
          </xdr:sp>
        </xdr:grpSp>
        <xdr:grpSp>
          <xdr:nvGrpSpPr>
            <xdr:cNvPr id="53" name="Group 52">
              <a:extLst>
                <a:ext uri="{FF2B5EF4-FFF2-40B4-BE49-F238E27FC236}">
                  <a16:creationId xmlns:a16="http://schemas.microsoft.com/office/drawing/2014/main" id="{00000000-0008-0000-0000-000035000000}"/>
                </a:ext>
              </a:extLst>
            </xdr:cNvPr>
            <xdr:cNvGrpSpPr/>
          </xdr:nvGrpSpPr>
          <xdr:grpSpPr>
            <a:xfrm>
              <a:off x="850029" y="2680458"/>
              <a:ext cx="1043374" cy="2520000"/>
              <a:chOff x="850029" y="2680458"/>
              <a:chExt cx="1043374" cy="2520000"/>
            </a:xfrm>
          </xdr:grpSpPr>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50029" y="2680458"/>
                <a:ext cx="1043374" cy="2520000"/>
              </a:xfrm>
              <a:prstGeom prst="rect">
                <a:avLst/>
              </a:prstGeom>
              <a:ln>
                <a:solidFill>
                  <a:schemeClr val="tx1"/>
                </a:solidFill>
              </a:ln>
            </xdr:spPr>
          </xdr:pic>
          <xdr:sp macro="" textlink="">
            <xdr:nvSpPr>
              <xdr:cNvPr id="55" name="TextBox 68">
                <a:extLst>
                  <a:ext uri="{FF2B5EF4-FFF2-40B4-BE49-F238E27FC236}">
                    <a16:creationId xmlns:a16="http://schemas.microsoft.com/office/drawing/2014/main" id="{00000000-0008-0000-0000-000037000000}"/>
                  </a:ext>
                </a:extLst>
              </xdr:cNvPr>
              <xdr:cNvSpPr txBox="1"/>
            </xdr:nvSpPr>
            <xdr:spPr>
              <a:xfrm>
                <a:off x="893515" y="3403471"/>
                <a:ext cx="866982" cy="229506"/>
              </a:xfrm>
              <a:prstGeom prst="rect">
                <a:avLst/>
              </a:prstGeom>
              <a:solidFill>
                <a:srgbClr val="F5F5F5"/>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Building No. 7</a:t>
                </a:r>
                <a:endParaRPr lang="en-IN" sz="1000" b="1"/>
              </a:p>
            </xdr:txBody>
          </xdr:sp>
        </xdr:grpSp>
      </xdr:grpSp>
    </xdr:grpSp>
    <xdr:clientData/>
  </xdr:twoCellAnchor>
  <xdr:oneCellAnchor>
    <xdr:from>
      <xdr:col>9</xdr:col>
      <xdr:colOff>304799</xdr:colOff>
      <xdr:row>46</xdr:row>
      <xdr:rowOff>1295969</xdr:rowOff>
    </xdr:from>
    <xdr:ext cx="4352227" cy="2161260"/>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3"/>
        <a:stretch>
          <a:fillRect/>
        </a:stretch>
      </xdr:blipFill>
      <xdr:spPr>
        <a:xfrm>
          <a:off x="7381874" y="13135544"/>
          <a:ext cx="4352227" cy="2161260"/>
        </a:xfrm>
        <a:prstGeom prst="rect">
          <a:avLst/>
        </a:prstGeom>
      </xdr:spPr>
    </xdr:pic>
    <xdr:clientData/>
  </xdr:oneCellAnchor>
  <xdr:twoCellAnchor>
    <xdr:from>
      <xdr:col>0</xdr:col>
      <xdr:colOff>188333</xdr:colOff>
      <xdr:row>668</xdr:row>
      <xdr:rowOff>10647</xdr:rowOff>
    </xdr:from>
    <xdr:to>
      <xdr:col>7</xdr:col>
      <xdr:colOff>612383</xdr:colOff>
      <xdr:row>699</xdr:row>
      <xdr:rowOff>20355</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188333" y="143991294"/>
          <a:ext cx="6751638" cy="5104649"/>
          <a:chOff x="197858" y="142582818"/>
          <a:chExt cx="6119343" cy="5100656"/>
        </a:xfrm>
      </xdr:grpSpPr>
      <xdr:grpSp>
        <xdr:nvGrpSpPr>
          <xdr:cNvPr id="68" name="Group 67">
            <a:extLst>
              <a:ext uri="{FF2B5EF4-FFF2-40B4-BE49-F238E27FC236}">
                <a16:creationId xmlns:a16="http://schemas.microsoft.com/office/drawing/2014/main" id="{00000000-0008-0000-0000-000044000000}"/>
              </a:ext>
            </a:extLst>
          </xdr:cNvPr>
          <xdr:cNvGrpSpPr/>
        </xdr:nvGrpSpPr>
        <xdr:grpSpPr>
          <a:xfrm>
            <a:off x="197858" y="142582818"/>
            <a:ext cx="6119343" cy="5100656"/>
            <a:chOff x="-12564" y="45092"/>
            <a:chExt cx="6858001" cy="5086500"/>
          </a:xfrm>
        </xdr:grpSpPr>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564" y="45092"/>
              <a:ext cx="6858001" cy="5086500"/>
            </a:xfrm>
            <a:prstGeom prst="rect">
              <a:avLst/>
            </a:prstGeom>
            <a:ln>
              <a:solidFill>
                <a:schemeClr val="tx1"/>
              </a:solidFill>
            </a:ln>
          </xdr:spPr>
        </xdr:pic>
        <xdr:sp macro="" textlink="">
          <xdr:nvSpPr>
            <xdr:cNvPr id="70" name="Rectangle 69">
              <a:extLst>
                <a:ext uri="{FF2B5EF4-FFF2-40B4-BE49-F238E27FC236}">
                  <a16:creationId xmlns:a16="http://schemas.microsoft.com/office/drawing/2014/main" id="{00000000-0008-0000-0000-000046000000}"/>
                </a:ext>
              </a:extLst>
            </xdr:cNvPr>
            <xdr:cNvSpPr/>
          </xdr:nvSpPr>
          <xdr:spPr>
            <a:xfrm>
              <a:off x="111495" y="2110078"/>
              <a:ext cx="784324" cy="3603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1000" b="1">
                  <a:solidFill>
                    <a:srgbClr val="FF0000"/>
                  </a:solidFill>
                </a:rPr>
                <a:t>EWS Building No. </a:t>
              </a:r>
              <a:r>
                <a:rPr lang="en-IN" sz="1000" b="1" baseline="0">
                  <a:solidFill>
                    <a:srgbClr val="FF0000"/>
                  </a:solidFill>
                </a:rPr>
                <a:t>7</a:t>
              </a:r>
              <a:endParaRPr lang="en-IN" sz="1000" b="1">
                <a:solidFill>
                  <a:srgbClr val="FF0000"/>
                </a:solidFill>
              </a:endParaRPr>
            </a:p>
          </xdr:txBody>
        </xdr:sp>
        <xdr:sp macro="" textlink="">
          <xdr:nvSpPr>
            <xdr:cNvPr id="72" name="Rectangle 71">
              <a:extLst>
                <a:ext uri="{FF2B5EF4-FFF2-40B4-BE49-F238E27FC236}">
                  <a16:creationId xmlns:a16="http://schemas.microsoft.com/office/drawing/2014/main" id="{00000000-0008-0000-0000-000048000000}"/>
                </a:ext>
              </a:extLst>
            </xdr:cNvPr>
            <xdr:cNvSpPr/>
          </xdr:nvSpPr>
          <xdr:spPr>
            <a:xfrm>
              <a:off x="889930" y="2152023"/>
              <a:ext cx="159543" cy="257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3" name="Freeform 72">
              <a:extLst>
                <a:ext uri="{FF2B5EF4-FFF2-40B4-BE49-F238E27FC236}">
                  <a16:creationId xmlns:a16="http://schemas.microsoft.com/office/drawing/2014/main" id="{00000000-0008-0000-0000-000049000000}"/>
                </a:ext>
              </a:extLst>
            </xdr:cNvPr>
            <xdr:cNvSpPr/>
          </xdr:nvSpPr>
          <xdr:spPr>
            <a:xfrm>
              <a:off x="947081" y="1608900"/>
              <a:ext cx="404811" cy="393103"/>
            </a:xfrm>
            <a:custGeom>
              <a:avLst/>
              <a:gdLst>
                <a:gd name="connsiteX0" fmla="*/ 0 w 404811"/>
                <a:gd name="connsiteY0" fmla="*/ 0 h 393103"/>
                <a:gd name="connsiteX1" fmla="*/ 202406 w 404811"/>
                <a:gd name="connsiteY1" fmla="*/ 0 h 393103"/>
                <a:gd name="connsiteX2" fmla="*/ 202406 w 404811"/>
                <a:gd name="connsiteY2" fmla="*/ 271463 h 393103"/>
                <a:gd name="connsiteX3" fmla="*/ 404811 w 404811"/>
                <a:gd name="connsiteY3" fmla="*/ 271463 h 393103"/>
                <a:gd name="connsiteX4" fmla="*/ 404811 w 404811"/>
                <a:gd name="connsiteY4" fmla="*/ 393102 h 393103"/>
                <a:gd name="connsiteX5" fmla="*/ 202406 w 404811"/>
                <a:gd name="connsiteY5" fmla="*/ 393102 h 393103"/>
                <a:gd name="connsiteX6" fmla="*/ 202406 w 404811"/>
                <a:gd name="connsiteY6" fmla="*/ 393103 h 393103"/>
                <a:gd name="connsiteX7" fmla="*/ 0 w 404811"/>
                <a:gd name="connsiteY7" fmla="*/ 393103 h 3931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04811" h="393103">
                  <a:moveTo>
                    <a:pt x="0" y="0"/>
                  </a:moveTo>
                  <a:lnTo>
                    <a:pt x="202406" y="0"/>
                  </a:lnTo>
                  <a:lnTo>
                    <a:pt x="202406" y="271463"/>
                  </a:lnTo>
                  <a:lnTo>
                    <a:pt x="404811" y="271463"/>
                  </a:lnTo>
                  <a:lnTo>
                    <a:pt x="404811" y="393102"/>
                  </a:lnTo>
                  <a:lnTo>
                    <a:pt x="202406" y="393102"/>
                  </a:lnTo>
                  <a:lnTo>
                    <a:pt x="202406" y="393103"/>
                  </a:lnTo>
                  <a:lnTo>
                    <a:pt x="0" y="393103"/>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4" name="Rectangle 73">
              <a:extLst>
                <a:ext uri="{FF2B5EF4-FFF2-40B4-BE49-F238E27FC236}">
                  <a16:creationId xmlns:a16="http://schemas.microsoft.com/office/drawing/2014/main" id="{00000000-0008-0000-0000-00004A000000}"/>
                </a:ext>
              </a:extLst>
            </xdr:cNvPr>
            <xdr:cNvSpPr/>
          </xdr:nvSpPr>
          <xdr:spPr>
            <a:xfrm>
              <a:off x="969702" y="1080065"/>
              <a:ext cx="229790" cy="43140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5" name="Rectangle 74">
              <a:extLst>
                <a:ext uri="{FF2B5EF4-FFF2-40B4-BE49-F238E27FC236}">
                  <a16:creationId xmlns:a16="http://schemas.microsoft.com/office/drawing/2014/main" id="{00000000-0008-0000-0000-00004B000000}"/>
                </a:ext>
              </a:extLst>
            </xdr:cNvPr>
            <xdr:cNvSpPr/>
          </xdr:nvSpPr>
          <xdr:spPr>
            <a:xfrm rot="3162642">
              <a:off x="1135793" y="583115"/>
              <a:ext cx="229790" cy="43140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6" name="Rectangle 75">
              <a:extLst>
                <a:ext uri="{FF2B5EF4-FFF2-40B4-BE49-F238E27FC236}">
                  <a16:creationId xmlns:a16="http://schemas.microsoft.com/office/drawing/2014/main" id="{00000000-0008-0000-0000-00004C000000}"/>
                </a:ext>
              </a:extLst>
            </xdr:cNvPr>
            <xdr:cNvSpPr/>
          </xdr:nvSpPr>
          <xdr:spPr>
            <a:xfrm rot="20021015">
              <a:off x="1642568" y="558458"/>
              <a:ext cx="257738" cy="40275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7" name="Rectangle 76">
              <a:extLst>
                <a:ext uri="{FF2B5EF4-FFF2-40B4-BE49-F238E27FC236}">
                  <a16:creationId xmlns:a16="http://schemas.microsoft.com/office/drawing/2014/main" id="{00000000-0008-0000-0000-00004D000000}"/>
                </a:ext>
              </a:extLst>
            </xdr:cNvPr>
            <xdr:cNvSpPr/>
          </xdr:nvSpPr>
          <xdr:spPr>
            <a:xfrm rot="20021015">
              <a:off x="1830686" y="993183"/>
              <a:ext cx="257738" cy="40275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8" name="Rectangle 77">
              <a:extLst>
                <a:ext uri="{FF2B5EF4-FFF2-40B4-BE49-F238E27FC236}">
                  <a16:creationId xmlns:a16="http://schemas.microsoft.com/office/drawing/2014/main" id="{00000000-0008-0000-0000-00004E000000}"/>
                </a:ext>
              </a:extLst>
            </xdr:cNvPr>
            <xdr:cNvSpPr/>
          </xdr:nvSpPr>
          <xdr:spPr>
            <a:xfrm rot="20021015">
              <a:off x="1999796" y="1423597"/>
              <a:ext cx="313187" cy="40275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9" name="Rectangle 78">
              <a:extLst>
                <a:ext uri="{FF2B5EF4-FFF2-40B4-BE49-F238E27FC236}">
                  <a16:creationId xmlns:a16="http://schemas.microsoft.com/office/drawing/2014/main" id="{00000000-0008-0000-0000-00004F000000}"/>
                </a:ext>
              </a:extLst>
            </xdr:cNvPr>
            <xdr:cNvSpPr/>
          </xdr:nvSpPr>
          <xdr:spPr>
            <a:xfrm>
              <a:off x="249262" y="1759044"/>
              <a:ext cx="668105" cy="2407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1000" b="1">
                  <a:solidFill>
                    <a:srgbClr val="FF0000"/>
                  </a:solidFill>
                </a:rPr>
                <a:t>Wing A</a:t>
              </a:r>
            </a:p>
          </xdr:txBody>
        </xdr:sp>
        <xdr:sp macro="" textlink="">
          <xdr:nvSpPr>
            <xdr:cNvPr id="80" name="Rectangle 79">
              <a:extLst>
                <a:ext uri="{FF2B5EF4-FFF2-40B4-BE49-F238E27FC236}">
                  <a16:creationId xmlns:a16="http://schemas.microsoft.com/office/drawing/2014/main" id="{00000000-0008-0000-0000-000050000000}"/>
                </a:ext>
              </a:extLst>
            </xdr:cNvPr>
            <xdr:cNvSpPr/>
          </xdr:nvSpPr>
          <xdr:spPr>
            <a:xfrm>
              <a:off x="364470" y="1290321"/>
              <a:ext cx="668105" cy="2407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1000" b="1">
                  <a:solidFill>
                    <a:srgbClr val="FF0000"/>
                  </a:solidFill>
                </a:rPr>
                <a:t>Wing B</a:t>
              </a:r>
            </a:p>
          </xdr:txBody>
        </xdr:sp>
        <xdr:sp macro="" textlink="">
          <xdr:nvSpPr>
            <xdr:cNvPr id="81" name="Rectangle 80">
              <a:extLst>
                <a:ext uri="{FF2B5EF4-FFF2-40B4-BE49-F238E27FC236}">
                  <a16:creationId xmlns:a16="http://schemas.microsoft.com/office/drawing/2014/main" id="{00000000-0008-0000-0000-000051000000}"/>
                </a:ext>
              </a:extLst>
            </xdr:cNvPr>
            <xdr:cNvSpPr/>
          </xdr:nvSpPr>
          <xdr:spPr>
            <a:xfrm>
              <a:off x="568918" y="568746"/>
              <a:ext cx="668105" cy="2407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1000" b="1">
                  <a:solidFill>
                    <a:srgbClr val="FF0000"/>
                  </a:solidFill>
                </a:rPr>
                <a:t>Wing C</a:t>
              </a:r>
            </a:p>
          </xdr:txBody>
        </xdr:sp>
        <xdr:sp macro="" textlink="">
          <xdr:nvSpPr>
            <xdr:cNvPr id="82" name="Rectangle 81">
              <a:extLst>
                <a:ext uri="{FF2B5EF4-FFF2-40B4-BE49-F238E27FC236}">
                  <a16:creationId xmlns:a16="http://schemas.microsoft.com/office/drawing/2014/main" id="{00000000-0008-0000-0000-000052000000}"/>
                </a:ext>
              </a:extLst>
            </xdr:cNvPr>
            <xdr:cNvSpPr/>
          </xdr:nvSpPr>
          <xdr:spPr>
            <a:xfrm>
              <a:off x="1795692" y="539772"/>
              <a:ext cx="668105" cy="2407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1000" b="1">
                  <a:solidFill>
                    <a:srgbClr val="FF0000"/>
                  </a:solidFill>
                </a:rPr>
                <a:t>Wing D</a:t>
              </a:r>
            </a:p>
          </xdr:txBody>
        </xdr:sp>
        <xdr:sp macro="" textlink="">
          <xdr:nvSpPr>
            <xdr:cNvPr id="83" name="Rectangle 82">
              <a:extLst>
                <a:ext uri="{FF2B5EF4-FFF2-40B4-BE49-F238E27FC236}">
                  <a16:creationId xmlns:a16="http://schemas.microsoft.com/office/drawing/2014/main" id="{00000000-0008-0000-0000-000053000000}"/>
                </a:ext>
              </a:extLst>
            </xdr:cNvPr>
            <xdr:cNvSpPr/>
          </xdr:nvSpPr>
          <xdr:spPr>
            <a:xfrm>
              <a:off x="2009249" y="948939"/>
              <a:ext cx="668105" cy="2407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1000" b="1">
                  <a:solidFill>
                    <a:srgbClr val="FF0000"/>
                  </a:solidFill>
                </a:rPr>
                <a:t>Wing E</a:t>
              </a:r>
            </a:p>
          </xdr:txBody>
        </xdr:sp>
        <xdr:sp macro="" textlink="">
          <xdr:nvSpPr>
            <xdr:cNvPr id="84" name="Rectangle 83">
              <a:extLst>
                <a:ext uri="{FF2B5EF4-FFF2-40B4-BE49-F238E27FC236}">
                  <a16:creationId xmlns:a16="http://schemas.microsoft.com/office/drawing/2014/main" id="{00000000-0008-0000-0000-000054000000}"/>
                </a:ext>
              </a:extLst>
            </xdr:cNvPr>
            <xdr:cNvSpPr/>
          </xdr:nvSpPr>
          <xdr:spPr>
            <a:xfrm>
              <a:off x="2397843" y="1316948"/>
              <a:ext cx="668105" cy="2407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1000" b="1">
                  <a:solidFill>
                    <a:srgbClr val="FF0000"/>
                  </a:solidFill>
                </a:rPr>
                <a:t>Wing F</a:t>
              </a:r>
            </a:p>
          </xdr:txBody>
        </xdr:sp>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235198" y="4415697"/>
              <a:ext cx="691887" cy="691887"/>
            </a:xfrm>
            <a:prstGeom prst="rect">
              <a:avLst/>
            </a:prstGeom>
          </xdr:spPr>
        </xdr:pic>
        <xdr:sp macro="" textlink="">
          <xdr:nvSpPr>
            <xdr:cNvPr id="89" name="Rectangle 88">
              <a:extLst>
                <a:ext uri="{FF2B5EF4-FFF2-40B4-BE49-F238E27FC236}">
                  <a16:creationId xmlns:a16="http://schemas.microsoft.com/office/drawing/2014/main" id="{00000000-0008-0000-0000-000059000000}"/>
                </a:ext>
              </a:extLst>
            </xdr:cNvPr>
            <xdr:cNvSpPr/>
          </xdr:nvSpPr>
          <xdr:spPr>
            <a:xfrm rot="19681811">
              <a:off x="1692742" y="2553418"/>
              <a:ext cx="668105" cy="2407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1000" b="1">
                  <a:solidFill>
                    <a:srgbClr val="FF0000"/>
                  </a:solidFill>
                </a:rPr>
                <a:t>HT</a:t>
              </a:r>
              <a:r>
                <a:rPr lang="en-IN" sz="1000" b="1" baseline="0">
                  <a:solidFill>
                    <a:srgbClr val="FF0000"/>
                  </a:solidFill>
                </a:rPr>
                <a:t> Line</a:t>
              </a:r>
              <a:endParaRPr lang="en-IN" sz="1000" b="1">
                <a:solidFill>
                  <a:srgbClr val="FF0000"/>
                </a:solidFill>
              </a:endParaRPr>
            </a:p>
          </xdr:txBody>
        </xdr:sp>
      </xdr:grpSp>
      <xdr:grpSp>
        <xdr:nvGrpSpPr>
          <xdr:cNvPr id="15" name="Group 14">
            <a:extLst>
              <a:ext uri="{FF2B5EF4-FFF2-40B4-BE49-F238E27FC236}">
                <a16:creationId xmlns:a16="http://schemas.microsoft.com/office/drawing/2014/main" id="{00000000-0008-0000-0000-00000F000000}"/>
              </a:ext>
            </a:extLst>
          </xdr:cNvPr>
          <xdr:cNvGrpSpPr/>
        </xdr:nvGrpSpPr>
        <xdr:grpSpPr>
          <a:xfrm>
            <a:off x="902804" y="144344449"/>
            <a:ext cx="1739062" cy="1025331"/>
            <a:chOff x="902804" y="145776311"/>
            <a:chExt cx="1731283" cy="998709"/>
          </a:xfrm>
        </xdr:grpSpPr>
        <xdr:sp macro="" textlink="">
          <xdr:nvSpPr>
            <xdr:cNvPr id="13" name="Freeform 12">
              <a:extLst>
                <a:ext uri="{FF2B5EF4-FFF2-40B4-BE49-F238E27FC236}">
                  <a16:creationId xmlns:a16="http://schemas.microsoft.com/office/drawing/2014/main" id="{00000000-0008-0000-0000-00000D000000}"/>
                </a:ext>
              </a:extLst>
            </xdr:cNvPr>
            <xdr:cNvSpPr/>
          </xdr:nvSpPr>
          <xdr:spPr>
            <a:xfrm>
              <a:off x="952500" y="145776311"/>
              <a:ext cx="1515936" cy="727562"/>
            </a:xfrm>
            <a:custGeom>
              <a:avLst/>
              <a:gdLst>
                <a:gd name="connsiteX0" fmla="*/ 0 w 1524000"/>
                <a:gd name="connsiteY0" fmla="*/ 728870 h 753718"/>
                <a:gd name="connsiteX1" fmla="*/ 405848 w 1524000"/>
                <a:gd name="connsiteY1" fmla="*/ 753718 h 753718"/>
                <a:gd name="connsiteX2" fmla="*/ 1524000 w 1524000"/>
                <a:gd name="connsiteY2" fmla="*/ 0 h 753718"/>
              </a:gdLst>
              <a:ahLst/>
              <a:cxnLst>
                <a:cxn ang="0">
                  <a:pos x="connsiteX0" y="connsiteY0"/>
                </a:cxn>
                <a:cxn ang="0">
                  <a:pos x="connsiteX1" y="connsiteY1"/>
                </a:cxn>
                <a:cxn ang="0">
                  <a:pos x="connsiteX2" y="connsiteY2"/>
                </a:cxn>
              </a:cxnLst>
              <a:rect l="l" t="t" r="r" b="b"/>
              <a:pathLst>
                <a:path w="1524000" h="753718">
                  <a:moveTo>
                    <a:pt x="0" y="728870"/>
                  </a:moveTo>
                  <a:lnTo>
                    <a:pt x="405848" y="753718"/>
                  </a:lnTo>
                  <a:lnTo>
                    <a:pt x="1524000" y="0"/>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6" name="Freeform 85">
              <a:extLst>
                <a:ext uri="{FF2B5EF4-FFF2-40B4-BE49-F238E27FC236}">
                  <a16:creationId xmlns:a16="http://schemas.microsoft.com/office/drawing/2014/main" id="{00000000-0008-0000-0000-000056000000}"/>
                </a:ext>
              </a:extLst>
            </xdr:cNvPr>
            <xdr:cNvSpPr/>
          </xdr:nvSpPr>
          <xdr:spPr>
            <a:xfrm>
              <a:off x="902804" y="145835011"/>
              <a:ext cx="1640175" cy="749358"/>
            </a:xfrm>
            <a:custGeom>
              <a:avLst/>
              <a:gdLst>
                <a:gd name="connsiteX0" fmla="*/ 0 w 1524000"/>
                <a:gd name="connsiteY0" fmla="*/ 728870 h 753718"/>
                <a:gd name="connsiteX1" fmla="*/ 405848 w 1524000"/>
                <a:gd name="connsiteY1" fmla="*/ 753718 h 753718"/>
                <a:gd name="connsiteX2" fmla="*/ 1524000 w 1524000"/>
                <a:gd name="connsiteY2" fmla="*/ 0 h 753718"/>
              </a:gdLst>
              <a:ahLst/>
              <a:cxnLst>
                <a:cxn ang="0">
                  <a:pos x="connsiteX0" y="connsiteY0"/>
                </a:cxn>
                <a:cxn ang="0">
                  <a:pos x="connsiteX1" y="connsiteY1"/>
                </a:cxn>
                <a:cxn ang="0">
                  <a:pos x="connsiteX2" y="connsiteY2"/>
                </a:cxn>
              </a:cxnLst>
              <a:rect l="l" t="t" r="r" b="b"/>
              <a:pathLst>
                <a:path w="1524000" h="753718">
                  <a:moveTo>
                    <a:pt x="0" y="728870"/>
                  </a:moveTo>
                  <a:lnTo>
                    <a:pt x="405848" y="753718"/>
                  </a:lnTo>
                  <a:lnTo>
                    <a:pt x="1524000" y="0"/>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7" name="Freeform 86">
              <a:extLst>
                <a:ext uri="{FF2B5EF4-FFF2-40B4-BE49-F238E27FC236}">
                  <a16:creationId xmlns:a16="http://schemas.microsoft.com/office/drawing/2014/main" id="{00000000-0008-0000-0000-000057000000}"/>
                </a:ext>
              </a:extLst>
            </xdr:cNvPr>
            <xdr:cNvSpPr/>
          </xdr:nvSpPr>
          <xdr:spPr>
            <a:xfrm>
              <a:off x="919369" y="145911884"/>
              <a:ext cx="1648458" cy="752409"/>
            </a:xfrm>
            <a:custGeom>
              <a:avLst/>
              <a:gdLst>
                <a:gd name="connsiteX0" fmla="*/ 0 w 1524000"/>
                <a:gd name="connsiteY0" fmla="*/ 728870 h 753718"/>
                <a:gd name="connsiteX1" fmla="*/ 405848 w 1524000"/>
                <a:gd name="connsiteY1" fmla="*/ 753718 h 753718"/>
                <a:gd name="connsiteX2" fmla="*/ 1524000 w 1524000"/>
                <a:gd name="connsiteY2" fmla="*/ 0 h 753718"/>
              </a:gdLst>
              <a:ahLst/>
              <a:cxnLst>
                <a:cxn ang="0">
                  <a:pos x="connsiteX0" y="connsiteY0"/>
                </a:cxn>
                <a:cxn ang="0">
                  <a:pos x="connsiteX1" y="connsiteY1"/>
                </a:cxn>
                <a:cxn ang="0">
                  <a:pos x="connsiteX2" y="connsiteY2"/>
                </a:cxn>
              </a:cxnLst>
              <a:rect l="l" t="t" r="r" b="b"/>
              <a:pathLst>
                <a:path w="1524000" h="753718">
                  <a:moveTo>
                    <a:pt x="0" y="728870"/>
                  </a:moveTo>
                  <a:lnTo>
                    <a:pt x="405848" y="753718"/>
                  </a:lnTo>
                  <a:lnTo>
                    <a:pt x="1524000" y="0"/>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8" name="Freeform 87">
              <a:extLst>
                <a:ext uri="{FF2B5EF4-FFF2-40B4-BE49-F238E27FC236}">
                  <a16:creationId xmlns:a16="http://schemas.microsoft.com/office/drawing/2014/main" id="{00000000-0008-0000-0000-000058000000}"/>
                </a:ext>
              </a:extLst>
            </xdr:cNvPr>
            <xdr:cNvSpPr/>
          </xdr:nvSpPr>
          <xdr:spPr>
            <a:xfrm>
              <a:off x="919368" y="145989480"/>
              <a:ext cx="1714719" cy="785540"/>
            </a:xfrm>
            <a:custGeom>
              <a:avLst/>
              <a:gdLst>
                <a:gd name="connsiteX0" fmla="*/ 0 w 1524000"/>
                <a:gd name="connsiteY0" fmla="*/ 728870 h 753718"/>
                <a:gd name="connsiteX1" fmla="*/ 405848 w 1524000"/>
                <a:gd name="connsiteY1" fmla="*/ 753718 h 753718"/>
                <a:gd name="connsiteX2" fmla="*/ 1524000 w 1524000"/>
                <a:gd name="connsiteY2" fmla="*/ 0 h 753718"/>
              </a:gdLst>
              <a:ahLst/>
              <a:cxnLst>
                <a:cxn ang="0">
                  <a:pos x="connsiteX0" y="connsiteY0"/>
                </a:cxn>
                <a:cxn ang="0">
                  <a:pos x="connsiteX1" y="connsiteY1"/>
                </a:cxn>
                <a:cxn ang="0">
                  <a:pos x="connsiteX2" y="connsiteY2"/>
                </a:cxn>
              </a:cxnLst>
              <a:rect l="l" t="t" r="r" b="b"/>
              <a:pathLst>
                <a:path w="1524000" h="753718">
                  <a:moveTo>
                    <a:pt x="0" y="728870"/>
                  </a:moveTo>
                  <a:lnTo>
                    <a:pt x="405848" y="753718"/>
                  </a:lnTo>
                  <a:lnTo>
                    <a:pt x="1524000" y="0"/>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editAs="oneCell">
    <xdr:from>
      <xdr:col>0</xdr:col>
      <xdr:colOff>729343</xdr:colOff>
      <xdr:row>715</xdr:row>
      <xdr:rowOff>80322</xdr:rowOff>
    </xdr:from>
    <xdr:to>
      <xdr:col>6</xdr:col>
      <xdr:colOff>492850</xdr:colOff>
      <xdr:row>765</xdr:row>
      <xdr:rowOff>76200</xdr:rowOff>
    </xdr:to>
    <xdr:pic>
      <xdr:nvPicPr>
        <xdr:cNvPr id="148" name="Pictur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6"/>
        <a:stretch>
          <a:fillRect/>
        </a:stretch>
      </xdr:blipFill>
      <xdr:spPr>
        <a:xfrm>
          <a:off x="729343" y="147384447"/>
          <a:ext cx="4754607" cy="6815778"/>
        </a:xfrm>
        <a:prstGeom prst="rect">
          <a:avLst/>
        </a:prstGeom>
        <a:ln>
          <a:solidFill>
            <a:schemeClr val="tx1"/>
          </a:solidFill>
        </a:ln>
      </xdr:spPr>
    </xdr:pic>
    <xdr:clientData/>
  </xdr:twoCellAnchor>
  <xdr:twoCellAnchor editAs="oneCell">
    <xdr:from>
      <xdr:col>0</xdr:col>
      <xdr:colOff>693965</xdr:colOff>
      <xdr:row>768</xdr:row>
      <xdr:rowOff>85725</xdr:rowOff>
    </xdr:from>
    <xdr:to>
      <xdr:col>7</xdr:col>
      <xdr:colOff>230189</xdr:colOff>
      <xdr:row>813</xdr:row>
      <xdr:rowOff>114301</xdr:rowOff>
    </xdr:to>
    <xdr:pic>
      <xdr:nvPicPr>
        <xdr:cNvPr id="149" name="Pictur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7"/>
        <a:stretch>
          <a:fillRect/>
        </a:stretch>
      </xdr:blipFill>
      <xdr:spPr>
        <a:xfrm>
          <a:off x="693965" y="154714575"/>
          <a:ext cx="5232174" cy="7315200"/>
        </a:xfrm>
        <a:prstGeom prst="rect">
          <a:avLst/>
        </a:prstGeom>
        <a:ln>
          <a:solidFill>
            <a:schemeClr val="tx1"/>
          </a:solidFill>
        </a:ln>
      </xdr:spPr>
    </xdr:pic>
    <xdr:clientData/>
  </xdr:twoCellAnchor>
  <xdr:twoCellAnchor editAs="oneCell">
    <xdr:from>
      <xdr:col>0</xdr:col>
      <xdr:colOff>873577</xdr:colOff>
      <xdr:row>816</xdr:row>
      <xdr:rowOff>88446</xdr:rowOff>
    </xdr:from>
    <xdr:to>
      <xdr:col>7</xdr:col>
      <xdr:colOff>106027</xdr:colOff>
      <xdr:row>858</xdr:row>
      <xdr:rowOff>118194</xdr:rowOff>
    </xdr:to>
    <xdr:pic>
      <xdr:nvPicPr>
        <xdr:cNvPr id="150" name="Picture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8"/>
        <a:stretch>
          <a:fillRect/>
        </a:stretch>
      </xdr:blipFill>
      <xdr:spPr>
        <a:xfrm>
          <a:off x="873577" y="162508746"/>
          <a:ext cx="4928400" cy="6830594"/>
        </a:xfrm>
        <a:prstGeom prst="rect">
          <a:avLst/>
        </a:prstGeom>
        <a:ln>
          <a:solidFill>
            <a:schemeClr val="tx1"/>
          </a:solidFill>
        </a:ln>
      </xdr:spPr>
    </xdr:pic>
    <xdr:clientData/>
  </xdr:twoCellAnchor>
  <xdr:twoCellAnchor>
    <xdr:from>
      <xdr:col>0</xdr:col>
      <xdr:colOff>895351</xdr:colOff>
      <xdr:row>864</xdr:row>
      <xdr:rowOff>85725</xdr:rowOff>
    </xdr:from>
    <xdr:to>
      <xdr:col>6</xdr:col>
      <xdr:colOff>514351</xdr:colOff>
      <xdr:row>907</xdr:row>
      <xdr:rowOff>85725</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895351" y="175054372"/>
          <a:ext cx="5162176" cy="7067177"/>
          <a:chOff x="895351" y="173418313"/>
          <a:chExt cx="4605618" cy="6745941"/>
        </a:xfrm>
      </xdr:grpSpPr>
      <xdr:grpSp>
        <xdr:nvGrpSpPr>
          <xdr:cNvPr id="45" name="Group 44">
            <a:extLst>
              <a:ext uri="{FF2B5EF4-FFF2-40B4-BE49-F238E27FC236}">
                <a16:creationId xmlns:a16="http://schemas.microsoft.com/office/drawing/2014/main" id="{00000000-0008-0000-0000-00002D000000}"/>
              </a:ext>
            </a:extLst>
          </xdr:cNvPr>
          <xdr:cNvGrpSpPr/>
        </xdr:nvGrpSpPr>
        <xdr:grpSpPr>
          <a:xfrm>
            <a:off x="895351" y="173418313"/>
            <a:ext cx="4605618" cy="6745941"/>
            <a:chOff x="1089000" y="138024"/>
            <a:chExt cx="4680000" cy="7240584"/>
          </a:xfrm>
        </xdr:grpSpPr>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19"/>
            <a:srcRect l="24839" t="14387" r="18276" b="12028"/>
            <a:stretch/>
          </xdr:blipFill>
          <xdr:spPr>
            <a:xfrm>
              <a:off x="1089000" y="3974972"/>
              <a:ext cx="4680000" cy="3403636"/>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20"/>
            <a:srcRect l="43006" t="20047" r="8596" b="12028"/>
            <a:stretch/>
          </xdr:blipFill>
          <xdr:spPr>
            <a:xfrm>
              <a:off x="1089000" y="138024"/>
              <a:ext cx="4680000" cy="3692713"/>
            </a:xfrm>
            <a:prstGeom prst="rect">
              <a:avLst/>
            </a:prstGeom>
            <a:ln>
              <a:solidFill>
                <a:schemeClr val="tx1"/>
              </a:solidFill>
            </a:ln>
          </xdr:spPr>
        </xdr:pic>
      </xdr:grpSp>
      <xdr:sp macro="" textlink="">
        <xdr:nvSpPr>
          <xdr:cNvPr id="14" name="Rectangle 13">
            <a:extLst>
              <a:ext uri="{FF2B5EF4-FFF2-40B4-BE49-F238E27FC236}">
                <a16:creationId xmlns:a16="http://schemas.microsoft.com/office/drawing/2014/main" id="{00000000-0008-0000-0000-00000E000000}"/>
              </a:ext>
            </a:extLst>
          </xdr:cNvPr>
          <xdr:cNvSpPr/>
        </xdr:nvSpPr>
        <xdr:spPr>
          <a:xfrm rot="1785420">
            <a:off x="2438315" y="178400985"/>
            <a:ext cx="1270174" cy="108697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12</xdr:col>
      <xdr:colOff>168088</xdr:colOff>
      <xdr:row>115</xdr:row>
      <xdr:rowOff>78441</xdr:rowOff>
    </xdr:from>
    <xdr:to>
      <xdr:col>18</xdr:col>
      <xdr:colOff>303588</xdr:colOff>
      <xdr:row>137</xdr:row>
      <xdr:rowOff>125108</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1"/>
        <a:stretch>
          <a:fillRect/>
        </a:stretch>
      </xdr:blipFill>
      <xdr:spPr>
        <a:xfrm>
          <a:off x="8863853" y="37125088"/>
          <a:ext cx="3362794" cy="3839111"/>
        </a:xfrm>
        <a:prstGeom prst="rect">
          <a:avLst/>
        </a:prstGeom>
      </xdr:spPr>
    </xdr:pic>
    <xdr:clientData/>
  </xdr:twoCellAnchor>
  <xdr:twoCellAnchor editAs="oneCell">
    <xdr:from>
      <xdr:col>11</xdr:col>
      <xdr:colOff>504265</xdr:colOff>
      <xdr:row>74</xdr:row>
      <xdr:rowOff>470647</xdr:rowOff>
    </xdr:from>
    <xdr:to>
      <xdr:col>18</xdr:col>
      <xdr:colOff>101882</xdr:colOff>
      <xdr:row>90</xdr:row>
      <xdr:rowOff>146100</xdr:rowOff>
    </xdr:to>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1"/>
        <a:stretch>
          <a:fillRect/>
        </a:stretch>
      </xdr:blipFill>
      <xdr:spPr>
        <a:xfrm>
          <a:off x="8662147" y="30076588"/>
          <a:ext cx="3362794" cy="3839111"/>
        </a:xfrm>
        <a:prstGeom prst="rect">
          <a:avLst/>
        </a:prstGeom>
      </xdr:spPr>
    </xdr:pic>
    <xdr:clientData/>
  </xdr:twoCellAnchor>
  <xdr:twoCellAnchor>
    <xdr:from>
      <xdr:col>11</xdr:col>
      <xdr:colOff>0</xdr:colOff>
      <xdr:row>608</xdr:row>
      <xdr:rowOff>0</xdr:rowOff>
    </xdr:from>
    <xdr:to>
      <xdr:col>12</xdr:col>
      <xdr:colOff>378338</xdr:colOff>
      <xdr:row>608</xdr:row>
      <xdr:rowOff>374141</xdr:rowOff>
    </xdr:to>
    <xdr:sp macro="" textlink="">
      <xdr:nvSpPr>
        <xdr:cNvPr id="91" name="TextBox 16">
          <a:extLst>
            <a:ext uri="{FF2B5EF4-FFF2-40B4-BE49-F238E27FC236}">
              <a16:creationId xmlns:a16="http://schemas.microsoft.com/office/drawing/2014/main" id="{28FC4FDF-5108-E174-91F4-98677B8AEEED}"/>
            </a:ext>
          </a:extLst>
        </xdr:cNvPr>
        <xdr:cNvSpPr txBox="1"/>
      </xdr:nvSpPr>
      <xdr:spPr>
        <a:xfrm>
          <a:off x="8928100" y="135521700"/>
          <a:ext cx="937138"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FF00"/>
              </a:solidFill>
            </a:rPr>
            <a:t>Wing F</a:t>
          </a:r>
          <a:endParaRPr lang="en-IN">
            <a:solidFill>
              <a:srgbClr val="FFFF00"/>
            </a:solidFill>
          </a:endParaRPr>
        </a:p>
      </xdr:txBody>
    </xdr:sp>
    <xdr:clientData/>
  </xdr:twoCellAnchor>
  <xdr:twoCellAnchor>
    <xdr:from>
      <xdr:col>1</xdr:col>
      <xdr:colOff>552450</xdr:colOff>
      <xdr:row>610</xdr:row>
      <xdr:rowOff>95250</xdr:rowOff>
    </xdr:from>
    <xdr:to>
      <xdr:col>6</xdr:col>
      <xdr:colOff>135100</xdr:colOff>
      <xdr:row>663</xdr:row>
      <xdr:rowOff>29813</xdr:rowOff>
    </xdr:to>
    <xdr:grpSp>
      <xdr:nvGrpSpPr>
        <xdr:cNvPr id="36" name="Group 35"/>
        <xdr:cNvGrpSpPr/>
      </xdr:nvGrpSpPr>
      <xdr:grpSpPr>
        <a:xfrm>
          <a:off x="1889685" y="135813426"/>
          <a:ext cx="3788591" cy="7345387"/>
          <a:chOff x="1885950" y="136556750"/>
          <a:chExt cx="3780000" cy="7376763"/>
        </a:xfrm>
      </xdr:grpSpPr>
      <xdr:pic>
        <xdr:nvPicPr>
          <xdr:cNvPr id="92" name="Picture 91"/>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885950" y="136556750"/>
            <a:ext cx="3780000" cy="5040000"/>
          </a:xfrm>
          <a:prstGeom prst="rect">
            <a:avLst/>
          </a:prstGeom>
          <a:ln>
            <a:solidFill>
              <a:schemeClr val="tx1"/>
            </a:solidFill>
          </a:ln>
        </xdr:spPr>
      </xdr:pic>
      <xdr:pic>
        <xdr:nvPicPr>
          <xdr:cNvPr id="93" name="Picture 92"/>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986159" y="141773513"/>
            <a:ext cx="1624519" cy="2160000"/>
          </a:xfrm>
          <a:prstGeom prst="rect">
            <a:avLst/>
          </a:prstGeom>
          <a:ln>
            <a:solidFill>
              <a:schemeClr val="tx1"/>
            </a:solidFill>
          </a:ln>
        </xdr:spPr>
      </xdr:pic>
      <xdr:pic>
        <xdr:nvPicPr>
          <xdr:cNvPr id="94" name="Picture 93"/>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748465" y="141773513"/>
            <a:ext cx="1739127"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xdr:colOff>
      <xdr:row>0</xdr:row>
      <xdr:rowOff>0</xdr:rowOff>
    </xdr:from>
    <xdr:to>
      <xdr:col>17</xdr:col>
      <xdr:colOff>2326</xdr:colOff>
      <xdr:row>22</xdr:row>
      <xdr:rowOff>37650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943226" y="0"/>
          <a:ext cx="6403125" cy="3600000"/>
        </a:xfrm>
        <a:prstGeom prst="rect">
          <a:avLst/>
        </a:prstGeom>
        <a:ln>
          <a:solidFill>
            <a:sysClr val="windowText" lastClr="000000"/>
          </a:solidFill>
        </a:ln>
      </xdr:spPr>
    </xdr:pic>
    <xdr:clientData/>
  </xdr:twoCellAnchor>
  <xdr:twoCellAnchor editAs="oneCell">
    <xdr:from>
      <xdr:col>8</xdr:col>
      <xdr:colOff>289222</xdr:colOff>
      <xdr:row>25</xdr:row>
      <xdr:rowOff>1354</xdr:rowOff>
    </xdr:from>
    <xdr:to>
      <xdr:col>13</xdr:col>
      <xdr:colOff>477847</xdr:colOff>
      <xdr:row>50</xdr:row>
      <xdr:rowOff>130354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24162" y="4192354"/>
          <a:ext cx="3236625" cy="4320000"/>
        </a:xfrm>
        <a:prstGeom prst="rect">
          <a:avLst/>
        </a:prstGeom>
        <a:ln>
          <a:solidFill>
            <a:schemeClr val="tx1"/>
          </a:solidFill>
        </a:ln>
      </xdr:spPr>
    </xdr:pic>
    <xdr:clientData/>
  </xdr:twoCellAnchor>
  <xdr:twoCellAnchor editAs="oneCell">
    <xdr:from>
      <xdr:col>3</xdr:col>
      <xdr:colOff>0</xdr:colOff>
      <xdr:row>25</xdr:row>
      <xdr:rowOff>0</xdr:rowOff>
    </xdr:from>
    <xdr:to>
      <xdr:col>8</xdr:col>
      <xdr:colOff>188625</xdr:colOff>
      <xdr:row>50</xdr:row>
      <xdr:rowOff>129000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86940" y="4191000"/>
          <a:ext cx="3236625" cy="432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6</xdr:col>
      <xdr:colOff>1366237</xdr:colOff>
      <xdr:row>40</xdr:row>
      <xdr:rowOff>113760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19062" r="20625" b="4257"/>
        <a:stretch/>
      </xdr:blipFill>
      <xdr:spPr>
        <a:xfrm>
          <a:off x="594360" y="2560320"/>
          <a:ext cx="7949917" cy="4320000"/>
        </a:xfrm>
        <a:prstGeom prst="rect">
          <a:avLst/>
        </a:prstGeom>
        <a:ln>
          <a:solidFill>
            <a:schemeClr val="tx1"/>
          </a:solidFill>
        </a:ln>
      </xdr:spPr>
    </xdr:pic>
    <xdr:clientData/>
  </xdr:twoCellAnchor>
  <xdr:twoCellAnchor editAs="oneCell">
    <xdr:from>
      <xdr:col>1</xdr:col>
      <xdr:colOff>0</xdr:colOff>
      <xdr:row>41</xdr:row>
      <xdr:rowOff>35819</xdr:rowOff>
    </xdr:from>
    <xdr:to>
      <xdr:col>8</xdr:col>
      <xdr:colOff>80559</xdr:colOff>
      <xdr:row>64</xdr:row>
      <xdr:rowOff>149579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t="19609" r="18000" b="11667"/>
        <a:stretch/>
      </xdr:blipFill>
      <xdr:spPr>
        <a:xfrm>
          <a:off x="594360" y="6985259"/>
          <a:ext cx="9163599" cy="4320000"/>
        </a:xfrm>
        <a:prstGeom prst="rect">
          <a:avLst/>
        </a:prstGeom>
        <a:ln>
          <a:solidFill>
            <a:schemeClr val="tx1"/>
          </a:solidFill>
        </a:ln>
      </xdr:spPr>
    </xdr:pic>
    <xdr:clientData/>
  </xdr:twoCellAnchor>
  <xdr:twoCellAnchor editAs="oneCell">
    <xdr:from>
      <xdr:col>1</xdr:col>
      <xdr:colOff>0</xdr:colOff>
      <xdr:row>66</xdr:row>
      <xdr:rowOff>0</xdr:rowOff>
    </xdr:from>
    <xdr:to>
      <xdr:col>7</xdr:col>
      <xdr:colOff>323872</xdr:colOff>
      <xdr:row>89</xdr:row>
      <xdr:rowOff>113760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
        <a:srcRect l="1" t="19332" r="17932" b="4539"/>
        <a:stretch/>
      </xdr:blipFill>
      <xdr:spPr>
        <a:xfrm>
          <a:off x="594360" y="11521440"/>
          <a:ext cx="8279152" cy="4320000"/>
        </a:xfrm>
        <a:prstGeom prst="rect">
          <a:avLst/>
        </a:prstGeom>
        <a:ln>
          <a:solidFill>
            <a:schemeClr val="tx1"/>
          </a:solidFill>
        </a:ln>
      </xdr:spPr>
    </xdr:pic>
    <xdr:clientData/>
  </xdr:twoCellAnchor>
  <xdr:twoCellAnchor editAs="oneCell">
    <xdr:from>
      <xdr:col>1</xdr:col>
      <xdr:colOff>0</xdr:colOff>
      <xdr:row>91</xdr:row>
      <xdr:rowOff>0</xdr:rowOff>
    </xdr:from>
    <xdr:to>
      <xdr:col>6</xdr:col>
      <xdr:colOff>524904</xdr:colOff>
      <xdr:row>114</xdr:row>
      <xdr:rowOff>113760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4"/>
        <a:srcRect l="11997" t="12168" r="15753" b="9773"/>
        <a:stretch/>
      </xdr:blipFill>
      <xdr:spPr>
        <a:xfrm>
          <a:off x="708660" y="16093440"/>
          <a:ext cx="7108584" cy="4320000"/>
        </a:xfrm>
        <a:prstGeom prst="rect">
          <a:avLst/>
        </a:prstGeom>
        <a:ln>
          <a:solidFill>
            <a:schemeClr val="tx1"/>
          </a:solidFill>
        </a:ln>
      </xdr:spPr>
    </xdr:pic>
    <xdr:clientData/>
  </xdr:twoCellAnchor>
  <xdr:twoCellAnchor editAs="oneCell">
    <xdr:from>
      <xdr:col>1</xdr:col>
      <xdr:colOff>0</xdr:colOff>
      <xdr:row>115</xdr:row>
      <xdr:rowOff>64505</xdr:rowOff>
    </xdr:from>
    <xdr:to>
      <xdr:col>6</xdr:col>
      <xdr:colOff>472927</xdr:colOff>
      <xdr:row>138</xdr:row>
      <xdr:rowOff>178265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5"/>
        <a:srcRect l="10995" t="11908" r="17520" b="10292"/>
        <a:stretch/>
      </xdr:blipFill>
      <xdr:spPr>
        <a:xfrm>
          <a:off x="708660" y="20547065"/>
          <a:ext cx="7056607" cy="4320000"/>
        </a:xfrm>
        <a:prstGeom prst="rect">
          <a:avLst/>
        </a:prstGeom>
        <a:ln>
          <a:solidFill>
            <a:schemeClr val="tx1"/>
          </a:solidFill>
        </a:ln>
      </xdr:spPr>
    </xdr:pic>
    <xdr:clientData/>
  </xdr:twoCellAnchor>
  <xdr:twoCellAnchor editAs="oneCell">
    <xdr:from>
      <xdr:col>1</xdr:col>
      <xdr:colOff>0</xdr:colOff>
      <xdr:row>140</xdr:row>
      <xdr:rowOff>0</xdr:rowOff>
    </xdr:from>
    <xdr:to>
      <xdr:col>6</xdr:col>
      <xdr:colOff>519213</xdr:colOff>
      <xdr:row>163</xdr:row>
      <xdr:rowOff>113760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6"/>
        <a:srcRect l="10073" t="11522" r="17136" b="9773"/>
        <a:stretch/>
      </xdr:blipFill>
      <xdr:spPr>
        <a:xfrm>
          <a:off x="708660" y="25054560"/>
          <a:ext cx="7102893" cy="4320000"/>
        </a:xfrm>
        <a:prstGeom prst="rect">
          <a:avLst/>
        </a:prstGeom>
        <a:ln>
          <a:solidFill>
            <a:schemeClr val="tx1"/>
          </a:solidFill>
        </a:ln>
      </xdr:spPr>
    </xdr:pic>
    <xdr:clientData/>
  </xdr:twoCellAnchor>
  <xdr:twoCellAnchor editAs="oneCell">
    <xdr:from>
      <xdr:col>1</xdr:col>
      <xdr:colOff>0</xdr:colOff>
      <xdr:row>165</xdr:row>
      <xdr:rowOff>0</xdr:rowOff>
    </xdr:from>
    <xdr:to>
      <xdr:col>8</xdr:col>
      <xdr:colOff>15507</xdr:colOff>
      <xdr:row>188</xdr:row>
      <xdr:rowOff>113760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7"/>
        <a:srcRect t="11779" r="17645" b="18706"/>
        <a:stretch/>
      </xdr:blipFill>
      <xdr:spPr>
        <a:xfrm>
          <a:off x="708660" y="29626560"/>
          <a:ext cx="9098547" cy="4320000"/>
        </a:xfrm>
        <a:prstGeom prst="rect">
          <a:avLst/>
        </a:prstGeom>
        <a:ln>
          <a:solidFill>
            <a:schemeClr val="tx1"/>
          </a:solidFill>
        </a:ln>
      </xdr:spPr>
    </xdr:pic>
    <xdr:clientData/>
  </xdr:twoCellAnchor>
  <xdr:twoCellAnchor editAs="oneCell">
    <xdr:from>
      <xdr:col>1</xdr:col>
      <xdr:colOff>0</xdr:colOff>
      <xdr:row>190</xdr:row>
      <xdr:rowOff>0</xdr:rowOff>
    </xdr:from>
    <xdr:to>
      <xdr:col>6</xdr:col>
      <xdr:colOff>1042884</xdr:colOff>
      <xdr:row>213</xdr:row>
      <xdr:rowOff>113760</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8"/>
        <a:srcRect t="11733" r="18325" b="6019"/>
        <a:stretch/>
      </xdr:blipFill>
      <xdr:spPr>
        <a:xfrm>
          <a:off x="708660" y="34381440"/>
          <a:ext cx="7626564"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99acres.com/runwal-bliss-kanjurmarg-east-central-mumbai-suburbs-npxid-r91047" TargetMode="External"/><Relationship Id="rId2" Type="http://schemas.openxmlformats.org/officeDocument/2006/relationships/hyperlink" Target="https://goo.gl/maps/vZj7BxMkrhofmZfR9" TargetMode="External"/><Relationship Id="rId1" Type="http://schemas.openxmlformats.org/officeDocument/2006/relationships/hyperlink" Target="mailto:axisbank@vsjadon.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64"/>
  <sheetViews>
    <sheetView tabSelected="1" view="pageBreakPreview" zoomScale="85" zoomScaleNormal="100" zoomScaleSheetLayoutView="85" workbookViewId="0">
      <selection activeCell="D9" sqref="D9:H9"/>
    </sheetView>
  </sheetViews>
  <sheetFormatPr defaultRowHeight="13" x14ac:dyDescent="0.3"/>
  <cols>
    <col min="1" max="1" width="21" customWidth="1"/>
    <col min="2" max="2" width="12.796875" customWidth="1"/>
    <col min="3" max="3" width="17.3984375" customWidth="1"/>
    <col min="4" max="4" width="14.796875" customWidth="1"/>
    <col min="5" max="5" width="8.09765625" customWidth="1"/>
    <col min="6" max="6" width="13" customWidth="1"/>
    <col min="7" max="7" width="12.296875" customWidth="1"/>
    <col min="8" max="8" width="14.796875" customWidth="1"/>
  </cols>
  <sheetData>
    <row r="1" spans="1:9" ht="46.5" customHeight="1" x14ac:dyDescent="0.3">
      <c r="A1" s="185" t="s">
        <v>276</v>
      </c>
      <c r="B1" s="186"/>
      <c r="C1" s="186"/>
      <c r="D1" s="186"/>
      <c r="E1" s="186"/>
      <c r="F1" s="186"/>
      <c r="G1" s="186"/>
      <c r="H1" s="186"/>
    </row>
    <row r="2" spans="1:9" ht="15.75" customHeight="1" x14ac:dyDescent="0.3">
      <c r="A2" s="185" t="s">
        <v>0</v>
      </c>
      <c r="B2" s="185"/>
      <c r="C2" s="185"/>
      <c r="D2" s="185"/>
      <c r="E2" s="185"/>
      <c r="F2" s="185"/>
      <c r="G2" s="185"/>
      <c r="H2" s="185"/>
    </row>
    <row r="3" spans="1:9" ht="15.75" customHeight="1" x14ac:dyDescent="0.3">
      <c r="A3" s="93" t="s">
        <v>1</v>
      </c>
      <c r="B3" s="93"/>
      <c r="C3" s="93"/>
      <c r="D3" s="119" t="str">
        <f ca="1">TEXT(TODAY(),"DD/MM/YYYY")</f>
        <v>22/09/2025</v>
      </c>
      <c r="E3" s="93"/>
      <c r="F3" s="93"/>
      <c r="G3" s="93"/>
      <c r="H3" s="93"/>
    </row>
    <row r="4" spans="1:9" ht="15.75" customHeight="1" x14ac:dyDescent="0.3">
      <c r="A4" s="93" t="s">
        <v>2</v>
      </c>
      <c r="B4" s="93"/>
      <c r="C4" s="93"/>
      <c r="D4" s="93" t="s">
        <v>228</v>
      </c>
      <c r="E4" s="93"/>
      <c r="F4" s="93"/>
      <c r="G4" s="93"/>
      <c r="H4" s="93"/>
    </row>
    <row r="5" spans="1:9" ht="15.75" customHeight="1" x14ac:dyDescent="0.3">
      <c r="A5" s="93" t="s">
        <v>3</v>
      </c>
      <c r="B5" s="93"/>
      <c r="C5" s="93"/>
      <c r="D5" s="119">
        <v>45911</v>
      </c>
      <c r="E5" s="93"/>
      <c r="F5" s="93"/>
      <c r="G5" s="93"/>
      <c r="H5" s="93"/>
    </row>
    <row r="6" spans="1:9" ht="15.9" customHeight="1" x14ac:dyDescent="0.3">
      <c r="A6" s="93" t="s">
        <v>4</v>
      </c>
      <c r="B6" s="93"/>
      <c r="C6" s="93"/>
      <c r="D6" s="93" t="s">
        <v>5</v>
      </c>
      <c r="E6" s="93"/>
      <c r="F6" s="93"/>
      <c r="G6" s="93"/>
      <c r="H6" s="93"/>
    </row>
    <row r="7" spans="1:9" ht="15.75" customHeight="1" x14ac:dyDescent="0.3">
      <c r="A7" s="93" t="s">
        <v>6</v>
      </c>
      <c r="B7" s="93"/>
      <c r="C7" s="93"/>
      <c r="D7" s="93" t="s">
        <v>201</v>
      </c>
      <c r="E7" s="93"/>
      <c r="F7" s="93"/>
      <c r="G7" s="93"/>
      <c r="H7" s="93"/>
    </row>
    <row r="8" spans="1:9" ht="15.75" customHeight="1" x14ac:dyDescent="0.3">
      <c r="A8" s="93" t="s">
        <v>7</v>
      </c>
      <c r="B8" s="93"/>
      <c r="C8" s="93"/>
      <c r="D8" s="157" t="s">
        <v>327</v>
      </c>
      <c r="E8" s="157"/>
      <c r="F8" s="157"/>
      <c r="G8" s="157"/>
      <c r="H8" s="157"/>
    </row>
    <row r="9" spans="1:9" ht="100" customHeight="1" x14ac:dyDescent="0.3">
      <c r="A9" s="93" t="s">
        <v>8</v>
      </c>
      <c r="B9" s="93"/>
      <c r="C9" s="93"/>
      <c r="D9" s="93" t="s">
        <v>297</v>
      </c>
      <c r="E9" s="93"/>
      <c r="F9" s="93"/>
      <c r="G9" s="93"/>
      <c r="H9" s="93"/>
    </row>
    <row r="10" spans="1:9" ht="15.75" customHeight="1" x14ac:dyDescent="0.3">
      <c r="A10" s="93" t="s">
        <v>263</v>
      </c>
      <c r="B10" s="93"/>
      <c r="C10" s="93"/>
      <c r="D10" s="93" t="s">
        <v>282</v>
      </c>
      <c r="E10" s="93"/>
      <c r="F10" s="93"/>
      <c r="G10" s="93"/>
      <c r="H10" s="93"/>
    </row>
    <row r="11" spans="1:9" ht="15.75" customHeight="1" x14ac:dyDescent="0.3">
      <c r="A11" s="93" t="s">
        <v>9</v>
      </c>
      <c r="B11" s="93"/>
      <c r="C11" s="93"/>
      <c r="D11" s="93" t="s">
        <v>10</v>
      </c>
      <c r="E11" s="93"/>
      <c r="F11" s="93"/>
      <c r="G11" s="93"/>
      <c r="H11" s="93"/>
      <c r="I11" t="s">
        <v>260</v>
      </c>
    </row>
    <row r="12" spans="1:9" ht="104.25" customHeight="1" x14ac:dyDescent="0.3">
      <c r="A12" s="93" t="s">
        <v>11</v>
      </c>
      <c r="B12" s="93"/>
      <c r="C12" s="93"/>
      <c r="D12" s="93" t="s">
        <v>332</v>
      </c>
      <c r="E12" s="93"/>
      <c r="F12" s="93"/>
      <c r="G12" s="93"/>
      <c r="H12" s="93"/>
      <c r="I12" s="50" t="s">
        <v>296</v>
      </c>
    </row>
    <row r="13" spans="1:9" ht="15.75" customHeight="1" x14ac:dyDescent="0.3">
      <c r="A13" s="93" t="s">
        <v>12</v>
      </c>
      <c r="B13" s="93"/>
      <c r="C13" s="93"/>
      <c r="D13" s="93" t="s">
        <v>179</v>
      </c>
      <c r="E13" s="93"/>
      <c r="F13" s="93"/>
      <c r="G13" s="93"/>
      <c r="H13" s="93"/>
    </row>
    <row r="14" spans="1:9" ht="47.4" customHeight="1" x14ac:dyDescent="0.3">
      <c r="A14" s="44" t="s">
        <v>13</v>
      </c>
      <c r="B14" s="93" t="s">
        <v>73</v>
      </c>
      <c r="C14" s="93"/>
      <c r="D14" s="93"/>
      <c r="E14" s="93"/>
      <c r="F14" s="93"/>
      <c r="G14" s="93"/>
      <c r="H14" s="93"/>
    </row>
    <row r="15" spans="1:9" ht="33.75" customHeight="1" x14ac:dyDescent="0.3">
      <c r="A15" s="47" t="s">
        <v>14</v>
      </c>
      <c r="B15" s="93" t="s">
        <v>15</v>
      </c>
      <c r="C15" s="93"/>
      <c r="D15" s="93"/>
      <c r="E15" s="111" t="s">
        <v>16</v>
      </c>
      <c r="F15" s="112"/>
      <c r="G15" s="111" t="s">
        <v>161</v>
      </c>
      <c r="H15" s="112"/>
    </row>
    <row r="16" spans="1:9" ht="15.75" customHeight="1" x14ac:dyDescent="0.3">
      <c r="A16" s="47" t="s">
        <v>17</v>
      </c>
      <c r="B16" s="93" t="s">
        <v>18</v>
      </c>
      <c r="C16" s="93"/>
      <c r="D16" s="93"/>
      <c r="E16" s="111" t="s">
        <v>277</v>
      </c>
      <c r="F16" s="112"/>
      <c r="G16" s="111" t="s">
        <v>19</v>
      </c>
      <c r="H16" s="112"/>
    </row>
    <row r="17" spans="1:8" ht="15.75" customHeight="1" x14ac:dyDescent="0.3">
      <c r="A17" s="47" t="s">
        <v>20</v>
      </c>
      <c r="B17" s="93" t="s">
        <v>21</v>
      </c>
      <c r="C17" s="93"/>
      <c r="D17" s="93"/>
      <c r="E17" s="111" t="s">
        <v>278</v>
      </c>
      <c r="F17" s="112"/>
      <c r="G17" s="111">
        <v>400042</v>
      </c>
      <c r="H17" s="112"/>
    </row>
    <row r="18" spans="1:8" ht="31.4" customHeight="1" x14ac:dyDescent="0.3">
      <c r="A18" s="44" t="s">
        <v>22</v>
      </c>
      <c r="B18" s="93" t="s">
        <v>23</v>
      </c>
      <c r="C18" s="93"/>
      <c r="D18" s="93"/>
      <c r="E18" s="111" t="s">
        <v>279</v>
      </c>
      <c r="F18" s="112"/>
      <c r="G18" s="111" t="s">
        <v>281</v>
      </c>
      <c r="H18" s="112"/>
    </row>
    <row r="19" spans="1:8" ht="31.5" customHeight="1" x14ac:dyDescent="0.3">
      <c r="A19" s="93" t="s">
        <v>74</v>
      </c>
      <c r="B19" s="145"/>
      <c r="C19" s="145"/>
      <c r="D19" s="93" t="s">
        <v>24</v>
      </c>
      <c r="E19" s="93"/>
      <c r="F19" s="93"/>
      <c r="G19" s="93"/>
      <c r="H19" s="93"/>
    </row>
    <row r="20" spans="1:8" ht="31.5" customHeight="1" x14ac:dyDescent="0.3">
      <c r="A20" s="145" t="s">
        <v>25</v>
      </c>
      <c r="B20" s="145"/>
      <c r="C20" s="145"/>
      <c r="D20" s="93" t="s">
        <v>26</v>
      </c>
      <c r="E20" s="93"/>
      <c r="F20" s="93"/>
      <c r="G20" s="93"/>
      <c r="H20" s="93"/>
    </row>
    <row r="21" spans="1:8" ht="15.75" customHeight="1" x14ac:dyDescent="0.3">
      <c r="A21" s="93" t="s">
        <v>27</v>
      </c>
      <c r="B21" s="93"/>
      <c r="C21" s="93"/>
      <c r="D21" s="93" t="s">
        <v>28</v>
      </c>
      <c r="E21" s="93"/>
      <c r="F21" s="93"/>
      <c r="G21" s="93"/>
      <c r="H21" s="93"/>
    </row>
    <row r="22" spans="1:8" ht="15.75" customHeight="1" x14ac:dyDescent="0.3">
      <c r="A22" s="93" t="s">
        <v>29</v>
      </c>
      <c r="B22" s="93"/>
      <c r="C22" s="93"/>
      <c r="D22" s="93" t="s">
        <v>30</v>
      </c>
      <c r="E22" s="93"/>
      <c r="F22" s="93"/>
      <c r="G22" s="93"/>
      <c r="H22" s="93"/>
    </row>
    <row r="23" spans="1:8" ht="15.75" customHeight="1" x14ac:dyDescent="0.3">
      <c r="A23" s="93" t="s">
        <v>31</v>
      </c>
      <c r="B23" s="93"/>
      <c r="C23" s="93"/>
      <c r="D23" s="93" t="s">
        <v>32</v>
      </c>
      <c r="E23" s="93"/>
      <c r="F23" s="93"/>
      <c r="G23" s="93"/>
      <c r="H23" s="93"/>
    </row>
    <row r="24" spans="1:8" ht="15.75" customHeight="1" x14ac:dyDescent="0.3">
      <c r="A24" s="93" t="s">
        <v>33</v>
      </c>
      <c r="B24" s="93"/>
      <c r="C24" s="93"/>
      <c r="D24" s="93" t="s">
        <v>34</v>
      </c>
      <c r="E24" s="93"/>
      <c r="F24" s="93"/>
      <c r="G24" s="93"/>
      <c r="H24" s="93"/>
    </row>
    <row r="25" spans="1:8" ht="15.75" customHeight="1" x14ac:dyDescent="0.3">
      <c r="A25" s="148" t="s">
        <v>35</v>
      </c>
      <c r="B25" s="148"/>
      <c r="C25" s="45" t="s">
        <v>36</v>
      </c>
      <c r="D25" s="45" t="s">
        <v>37</v>
      </c>
      <c r="E25" s="184" t="s">
        <v>38</v>
      </c>
      <c r="F25" s="184"/>
      <c r="G25" s="184" t="s">
        <v>39</v>
      </c>
      <c r="H25" s="184"/>
    </row>
    <row r="26" spans="1:8" ht="15.75" customHeight="1" x14ac:dyDescent="0.3">
      <c r="A26" s="148" t="s">
        <v>302</v>
      </c>
      <c r="B26" s="148"/>
      <c r="C26" s="45" t="s">
        <v>298</v>
      </c>
      <c r="D26" s="45" t="s">
        <v>303</v>
      </c>
      <c r="E26" s="148" t="s">
        <v>303</v>
      </c>
      <c r="F26" s="148"/>
      <c r="G26" s="184" t="s">
        <v>304</v>
      </c>
      <c r="H26" s="184"/>
    </row>
    <row r="27" spans="1:8" ht="15.75" customHeight="1" x14ac:dyDescent="0.3">
      <c r="A27" s="148" t="s">
        <v>40</v>
      </c>
      <c r="B27" s="148"/>
      <c r="C27" s="45" t="s">
        <v>299</v>
      </c>
      <c r="D27" s="45" t="s">
        <v>300</v>
      </c>
      <c r="E27" s="148" t="s">
        <v>300</v>
      </c>
      <c r="F27" s="148"/>
      <c r="G27" s="184" t="s">
        <v>301</v>
      </c>
      <c r="H27" s="184"/>
    </row>
    <row r="28" spans="1:8" ht="15.75" customHeight="1" x14ac:dyDescent="0.3">
      <c r="A28" s="93" t="s">
        <v>41</v>
      </c>
      <c r="B28" s="93"/>
      <c r="C28" s="93"/>
      <c r="D28" s="93"/>
      <c r="E28" s="93"/>
      <c r="F28" s="93"/>
      <c r="G28" s="93"/>
      <c r="H28" s="93"/>
    </row>
    <row r="29" spans="1:8" ht="15.75" customHeight="1" x14ac:dyDescent="0.3">
      <c r="A29" s="93" t="s">
        <v>229</v>
      </c>
      <c r="B29" s="93"/>
      <c r="C29" s="93"/>
      <c r="D29" s="93"/>
      <c r="E29" s="93"/>
      <c r="F29" s="93"/>
      <c r="G29" s="93"/>
      <c r="H29" s="93"/>
    </row>
    <row r="30" spans="1:8" ht="15.75" customHeight="1" x14ac:dyDescent="0.3">
      <c r="A30" s="93" t="s">
        <v>42</v>
      </c>
      <c r="B30" s="93"/>
      <c r="C30" s="158" t="s">
        <v>247</v>
      </c>
      <c r="D30" s="159"/>
      <c r="E30" s="159"/>
      <c r="F30" s="159"/>
      <c r="G30" s="159"/>
      <c r="H30" s="160"/>
    </row>
    <row r="31" spans="1:8" ht="15.75" customHeight="1" x14ac:dyDescent="0.3">
      <c r="A31" s="93" t="s">
        <v>42</v>
      </c>
      <c r="B31" s="93"/>
      <c r="C31" s="197" t="s">
        <v>246</v>
      </c>
      <c r="D31" s="113"/>
      <c r="E31" s="113"/>
      <c r="F31" s="113"/>
      <c r="G31" s="113"/>
      <c r="H31" s="112"/>
    </row>
    <row r="32" spans="1:8" ht="15.75" customHeight="1" x14ac:dyDescent="0.3">
      <c r="A32" s="93" t="s">
        <v>43</v>
      </c>
      <c r="B32" s="93"/>
      <c r="C32" s="93"/>
      <c r="D32" s="93"/>
      <c r="E32" s="93"/>
      <c r="F32" s="93"/>
      <c r="G32" s="93"/>
      <c r="H32" s="93"/>
    </row>
    <row r="33" spans="1:8" ht="31.5" hidden="1" customHeight="1" x14ac:dyDescent="0.3">
      <c r="A33" s="145" t="s">
        <v>44</v>
      </c>
      <c r="B33" s="145"/>
      <c r="C33" s="145"/>
      <c r="D33" s="145"/>
      <c r="E33" s="145"/>
      <c r="F33" s="145"/>
      <c r="G33" s="145"/>
      <c r="H33" s="46"/>
    </row>
    <row r="34" spans="1:8" ht="15.9" customHeight="1" x14ac:dyDescent="0.3">
      <c r="A34" s="93" t="s">
        <v>45</v>
      </c>
      <c r="B34" s="93"/>
      <c r="C34" s="93"/>
      <c r="D34" s="146">
        <v>137707</v>
      </c>
      <c r="E34" s="146"/>
      <c r="F34" s="146"/>
      <c r="G34" s="146"/>
      <c r="H34" s="146"/>
    </row>
    <row r="35" spans="1:8" ht="15.75" customHeight="1" x14ac:dyDescent="0.3">
      <c r="A35" s="93" t="s">
        <v>46</v>
      </c>
      <c r="B35" s="93"/>
      <c r="C35" s="93"/>
      <c r="D35" s="146">
        <v>1</v>
      </c>
      <c r="E35" s="146"/>
      <c r="F35" s="146"/>
      <c r="G35" s="146"/>
      <c r="H35" s="146"/>
    </row>
    <row r="36" spans="1:8" ht="15.75" customHeight="1" x14ac:dyDescent="0.3">
      <c r="A36" s="93" t="s">
        <v>47</v>
      </c>
      <c r="B36" s="93"/>
      <c r="C36" s="93"/>
      <c r="D36" s="146">
        <f>D38/D34-D35</f>
        <v>1.4684904180615361</v>
      </c>
      <c r="E36" s="146"/>
      <c r="F36" s="146"/>
      <c r="G36" s="146"/>
      <c r="H36" s="146"/>
    </row>
    <row r="37" spans="1:8" ht="14" x14ac:dyDescent="0.3">
      <c r="A37" s="93" t="s">
        <v>48</v>
      </c>
      <c r="B37" s="93"/>
      <c r="C37" s="93"/>
      <c r="D37" s="146">
        <f>D35+D36</f>
        <v>2.4684904180615361</v>
      </c>
      <c r="E37" s="146"/>
      <c r="F37" s="146"/>
      <c r="G37" s="146"/>
      <c r="H37" s="146"/>
    </row>
    <row r="38" spans="1:8" ht="14" x14ac:dyDescent="0.3">
      <c r="A38" s="93" t="s">
        <v>49</v>
      </c>
      <c r="B38" s="93"/>
      <c r="C38" s="93"/>
      <c r="D38" s="146">
        <v>339928.41</v>
      </c>
      <c r="E38" s="146"/>
      <c r="F38" s="146"/>
      <c r="G38" s="146"/>
      <c r="H38" s="146"/>
    </row>
    <row r="39" spans="1:8" ht="14" x14ac:dyDescent="0.3">
      <c r="A39" s="93" t="s">
        <v>50</v>
      </c>
      <c r="B39" s="93"/>
      <c r="C39" s="93"/>
      <c r="D39" s="182" t="s">
        <v>329</v>
      </c>
      <c r="E39" s="146"/>
      <c r="F39" s="146"/>
      <c r="G39" s="146"/>
      <c r="H39" s="146"/>
    </row>
    <row r="40" spans="1:8" ht="14.25" customHeight="1" x14ac:dyDescent="0.3">
      <c r="A40" s="143" t="s">
        <v>328</v>
      </c>
      <c r="B40" s="143"/>
      <c r="C40" s="143"/>
      <c r="D40" s="143"/>
      <c r="E40" s="143"/>
      <c r="F40" s="143"/>
      <c r="G40" s="143"/>
      <c r="H40" s="143"/>
    </row>
    <row r="41" spans="1:8" ht="16.5" customHeight="1" x14ac:dyDescent="0.3">
      <c r="A41" s="44" t="s">
        <v>51</v>
      </c>
      <c r="B41" s="93" t="s">
        <v>200</v>
      </c>
      <c r="C41" s="93"/>
      <c r="D41" s="93"/>
      <c r="E41" s="47" t="s">
        <v>53</v>
      </c>
      <c r="F41" s="119">
        <v>44575</v>
      </c>
      <c r="G41" s="93"/>
      <c r="H41" s="93"/>
    </row>
    <row r="42" spans="1:8" ht="32.25" customHeight="1" x14ac:dyDescent="0.3">
      <c r="A42" s="44" t="s">
        <v>54</v>
      </c>
      <c r="B42" s="93" t="s">
        <v>52</v>
      </c>
      <c r="C42" s="93"/>
      <c r="D42" s="93"/>
      <c r="E42" s="47" t="s">
        <v>53</v>
      </c>
      <c r="F42" s="147">
        <f>F41</f>
        <v>44575</v>
      </c>
      <c r="G42" s="113"/>
      <c r="H42" s="112"/>
    </row>
    <row r="43" spans="1:8" ht="125.25" customHeight="1" x14ac:dyDescent="0.3">
      <c r="A43" s="47" t="s">
        <v>180</v>
      </c>
      <c r="B43" s="93" t="s">
        <v>254</v>
      </c>
      <c r="C43" s="145"/>
      <c r="D43" s="145"/>
      <c r="E43" s="47" t="s">
        <v>256</v>
      </c>
      <c r="F43" s="48">
        <v>44392</v>
      </c>
      <c r="G43" s="111" t="s">
        <v>255</v>
      </c>
      <c r="H43" s="112"/>
    </row>
    <row r="44" spans="1:8" ht="14" x14ac:dyDescent="0.3">
      <c r="A44" s="109" t="s">
        <v>258</v>
      </c>
      <c r="B44" s="109"/>
      <c r="C44" s="109"/>
      <c r="D44" s="109"/>
      <c r="E44" s="109"/>
      <c r="F44" s="109"/>
      <c r="G44" s="109"/>
      <c r="H44" s="109"/>
    </row>
    <row r="45" spans="1:8" ht="16.5" customHeight="1" x14ac:dyDescent="0.3">
      <c r="A45" s="44" t="s">
        <v>51</v>
      </c>
      <c r="B45" s="93" t="s">
        <v>257</v>
      </c>
      <c r="C45" s="93"/>
      <c r="D45" s="93"/>
      <c r="E45" s="47" t="s">
        <v>53</v>
      </c>
      <c r="F45" s="119">
        <v>45012</v>
      </c>
      <c r="G45" s="93"/>
      <c r="H45" s="93"/>
    </row>
    <row r="46" spans="1:8" ht="32.25" customHeight="1" x14ac:dyDescent="0.3">
      <c r="A46" s="44" t="s">
        <v>54</v>
      </c>
      <c r="B46" s="93" t="str">
        <f>B45</f>
        <v>CHE/ES/1699/S/337 (New)/337/16/Amend</v>
      </c>
      <c r="C46" s="93"/>
      <c r="D46" s="93"/>
      <c r="E46" s="47" t="s">
        <v>53</v>
      </c>
      <c r="F46" s="147">
        <f>F45</f>
        <v>45012</v>
      </c>
      <c r="G46" s="113"/>
      <c r="H46" s="112"/>
    </row>
    <row r="47" spans="1:8" ht="165" customHeight="1" x14ac:dyDescent="0.3">
      <c r="A47" s="85" t="s">
        <v>261</v>
      </c>
      <c r="B47" s="93" t="s">
        <v>275</v>
      </c>
      <c r="C47" s="145"/>
      <c r="D47" s="145"/>
      <c r="E47" s="85" t="s">
        <v>245</v>
      </c>
      <c r="F47" s="88">
        <v>45278</v>
      </c>
      <c r="G47" s="93" t="s">
        <v>286</v>
      </c>
      <c r="H47" s="93"/>
    </row>
    <row r="48" spans="1:8" ht="14" x14ac:dyDescent="0.3">
      <c r="A48" s="183" t="s">
        <v>355</v>
      </c>
      <c r="B48" s="183"/>
      <c r="C48" s="183"/>
      <c r="D48" s="183"/>
      <c r="E48" s="183"/>
      <c r="F48" s="183"/>
      <c r="G48" s="183"/>
      <c r="H48" s="183"/>
    </row>
    <row r="49" spans="1:9" ht="16.5" customHeight="1" x14ac:dyDescent="0.3">
      <c r="A49" s="89" t="s">
        <v>51</v>
      </c>
      <c r="B49" s="93" t="s">
        <v>306</v>
      </c>
      <c r="C49" s="93"/>
      <c r="D49" s="93"/>
      <c r="E49" s="85" t="s">
        <v>53</v>
      </c>
      <c r="F49" s="119">
        <v>45742</v>
      </c>
      <c r="G49" s="93"/>
      <c r="H49" s="93"/>
    </row>
    <row r="50" spans="1:9" ht="32.25" customHeight="1" x14ac:dyDescent="0.3">
      <c r="A50" s="89" t="s">
        <v>54</v>
      </c>
      <c r="B50" s="93" t="s">
        <v>294</v>
      </c>
      <c r="C50" s="93"/>
      <c r="D50" s="93"/>
      <c r="E50" s="85" t="s">
        <v>53</v>
      </c>
      <c r="F50" s="119">
        <f>F49</f>
        <v>45742</v>
      </c>
      <c r="G50" s="93"/>
      <c r="H50" s="93"/>
    </row>
    <row r="51" spans="1:9" s="70" customFormat="1" ht="32.25" customHeight="1" x14ac:dyDescent="0.3">
      <c r="A51" s="93" t="s">
        <v>308</v>
      </c>
      <c r="B51" s="93" t="s">
        <v>309</v>
      </c>
      <c r="C51" s="93"/>
      <c r="D51" s="93"/>
      <c r="E51" s="184" t="s">
        <v>245</v>
      </c>
      <c r="F51" s="119">
        <v>44840</v>
      </c>
      <c r="G51" s="119" t="s">
        <v>307</v>
      </c>
      <c r="H51" s="119"/>
    </row>
    <row r="52" spans="1:9" s="70" customFormat="1" ht="62" customHeight="1" x14ac:dyDescent="0.3">
      <c r="A52" s="93"/>
      <c r="B52" s="93"/>
      <c r="C52" s="93"/>
      <c r="D52" s="93"/>
      <c r="E52" s="184"/>
      <c r="F52" s="119"/>
      <c r="G52" s="119"/>
      <c r="H52" s="119"/>
    </row>
    <row r="53" spans="1:9" ht="126.65" customHeight="1" x14ac:dyDescent="0.3">
      <c r="A53" s="85" t="s">
        <v>308</v>
      </c>
      <c r="B53" s="93" t="s">
        <v>305</v>
      </c>
      <c r="C53" s="145"/>
      <c r="D53" s="145"/>
      <c r="E53" s="85" t="s">
        <v>245</v>
      </c>
      <c r="F53" s="88">
        <v>45729</v>
      </c>
      <c r="G53" s="119" t="s">
        <v>295</v>
      </c>
      <c r="H53" s="93"/>
    </row>
    <row r="54" spans="1:9" s="70" customFormat="1" ht="15.75" customHeight="1" x14ac:dyDescent="0.3">
      <c r="A54" s="155" t="s">
        <v>262</v>
      </c>
      <c r="B54" s="143" t="s">
        <v>264</v>
      </c>
      <c r="C54" s="143"/>
      <c r="D54" s="143" t="s">
        <v>244</v>
      </c>
      <c r="E54" s="75" t="s">
        <v>245</v>
      </c>
      <c r="F54" s="144">
        <v>44939</v>
      </c>
      <c r="G54" s="144"/>
      <c r="H54" s="144"/>
    </row>
    <row r="55" spans="1:9" s="70" customFormat="1" ht="45.75" customHeight="1" x14ac:dyDescent="0.3">
      <c r="A55" s="156"/>
      <c r="B55" s="158" t="s">
        <v>265</v>
      </c>
      <c r="C55" s="159"/>
      <c r="D55" s="159"/>
      <c r="E55" s="159"/>
      <c r="F55" s="159"/>
      <c r="G55" s="159"/>
      <c r="H55" s="160"/>
    </row>
    <row r="56" spans="1:9" s="70" customFormat="1" ht="17.25" customHeight="1" x14ac:dyDescent="0.3">
      <c r="A56" s="155" t="s">
        <v>262</v>
      </c>
      <c r="B56" s="143" t="s">
        <v>264</v>
      </c>
      <c r="C56" s="143"/>
      <c r="D56" s="143" t="s">
        <v>244</v>
      </c>
      <c r="E56" s="75" t="s">
        <v>245</v>
      </c>
      <c r="F56" s="144">
        <v>45002</v>
      </c>
      <c r="G56" s="144"/>
      <c r="H56" s="144"/>
    </row>
    <row r="57" spans="1:9" s="70" customFormat="1" ht="57.75" customHeight="1" x14ac:dyDescent="0.3">
      <c r="A57" s="156"/>
      <c r="B57" s="158" t="s">
        <v>266</v>
      </c>
      <c r="C57" s="159"/>
      <c r="D57" s="159"/>
      <c r="E57" s="159"/>
      <c r="F57" s="159"/>
      <c r="G57" s="159"/>
      <c r="H57" s="160"/>
    </row>
    <row r="58" spans="1:9" s="70" customFormat="1" ht="18" customHeight="1" x14ac:dyDescent="0.3">
      <c r="A58" s="155" t="s">
        <v>262</v>
      </c>
      <c r="B58" s="161" t="s">
        <v>267</v>
      </c>
      <c r="C58" s="161"/>
      <c r="D58" s="161" t="s">
        <v>244</v>
      </c>
      <c r="E58" s="75" t="s">
        <v>245</v>
      </c>
      <c r="F58" s="144">
        <v>45099</v>
      </c>
      <c r="G58" s="144"/>
      <c r="H58" s="144"/>
    </row>
    <row r="59" spans="1:9" s="70" customFormat="1" ht="74.25" customHeight="1" x14ac:dyDescent="0.3">
      <c r="A59" s="156"/>
      <c r="B59" s="158" t="s">
        <v>268</v>
      </c>
      <c r="C59" s="159"/>
      <c r="D59" s="159"/>
      <c r="E59" s="159"/>
      <c r="F59" s="159"/>
      <c r="G59" s="159"/>
      <c r="H59" s="160"/>
    </row>
    <row r="60" spans="1:9" s="70" customFormat="1" ht="18" customHeight="1" x14ac:dyDescent="0.3">
      <c r="A60" s="155" t="s">
        <v>262</v>
      </c>
      <c r="B60" s="161" t="s">
        <v>269</v>
      </c>
      <c r="C60" s="161"/>
      <c r="D60" s="161" t="s">
        <v>244</v>
      </c>
      <c r="E60" s="75" t="s">
        <v>245</v>
      </c>
      <c r="F60" s="144">
        <v>45180</v>
      </c>
      <c r="G60" s="144"/>
      <c r="H60" s="144"/>
    </row>
    <row r="61" spans="1:9" s="70" customFormat="1" ht="59" customHeight="1" x14ac:dyDescent="0.3">
      <c r="A61" s="156"/>
      <c r="B61" s="158" t="s">
        <v>274</v>
      </c>
      <c r="C61" s="159"/>
      <c r="D61" s="159"/>
      <c r="E61" s="159"/>
      <c r="F61" s="159"/>
      <c r="G61" s="159"/>
      <c r="H61" s="160"/>
    </row>
    <row r="62" spans="1:9" s="70" customFormat="1" ht="14" x14ac:dyDescent="0.3">
      <c r="A62" s="155" t="s">
        <v>262</v>
      </c>
      <c r="B62" s="161" t="s">
        <v>273</v>
      </c>
      <c r="C62" s="161"/>
      <c r="D62" s="161" t="s">
        <v>244</v>
      </c>
      <c r="E62" s="75" t="s">
        <v>245</v>
      </c>
      <c r="F62" s="144">
        <v>45289</v>
      </c>
      <c r="G62" s="144"/>
      <c r="H62" s="144"/>
    </row>
    <row r="63" spans="1:9" s="70" customFormat="1" ht="45.75" customHeight="1" x14ac:dyDescent="0.3">
      <c r="A63" s="156"/>
      <c r="B63" s="158" t="s">
        <v>280</v>
      </c>
      <c r="C63" s="159"/>
      <c r="D63" s="159"/>
      <c r="E63" s="159"/>
      <c r="F63" s="159"/>
      <c r="G63" s="159"/>
      <c r="H63" s="160"/>
      <c r="I63" s="78" t="s">
        <v>288</v>
      </c>
    </row>
    <row r="64" spans="1:9" ht="30.75" customHeight="1" x14ac:dyDescent="0.3">
      <c r="A64" s="155" t="s">
        <v>262</v>
      </c>
      <c r="B64" s="162" t="s">
        <v>287</v>
      </c>
      <c r="C64" s="162"/>
      <c r="D64" s="162" t="s">
        <v>244</v>
      </c>
      <c r="E64" s="76" t="s">
        <v>245</v>
      </c>
      <c r="F64" s="163">
        <v>45742</v>
      </c>
      <c r="G64" s="163"/>
      <c r="H64" s="163"/>
    </row>
    <row r="65" spans="1:16" ht="14" x14ac:dyDescent="0.3">
      <c r="A65" s="156"/>
      <c r="B65" s="158" t="s">
        <v>310</v>
      </c>
      <c r="C65" s="159"/>
      <c r="D65" s="159"/>
      <c r="E65" s="159"/>
      <c r="F65" s="159"/>
      <c r="G65" s="159"/>
      <c r="H65" s="160"/>
    </row>
    <row r="66" spans="1:16" ht="14" x14ac:dyDescent="0.3">
      <c r="A66" s="122" t="s">
        <v>312</v>
      </c>
      <c r="B66" s="121" t="s">
        <v>313</v>
      </c>
      <c r="C66" s="121"/>
      <c r="D66" s="121"/>
      <c r="E66" s="47" t="s">
        <v>245</v>
      </c>
      <c r="F66" s="119">
        <v>44834</v>
      </c>
      <c r="G66" s="119"/>
      <c r="H66" s="119"/>
    </row>
    <row r="67" spans="1:16" ht="61.5" customHeight="1" x14ac:dyDescent="0.3">
      <c r="A67" s="123"/>
      <c r="B67" s="111" t="s">
        <v>314</v>
      </c>
      <c r="C67" s="113"/>
      <c r="D67" s="113"/>
      <c r="E67" s="113"/>
      <c r="F67" s="113"/>
      <c r="G67" s="113"/>
      <c r="H67" s="112"/>
    </row>
    <row r="68" spans="1:16" ht="32.25" customHeight="1" x14ac:dyDescent="0.3">
      <c r="A68" s="93" t="s">
        <v>316</v>
      </c>
      <c r="B68" s="121" t="s">
        <v>315</v>
      </c>
      <c r="C68" s="121"/>
      <c r="D68" s="121"/>
      <c r="E68" s="85" t="s">
        <v>245</v>
      </c>
      <c r="F68" s="119">
        <v>45457</v>
      </c>
      <c r="G68" s="119"/>
      <c r="H68" s="119"/>
      <c r="I68" s="93" t="s">
        <v>56</v>
      </c>
      <c r="J68" s="93"/>
      <c r="K68" s="45" t="s">
        <v>55</v>
      </c>
      <c r="L68" s="93" t="s">
        <v>57</v>
      </c>
      <c r="M68" s="93"/>
      <c r="N68" s="119" t="s">
        <v>311</v>
      </c>
      <c r="O68" s="93"/>
      <c r="P68" s="93"/>
    </row>
    <row r="69" spans="1:16" ht="14" x14ac:dyDescent="0.3">
      <c r="A69" s="93"/>
      <c r="B69" s="93" t="s">
        <v>317</v>
      </c>
      <c r="C69" s="93"/>
      <c r="D69" s="93"/>
      <c r="E69" s="93"/>
      <c r="F69" s="93"/>
      <c r="G69" s="93"/>
      <c r="H69" s="93"/>
      <c r="I69" s="51"/>
      <c r="J69" s="51"/>
      <c r="K69" s="51"/>
    </row>
    <row r="70" spans="1:16" ht="15.75" customHeight="1" x14ac:dyDescent="0.3">
      <c r="A70" s="85" t="s">
        <v>319</v>
      </c>
      <c r="B70" s="121" t="s">
        <v>320</v>
      </c>
      <c r="C70" s="121"/>
      <c r="D70" s="121"/>
      <c r="E70" s="85" t="s">
        <v>245</v>
      </c>
      <c r="F70" s="119">
        <v>44357</v>
      </c>
      <c r="G70" s="119"/>
      <c r="H70" s="119"/>
      <c r="I70" s="51"/>
      <c r="J70" s="51"/>
      <c r="K70" s="51"/>
    </row>
    <row r="71" spans="1:16" ht="14" x14ac:dyDescent="0.3">
      <c r="A71" s="157" t="s">
        <v>58</v>
      </c>
      <c r="B71" s="157"/>
      <c r="C71" s="157"/>
      <c r="D71" s="157"/>
      <c r="E71" s="157"/>
      <c r="F71" s="157"/>
      <c r="G71" s="157"/>
      <c r="H71" s="157"/>
      <c r="I71" s="39" t="s">
        <v>118</v>
      </c>
      <c r="J71" s="40"/>
      <c r="K71" s="41" t="e">
        <f>#REF!</f>
        <v>#REF!</v>
      </c>
    </row>
    <row r="72" spans="1:16" ht="15" customHeight="1" x14ac:dyDescent="0.3">
      <c r="A72" s="93" t="s">
        <v>59</v>
      </c>
      <c r="B72" s="93"/>
      <c r="C72" s="214">
        <v>102499.79</v>
      </c>
      <c r="D72" s="214"/>
      <c r="E72" s="214"/>
      <c r="F72" s="214"/>
      <c r="G72" s="214"/>
      <c r="H72" s="214"/>
      <c r="I72" s="39" t="s">
        <v>119</v>
      </c>
      <c r="J72" s="40"/>
      <c r="K72" s="61" t="e">
        <f>(IF(#REF!=0,#REF!/4,(#REF!/(#REF!+4))))</f>
        <v>#REF!</v>
      </c>
    </row>
    <row r="73" spans="1:16" ht="15" customHeight="1" x14ac:dyDescent="0.3">
      <c r="A73" s="93" t="s">
        <v>333</v>
      </c>
      <c r="B73" s="93"/>
      <c r="C73" s="214" t="s">
        <v>334</v>
      </c>
      <c r="D73" s="214"/>
      <c r="E73" s="214"/>
      <c r="F73" s="214"/>
      <c r="G73" s="214"/>
      <c r="H73" s="214"/>
      <c r="I73" s="39"/>
      <c r="J73" s="40"/>
      <c r="K73" s="61"/>
    </row>
    <row r="74" spans="1:16" ht="90" customHeight="1" x14ac:dyDescent="0.3">
      <c r="A74" s="93" t="s">
        <v>243</v>
      </c>
      <c r="B74" s="93"/>
      <c r="C74" s="93" t="s">
        <v>335</v>
      </c>
      <c r="D74" s="93"/>
      <c r="E74" s="93"/>
      <c r="F74" s="93"/>
      <c r="G74" s="93"/>
      <c r="H74" s="93"/>
      <c r="I74" s="39" t="s">
        <v>120</v>
      </c>
      <c r="J74" s="40"/>
      <c r="K74" s="61" t="e">
        <f>(IF(#REF!=0,#REF!/4+K72,(#REF!/(#REF!+4)+K72)))</f>
        <v>#REF!</v>
      </c>
    </row>
    <row r="75" spans="1:16" ht="47.4" customHeight="1" x14ac:dyDescent="0.3">
      <c r="A75" s="111" t="s">
        <v>242</v>
      </c>
      <c r="B75" s="112"/>
      <c r="C75" s="111" t="s">
        <v>336</v>
      </c>
      <c r="D75" s="113"/>
      <c r="E75" s="113"/>
      <c r="F75" s="113"/>
      <c r="G75" s="113"/>
      <c r="H75" s="112"/>
      <c r="I75" s="39" t="s">
        <v>224</v>
      </c>
      <c r="J75" s="62"/>
      <c r="K75" s="61" t="e">
        <f>(IF(#REF!=0,0,(#REF!/(#REF!+4)+K74)))</f>
        <v>#REF!</v>
      </c>
    </row>
    <row r="76" spans="1:16" ht="33.75" customHeight="1" x14ac:dyDescent="0.3">
      <c r="A76" s="111" t="s">
        <v>337</v>
      </c>
      <c r="B76" s="112"/>
      <c r="C76" s="111" t="s">
        <v>338</v>
      </c>
      <c r="D76" s="113"/>
      <c r="E76" s="113"/>
      <c r="F76" s="113"/>
      <c r="G76" s="113"/>
      <c r="H76" s="112"/>
      <c r="I76" s="39"/>
      <c r="J76" s="62"/>
      <c r="K76" s="61"/>
    </row>
    <row r="77" spans="1:16" ht="15.75" customHeight="1" x14ac:dyDescent="0.3">
      <c r="A77" s="95" t="s">
        <v>339</v>
      </c>
      <c r="B77" s="96"/>
      <c r="C77" s="95" t="s">
        <v>340</v>
      </c>
      <c r="D77" s="97"/>
      <c r="E77" s="97"/>
      <c r="F77" s="97"/>
      <c r="G77" s="97"/>
      <c r="H77" s="96"/>
      <c r="I77" s="39" t="s">
        <v>225</v>
      </c>
      <c r="J77" s="62"/>
      <c r="K77" s="61" t="e">
        <f>(IF(#REF!&gt;1,(#REF!/(#REF!+4)+K75),0))</f>
        <v>#REF!</v>
      </c>
    </row>
    <row r="78" spans="1:16" ht="50.25" customHeight="1" x14ac:dyDescent="0.3">
      <c r="A78" s="93" t="s">
        <v>349</v>
      </c>
      <c r="B78" s="93"/>
      <c r="C78" s="93" t="s">
        <v>353</v>
      </c>
      <c r="D78" s="93"/>
      <c r="E78" s="93"/>
      <c r="F78" s="93"/>
      <c r="G78" s="93"/>
      <c r="H78" s="93"/>
      <c r="I78" s="39"/>
      <c r="J78" s="62"/>
      <c r="K78" s="61"/>
      <c r="L78" s="84" t="s">
        <v>354</v>
      </c>
    </row>
    <row r="79" spans="1:16" ht="15" customHeight="1" x14ac:dyDescent="0.3">
      <c r="A79" s="111" t="s">
        <v>341</v>
      </c>
      <c r="B79" s="112"/>
      <c r="C79" s="111" t="s">
        <v>342</v>
      </c>
      <c r="D79" s="113"/>
      <c r="E79" s="113"/>
      <c r="F79" s="113"/>
      <c r="G79" s="113"/>
      <c r="H79" s="112"/>
      <c r="I79" s="39" t="s">
        <v>226</v>
      </c>
      <c r="J79" s="63"/>
      <c r="K79" s="64" t="e">
        <f>(IF(#REF!&gt;2,(#REF!/(#REF!+4)+K77),0))</f>
        <v>#REF!</v>
      </c>
    </row>
    <row r="80" spans="1:16" s="73" customFormat="1" ht="14" x14ac:dyDescent="0.3">
      <c r="A80" s="111" t="s">
        <v>343</v>
      </c>
      <c r="B80" s="112"/>
      <c r="C80" s="114" t="s">
        <v>344</v>
      </c>
      <c r="D80" s="115"/>
      <c r="E80" s="115"/>
      <c r="F80" s="115"/>
      <c r="G80" s="115"/>
      <c r="H80" s="116"/>
      <c r="I80" s="71"/>
      <c r="J80" s="71"/>
      <c r="K80" s="72"/>
    </row>
    <row r="81" spans="1:14" s="73" customFormat="1" ht="14" x14ac:dyDescent="0.3">
      <c r="A81" s="111" t="s">
        <v>345</v>
      </c>
      <c r="B81" s="112"/>
      <c r="C81" s="111" t="s">
        <v>346</v>
      </c>
      <c r="D81" s="113"/>
      <c r="E81" s="113"/>
      <c r="F81" s="113"/>
      <c r="G81" s="113"/>
      <c r="H81" s="112"/>
      <c r="I81" s="71"/>
      <c r="J81" s="71"/>
      <c r="K81" s="72"/>
    </row>
    <row r="82" spans="1:14" ht="14.5" thickBot="1" x14ac:dyDescent="0.35">
      <c r="A82" s="111" t="s">
        <v>347</v>
      </c>
      <c r="B82" s="112"/>
      <c r="C82" s="111" t="s">
        <v>348</v>
      </c>
      <c r="D82" s="113"/>
      <c r="E82" s="113"/>
      <c r="F82" s="113"/>
      <c r="G82" s="113"/>
      <c r="H82" s="112"/>
      <c r="I82" s="39" t="s">
        <v>223</v>
      </c>
      <c r="J82" s="57"/>
      <c r="K82" s="58">
        <f>H89*25%</f>
        <v>10.75</v>
      </c>
    </row>
    <row r="83" spans="1:14" ht="14" x14ac:dyDescent="0.3">
      <c r="A83" s="117" t="s">
        <v>202</v>
      </c>
      <c r="B83" s="118"/>
      <c r="C83" s="164" t="s">
        <v>331</v>
      </c>
      <c r="D83" s="164"/>
      <c r="E83" s="164"/>
      <c r="F83" s="164"/>
      <c r="G83" s="164"/>
      <c r="H83" s="165"/>
      <c r="I83" s="39" t="s">
        <v>115</v>
      </c>
      <c r="J83" s="40"/>
      <c r="K83" s="41">
        <f>H89*50%</f>
        <v>21.5</v>
      </c>
    </row>
    <row r="84" spans="1:14" ht="14" x14ac:dyDescent="0.3">
      <c r="A84" s="67" t="s">
        <v>76</v>
      </c>
      <c r="B84" s="54">
        <v>3</v>
      </c>
      <c r="C84" s="54" t="s">
        <v>78</v>
      </c>
      <c r="D84" s="54">
        <v>1</v>
      </c>
      <c r="E84" s="54" t="s">
        <v>77</v>
      </c>
      <c r="F84" s="54">
        <v>3</v>
      </c>
      <c r="G84" s="54" t="s">
        <v>203</v>
      </c>
      <c r="H84" s="68">
        <v>50</v>
      </c>
      <c r="I84" s="39" t="s">
        <v>118</v>
      </c>
      <c r="J84" s="40"/>
      <c r="K84" s="41">
        <f>H89</f>
        <v>43</v>
      </c>
      <c r="L84" s="20">
        <f>43+3</f>
        <v>46</v>
      </c>
      <c r="M84" s="50"/>
      <c r="N84" s="50"/>
    </row>
    <row r="85" spans="1:14" ht="14" x14ac:dyDescent="0.3">
      <c r="A85" s="166" t="s">
        <v>204</v>
      </c>
      <c r="B85" s="167"/>
      <c r="C85" s="168" t="str">
        <f>I90</f>
        <v>All work Completed. OC Received.</v>
      </c>
      <c r="D85" s="168"/>
      <c r="E85" s="168"/>
      <c r="F85" s="168"/>
      <c r="G85" s="168"/>
      <c r="H85" s="169"/>
      <c r="I85" s="39" t="s">
        <v>227</v>
      </c>
      <c r="J85" s="4"/>
      <c r="K85" s="65">
        <f>(IF(B89&gt;3,(H89/(B89+4)+#REF!),0))</f>
        <v>0</v>
      </c>
    </row>
    <row r="86" spans="1:14" ht="15" customHeight="1" x14ac:dyDescent="0.3">
      <c r="A86" s="98" t="s">
        <v>209</v>
      </c>
      <c r="B86" s="99"/>
      <c r="C86" s="102">
        <v>1</v>
      </c>
      <c r="D86" s="204"/>
      <c r="E86" s="106" t="s">
        <v>210</v>
      </c>
      <c r="F86" s="103"/>
      <c r="G86" s="102">
        <v>1</v>
      </c>
      <c r="H86" s="207"/>
      <c r="I86" s="39" t="s">
        <v>121</v>
      </c>
      <c r="J86" s="40"/>
      <c r="K86" s="61" t="e">
        <f>(IF(B89=0,H89/4+#REF!,(H89/(B89+4)+#REF!+MAX(0,#REF!-#REF!)+MAX(0,#REF!-#REF!)+MAX(0,#REF!-#REF!)+MAX(0,K85-#REF!))))</f>
        <v>#REF!</v>
      </c>
    </row>
    <row r="87" spans="1:14" ht="14.5" thickBot="1" x14ac:dyDescent="0.35">
      <c r="A87" s="100"/>
      <c r="B87" s="101"/>
      <c r="C87" s="205"/>
      <c r="D87" s="206"/>
      <c r="E87" s="104"/>
      <c r="F87" s="105"/>
      <c r="G87" s="205"/>
      <c r="H87" s="208"/>
      <c r="I87" s="42" t="s">
        <v>122</v>
      </c>
      <c r="J87" s="43"/>
      <c r="K87" s="66" t="e">
        <f>(IF(B89=0,H89/4+K86,(H89/(B89+4)+K86)))</f>
        <v>#REF!</v>
      </c>
    </row>
    <row r="88" spans="1:14" ht="14" x14ac:dyDescent="0.3">
      <c r="A88" s="117" t="s">
        <v>202</v>
      </c>
      <c r="B88" s="118"/>
      <c r="C88" s="164" t="s">
        <v>330</v>
      </c>
      <c r="D88" s="164"/>
      <c r="E88" s="164"/>
      <c r="F88" s="164"/>
      <c r="G88" s="164"/>
      <c r="H88" s="165"/>
      <c r="I88" s="52" t="str">
        <f>(IF(C108=0,"Work not yet Started.",IF(D108=25%,"Piling work in process",IF(D108=50%,"Excavation work in process",IF(D108=100%,"Excavation work completed, ","0")))&amp;(IF(C109=0%,"",IF(C109=K94,"Footing work is process",IF(C109=K95,"Footing work Completed",IF(C109=K96,"1st Basement Completed",IF(C109=K97,"1st &amp; 2nd Basement Completed",IF(C109=K98,"1st to 3rd Basement Completed",IF(C109=K99,"1st to 4th Basement Completed",IF(C109=K100,"Plinth work is process",IF(C109=K101,"Plinth work completed","0")))))))))))&amp;(IF(C110&gt;0,", RCC upto "&amp;C110&amp;" Slab completed",""))&amp;(IF(C111&gt;0,", Brickwork upto "&amp;C111&amp;" Floor completed"," "))&amp;(IF(C112&gt;0,", Internal Plaster upto "&amp;C112&amp;" Floor completed"," "))&amp;(IF(C113&gt;0,", External Plaster upto "&amp;C113&amp;" Floor completed"," "))&amp;(IF(C114&gt;0,", Flooring upto "&amp;C114&amp;" Floor completed"," "))&amp;(IF(C115&gt;0,", Painting upto "&amp;C115&amp;" Floor completed"," "))&amp;(IF(C116&gt;0,", Finishing upto "&amp;C116&amp;" Floor completed"," ")))</f>
        <v xml:space="preserve">Excavation work completed, Plinth work completed, RCC upto 12 Slab completed      </v>
      </c>
      <c r="J88" s="52"/>
      <c r="K88" s="53"/>
    </row>
    <row r="89" spans="1:14" ht="14" x14ac:dyDescent="0.3">
      <c r="A89" s="67" t="s">
        <v>76</v>
      </c>
      <c r="B89" s="54">
        <v>3</v>
      </c>
      <c r="C89" s="54" t="s">
        <v>78</v>
      </c>
      <c r="D89" s="54">
        <v>1</v>
      </c>
      <c r="E89" s="54" t="s">
        <v>77</v>
      </c>
      <c r="F89" s="54">
        <v>3</v>
      </c>
      <c r="G89" s="54" t="s">
        <v>203</v>
      </c>
      <c r="H89" s="68">
        <v>43</v>
      </c>
      <c r="I89" s="55" t="s">
        <v>205</v>
      </c>
      <c r="J89" s="55"/>
      <c r="K89" s="56"/>
    </row>
    <row r="90" spans="1:14" ht="14" x14ac:dyDescent="0.3">
      <c r="A90" s="166" t="s">
        <v>204</v>
      </c>
      <c r="B90" s="167"/>
      <c r="C90" s="168" t="str">
        <f>I90</f>
        <v>All work Completed. OC Received.</v>
      </c>
      <c r="D90" s="168"/>
      <c r="E90" s="168"/>
      <c r="F90" s="168"/>
      <c r="G90" s="168"/>
      <c r="H90" s="169"/>
      <c r="I90" s="55" t="s">
        <v>211</v>
      </c>
      <c r="J90" s="55"/>
      <c r="K90" s="56"/>
    </row>
    <row r="91" spans="1:14" ht="26.25" customHeight="1" thickBot="1" x14ac:dyDescent="0.35">
      <c r="A91" s="98" t="s">
        <v>209</v>
      </c>
      <c r="B91" s="99"/>
      <c r="C91" s="102">
        <v>1</v>
      </c>
      <c r="D91" s="103"/>
      <c r="E91" s="106" t="s">
        <v>210</v>
      </c>
      <c r="F91" s="103"/>
      <c r="G91" s="102">
        <v>1</v>
      </c>
      <c r="H91" s="107"/>
      <c r="I91" s="39" t="s">
        <v>223</v>
      </c>
      <c r="J91" s="57"/>
      <c r="K91" s="58">
        <f>H105*25%</f>
        <v>12.5</v>
      </c>
    </row>
    <row r="92" spans="1:14" ht="14.5" hidden="1" thickBot="1" x14ac:dyDescent="0.35">
      <c r="A92" s="100"/>
      <c r="B92" s="101"/>
      <c r="C92" s="104"/>
      <c r="D92" s="105"/>
      <c r="E92" s="104"/>
      <c r="F92" s="105"/>
      <c r="G92" s="104"/>
      <c r="H92" s="108"/>
      <c r="I92" s="39" t="s">
        <v>115</v>
      </c>
      <c r="J92" s="40"/>
      <c r="K92" s="41">
        <f>H105*50%</f>
        <v>25</v>
      </c>
    </row>
    <row r="93" spans="1:14" ht="14" hidden="1" x14ac:dyDescent="0.3">
      <c r="A93" s="149" t="s">
        <v>206</v>
      </c>
      <c r="B93" s="150"/>
      <c r="C93" s="74" t="s">
        <v>207</v>
      </c>
      <c r="D93" s="74" t="s">
        <v>208</v>
      </c>
      <c r="E93" s="150" t="s">
        <v>209</v>
      </c>
      <c r="F93" s="150"/>
      <c r="G93" s="150" t="s">
        <v>210</v>
      </c>
      <c r="H93" s="151"/>
      <c r="I93" s="39" t="s">
        <v>118</v>
      </c>
      <c r="J93" s="40"/>
      <c r="K93" s="41">
        <f>H105</f>
        <v>50</v>
      </c>
    </row>
    <row r="94" spans="1:14" ht="15" hidden="1" customHeight="1" x14ac:dyDescent="0.3">
      <c r="A94" s="128" t="s">
        <v>212</v>
      </c>
      <c r="B94" s="129"/>
      <c r="C94" s="59">
        <f>K84</f>
        <v>43</v>
      </c>
      <c r="D94" s="69">
        <f>((100/H89)*C94)/100</f>
        <v>1</v>
      </c>
      <c r="E94" s="124" t="e">
        <f>(IF(C90=#REF!,"100%",IF(C90=#REF!,"100%",(((C95/H89*10)+(40/(D89+F89+H89)*C96)+(7.5/(H89)*C97)+(7.5/(H89)*C98)+(10/H89*C99)+(10/H89*C100)+(5/H89*C101)+(5/H89*C102)+(5/H89*C103))/100))))</f>
        <v>#REF!</v>
      </c>
      <c r="F94" s="124"/>
      <c r="G94" s="124" t="e">
        <f>((((C94/H89)*20)+((C95/H89)*25)+(30/(H89+F89+D89)*C96)+(5/H89*C97)+(5/H89*C98)+(5/H89*C99)+(5/H89*C100)+(0/H89*C101)+(0/H89*C102)+(5/H89*C103))/100)</f>
        <v>#REF!</v>
      </c>
      <c r="H94" s="126"/>
      <c r="I94" s="39" t="s">
        <v>119</v>
      </c>
      <c r="J94" s="40"/>
      <c r="K94" s="61">
        <f>(IF(B105=0,H105/4,(H105/(B105+4))))</f>
        <v>7.1428571428571432</v>
      </c>
    </row>
    <row r="95" spans="1:14" ht="15.75" hidden="1" customHeight="1" x14ac:dyDescent="0.3">
      <c r="A95" s="128" t="s">
        <v>108</v>
      </c>
      <c r="B95" s="129"/>
      <c r="C95" s="60" t="e">
        <f>K87</f>
        <v>#REF!</v>
      </c>
      <c r="D95" s="69" t="e">
        <f>((100/H89)*C95)/100</f>
        <v>#REF!</v>
      </c>
      <c r="E95" s="124"/>
      <c r="F95" s="124"/>
      <c r="G95" s="124"/>
      <c r="H95" s="126"/>
      <c r="I95" s="39" t="s">
        <v>120</v>
      </c>
      <c r="J95" s="40"/>
      <c r="K95" s="61">
        <f>(IF(B105=0,H105/4+K94,(H105/(B105+4)+K94)))</f>
        <v>14.285714285714286</v>
      </c>
    </row>
    <row r="96" spans="1:14" ht="15" hidden="1" customHeight="1" x14ac:dyDescent="0.3">
      <c r="A96" s="128" t="s">
        <v>213</v>
      </c>
      <c r="B96" s="129"/>
      <c r="C96" s="60">
        <v>23</v>
      </c>
      <c r="D96" s="69">
        <f>((100/(D89+F89+H89))*C96)/100</f>
        <v>0.48936170212765956</v>
      </c>
      <c r="E96" s="124"/>
      <c r="F96" s="124"/>
      <c r="G96" s="124"/>
      <c r="H96" s="126"/>
      <c r="I96" s="39" t="s">
        <v>224</v>
      </c>
      <c r="J96" s="62"/>
      <c r="K96" s="61">
        <f>(IF(B105=0,0,(H105/(B105+4)+K95)))</f>
        <v>21.428571428571431</v>
      </c>
    </row>
    <row r="97" spans="1:11" ht="15.75" hidden="1" customHeight="1" x14ac:dyDescent="0.3">
      <c r="A97" s="128" t="s">
        <v>214</v>
      </c>
      <c r="B97" s="129"/>
      <c r="C97" s="59">
        <v>22</v>
      </c>
      <c r="D97" s="69">
        <f>((100/H89)*C97)/100</f>
        <v>0.51162790697674421</v>
      </c>
      <c r="E97" s="124"/>
      <c r="F97" s="124"/>
      <c r="G97" s="124"/>
      <c r="H97" s="126"/>
      <c r="I97" s="39" t="s">
        <v>225</v>
      </c>
      <c r="J97" s="62"/>
      <c r="K97" s="61">
        <f>(IF(B105&gt;1,(H105/(B105+4)+K96),0))</f>
        <v>28.571428571428573</v>
      </c>
    </row>
    <row r="98" spans="1:11" ht="15" hidden="1" customHeight="1" x14ac:dyDescent="0.3">
      <c r="A98" s="128" t="s">
        <v>216</v>
      </c>
      <c r="B98" s="129" t="s">
        <v>215</v>
      </c>
      <c r="C98" s="59">
        <v>22</v>
      </c>
      <c r="D98" s="69">
        <f>((100/H89)*C98)/100</f>
        <v>0.51162790697674421</v>
      </c>
      <c r="E98" s="124"/>
      <c r="F98" s="124"/>
      <c r="G98" s="124"/>
      <c r="H98" s="126"/>
      <c r="I98" s="39" t="s">
        <v>226</v>
      </c>
      <c r="J98" s="63"/>
      <c r="K98" s="64">
        <f>(IF(B105&gt;2,(H105/(B105+4)+K97),0))</f>
        <v>35.714285714285715</v>
      </c>
    </row>
    <row r="99" spans="1:11" ht="14" hidden="1" x14ac:dyDescent="0.3">
      <c r="A99" s="128" t="s">
        <v>217</v>
      </c>
      <c r="B99" s="129" t="s">
        <v>218</v>
      </c>
      <c r="C99" s="59">
        <v>22</v>
      </c>
      <c r="D99" s="69">
        <f>((100/(H89))*C99)/100</f>
        <v>0.51162790697674421</v>
      </c>
      <c r="E99" s="124"/>
      <c r="F99" s="124"/>
      <c r="G99" s="124"/>
      <c r="H99" s="126"/>
      <c r="I99" s="39" t="s">
        <v>227</v>
      </c>
      <c r="J99" s="4"/>
      <c r="K99" s="65">
        <f>(IF(B105&gt;3,(H105/(B105+4)+K98),0))</f>
        <v>0</v>
      </c>
    </row>
    <row r="100" spans="1:11" ht="15" hidden="1" customHeight="1" x14ac:dyDescent="0.3">
      <c r="A100" s="128" t="s">
        <v>219</v>
      </c>
      <c r="B100" s="129"/>
      <c r="C100" s="59">
        <v>22</v>
      </c>
      <c r="D100" s="69">
        <f>((100/H89)*C100)/100</f>
        <v>0.51162790697674421</v>
      </c>
      <c r="E100" s="124"/>
      <c r="F100" s="124"/>
      <c r="G100" s="124"/>
      <c r="H100" s="126"/>
      <c r="I100" s="39" t="s">
        <v>121</v>
      </c>
      <c r="J100" s="40"/>
      <c r="K100" s="61">
        <f>(IF(B105=0,H105/4+K95,(H105/(B105+4)+K95+MAX(0,K96-K95)+MAX(0,K97-K96)+MAX(0,K98-K97)+MAX(0,K99-K98))))</f>
        <v>42.857142857142861</v>
      </c>
    </row>
    <row r="101" spans="1:11" ht="14.5" hidden="1" thickBot="1" x14ac:dyDescent="0.35">
      <c r="A101" s="128" t="s">
        <v>220</v>
      </c>
      <c r="B101" s="129"/>
      <c r="C101" s="59">
        <v>22</v>
      </c>
      <c r="D101" s="69">
        <f>((100/H89)*C101)/100</f>
        <v>0.51162790697674421</v>
      </c>
      <c r="E101" s="124"/>
      <c r="F101" s="124"/>
      <c r="G101" s="124"/>
      <c r="H101" s="126"/>
      <c r="I101" s="42" t="s">
        <v>122</v>
      </c>
      <c r="J101" s="43"/>
      <c r="K101" s="66">
        <f>(IF(B105=0,H105/4+K100,(H105/(B105+4)+K100)))</f>
        <v>50.000000000000007</v>
      </c>
    </row>
    <row r="102" spans="1:11" ht="15" hidden="1" customHeight="1" thickBot="1" x14ac:dyDescent="0.35">
      <c r="A102" s="128" t="s">
        <v>221</v>
      </c>
      <c r="B102" s="129"/>
      <c r="C102" s="59">
        <v>22</v>
      </c>
      <c r="D102" s="69">
        <f>((100/(H89))*C102)/100</f>
        <v>0.51162790697674421</v>
      </c>
      <c r="E102" s="124"/>
      <c r="F102" s="124"/>
      <c r="G102" s="124"/>
      <c r="H102" s="126"/>
      <c r="I102" s="52" t="str">
        <f>(IF(C124=0,"Work not yet Started.",IF(D124=25%,"Piling work in process",IF(D124=50%,"Excavation work in process",IF(D124=100%,"Excavation work completed, ","0")))&amp;(IF(C125=0%,"",IF(C125=K108,"Footing work is process",IF(C125=K109,"Footing work Completed",IF(C125=K110,"1st Basement Completed",IF(C125=K111,"1st &amp; 2nd Basement Completed",IF(C125=K112,"1st to 3rd Basement Completed",IF(C125=K113,"1st to 4th Basement Completed",IF(C125=K114,"Plinth work is process",IF(C125=K115,"Plinth work completed","0")))))))))))&amp;(IF(C126&gt;0,", RCC upto "&amp;C126&amp;" Slab completed",""))&amp;(IF(C127&gt;0,", Brickwork upto "&amp;C127&amp;" Floor completed"," "))&amp;(IF(C128&gt;0,", Internal Plaster upto "&amp;C128&amp;" Floor completed"," "))&amp;(IF(C129&gt;0,", External Plaster upto "&amp;C129&amp;" Floor completed"," "))&amp;(IF(C130&gt;0,", Flooring upto "&amp;C130&amp;" Floor completed"," "))&amp;(IF(C131&gt;0,", Painting upto "&amp;C131&amp;" Floor completed"," "))&amp;(IF(C132&gt;0,", Finishing upto "&amp;C132&amp;" Floor completed"," ")))</f>
        <v>Excavation work completed, Plinth work completed, RCC upto 23 Slab completed, Brickwork upto 22 Floor completed, Internal Plaster upto 22 Floor completed, External Plaster upto 22 Floor completed, Flooring upto 22 Floor completed, Painting upto 22 Floor completed, Finishing upto 22 Floor completed</v>
      </c>
      <c r="J102" s="52"/>
      <c r="K102" s="53"/>
    </row>
    <row r="103" spans="1:11" ht="15" hidden="1" customHeight="1" thickBot="1" x14ac:dyDescent="0.35">
      <c r="A103" s="152" t="s">
        <v>222</v>
      </c>
      <c r="B103" s="153"/>
      <c r="C103" s="82">
        <v>22</v>
      </c>
      <c r="D103" s="83">
        <f>((100/(H89))*C103)/100</f>
        <v>0.51162790697674421</v>
      </c>
      <c r="E103" s="125"/>
      <c r="F103" s="125"/>
      <c r="G103" s="125"/>
      <c r="H103" s="127"/>
      <c r="I103" s="55" t="s">
        <v>205</v>
      </c>
      <c r="J103" s="55"/>
      <c r="K103" s="56"/>
    </row>
    <row r="104" spans="1:11" ht="14" x14ac:dyDescent="0.3">
      <c r="A104" s="117" t="s">
        <v>202</v>
      </c>
      <c r="B104" s="118"/>
      <c r="C104" s="164" t="s">
        <v>235</v>
      </c>
      <c r="D104" s="164"/>
      <c r="E104" s="164"/>
      <c r="F104" s="164"/>
      <c r="G104" s="164"/>
      <c r="H104" s="165"/>
      <c r="I104" s="55" t="s">
        <v>211</v>
      </c>
      <c r="J104" s="55"/>
      <c r="K104" s="56"/>
    </row>
    <row r="105" spans="1:11" ht="14" x14ac:dyDescent="0.3">
      <c r="A105" s="67" t="s">
        <v>76</v>
      </c>
      <c r="B105" s="54">
        <v>3</v>
      </c>
      <c r="C105" s="54" t="s">
        <v>78</v>
      </c>
      <c r="D105" s="54">
        <v>1</v>
      </c>
      <c r="E105" s="54" t="s">
        <v>77</v>
      </c>
      <c r="F105" s="54">
        <v>3</v>
      </c>
      <c r="G105" s="54" t="s">
        <v>203</v>
      </c>
      <c r="H105" s="68">
        <v>50</v>
      </c>
      <c r="I105" s="39" t="s">
        <v>223</v>
      </c>
      <c r="J105" s="57"/>
      <c r="K105" s="58">
        <f>H119*25%</f>
        <v>5.5</v>
      </c>
    </row>
    <row r="106" spans="1:11" ht="14" x14ac:dyDescent="0.3">
      <c r="A106" s="166" t="s">
        <v>204</v>
      </c>
      <c r="B106" s="167"/>
      <c r="C106" s="168" t="str">
        <f>I88</f>
        <v xml:space="preserve">Excavation work completed, Plinth work completed, RCC upto 12 Slab completed      </v>
      </c>
      <c r="D106" s="168"/>
      <c r="E106" s="168"/>
      <c r="F106" s="168"/>
      <c r="G106" s="168"/>
      <c r="H106" s="169"/>
      <c r="I106" s="39" t="s">
        <v>115</v>
      </c>
      <c r="J106" s="40"/>
      <c r="K106" s="41">
        <f>H119*50%</f>
        <v>11</v>
      </c>
    </row>
    <row r="107" spans="1:11" ht="14" x14ac:dyDescent="0.3">
      <c r="A107" s="128" t="s">
        <v>206</v>
      </c>
      <c r="B107" s="129"/>
      <c r="C107" s="81" t="s">
        <v>207</v>
      </c>
      <c r="D107" s="81" t="s">
        <v>208</v>
      </c>
      <c r="E107" s="129" t="s">
        <v>209</v>
      </c>
      <c r="F107" s="129"/>
      <c r="G107" s="129" t="s">
        <v>210</v>
      </c>
      <c r="H107" s="190"/>
      <c r="I107" s="39" t="s">
        <v>118</v>
      </c>
      <c r="J107" s="40"/>
      <c r="K107" s="41">
        <f>H119</f>
        <v>22</v>
      </c>
    </row>
    <row r="108" spans="1:11" ht="15" customHeight="1" x14ac:dyDescent="0.3">
      <c r="A108" s="128" t="s">
        <v>212</v>
      </c>
      <c r="B108" s="129"/>
      <c r="C108" s="59">
        <f>K93</f>
        <v>50</v>
      </c>
      <c r="D108" s="69">
        <f>((100/H105)*C108)/100</f>
        <v>1</v>
      </c>
      <c r="E108" s="124">
        <f>(IF(C106=I89,"100%",IF(C106=I90,"100%",(((C109/H105*10)+(40/(D105+F105+H105)*C110)+(7.5/(H105)*C111)+(7.5/(H105)*C112)+(10/H105*C113)+(10/H105*C114)+(5/H105*C115)+(5/H105*C116)+(5/H105*C117))/100))))</f>
        <v>0.18888888888888894</v>
      </c>
      <c r="F108" s="124"/>
      <c r="G108" s="124">
        <f>((((C108/H105)*20)+((C109/H105)*25)+(30/(H105+F105+D105)*C110)+(5/H105*C111)+(5/H105*C112)+(5/H105*C113)+(5/H105*C114)+(0/H105*C115)+(0/H105*C116)+(5/H105*C117))/100)</f>
        <v>0.51666666666666672</v>
      </c>
      <c r="H108" s="126"/>
      <c r="I108" s="39" t="s">
        <v>119</v>
      </c>
      <c r="J108" s="40"/>
      <c r="K108" s="61">
        <f>(IF(B119=0,H119/4,(H119/(B119+4))))</f>
        <v>5.5</v>
      </c>
    </row>
    <row r="109" spans="1:11" ht="15.75" customHeight="1" x14ac:dyDescent="0.3">
      <c r="A109" s="128" t="s">
        <v>108</v>
      </c>
      <c r="B109" s="129"/>
      <c r="C109" s="60">
        <f>K101</f>
        <v>50.000000000000007</v>
      </c>
      <c r="D109" s="69">
        <f>((100/H105)*C109)/100</f>
        <v>1.0000000000000002</v>
      </c>
      <c r="E109" s="124"/>
      <c r="F109" s="124"/>
      <c r="G109" s="124"/>
      <c r="H109" s="126"/>
      <c r="I109" s="39" t="s">
        <v>120</v>
      </c>
      <c r="J109" s="40"/>
      <c r="K109" s="61">
        <f>(IF(B119=0,H119/4+K108,(H119/(B119+4)+K108)))</f>
        <v>11</v>
      </c>
    </row>
    <row r="110" spans="1:11" ht="15" customHeight="1" x14ac:dyDescent="0.3">
      <c r="A110" s="128" t="s">
        <v>213</v>
      </c>
      <c r="B110" s="129"/>
      <c r="C110" s="60">
        <f>F105+D105+8</f>
        <v>12</v>
      </c>
      <c r="D110" s="69">
        <f>((100/(D105+F105+H105))*C110)/100</f>
        <v>0.22222222222222221</v>
      </c>
      <c r="E110" s="124"/>
      <c r="F110" s="124"/>
      <c r="G110" s="124"/>
      <c r="H110" s="126"/>
      <c r="I110" s="39" t="s">
        <v>224</v>
      </c>
      <c r="J110" s="62"/>
      <c r="K110" s="61">
        <f>(IF(B119=0,0,(H119/(B119+4)+K109)))</f>
        <v>0</v>
      </c>
    </row>
    <row r="111" spans="1:11" ht="15.75" customHeight="1" x14ac:dyDescent="0.3">
      <c r="A111" s="128" t="s">
        <v>214</v>
      </c>
      <c r="B111" s="129"/>
      <c r="C111" s="59">
        <v>0</v>
      </c>
      <c r="D111" s="69">
        <f>((100/H105)*C111)/100</f>
        <v>0</v>
      </c>
      <c r="E111" s="124"/>
      <c r="F111" s="124"/>
      <c r="G111" s="124"/>
      <c r="H111" s="126"/>
      <c r="I111" s="39" t="s">
        <v>225</v>
      </c>
      <c r="J111" s="62"/>
      <c r="K111" s="61">
        <f>(IF(B119&gt;1,(H119/(B119+4)+K110),0))</f>
        <v>0</v>
      </c>
    </row>
    <row r="112" spans="1:11" ht="15" customHeight="1" x14ac:dyDescent="0.3">
      <c r="A112" s="128" t="s">
        <v>216</v>
      </c>
      <c r="B112" s="129" t="s">
        <v>215</v>
      </c>
      <c r="C112" s="59">
        <v>0</v>
      </c>
      <c r="D112" s="69">
        <f>((100/H105)*C112)/100</f>
        <v>0</v>
      </c>
      <c r="E112" s="124"/>
      <c r="F112" s="124"/>
      <c r="G112" s="124"/>
      <c r="H112" s="126"/>
      <c r="I112" s="39" t="s">
        <v>226</v>
      </c>
      <c r="J112" s="63"/>
      <c r="K112" s="64">
        <f>(IF(B119&gt;2,(H119/(B119+4)+K111),0))</f>
        <v>0</v>
      </c>
    </row>
    <row r="113" spans="1:11" ht="14" x14ac:dyDescent="0.3">
      <c r="A113" s="128" t="s">
        <v>217</v>
      </c>
      <c r="B113" s="129" t="s">
        <v>218</v>
      </c>
      <c r="C113" s="59">
        <v>0</v>
      </c>
      <c r="D113" s="69">
        <f>((100/(H105))*C113)/100</f>
        <v>0</v>
      </c>
      <c r="E113" s="124"/>
      <c r="F113" s="124"/>
      <c r="G113" s="124"/>
      <c r="H113" s="126"/>
      <c r="I113" s="39" t="s">
        <v>227</v>
      </c>
      <c r="J113" s="4"/>
      <c r="K113" s="65">
        <f>(IF(B119&gt;3,(H119/(B119+4)+K112),0))</f>
        <v>0</v>
      </c>
    </row>
    <row r="114" spans="1:11" ht="15" customHeight="1" x14ac:dyDescent="0.3">
      <c r="A114" s="128" t="s">
        <v>219</v>
      </c>
      <c r="B114" s="129"/>
      <c r="C114" s="59">
        <v>0</v>
      </c>
      <c r="D114" s="69">
        <f>((100/H105)*C114)/100</f>
        <v>0</v>
      </c>
      <c r="E114" s="124"/>
      <c r="F114" s="124"/>
      <c r="G114" s="124"/>
      <c r="H114" s="126"/>
      <c r="I114" s="39" t="s">
        <v>121</v>
      </c>
      <c r="J114" s="40"/>
      <c r="K114" s="61">
        <f>(IF(B119=0,H119/4+K109,(H119/(B119+4)+K109+MAX(0,K110-K109)+MAX(0,K111-K110)+MAX(0,K112-K111)+MAX(0,K113-K112))))</f>
        <v>16.5</v>
      </c>
    </row>
    <row r="115" spans="1:11" ht="14.5" thickBot="1" x14ac:dyDescent="0.35">
      <c r="A115" s="128" t="s">
        <v>220</v>
      </c>
      <c r="B115" s="129"/>
      <c r="C115" s="59">
        <v>0</v>
      </c>
      <c r="D115" s="69">
        <f>((100/H105)*C115)/100</f>
        <v>0</v>
      </c>
      <c r="E115" s="124"/>
      <c r="F115" s="124"/>
      <c r="G115" s="124"/>
      <c r="H115" s="126"/>
      <c r="I115" s="42" t="s">
        <v>122</v>
      </c>
      <c r="J115" s="43"/>
      <c r="K115" s="66">
        <f>(IF(B119=0,H119/4+K114,(H119/(B119+4)+K114)))</f>
        <v>22</v>
      </c>
    </row>
    <row r="116" spans="1:11" ht="15" customHeight="1" x14ac:dyDescent="0.3">
      <c r="A116" s="128" t="s">
        <v>221</v>
      </c>
      <c r="B116" s="129"/>
      <c r="C116" s="59">
        <v>0</v>
      </c>
      <c r="D116" s="69">
        <f>((100/(H105))*C116)/100</f>
        <v>0</v>
      </c>
      <c r="E116" s="124"/>
      <c r="F116" s="124"/>
      <c r="G116" s="124"/>
      <c r="H116" s="126"/>
    </row>
    <row r="117" spans="1:11" ht="15" customHeight="1" x14ac:dyDescent="0.3">
      <c r="A117" s="152" t="s">
        <v>222</v>
      </c>
      <c r="B117" s="153"/>
      <c r="C117" s="82">
        <v>0</v>
      </c>
      <c r="D117" s="90">
        <f>((100/(H105))*C117)/100</f>
        <v>0</v>
      </c>
      <c r="E117" s="125"/>
      <c r="F117" s="125"/>
      <c r="G117" s="125"/>
      <c r="H117" s="127"/>
    </row>
    <row r="118" spans="1:11" ht="15" customHeight="1" x14ac:dyDescent="0.3">
      <c r="A118" s="215" t="s">
        <v>202</v>
      </c>
      <c r="B118" s="215"/>
      <c r="C118" s="168" t="s">
        <v>324</v>
      </c>
      <c r="D118" s="168"/>
      <c r="E118" s="168"/>
      <c r="F118" s="168"/>
      <c r="G118" s="168"/>
      <c r="H118" s="168"/>
      <c r="J118" t="s">
        <v>271</v>
      </c>
    </row>
    <row r="119" spans="1:11" ht="14.25" customHeight="1" x14ac:dyDescent="0.3">
      <c r="A119" s="54" t="s">
        <v>76</v>
      </c>
      <c r="B119" s="54">
        <v>0</v>
      </c>
      <c r="C119" s="54" t="s">
        <v>78</v>
      </c>
      <c r="D119" s="54">
        <v>1</v>
      </c>
      <c r="E119" s="54" t="s">
        <v>77</v>
      </c>
      <c r="F119" s="54">
        <v>0</v>
      </c>
      <c r="G119" s="54" t="s">
        <v>203</v>
      </c>
      <c r="H119" s="54">
        <v>22</v>
      </c>
      <c r="J119" t="s">
        <v>272</v>
      </c>
    </row>
    <row r="120" spans="1:11" ht="14" x14ac:dyDescent="0.3">
      <c r="A120" s="167" t="s">
        <v>204</v>
      </c>
      <c r="B120" s="167"/>
      <c r="C120" s="168" t="s">
        <v>293</v>
      </c>
      <c r="D120" s="168"/>
      <c r="E120" s="168"/>
      <c r="F120" s="168"/>
      <c r="G120" s="168"/>
      <c r="H120" s="168"/>
      <c r="I120" t="s">
        <v>285</v>
      </c>
    </row>
    <row r="121" spans="1:11" ht="15" hidden="1" customHeight="1" x14ac:dyDescent="0.3">
      <c r="A121" s="216" t="s">
        <v>209</v>
      </c>
      <c r="B121" s="216"/>
      <c r="C121" s="217">
        <v>1</v>
      </c>
      <c r="D121" s="218"/>
      <c r="E121" s="218" t="s">
        <v>210</v>
      </c>
      <c r="F121" s="218"/>
      <c r="G121" s="217">
        <v>1</v>
      </c>
      <c r="H121" s="218"/>
    </row>
    <row r="122" spans="1:11" ht="15" hidden="1" customHeight="1" thickBot="1" x14ac:dyDescent="0.3">
      <c r="A122" s="216"/>
      <c r="B122" s="216"/>
      <c r="C122" s="218"/>
      <c r="D122" s="218"/>
      <c r="E122" s="218"/>
      <c r="F122" s="218"/>
      <c r="G122" s="218"/>
      <c r="H122" s="218"/>
    </row>
    <row r="123" spans="1:11" ht="15" customHeight="1" x14ac:dyDescent="0.3">
      <c r="A123" s="129" t="s">
        <v>206</v>
      </c>
      <c r="B123" s="129"/>
      <c r="C123" s="86" t="s">
        <v>207</v>
      </c>
      <c r="D123" s="86" t="s">
        <v>208</v>
      </c>
      <c r="E123" s="129" t="s">
        <v>209</v>
      </c>
      <c r="F123" s="129"/>
      <c r="G123" s="129" t="s">
        <v>210</v>
      </c>
      <c r="H123" s="129"/>
      <c r="I123" s="20"/>
    </row>
    <row r="124" spans="1:11" ht="15" customHeight="1" x14ac:dyDescent="0.3">
      <c r="A124" s="129" t="s">
        <v>212</v>
      </c>
      <c r="B124" s="129"/>
      <c r="C124" s="59">
        <f>K107</f>
        <v>22</v>
      </c>
      <c r="D124" s="87">
        <f>((100/H119)*C124)/100</f>
        <v>1.0000000000000002</v>
      </c>
      <c r="E124" s="124">
        <f>(IF(C120=I103,"100%",IF(C120=I104,"100%",(((C125/H119*10)+(40/(D119+F119+H119)*C126)+(7.5/(H119)*C127)+(7.5/(H119)*C128)+(10/H119*C129)+(10/H119*C130)+(5/H119*C131)+(5/H119*C132)+(5/H119*C133))/100))))</f>
        <v>1</v>
      </c>
      <c r="F124" s="124"/>
      <c r="G124" s="124">
        <f>((((C124/H119)*20)+((C125/H119)*25)+(30/(H119+F119+D119)*C126)+(5/H119*C127)+(5/H119*C128)+(5/H119*C129)+(5/H119*C130)+(0/H119*C131)+(0/H119*C132)+(5/H119*C133))/100)</f>
        <v>1</v>
      </c>
      <c r="H124" s="124"/>
    </row>
    <row r="125" spans="1:11" ht="14" x14ac:dyDescent="0.3">
      <c r="A125" s="129" t="s">
        <v>108</v>
      </c>
      <c r="B125" s="129"/>
      <c r="C125" s="60">
        <f>K115</f>
        <v>22</v>
      </c>
      <c r="D125" s="87">
        <f>((100/H119)*C125)/100</f>
        <v>1.0000000000000002</v>
      </c>
      <c r="E125" s="124"/>
      <c r="F125" s="124"/>
      <c r="G125" s="124"/>
      <c r="H125" s="124"/>
    </row>
    <row r="126" spans="1:11" ht="14" x14ac:dyDescent="0.3">
      <c r="A126" s="129" t="s">
        <v>213</v>
      </c>
      <c r="B126" s="129"/>
      <c r="C126" s="60">
        <v>23</v>
      </c>
      <c r="D126" s="87">
        <f>((100/(D119+F119+H119))*C126)/100</f>
        <v>1</v>
      </c>
      <c r="E126" s="124"/>
      <c r="F126" s="124"/>
      <c r="G126" s="124"/>
      <c r="H126" s="124"/>
    </row>
    <row r="127" spans="1:11" ht="14" x14ac:dyDescent="0.3">
      <c r="A127" s="129" t="s">
        <v>214</v>
      </c>
      <c r="B127" s="129"/>
      <c r="C127" s="59">
        <v>22</v>
      </c>
      <c r="D127" s="87">
        <f>((100/H119)*C127)/100</f>
        <v>1.0000000000000002</v>
      </c>
      <c r="E127" s="124"/>
      <c r="F127" s="124"/>
      <c r="G127" s="124"/>
      <c r="H127" s="124"/>
    </row>
    <row r="128" spans="1:11" ht="15" customHeight="1" x14ac:dyDescent="0.3">
      <c r="A128" s="129" t="s">
        <v>216</v>
      </c>
      <c r="B128" s="129" t="s">
        <v>215</v>
      </c>
      <c r="C128" s="59">
        <v>22</v>
      </c>
      <c r="D128" s="87">
        <f>((100/H119)*C128)/100</f>
        <v>1.0000000000000002</v>
      </c>
      <c r="E128" s="124"/>
      <c r="F128" s="124"/>
      <c r="G128" s="124"/>
      <c r="H128" s="124"/>
    </row>
    <row r="129" spans="1:8" ht="15.65" customHeight="1" x14ac:dyDescent="0.3">
      <c r="A129" s="129" t="s">
        <v>217</v>
      </c>
      <c r="B129" s="129" t="s">
        <v>218</v>
      </c>
      <c r="C129" s="59">
        <v>22</v>
      </c>
      <c r="D129" s="87">
        <f>((100/(H119))*C129)/100</f>
        <v>1.0000000000000002</v>
      </c>
      <c r="E129" s="124"/>
      <c r="F129" s="124"/>
      <c r="G129" s="124"/>
      <c r="H129" s="124"/>
    </row>
    <row r="130" spans="1:8" ht="15.65" customHeight="1" x14ac:dyDescent="0.3">
      <c r="A130" s="129" t="s">
        <v>219</v>
      </c>
      <c r="B130" s="129"/>
      <c r="C130" s="59">
        <v>22</v>
      </c>
      <c r="D130" s="87">
        <f>((100/H119)*C130)/100</f>
        <v>1.0000000000000002</v>
      </c>
      <c r="E130" s="124"/>
      <c r="F130" s="124"/>
      <c r="G130" s="124"/>
      <c r="H130" s="124"/>
    </row>
    <row r="131" spans="1:8" ht="15.65" customHeight="1" x14ac:dyDescent="0.3">
      <c r="A131" s="129" t="s">
        <v>220</v>
      </c>
      <c r="B131" s="129"/>
      <c r="C131" s="59">
        <v>22</v>
      </c>
      <c r="D131" s="87">
        <f>((100/H119)*C131)/100</f>
        <v>1.0000000000000002</v>
      </c>
      <c r="E131" s="124"/>
      <c r="F131" s="124"/>
      <c r="G131" s="124"/>
      <c r="H131" s="124"/>
    </row>
    <row r="132" spans="1:8" ht="14" x14ac:dyDescent="0.3">
      <c r="A132" s="129" t="s">
        <v>221</v>
      </c>
      <c r="B132" s="129"/>
      <c r="C132" s="59">
        <v>22</v>
      </c>
      <c r="D132" s="87">
        <f>((100/(H119))*C132)/100</f>
        <v>1.0000000000000002</v>
      </c>
      <c r="E132" s="124"/>
      <c r="F132" s="124"/>
      <c r="G132" s="124"/>
      <c r="H132" s="124"/>
    </row>
    <row r="133" spans="1:8" ht="14" x14ac:dyDescent="0.3">
      <c r="A133" s="129" t="s">
        <v>222</v>
      </c>
      <c r="B133" s="129"/>
      <c r="C133" s="59">
        <v>22</v>
      </c>
      <c r="D133" s="87">
        <f>((100/(H119))*C133)/100</f>
        <v>1.0000000000000002</v>
      </c>
      <c r="E133" s="124"/>
      <c r="F133" s="124"/>
      <c r="G133" s="124"/>
      <c r="H133" s="124"/>
    </row>
    <row r="134" spans="1:8" ht="14" x14ac:dyDescent="0.3">
      <c r="A134" s="109" t="s">
        <v>350</v>
      </c>
      <c r="B134" s="110"/>
      <c r="C134" s="110"/>
      <c r="D134" s="110"/>
      <c r="E134" s="110"/>
      <c r="F134" s="110"/>
      <c r="G134" s="110"/>
      <c r="H134" s="110"/>
    </row>
    <row r="135" spans="1:8" ht="14" x14ac:dyDescent="0.3">
      <c r="A135" s="91" t="s">
        <v>199</v>
      </c>
      <c r="B135" s="91"/>
      <c r="C135" s="91"/>
      <c r="D135" s="91"/>
      <c r="E135" s="92">
        <v>27000</v>
      </c>
      <c r="F135" s="92"/>
      <c r="G135" s="92"/>
      <c r="H135" s="92"/>
    </row>
    <row r="136" spans="1:8" ht="15" customHeight="1" x14ac:dyDescent="0.3">
      <c r="A136" s="93" t="s">
        <v>232</v>
      </c>
      <c r="B136" s="93"/>
      <c r="C136" s="93"/>
      <c r="D136" s="93"/>
      <c r="E136" s="94" t="s">
        <v>284</v>
      </c>
      <c r="F136" s="92"/>
      <c r="G136" s="92"/>
      <c r="H136" s="92"/>
    </row>
    <row r="137" spans="1:8" ht="15.65" customHeight="1" x14ac:dyDescent="0.3">
      <c r="A137" s="93" t="s">
        <v>233</v>
      </c>
      <c r="B137" s="93"/>
      <c r="C137" s="93"/>
      <c r="D137" s="93"/>
      <c r="E137" s="94">
        <v>350000</v>
      </c>
      <c r="F137" s="92"/>
      <c r="G137" s="92"/>
      <c r="H137" s="92"/>
    </row>
    <row r="138" spans="1:8" ht="14" x14ac:dyDescent="0.3">
      <c r="A138" s="173" t="s">
        <v>60</v>
      </c>
      <c r="B138" s="145"/>
      <c r="C138" s="145"/>
      <c r="D138" s="145"/>
      <c r="E138" s="94">
        <v>300000</v>
      </c>
      <c r="F138" s="92"/>
      <c r="G138" s="92"/>
      <c r="H138" s="92"/>
    </row>
    <row r="139" spans="1:8" ht="15.75" customHeight="1" x14ac:dyDescent="0.3">
      <c r="A139" s="93" t="s">
        <v>231</v>
      </c>
      <c r="B139" s="93"/>
      <c r="C139" s="93"/>
      <c r="D139" s="93"/>
      <c r="E139" s="94">
        <v>260000</v>
      </c>
      <c r="F139" s="92"/>
      <c r="G139" s="92"/>
      <c r="H139" s="92"/>
    </row>
    <row r="140" spans="1:8" ht="15.75" customHeight="1" x14ac:dyDescent="0.3">
      <c r="A140" s="93" t="s">
        <v>61</v>
      </c>
      <c r="B140" s="93"/>
      <c r="C140" s="93"/>
      <c r="D140" s="93"/>
      <c r="E140" s="94">
        <v>40000</v>
      </c>
      <c r="F140" s="92"/>
      <c r="G140" s="92"/>
      <c r="H140" s="92"/>
    </row>
    <row r="141" spans="1:8" ht="15.75" customHeight="1" x14ac:dyDescent="0.3">
      <c r="A141" s="93" t="s">
        <v>62</v>
      </c>
      <c r="B141" s="93"/>
      <c r="C141" s="93"/>
      <c r="D141" s="93"/>
      <c r="E141" s="92">
        <v>25000</v>
      </c>
      <c r="F141" s="92"/>
      <c r="G141" s="92"/>
      <c r="H141" s="92"/>
    </row>
    <row r="142" spans="1:8" ht="15.75" customHeight="1" x14ac:dyDescent="0.3">
      <c r="A142" s="93" t="s">
        <v>230</v>
      </c>
      <c r="B142" s="93"/>
      <c r="C142" s="93"/>
      <c r="D142" s="93"/>
      <c r="E142" s="94">
        <v>1000000</v>
      </c>
      <c r="F142" s="92"/>
      <c r="G142" s="92"/>
      <c r="H142" s="92"/>
    </row>
    <row r="143" spans="1:8" ht="15.75" customHeight="1" x14ac:dyDescent="0.3">
      <c r="A143" s="157" t="s">
        <v>63</v>
      </c>
      <c r="B143" s="157"/>
      <c r="C143" s="157"/>
      <c r="D143" s="157"/>
      <c r="E143" s="92">
        <v>19600</v>
      </c>
      <c r="F143" s="92"/>
      <c r="G143" s="92"/>
      <c r="H143" s="92"/>
    </row>
    <row r="144" spans="1:8" ht="15.75" customHeight="1" x14ac:dyDescent="0.3">
      <c r="A144" s="109" t="s">
        <v>351</v>
      </c>
      <c r="B144" s="110"/>
      <c r="C144" s="110"/>
      <c r="D144" s="110"/>
      <c r="E144" s="110"/>
      <c r="F144" s="110"/>
      <c r="G144" s="110"/>
      <c r="H144" s="110"/>
    </row>
    <row r="145" spans="1:12" ht="15.75" customHeight="1" x14ac:dyDescent="0.3">
      <c r="A145" s="91" t="s">
        <v>199</v>
      </c>
      <c r="B145" s="91"/>
      <c r="C145" s="91"/>
      <c r="D145" s="91"/>
      <c r="E145" s="92">
        <v>25000</v>
      </c>
      <c r="F145" s="92"/>
      <c r="G145" s="92"/>
      <c r="H145" s="92"/>
      <c r="I145" t="s">
        <v>356</v>
      </c>
      <c r="K145" t="s">
        <v>357</v>
      </c>
      <c r="L145" t="s">
        <v>358</v>
      </c>
    </row>
    <row r="146" spans="1:12" ht="14" x14ac:dyDescent="0.3">
      <c r="A146" s="93" t="s">
        <v>230</v>
      </c>
      <c r="B146" s="93"/>
      <c r="C146" s="93"/>
      <c r="D146" s="93"/>
      <c r="E146" s="94">
        <v>1000000</v>
      </c>
      <c r="F146" s="92"/>
      <c r="G146" s="92"/>
      <c r="H146" s="92"/>
    </row>
    <row r="147" spans="1:12" ht="15.75" customHeight="1" x14ac:dyDescent="0.3">
      <c r="A147" s="93" t="s">
        <v>352</v>
      </c>
      <c r="B147" s="93"/>
      <c r="C147" s="93"/>
      <c r="D147" s="93"/>
      <c r="E147" s="94">
        <v>19600</v>
      </c>
      <c r="F147" s="92"/>
      <c r="G147" s="92"/>
      <c r="H147" s="92"/>
    </row>
    <row r="148" spans="1:12" ht="15.75" customHeight="1" x14ac:dyDescent="0.3">
      <c r="A148" s="130" t="s">
        <v>154</v>
      </c>
      <c r="B148" s="131"/>
      <c r="C148" s="131"/>
      <c r="D148" s="131"/>
      <c r="E148" s="131"/>
      <c r="F148" s="131"/>
      <c r="G148" s="131"/>
      <c r="H148" s="132"/>
    </row>
    <row r="149" spans="1:12" ht="15.65" customHeight="1" x14ac:dyDescent="0.3">
      <c r="A149" s="22" t="s">
        <v>150</v>
      </c>
      <c r="B149" s="177" t="s">
        <v>153</v>
      </c>
      <c r="C149" s="178"/>
      <c r="D149" s="179" t="s">
        <v>151</v>
      </c>
      <c r="E149" s="180"/>
      <c r="F149" s="180"/>
      <c r="G149" s="180"/>
      <c r="H149" s="181"/>
      <c r="I149" s="20"/>
    </row>
    <row r="150" spans="1:12" ht="15.5" x14ac:dyDescent="0.3">
      <c r="A150" s="19" t="s">
        <v>155</v>
      </c>
      <c r="B150" s="133">
        <f>COUNT(C170:C175)+COUNT(C177:C182)*27+COUNT(C184:C188)*5+COUNT(C191:C196)*5+COUNT(C199:C203)+COUNT(C206:C211)+COUNT(C213:C218)*8+COUNT(C220:C224)+COUNT(C227:C232)</f>
        <v>293</v>
      </c>
      <c r="C150" s="133"/>
      <c r="D150" s="133">
        <f>SUM(C170:C175)+SUM(C177:C182)*27+SUM(C184:C188)*5+SUM(C191:C196)*5+SUM(C199:C203)+SUM(C206:C211)+SUM(C213:C218)*8+SUM(C220:C224)+SUM(C227:C232)</f>
        <v>201420.48080699999</v>
      </c>
      <c r="E150" s="133"/>
      <c r="F150" s="133"/>
      <c r="G150" s="133"/>
      <c r="H150" s="133"/>
      <c r="I150" s="20"/>
    </row>
    <row r="151" spans="1:12" ht="15.5" x14ac:dyDescent="0.3">
      <c r="A151" s="19" t="s">
        <v>156</v>
      </c>
      <c r="B151" s="133">
        <f>COUNT(C243:C248)+COUNT(C250:C255)*27+COUNT(C257:C261)*5+COUNT(C264:C269)*5+COUNT(C272:C276)+COUNT(C279:C284)+COUNT(C286:C291)*8+COUNT(C293:C297)+COUNT(C300:C305)</f>
        <v>293</v>
      </c>
      <c r="C151" s="133"/>
      <c r="D151" s="133">
        <f>SUM(C243:C248)+SUM(C250:C255)*27+SUM(C257:C261)*5+SUM(C264:C269)*5+SUM(C272:C276)+SUM(C279:C284)+SUM(C286:C291)*8+SUM(C293:C297)+SUM(C300:C305)</f>
        <v>201390.949773</v>
      </c>
      <c r="E151" s="133"/>
      <c r="F151" s="133"/>
      <c r="G151" s="133"/>
      <c r="H151" s="133"/>
      <c r="I151" s="20"/>
    </row>
    <row r="152" spans="1:12" ht="15.75" customHeight="1" x14ac:dyDescent="0.3">
      <c r="A152" s="19" t="s">
        <v>157</v>
      </c>
      <c r="B152" s="133">
        <f>COUNT(C316:C319)+COUNT(C321:C324)*27+COUNT(C326)*5+COUNT(C328:C329)*5+COUNT(C331:C334)*5+COUNT(C337)+COUNT(C339:C340)+COUNT(C342:C345)+COUNT(C347:C350)*8+COUNT(C352)+COUNT(C354:C355)+COUNT(C357:C360)</f>
        <v>193</v>
      </c>
      <c r="C152" s="133"/>
      <c r="D152" s="133">
        <f>SUM(C316:C319)+SUM(C321:C324)*27+SUM(C326)*5+SUM(C328:C329)*5+SUM(C331:C334)*5+SUM(C337)+SUM(C339:C340)+SUM(C342:C345)+SUM(C347:C350)*8+SUM(C352)+SUM(C354:C355)+SUM(C357:C360)</f>
        <v>214831.46411999999</v>
      </c>
      <c r="E152" s="133"/>
      <c r="F152" s="133"/>
      <c r="G152" s="133"/>
      <c r="H152" s="133"/>
      <c r="I152" s="20"/>
    </row>
    <row r="153" spans="1:12" ht="15.5" x14ac:dyDescent="0.3">
      <c r="A153" s="19" t="s">
        <v>158</v>
      </c>
      <c r="B153" s="133">
        <f>COUNT(C371:C376)+COUNT(C378:C383)*27+COUNT(C385:C389)*5+COUNT(C392:C397)*5+COUNT(C400:C401)+COUNT(C403:C404)+COUNT(C408:C412)+COUNT(C414:C418)*8+COUNT(C420:C423)+COUNT(C426:C430)</f>
        <v>281</v>
      </c>
      <c r="C153" s="133"/>
      <c r="D153" s="133">
        <f>SUM(C371:C376)+SUM(C378:C383)*27+SUM(C385:C389)*5+SUM(C392:C397)*5+SUM(C400:C401)+SUM(C403:C404)+SUM(C408:C412)+SUM(C414:C418)*8+SUM(C420:C423)+SUM(C426:C430)</f>
        <v>207966.61547999995</v>
      </c>
      <c r="E153" s="133"/>
      <c r="F153" s="133"/>
      <c r="G153" s="133"/>
      <c r="H153" s="133"/>
      <c r="I153" s="20"/>
    </row>
    <row r="154" spans="1:12" ht="15.5" x14ac:dyDescent="0.3">
      <c r="A154" s="19" t="s">
        <v>159</v>
      </c>
      <c r="B154" s="133">
        <f>COUNT(C441:C446)+COUNT(C448:C453)*22+COUNT(C455:C459)*5+COUNT(C462:C467)*4+COUNT(C470:C475)+COUNT(C477:C482)*8+COUNT(C484:C488)+COUNT(C491:C496)</f>
        <v>252</v>
      </c>
      <c r="C154" s="133"/>
      <c r="D154" s="133">
        <f>SUM(C441:C446)+SUM(C448:C453)*22+SUM(C455:C459)*5+SUM(C462:C467)*4+SUM(C470:C475)+SUM(C477:C482)*8+SUM(C484:C488)+SUM(C491:C496)</f>
        <v>141223.57235999999</v>
      </c>
      <c r="E154" s="133"/>
      <c r="F154" s="133"/>
      <c r="G154" s="133"/>
      <c r="H154" s="133"/>
      <c r="I154" s="20"/>
    </row>
    <row r="155" spans="1:12" ht="15.75" customHeight="1" x14ac:dyDescent="0.3">
      <c r="A155" s="19" t="s">
        <v>237</v>
      </c>
      <c r="B155" s="133">
        <f>COUNT(C507:C512)+COUNT(C514:C519)*12+COUNT(C521:C526)*2+COUNT(C528:C529,C531:C532)*3+COUNT(C535:C540)*16+COUNT(C542:C547)*2+COUNT(C549:C550,C552:C553)*3+COUNT(C555:C560)</f>
        <v>228</v>
      </c>
      <c r="C155" s="133"/>
      <c r="D155" s="133">
        <f>SUM(C507:C512)+SUM(C514:C519)*12+SUM(C521:C526)*2+SUM(C528:C529,C531:C532)*3+SUM(C535:C540)*16+SUM(C542:C547)*2+SUM(C549:C550,C552:C553)*3+SUM(C555:C560)</f>
        <v>197234.12305349999</v>
      </c>
      <c r="E155" s="133"/>
      <c r="F155" s="133"/>
      <c r="G155" s="133"/>
      <c r="H155" s="133"/>
      <c r="I155" s="20"/>
    </row>
    <row r="156" spans="1:12" ht="15.75" customHeight="1" x14ac:dyDescent="0.3">
      <c r="A156" s="19" t="s">
        <v>325</v>
      </c>
      <c r="B156" s="133">
        <f>COUNT(C566:C573)*19+COUNT(C575:C577,C580:C582)+COUNT(C584:C586,C589:C591)+COUNT(C593:C600)</f>
        <v>172</v>
      </c>
      <c r="C156" s="133"/>
      <c r="D156" s="133">
        <f>SUM(C566:C573)*19+SUM(C575:C577,C580:C582)+SUM(C584:C586,C589:C591)+SUM(C593:C600)</f>
        <v>50820.288480000003</v>
      </c>
      <c r="E156" s="133"/>
      <c r="F156" s="133"/>
      <c r="G156" s="133"/>
      <c r="H156" s="133"/>
      <c r="I156" s="20"/>
    </row>
    <row r="157" spans="1:12" ht="15" x14ac:dyDescent="0.3">
      <c r="A157" s="23" t="s">
        <v>152</v>
      </c>
      <c r="B157" s="154">
        <f>SUM(B150:B156)</f>
        <v>1712</v>
      </c>
      <c r="C157" s="154"/>
      <c r="D157" s="154">
        <f>SUM(D150:D156)</f>
        <v>1214887.4940734999</v>
      </c>
      <c r="E157" s="154"/>
      <c r="F157" s="154"/>
      <c r="G157" s="154"/>
      <c r="H157" s="154"/>
      <c r="I157" s="20"/>
    </row>
    <row r="158" spans="1:12" ht="15" x14ac:dyDescent="0.3">
      <c r="A158" s="154"/>
      <c r="B158" s="154"/>
      <c r="C158" s="154"/>
      <c r="D158" s="154"/>
      <c r="E158" s="154"/>
      <c r="F158" s="154"/>
      <c r="G158" s="154"/>
      <c r="H158" s="154"/>
      <c r="I158" s="20"/>
    </row>
    <row r="159" spans="1:12" ht="42.75" customHeight="1" x14ac:dyDescent="0.3">
      <c r="A159" s="18" t="s">
        <v>124</v>
      </c>
      <c r="B159" s="18" t="s">
        <v>125</v>
      </c>
      <c r="C159" s="18" t="s">
        <v>126</v>
      </c>
      <c r="D159" s="172" t="s">
        <v>127</v>
      </c>
      <c r="E159" s="172"/>
      <c r="F159" s="170" t="s">
        <v>128</v>
      </c>
      <c r="G159" s="170"/>
      <c r="H159" s="170"/>
      <c r="I159" s="20"/>
    </row>
    <row r="160" spans="1:12" ht="15" x14ac:dyDescent="0.3">
      <c r="A160" s="171" t="s">
        <v>194</v>
      </c>
      <c r="B160" s="171"/>
      <c r="C160" s="171"/>
      <c r="D160" s="171"/>
      <c r="E160" s="171"/>
      <c r="F160" s="171"/>
      <c r="G160" s="171"/>
      <c r="H160" s="171"/>
      <c r="I160" s="20"/>
    </row>
    <row r="161" spans="1:11" ht="15" x14ac:dyDescent="0.3">
      <c r="A161" s="154" t="s">
        <v>185</v>
      </c>
      <c r="B161" s="154"/>
      <c r="C161" s="154"/>
      <c r="D161" s="154"/>
      <c r="E161" s="154"/>
      <c r="F161" s="154"/>
      <c r="G161" s="154"/>
      <c r="H161" s="154"/>
      <c r="I161" s="20"/>
    </row>
    <row r="162" spans="1:11" ht="15.75" customHeight="1" x14ac:dyDescent="0.3">
      <c r="A162" s="154" t="s">
        <v>186</v>
      </c>
      <c r="B162" s="154"/>
      <c r="C162" s="154"/>
      <c r="D162" s="154"/>
      <c r="E162" s="154"/>
      <c r="F162" s="154"/>
      <c r="G162" s="154"/>
      <c r="H162" s="154"/>
      <c r="I162" s="20"/>
    </row>
    <row r="163" spans="1:11" ht="15.75" customHeight="1" x14ac:dyDescent="0.3">
      <c r="A163" s="154" t="s">
        <v>187</v>
      </c>
      <c r="B163" s="154"/>
      <c r="C163" s="154"/>
      <c r="D163" s="154"/>
      <c r="E163" s="154"/>
      <c r="F163" s="154"/>
      <c r="G163" s="154"/>
      <c r="H163" s="154"/>
      <c r="I163" s="20"/>
    </row>
    <row r="164" spans="1:11" ht="15" x14ac:dyDescent="0.3">
      <c r="A164" s="154" t="s">
        <v>188</v>
      </c>
      <c r="B164" s="154"/>
      <c r="C164" s="154"/>
      <c r="D164" s="154"/>
      <c r="E164" s="154"/>
      <c r="F164" s="154"/>
      <c r="G164" s="154"/>
      <c r="H164" s="154"/>
      <c r="I164" s="20"/>
    </row>
    <row r="165" spans="1:11" ht="15" x14ac:dyDescent="0.3">
      <c r="A165" s="154" t="s">
        <v>189</v>
      </c>
      <c r="B165" s="154"/>
      <c r="C165" s="154"/>
      <c r="D165" s="154"/>
      <c r="E165" s="154"/>
      <c r="F165" s="154"/>
      <c r="G165" s="154"/>
      <c r="H165" s="154"/>
      <c r="I165" s="20"/>
    </row>
    <row r="166" spans="1:11" ht="15.75" customHeight="1" x14ac:dyDescent="0.3">
      <c r="A166" s="154" t="s">
        <v>190</v>
      </c>
      <c r="B166" s="154"/>
      <c r="C166" s="154"/>
      <c r="D166" s="154"/>
      <c r="E166" s="154"/>
      <c r="F166" s="154"/>
      <c r="G166" s="154"/>
      <c r="H166" s="154"/>
      <c r="I166" s="20"/>
    </row>
    <row r="167" spans="1:11" ht="15" x14ac:dyDescent="0.3">
      <c r="A167" s="154" t="s">
        <v>191</v>
      </c>
      <c r="B167" s="154"/>
      <c r="C167" s="154"/>
      <c r="D167" s="154"/>
      <c r="E167" s="154"/>
      <c r="F167" s="154"/>
      <c r="G167" s="154"/>
      <c r="H167" s="154"/>
      <c r="I167" s="20"/>
    </row>
    <row r="168" spans="1:11" ht="15" x14ac:dyDescent="0.3">
      <c r="A168" s="154" t="s">
        <v>192</v>
      </c>
      <c r="B168" s="154"/>
      <c r="C168" s="154"/>
      <c r="D168" s="154"/>
      <c r="E168" s="154"/>
      <c r="F168" s="154"/>
      <c r="G168" s="154"/>
      <c r="H168" s="154"/>
      <c r="I168" s="20"/>
    </row>
    <row r="169" spans="1:11" ht="15.75" customHeight="1" x14ac:dyDescent="0.3">
      <c r="A169" s="154" t="s">
        <v>138</v>
      </c>
      <c r="B169" s="154"/>
      <c r="C169" s="154"/>
      <c r="D169" s="154"/>
      <c r="E169" s="154"/>
      <c r="F169" s="154"/>
      <c r="G169" s="154"/>
      <c r="H169" s="154"/>
      <c r="I169" s="20"/>
    </row>
    <row r="170" spans="1:11" ht="15.75" customHeight="1" x14ac:dyDescent="0.3">
      <c r="A170" s="19">
        <v>1</v>
      </c>
      <c r="B170" s="19" t="s">
        <v>129</v>
      </c>
      <c r="C170" s="19">
        <f>71.39*10.764</f>
        <v>768.44195999999999</v>
      </c>
      <c r="D170" s="133">
        <v>0</v>
      </c>
      <c r="E170" s="133"/>
      <c r="F170" s="133" t="str">
        <f>A169</f>
        <v>1st Floor</v>
      </c>
      <c r="G170" s="133"/>
      <c r="H170" s="133"/>
      <c r="I170" s="20"/>
      <c r="K170" s="19"/>
    </row>
    <row r="171" spans="1:11" ht="15.5" x14ac:dyDescent="0.3">
      <c r="A171" s="19">
        <v>2</v>
      </c>
      <c r="B171" s="19" t="s">
        <v>129</v>
      </c>
      <c r="C171" s="19">
        <f>63.74*10.764</f>
        <v>686.09735999999998</v>
      </c>
      <c r="D171" s="133">
        <v>0</v>
      </c>
      <c r="E171" s="133"/>
      <c r="F171" s="133"/>
      <c r="G171" s="133"/>
      <c r="H171" s="133"/>
      <c r="I171" s="20"/>
      <c r="K171" s="19"/>
    </row>
    <row r="172" spans="1:11" ht="15.5" x14ac:dyDescent="0.3">
      <c r="A172" s="19">
        <v>3</v>
      </c>
      <c r="B172" s="19" t="s">
        <v>129</v>
      </c>
      <c r="C172" s="19">
        <f>63.74*10.764</f>
        <v>686.09735999999998</v>
      </c>
      <c r="D172" s="133">
        <v>0</v>
      </c>
      <c r="E172" s="133">
        <f>C172*1.6</f>
        <v>1097.755776</v>
      </c>
      <c r="F172" s="133"/>
      <c r="G172" s="133"/>
      <c r="H172" s="133"/>
      <c r="I172" s="20"/>
    </row>
    <row r="173" spans="1:11" ht="15.75" customHeight="1" x14ac:dyDescent="0.3">
      <c r="A173" s="19">
        <v>4</v>
      </c>
      <c r="B173" s="19" t="s">
        <v>129</v>
      </c>
      <c r="C173" s="19">
        <f>71.39*10.764</f>
        <v>768.44195999999999</v>
      </c>
      <c r="D173" s="133">
        <v>0</v>
      </c>
      <c r="E173" s="133">
        <f>C173*1.6</f>
        <v>1229.5071360000002</v>
      </c>
      <c r="F173" s="133"/>
      <c r="G173" s="133"/>
      <c r="H173" s="133"/>
      <c r="I173" s="20"/>
    </row>
    <row r="174" spans="1:11" ht="15.5" x14ac:dyDescent="0.3">
      <c r="A174" s="19">
        <v>5</v>
      </c>
      <c r="B174" s="19" t="s">
        <v>129</v>
      </c>
      <c r="C174" s="19">
        <f>61.7*10.764</f>
        <v>664.13879999999995</v>
      </c>
      <c r="D174" s="133">
        <v>0</v>
      </c>
      <c r="E174" s="133">
        <f>C174*1.6</f>
        <v>1062.6220799999999</v>
      </c>
      <c r="F174" s="133"/>
      <c r="G174" s="133"/>
      <c r="H174" s="133"/>
      <c r="I174" s="20"/>
    </row>
    <row r="175" spans="1:11" ht="15.5" x14ac:dyDescent="0.3">
      <c r="A175" s="19">
        <v>6</v>
      </c>
      <c r="B175" s="19" t="s">
        <v>129</v>
      </c>
      <c r="C175" s="19">
        <f>61.8*10.764</f>
        <v>665.21519999999998</v>
      </c>
      <c r="D175" s="133">
        <v>0</v>
      </c>
      <c r="E175" s="133">
        <f>C175*1.6</f>
        <v>1064.3443199999999</v>
      </c>
      <c r="F175" s="133"/>
      <c r="G175" s="133"/>
      <c r="H175" s="133"/>
      <c r="I175" s="20"/>
    </row>
    <row r="176" spans="1:11" ht="15.75" customHeight="1" x14ac:dyDescent="0.3">
      <c r="A176" s="154" t="s">
        <v>130</v>
      </c>
      <c r="B176" s="154"/>
      <c r="C176" s="154"/>
      <c r="D176" s="154"/>
      <c r="E176" s="154"/>
      <c r="F176" s="154"/>
      <c r="G176" s="154"/>
      <c r="H176" s="154"/>
      <c r="I176" s="20"/>
    </row>
    <row r="177" spans="1:9" ht="15.75" customHeight="1" x14ac:dyDescent="0.3">
      <c r="A177" s="19">
        <v>1</v>
      </c>
      <c r="B177" s="19" t="s">
        <v>129</v>
      </c>
      <c r="C177" s="19">
        <f>71.39*10.764</f>
        <v>768.44195999999999</v>
      </c>
      <c r="D177" s="133">
        <v>0</v>
      </c>
      <c r="E177" s="133"/>
      <c r="F177" s="133" t="str">
        <f>A176</f>
        <v>2nd, 3rd, 6th to 10th, 13th to 17th, 20th to 24th, 27th to 31st, 34th to 38th Floor</v>
      </c>
      <c r="G177" s="133"/>
      <c r="H177" s="133"/>
      <c r="I177" s="20"/>
    </row>
    <row r="178" spans="1:9" ht="15.75" customHeight="1" x14ac:dyDescent="0.3">
      <c r="A178" s="19">
        <v>2</v>
      </c>
      <c r="B178" s="19" t="s">
        <v>129</v>
      </c>
      <c r="C178" s="19">
        <f>63.74*10.764</f>
        <v>686.09735999999998</v>
      </c>
      <c r="D178" s="133">
        <v>0</v>
      </c>
      <c r="E178" s="133"/>
      <c r="F178" s="133"/>
      <c r="G178" s="133"/>
      <c r="H178" s="133"/>
      <c r="I178" s="20"/>
    </row>
    <row r="179" spans="1:9" ht="15.5" x14ac:dyDescent="0.3">
      <c r="A179" s="19">
        <v>3</v>
      </c>
      <c r="B179" s="19" t="s">
        <v>129</v>
      </c>
      <c r="C179" s="19">
        <f>63.74*10.764</f>
        <v>686.09735999999998</v>
      </c>
      <c r="D179" s="133">
        <v>0</v>
      </c>
      <c r="E179" s="133"/>
      <c r="F179" s="133"/>
      <c r="G179" s="133"/>
      <c r="H179" s="133"/>
      <c r="I179" s="20"/>
    </row>
    <row r="180" spans="1:9" ht="15.5" x14ac:dyDescent="0.3">
      <c r="A180" s="19">
        <v>4</v>
      </c>
      <c r="B180" s="19" t="s">
        <v>129</v>
      </c>
      <c r="C180" s="19">
        <f>71.39*10.764</f>
        <v>768.44195999999999</v>
      </c>
      <c r="D180" s="133">
        <v>0</v>
      </c>
      <c r="E180" s="133"/>
      <c r="F180" s="133"/>
      <c r="G180" s="133"/>
      <c r="H180" s="133"/>
      <c r="I180" s="20"/>
    </row>
    <row r="181" spans="1:9" ht="15.75" customHeight="1" x14ac:dyDescent="0.3">
      <c r="A181" s="19">
        <v>5</v>
      </c>
      <c r="B181" s="19" t="s">
        <v>129</v>
      </c>
      <c r="C181" s="19">
        <f>61.7*10.764</f>
        <v>664.13879999999995</v>
      </c>
      <c r="D181" s="133">
        <v>0</v>
      </c>
      <c r="E181" s="133"/>
      <c r="F181" s="133"/>
      <c r="G181" s="133"/>
      <c r="H181" s="133"/>
      <c r="I181" s="20"/>
    </row>
    <row r="182" spans="1:9" ht="15.5" x14ac:dyDescent="0.3">
      <c r="A182" s="19">
        <v>6</v>
      </c>
      <c r="B182" s="19" t="s">
        <v>129</v>
      </c>
      <c r="C182" s="19">
        <f>61.8*10.764</f>
        <v>665.21519999999998</v>
      </c>
      <c r="D182" s="133">
        <v>0</v>
      </c>
      <c r="E182" s="133"/>
      <c r="F182" s="133"/>
      <c r="G182" s="133"/>
      <c r="H182" s="133"/>
      <c r="I182" s="20"/>
    </row>
    <row r="183" spans="1:9" ht="15" x14ac:dyDescent="0.3">
      <c r="A183" s="154" t="s">
        <v>182</v>
      </c>
      <c r="B183" s="154"/>
      <c r="C183" s="154"/>
      <c r="D183" s="154"/>
      <c r="E183" s="154"/>
      <c r="F183" s="154"/>
      <c r="G183" s="154"/>
      <c r="H183" s="154"/>
      <c r="I183" s="20"/>
    </row>
    <row r="184" spans="1:9" ht="15.5" x14ac:dyDescent="0.3">
      <c r="A184" s="19">
        <v>1</v>
      </c>
      <c r="B184" s="19" t="s">
        <v>129</v>
      </c>
      <c r="C184" s="19">
        <f>71.39*10.764</f>
        <v>768.44195999999999</v>
      </c>
      <c r="D184" s="133">
        <v>0</v>
      </c>
      <c r="E184" s="133">
        <f>C184*1.6</f>
        <v>1229.5071360000002</v>
      </c>
      <c r="F184" s="133" t="str">
        <f>A183</f>
        <v>4th, 11th, 18th, 25th, 32nd Floor (Part Refuge Area)</v>
      </c>
      <c r="G184" s="133"/>
      <c r="H184" s="133"/>
      <c r="I184" s="20"/>
    </row>
    <row r="185" spans="1:9" ht="15.75" customHeight="1" x14ac:dyDescent="0.3">
      <c r="A185" s="19">
        <v>2</v>
      </c>
      <c r="B185" s="19" t="s">
        <v>129</v>
      </c>
      <c r="C185" s="19">
        <f>63.74*10.764</f>
        <v>686.09735999999998</v>
      </c>
      <c r="D185" s="133">
        <v>0</v>
      </c>
      <c r="E185" s="133">
        <f>C185*1.6</f>
        <v>1097.755776</v>
      </c>
      <c r="F185" s="133"/>
      <c r="G185" s="133"/>
      <c r="H185" s="133"/>
      <c r="I185" s="20"/>
    </row>
    <row r="186" spans="1:9" ht="15.5" x14ac:dyDescent="0.3">
      <c r="A186" s="19">
        <v>3</v>
      </c>
      <c r="B186" s="19" t="s">
        <v>129</v>
      </c>
      <c r="C186" s="19">
        <f>63.74*10.764</f>
        <v>686.09735999999998</v>
      </c>
      <c r="D186" s="133">
        <v>0</v>
      </c>
      <c r="E186" s="133">
        <f>C186*1.6</f>
        <v>1097.755776</v>
      </c>
      <c r="F186" s="133"/>
      <c r="G186" s="133"/>
      <c r="H186" s="133"/>
      <c r="I186" s="20"/>
    </row>
    <row r="187" spans="1:9" ht="15.5" x14ac:dyDescent="0.3">
      <c r="A187" s="19">
        <v>4</v>
      </c>
      <c r="B187" s="19" t="s">
        <v>129</v>
      </c>
      <c r="C187" s="19">
        <f>71.39*10.764</f>
        <v>768.44195999999999</v>
      </c>
      <c r="D187" s="133">
        <v>0</v>
      </c>
      <c r="E187" s="133">
        <f>C187*1.6</f>
        <v>1229.5071360000002</v>
      </c>
      <c r="F187" s="133"/>
      <c r="G187" s="133"/>
      <c r="H187" s="133"/>
      <c r="I187" s="20"/>
    </row>
    <row r="188" spans="1:9" ht="15.75" customHeight="1" x14ac:dyDescent="0.3">
      <c r="A188" s="19">
        <v>5</v>
      </c>
      <c r="B188" s="19" t="s">
        <v>129</v>
      </c>
      <c r="C188" s="19">
        <f>61.7*10.764</f>
        <v>664.13879999999995</v>
      </c>
      <c r="D188" s="133">
        <v>0</v>
      </c>
      <c r="E188" s="133">
        <f>C188*1.6</f>
        <v>1062.6220799999999</v>
      </c>
      <c r="F188" s="133"/>
      <c r="G188" s="133"/>
      <c r="H188" s="133"/>
      <c r="I188" s="20"/>
    </row>
    <row r="189" spans="1:9" ht="15.5" x14ac:dyDescent="0.3">
      <c r="A189" s="19">
        <v>6</v>
      </c>
      <c r="B189" s="133" t="s">
        <v>131</v>
      </c>
      <c r="C189" s="133"/>
      <c r="D189" s="133"/>
      <c r="E189" s="133"/>
      <c r="F189" s="133"/>
      <c r="G189" s="133"/>
      <c r="H189" s="133"/>
      <c r="I189" s="20"/>
    </row>
    <row r="190" spans="1:9" ht="15" x14ac:dyDescent="0.3">
      <c r="A190" s="154" t="s">
        <v>132</v>
      </c>
      <c r="B190" s="154"/>
      <c r="C190" s="154"/>
      <c r="D190" s="154"/>
      <c r="E190" s="154"/>
      <c r="F190" s="154"/>
      <c r="G190" s="154"/>
      <c r="H190" s="154"/>
      <c r="I190" s="20"/>
    </row>
    <row r="191" spans="1:9" ht="15.75" customHeight="1" x14ac:dyDescent="0.3">
      <c r="A191" s="19">
        <v>1</v>
      </c>
      <c r="B191" s="19" t="s">
        <v>129</v>
      </c>
      <c r="C191" s="19">
        <f>71.39*10.764</f>
        <v>768.44195999999999</v>
      </c>
      <c r="D191" s="133">
        <v>0</v>
      </c>
      <c r="E191" s="133">
        <f t="shared" ref="E191:E196" si="0">C191*1.6</f>
        <v>1229.5071360000002</v>
      </c>
      <c r="F191" s="133" t="str">
        <f>A190</f>
        <v>5th, 12th, 19th, 26th, 33rd Floor</v>
      </c>
      <c r="G191" s="133"/>
      <c r="H191" s="133"/>
      <c r="I191" s="20"/>
    </row>
    <row r="192" spans="1:9" ht="15.75" customHeight="1" x14ac:dyDescent="0.3">
      <c r="A192" s="19">
        <v>2</v>
      </c>
      <c r="B192" s="19" t="s">
        <v>129</v>
      </c>
      <c r="C192" s="19">
        <f>63.74*10.764</f>
        <v>686.09735999999998</v>
      </c>
      <c r="D192" s="133">
        <v>0</v>
      </c>
      <c r="E192" s="133">
        <f t="shared" si="0"/>
        <v>1097.755776</v>
      </c>
      <c r="F192" s="133"/>
      <c r="G192" s="133"/>
      <c r="H192" s="133"/>
      <c r="I192" s="20"/>
    </row>
    <row r="193" spans="1:9" ht="15.5" x14ac:dyDescent="0.3">
      <c r="A193" s="19">
        <v>3</v>
      </c>
      <c r="B193" s="19" t="s">
        <v>129</v>
      </c>
      <c r="C193" s="19">
        <f>63.74*10.764</f>
        <v>686.09735999999998</v>
      </c>
      <c r="D193" s="133">
        <v>0</v>
      </c>
      <c r="E193" s="133">
        <f t="shared" si="0"/>
        <v>1097.755776</v>
      </c>
      <c r="F193" s="133"/>
      <c r="G193" s="133"/>
      <c r="H193" s="133"/>
      <c r="I193" s="20"/>
    </row>
    <row r="194" spans="1:9" ht="15.5" x14ac:dyDescent="0.3">
      <c r="A194" s="19">
        <v>4</v>
      </c>
      <c r="B194" s="19" t="s">
        <v>129</v>
      </c>
      <c r="C194" s="19">
        <f>71.39*10.764</f>
        <v>768.44195999999999</v>
      </c>
      <c r="D194" s="133">
        <v>0</v>
      </c>
      <c r="E194" s="133">
        <f t="shared" si="0"/>
        <v>1229.5071360000002</v>
      </c>
      <c r="F194" s="133"/>
      <c r="G194" s="133"/>
      <c r="H194" s="133"/>
      <c r="I194" s="20"/>
    </row>
    <row r="195" spans="1:9" ht="15.75" customHeight="1" x14ac:dyDescent="0.3">
      <c r="A195" s="19">
        <v>5</v>
      </c>
      <c r="B195" s="19" t="s">
        <v>129</v>
      </c>
      <c r="C195" s="19">
        <f>61.7*10.764</f>
        <v>664.13879999999995</v>
      </c>
      <c r="D195" s="133">
        <v>0</v>
      </c>
      <c r="E195" s="133">
        <f t="shared" si="0"/>
        <v>1062.6220799999999</v>
      </c>
      <c r="F195" s="133"/>
      <c r="G195" s="133"/>
      <c r="H195" s="133"/>
      <c r="I195" s="20"/>
    </row>
    <row r="196" spans="1:9" ht="15.5" x14ac:dyDescent="0.3">
      <c r="A196" s="19">
        <v>6</v>
      </c>
      <c r="B196" s="19" t="s">
        <v>129</v>
      </c>
      <c r="C196" s="19">
        <f>61.8*10.764</f>
        <v>665.21519999999998</v>
      </c>
      <c r="D196" s="133">
        <v>0</v>
      </c>
      <c r="E196" s="133">
        <f t="shared" si="0"/>
        <v>1064.3443199999999</v>
      </c>
      <c r="F196" s="133"/>
      <c r="G196" s="133"/>
      <c r="H196" s="133"/>
      <c r="I196" s="20"/>
    </row>
    <row r="197" spans="1:9" ht="15" x14ac:dyDescent="0.3">
      <c r="A197" s="130" t="s">
        <v>143</v>
      </c>
      <c r="B197" s="131"/>
      <c r="C197" s="131"/>
      <c r="D197" s="131"/>
      <c r="E197" s="131"/>
      <c r="F197" s="131"/>
      <c r="G197" s="131"/>
      <c r="H197" s="132"/>
      <c r="I197" s="20"/>
    </row>
    <row r="198" spans="1:9" ht="15.75" customHeight="1" x14ac:dyDescent="0.3">
      <c r="A198" s="154" t="s">
        <v>181</v>
      </c>
      <c r="B198" s="154"/>
      <c r="C198" s="154"/>
      <c r="D198" s="154"/>
      <c r="E198" s="154"/>
      <c r="F198" s="154"/>
      <c r="G198" s="154"/>
      <c r="H198" s="154"/>
      <c r="I198" s="20"/>
    </row>
    <row r="199" spans="1:9" ht="15.75" customHeight="1" x14ac:dyDescent="0.3">
      <c r="A199" s="19">
        <v>1</v>
      </c>
      <c r="B199" s="19" t="s">
        <v>129</v>
      </c>
      <c r="C199" s="19">
        <f>71.39*10.764</f>
        <v>768.44195999999999</v>
      </c>
      <c r="D199" s="133">
        <v>0</v>
      </c>
      <c r="E199" s="133">
        <f>C199*1.6</f>
        <v>1229.5071360000002</v>
      </c>
      <c r="F199" s="133" t="str">
        <f>A198</f>
        <v>39th Floor ( Part Refuge Floor)</v>
      </c>
      <c r="G199" s="133"/>
      <c r="H199" s="133"/>
      <c r="I199" s="20"/>
    </row>
    <row r="200" spans="1:9" ht="15.5" x14ac:dyDescent="0.3">
      <c r="A200" s="19">
        <v>2</v>
      </c>
      <c r="B200" s="19" t="s">
        <v>129</v>
      </c>
      <c r="C200" s="19">
        <f>63.74*10.764</f>
        <v>686.09735999999998</v>
      </c>
      <c r="D200" s="133">
        <v>0</v>
      </c>
      <c r="E200" s="133">
        <f>C200*1.6</f>
        <v>1097.755776</v>
      </c>
      <c r="F200" s="133"/>
      <c r="G200" s="133"/>
      <c r="H200" s="133"/>
      <c r="I200" s="20"/>
    </row>
    <row r="201" spans="1:9" ht="15.5" x14ac:dyDescent="0.3">
      <c r="A201" s="19">
        <v>3</v>
      </c>
      <c r="B201" s="19" t="s">
        <v>129</v>
      </c>
      <c r="C201" s="19">
        <f>63.74*10.764</f>
        <v>686.09735999999998</v>
      </c>
      <c r="D201" s="133">
        <v>0</v>
      </c>
      <c r="E201" s="133">
        <f>C201*1.6</f>
        <v>1097.755776</v>
      </c>
      <c r="F201" s="133"/>
      <c r="G201" s="133"/>
      <c r="H201" s="133"/>
      <c r="I201" s="20"/>
    </row>
    <row r="202" spans="1:9" ht="15.75" customHeight="1" x14ac:dyDescent="0.3">
      <c r="A202" s="19">
        <v>4</v>
      </c>
      <c r="B202" s="19" t="s">
        <v>129</v>
      </c>
      <c r="C202" s="19">
        <f>71.39*10.764</f>
        <v>768.44195999999999</v>
      </c>
      <c r="D202" s="133">
        <v>0</v>
      </c>
      <c r="E202" s="133">
        <f>C202*1.6</f>
        <v>1229.5071360000002</v>
      </c>
      <c r="F202" s="133"/>
      <c r="G202" s="133"/>
      <c r="H202" s="133"/>
      <c r="I202" s="20"/>
    </row>
    <row r="203" spans="1:9" ht="15.5" x14ac:dyDescent="0.3">
      <c r="A203" s="19">
        <v>5</v>
      </c>
      <c r="B203" s="19" t="s">
        <v>129</v>
      </c>
      <c r="C203" s="19">
        <f>61.7*10.764</f>
        <v>664.13879999999995</v>
      </c>
      <c r="D203" s="133">
        <v>0</v>
      </c>
      <c r="E203" s="133">
        <f>C203*1.6</f>
        <v>1062.6220799999999</v>
      </c>
      <c r="F203" s="133"/>
      <c r="G203" s="133"/>
      <c r="H203" s="133"/>
      <c r="I203" s="20"/>
    </row>
    <row r="204" spans="1:9" ht="15.5" x14ac:dyDescent="0.3">
      <c r="A204" s="19">
        <v>6</v>
      </c>
      <c r="B204" s="133" t="s">
        <v>131</v>
      </c>
      <c r="C204" s="133"/>
      <c r="D204" s="133"/>
      <c r="E204" s="133"/>
      <c r="F204" s="133"/>
      <c r="G204" s="133"/>
      <c r="H204" s="133"/>
      <c r="I204" s="20"/>
    </row>
    <row r="205" spans="1:9" ht="15" x14ac:dyDescent="0.3">
      <c r="A205" s="154" t="s">
        <v>140</v>
      </c>
      <c r="B205" s="154"/>
      <c r="C205" s="154"/>
      <c r="D205" s="154"/>
      <c r="E205" s="154"/>
      <c r="F205" s="154"/>
      <c r="G205" s="154"/>
      <c r="H205" s="154"/>
      <c r="I205" s="20"/>
    </row>
    <row r="206" spans="1:9" ht="15.75" customHeight="1" x14ac:dyDescent="0.3">
      <c r="A206" s="19">
        <v>1</v>
      </c>
      <c r="B206" s="19" t="s">
        <v>129</v>
      </c>
      <c r="C206" s="19">
        <f>(61.47+6.7*0.6)*10.764</f>
        <v>704.93435999999986</v>
      </c>
      <c r="D206" s="133">
        <f>(3.35*2.29)*10.764</f>
        <v>82.576025999999999</v>
      </c>
      <c r="E206" s="133">
        <f t="shared" ref="E206:E211" si="1">C206*1.6</f>
        <v>1127.8949759999998</v>
      </c>
      <c r="F206" s="133" t="str">
        <f>A205</f>
        <v>40th Floor</v>
      </c>
      <c r="G206" s="133"/>
      <c r="H206" s="133"/>
      <c r="I206" s="20"/>
    </row>
    <row r="207" spans="1:9" ht="15.5" x14ac:dyDescent="0.3">
      <c r="A207" s="19">
        <v>2</v>
      </c>
      <c r="B207" s="19" t="s">
        <v>129</v>
      </c>
      <c r="C207" s="19">
        <f>(57.72+9.145*0.3)*10.764</f>
        <v>650.82911399999989</v>
      </c>
      <c r="D207" s="133">
        <f>(3.05*1.575)*10.764</f>
        <v>51.707564999999995</v>
      </c>
      <c r="E207" s="133">
        <f t="shared" si="1"/>
        <v>1041.3265823999998</v>
      </c>
      <c r="F207" s="133"/>
      <c r="G207" s="133"/>
      <c r="H207" s="133"/>
      <c r="I207" s="20"/>
    </row>
    <row r="208" spans="1:9" ht="15.5" x14ac:dyDescent="0.3">
      <c r="A208" s="19">
        <v>3</v>
      </c>
      <c r="B208" s="19" t="s">
        <v>129</v>
      </c>
      <c r="C208" s="19">
        <f>(55.14)*10.764</f>
        <v>593.52695999999992</v>
      </c>
      <c r="D208" s="133">
        <f>(3.05*1.75)*10.764</f>
        <v>57.452849999999991</v>
      </c>
      <c r="E208" s="133">
        <f t="shared" si="1"/>
        <v>949.64313599999991</v>
      </c>
      <c r="F208" s="133"/>
      <c r="G208" s="133"/>
      <c r="H208" s="133"/>
      <c r="I208" s="20"/>
    </row>
    <row r="209" spans="1:9" ht="15.75" customHeight="1" x14ac:dyDescent="0.3">
      <c r="A209" s="19">
        <v>4</v>
      </c>
      <c r="B209" s="19" t="s">
        <v>129</v>
      </c>
      <c r="C209" s="19">
        <f>(58.47+6.7*0.6)*10.764</f>
        <v>672.64235999999994</v>
      </c>
      <c r="D209" s="133">
        <f>(3.4*2.35)*10.764</f>
        <v>86.004359999999991</v>
      </c>
      <c r="E209" s="133">
        <f t="shared" si="1"/>
        <v>1076.2277759999999</v>
      </c>
      <c r="F209" s="133"/>
      <c r="G209" s="133"/>
      <c r="H209" s="133"/>
      <c r="I209" s="20"/>
    </row>
    <row r="210" spans="1:9" ht="15.5" x14ac:dyDescent="0.3">
      <c r="A210" s="19">
        <v>5</v>
      </c>
      <c r="B210" s="19" t="s">
        <v>129</v>
      </c>
      <c r="C210" s="21">
        <f>(56.02+3.2*0.49+2.65*1.135)*10.764</f>
        <v>652.25265300000001</v>
      </c>
      <c r="D210" s="133">
        <v>0</v>
      </c>
      <c r="E210" s="133">
        <f t="shared" si="1"/>
        <v>1043.6042448000001</v>
      </c>
      <c r="F210" s="133"/>
      <c r="G210" s="133"/>
      <c r="H210" s="133"/>
      <c r="I210" s="20"/>
    </row>
    <row r="211" spans="1:9" ht="15.5" x14ac:dyDescent="0.3">
      <c r="A211" s="19">
        <v>6</v>
      </c>
      <c r="B211" s="19" t="s">
        <v>129</v>
      </c>
      <c r="C211" s="19">
        <f>53.42*10.764</f>
        <v>575.01288</v>
      </c>
      <c r="D211" s="133">
        <v>0</v>
      </c>
      <c r="E211" s="133">
        <f t="shared" si="1"/>
        <v>920.02060800000004</v>
      </c>
      <c r="F211" s="133"/>
      <c r="G211" s="133"/>
      <c r="H211" s="133"/>
      <c r="I211" s="20"/>
    </row>
    <row r="212" spans="1:9" ht="15.75" customHeight="1" x14ac:dyDescent="0.3">
      <c r="A212" s="154" t="s">
        <v>141</v>
      </c>
      <c r="B212" s="154"/>
      <c r="C212" s="154"/>
      <c r="D212" s="154"/>
      <c r="E212" s="154"/>
      <c r="F212" s="154"/>
      <c r="G212" s="154"/>
      <c r="H212" s="154"/>
      <c r="I212" s="20"/>
    </row>
    <row r="213" spans="1:9" ht="15.75" customHeight="1" x14ac:dyDescent="0.3">
      <c r="A213" s="19">
        <v>1</v>
      </c>
      <c r="B213" s="19" t="s">
        <v>129</v>
      </c>
      <c r="C213" s="19">
        <f>(61.47)*10.764</f>
        <v>661.66307999999992</v>
      </c>
      <c r="D213" s="133">
        <v>0</v>
      </c>
      <c r="E213" s="133">
        <f t="shared" ref="E213:E218" si="2">C213*1.6</f>
        <v>1058.660928</v>
      </c>
      <c r="F213" s="133" t="str">
        <f>A212</f>
        <v>41st To 45th &amp; 48th To 50th Floor</v>
      </c>
      <c r="G213" s="133"/>
      <c r="H213" s="133"/>
      <c r="I213" s="20"/>
    </row>
    <row r="214" spans="1:9" ht="15.75" customHeight="1" x14ac:dyDescent="0.3">
      <c r="A214" s="19">
        <v>2</v>
      </c>
      <c r="B214" s="19" t="s">
        <v>129</v>
      </c>
      <c r="C214" s="19">
        <f>57.72*10.764</f>
        <v>621.29807999999991</v>
      </c>
      <c r="D214" s="133">
        <v>0</v>
      </c>
      <c r="E214" s="133">
        <f t="shared" si="2"/>
        <v>994.07692799999995</v>
      </c>
      <c r="F214" s="133"/>
      <c r="G214" s="133"/>
      <c r="H214" s="133"/>
      <c r="I214" s="20"/>
    </row>
    <row r="215" spans="1:9" ht="15.75" customHeight="1" x14ac:dyDescent="0.3">
      <c r="A215" s="19">
        <v>3</v>
      </c>
      <c r="B215" s="19" t="s">
        <v>129</v>
      </c>
      <c r="C215" s="19">
        <f>(55.14)*10.764</f>
        <v>593.52695999999992</v>
      </c>
      <c r="D215" s="133">
        <v>0</v>
      </c>
      <c r="E215" s="133">
        <f t="shared" si="2"/>
        <v>949.64313599999991</v>
      </c>
      <c r="F215" s="133"/>
      <c r="G215" s="133"/>
      <c r="H215" s="133"/>
      <c r="I215" s="20"/>
    </row>
    <row r="216" spans="1:9" ht="15.75" customHeight="1" x14ac:dyDescent="0.3">
      <c r="A216" s="19">
        <v>4</v>
      </c>
      <c r="B216" s="19" t="s">
        <v>129</v>
      </c>
      <c r="C216" s="19">
        <f>(58.47)*10.764</f>
        <v>629.37108000000001</v>
      </c>
      <c r="D216" s="133">
        <v>0</v>
      </c>
      <c r="E216" s="133">
        <f t="shared" si="2"/>
        <v>1006.993728</v>
      </c>
      <c r="F216" s="133"/>
      <c r="G216" s="133"/>
      <c r="H216" s="133"/>
      <c r="I216" s="20"/>
    </row>
    <row r="217" spans="1:9" ht="15.75" customHeight="1" x14ac:dyDescent="0.3">
      <c r="A217" s="19">
        <v>5</v>
      </c>
      <c r="B217" s="19" t="s">
        <v>129</v>
      </c>
      <c r="C217" s="19">
        <f>56.02*10.764</f>
        <v>602.99928</v>
      </c>
      <c r="D217" s="133">
        <v>0</v>
      </c>
      <c r="E217" s="133">
        <f t="shared" si="2"/>
        <v>964.79884800000002</v>
      </c>
      <c r="F217" s="133"/>
      <c r="G217" s="133"/>
      <c r="H217" s="133"/>
      <c r="I217" s="20"/>
    </row>
    <row r="218" spans="1:9" ht="15.75" customHeight="1" x14ac:dyDescent="0.3">
      <c r="A218" s="19">
        <v>6</v>
      </c>
      <c r="B218" s="19" t="s">
        <v>129</v>
      </c>
      <c r="C218" s="19">
        <f>53.42*10.764</f>
        <v>575.01288</v>
      </c>
      <c r="D218" s="133">
        <v>0</v>
      </c>
      <c r="E218" s="133">
        <f t="shared" si="2"/>
        <v>920.02060800000004</v>
      </c>
      <c r="F218" s="133"/>
      <c r="G218" s="133"/>
      <c r="H218" s="133"/>
      <c r="I218" s="20"/>
    </row>
    <row r="219" spans="1:9" ht="15.75" customHeight="1" x14ac:dyDescent="0.3">
      <c r="A219" s="154" t="s">
        <v>193</v>
      </c>
      <c r="B219" s="154"/>
      <c r="C219" s="154"/>
      <c r="D219" s="154"/>
      <c r="E219" s="154"/>
      <c r="F219" s="154"/>
      <c r="G219" s="154"/>
      <c r="H219" s="154"/>
      <c r="I219" s="20"/>
    </row>
    <row r="220" spans="1:9" ht="15.75" customHeight="1" x14ac:dyDescent="0.3">
      <c r="A220" s="19">
        <v>1</v>
      </c>
      <c r="B220" s="19" t="s">
        <v>129</v>
      </c>
      <c r="C220" s="19">
        <f>(61.47)*10.764</f>
        <v>661.66307999999992</v>
      </c>
      <c r="D220" s="133">
        <v>0</v>
      </c>
      <c r="E220" s="133">
        <f t="shared" ref="E220:E225" si="3">C220*1.6</f>
        <v>1058.660928</v>
      </c>
      <c r="F220" s="133" t="str">
        <f>A219</f>
        <v>46th Floor (Part Refuge Area)</v>
      </c>
      <c r="G220" s="133"/>
      <c r="H220" s="133"/>
      <c r="I220" s="20"/>
    </row>
    <row r="221" spans="1:9" ht="15.75" customHeight="1" x14ac:dyDescent="0.3">
      <c r="A221" s="19">
        <v>2</v>
      </c>
      <c r="B221" s="19" t="s">
        <v>129</v>
      </c>
      <c r="C221" s="19">
        <f>57.72*10.764</f>
        <v>621.29807999999991</v>
      </c>
      <c r="D221" s="133">
        <v>0</v>
      </c>
      <c r="E221" s="133">
        <f t="shared" si="3"/>
        <v>994.07692799999995</v>
      </c>
      <c r="F221" s="133"/>
      <c r="G221" s="133"/>
      <c r="H221" s="133"/>
      <c r="I221" s="20"/>
    </row>
    <row r="222" spans="1:9" ht="15.75" customHeight="1" x14ac:dyDescent="0.3">
      <c r="A222" s="19">
        <v>3</v>
      </c>
      <c r="B222" s="19" t="s">
        <v>129</v>
      </c>
      <c r="C222" s="19">
        <f>(55.14)*10.764</f>
        <v>593.52695999999992</v>
      </c>
      <c r="D222" s="133">
        <v>0</v>
      </c>
      <c r="E222" s="133">
        <f t="shared" si="3"/>
        <v>949.64313599999991</v>
      </c>
      <c r="F222" s="133"/>
      <c r="G222" s="133"/>
      <c r="H222" s="133"/>
      <c r="I222" s="20"/>
    </row>
    <row r="223" spans="1:9" ht="15.5" x14ac:dyDescent="0.3">
      <c r="A223" s="19">
        <v>4</v>
      </c>
      <c r="B223" s="19" t="s">
        <v>129</v>
      </c>
      <c r="C223" s="19">
        <f>(58.47)*10.764</f>
        <v>629.37108000000001</v>
      </c>
      <c r="D223" s="133">
        <v>0</v>
      </c>
      <c r="E223" s="133">
        <f t="shared" si="3"/>
        <v>1006.993728</v>
      </c>
      <c r="F223" s="133"/>
      <c r="G223" s="133"/>
      <c r="H223" s="133"/>
      <c r="I223" s="20"/>
    </row>
    <row r="224" spans="1:9" ht="15.5" x14ac:dyDescent="0.3">
      <c r="A224" s="19">
        <v>5</v>
      </c>
      <c r="B224" s="19" t="s">
        <v>129</v>
      </c>
      <c r="C224" s="19">
        <f>56.02*10.764</f>
        <v>602.99928</v>
      </c>
      <c r="D224" s="133">
        <v>0</v>
      </c>
      <c r="E224" s="133">
        <f t="shared" si="3"/>
        <v>964.79884800000002</v>
      </c>
      <c r="F224" s="133"/>
      <c r="G224" s="133"/>
      <c r="H224" s="133"/>
      <c r="I224" s="20"/>
    </row>
    <row r="225" spans="1:9" ht="15.75" customHeight="1" x14ac:dyDescent="0.3">
      <c r="A225" s="19">
        <v>6</v>
      </c>
      <c r="B225" s="133" t="s">
        <v>131</v>
      </c>
      <c r="C225" s="133">
        <f>53.42*10.764</f>
        <v>575.01288</v>
      </c>
      <c r="D225" s="133">
        <v>0</v>
      </c>
      <c r="E225" s="133">
        <f t="shared" si="3"/>
        <v>920.02060800000004</v>
      </c>
      <c r="F225" s="133"/>
      <c r="G225" s="133"/>
      <c r="H225" s="133"/>
      <c r="I225" s="20"/>
    </row>
    <row r="226" spans="1:9" ht="15" x14ac:dyDescent="0.3">
      <c r="A226" s="154" t="s">
        <v>142</v>
      </c>
      <c r="B226" s="154"/>
      <c r="C226" s="154"/>
      <c r="D226" s="154"/>
      <c r="E226" s="154"/>
      <c r="F226" s="154"/>
      <c r="G226" s="154"/>
      <c r="H226" s="154"/>
      <c r="I226" s="20"/>
    </row>
    <row r="227" spans="1:9" ht="15.5" x14ac:dyDescent="0.3">
      <c r="A227" s="19">
        <v>1</v>
      </c>
      <c r="B227" s="19" t="s">
        <v>129</v>
      </c>
      <c r="C227" s="19">
        <f>(61.47)*10.764</f>
        <v>661.66307999999992</v>
      </c>
      <c r="D227" s="133">
        <v>0</v>
      </c>
      <c r="E227" s="133">
        <f t="shared" ref="E227:E232" si="4">C227*1.6</f>
        <v>1058.660928</v>
      </c>
      <c r="F227" s="133" t="str">
        <f>A226</f>
        <v>47th Floor</v>
      </c>
      <c r="G227" s="133"/>
      <c r="H227" s="133"/>
      <c r="I227" s="20"/>
    </row>
    <row r="228" spans="1:9" ht="15.75" customHeight="1" x14ac:dyDescent="0.3">
      <c r="A228" s="19">
        <v>2</v>
      </c>
      <c r="B228" s="19" t="s">
        <v>129</v>
      </c>
      <c r="C228" s="19">
        <f>57.72*10.764</f>
        <v>621.29807999999991</v>
      </c>
      <c r="D228" s="133">
        <v>0</v>
      </c>
      <c r="E228" s="133">
        <f t="shared" si="4"/>
        <v>994.07692799999995</v>
      </c>
      <c r="F228" s="133"/>
      <c r="G228" s="133"/>
      <c r="H228" s="133"/>
      <c r="I228" s="20"/>
    </row>
    <row r="229" spans="1:9" ht="15.75" customHeight="1" x14ac:dyDescent="0.3">
      <c r="A229" s="19">
        <v>3</v>
      </c>
      <c r="B229" s="19" t="s">
        <v>129</v>
      </c>
      <c r="C229" s="19">
        <f>(55.14)*10.764</f>
        <v>593.52695999999992</v>
      </c>
      <c r="D229" s="133">
        <v>0</v>
      </c>
      <c r="E229" s="133">
        <f t="shared" si="4"/>
        <v>949.64313599999991</v>
      </c>
      <c r="F229" s="133"/>
      <c r="G229" s="133"/>
      <c r="H229" s="133"/>
      <c r="I229" s="20"/>
    </row>
    <row r="230" spans="1:9" ht="15.5" x14ac:dyDescent="0.3">
      <c r="A230" s="19">
        <v>4</v>
      </c>
      <c r="B230" s="19" t="s">
        <v>129</v>
      </c>
      <c r="C230" s="19">
        <f>(58.47)*10.764</f>
        <v>629.37108000000001</v>
      </c>
      <c r="D230" s="133">
        <v>0</v>
      </c>
      <c r="E230" s="133">
        <f t="shared" si="4"/>
        <v>1006.993728</v>
      </c>
      <c r="F230" s="133"/>
      <c r="G230" s="133"/>
      <c r="H230" s="133"/>
      <c r="I230" s="20"/>
    </row>
    <row r="231" spans="1:9" ht="15.5" x14ac:dyDescent="0.3">
      <c r="A231" s="19">
        <v>5</v>
      </c>
      <c r="B231" s="19" t="s">
        <v>129</v>
      </c>
      <c r="C231" s="19">
        <f>56.02*10.764</f>
        <v>602.99928</v>
      </c>
      <c r="D231" s="133">
        <v>0</v>
      </c>
      <c r="E231" s="133">
        <f t="shared" si="4"/>
        <v>964.79884800000002</v>
      </c>
      <c r="F231" s="133"/>
      <c r="G231" s="133"/>
      <c r="H231" s="133"/>
      <c r="I231" s="20"/>
    </row>
    <row r="232" spans="1:9" ht="15.75" customHeight="1" x14ac:dyDescent="0.3">
      <c r="A232" s="19">
        <v>6</v>
      </c>
      <c r="B232" s="19" t="s">
        <v>129</v>
      </c>
      <c r="C232" s="19">
        <f>53.42*10.764</f>
        <v>575.01288</v>
      </c>
      <c r="D232" s="133">
        <v>0</v>
      </c>
      <c r="E232" s="133">
        <f t="shared" si="4"/>
        <v>920.02060800000004</v>
      </c>
      <c r="F232" s="133"/>
      <c r="G232" s="133"/>
      <c r="H232" s="133"/>
      <c r="I232" s="20"/>
    </row>
    <row r="233" spans="1:9" ht="15" x14ac:dyDescent="0.3">
      <c r="A233" s="171" t="s">
        <v>195</v>
      </c>
      <c r="B233" s="171"/>
      <c r="C233" s="171"/>
      <c r="D233" s="171"/>
      <c r="E233" s="171"/>
      <c r="F233" s="171"/>
      <c r="G233" s="171"/>
      <c r="H233" s="171"/>
      <c r="I233" s="20"/>
    </row>
    <row r="234" spans="1:9" ht="15" x14ac:dyDescent="0.3">
      <c r="A234" s="154" t="s">
        <v>185</v>
      </c>
      <c r="B234" s="154"/>
      <c r="C234" s="154"/>
      <c r="D234" s="154"/>
      <c r="E234" s="154"/>
      <c r="F234" s="154"/>
      <c r="G234" s="154"/>
      <c r="H234" s="154"/>
      <c r="I234" s="20"/>
    </row>
    <row r="235" spans="1:9" ht="15.75" customHeight="1" x14ac:dyDescent="0.3">
      <c r="A235" s="154" t="s">
        <v>186</v>
      </c>
      <c r="B235" s="154"/>
      <c r="C235" s="154"/>
      <c r="D235" s="154"/>
      <c r="E235" s="154"/>
      <c r="F235" s="154"/>
      <c r="G235" s="154"/>
      <c r="H235" s="154"/>
      <c r="I235" s="20"/>
    </row>
    <row r="236" spans="1:9" ht="15.75" customHeight="1" x14ac:dyDescent="0.3">
      <c r="A236" s="154" t="s">
        <v>187</v>
      </c>
      <c r="B236" s="154"/>
      <c r="C236" s="154"/>
      <c r="D236" s="154"/>
      <c r="E236" s="154"/>
      <c r="F236" s="154"/>
      <c r="G236" s="154"/>
      <c r="H236" s="154"/>
      <c r="I236" s="20"/>
    </row>
    <row r="237" spans="1:9" ht="15" x14ac:dyDescent="0.3">
      <c r="A237" s="154" t="s">
        <v>188</v>
      </c>
      <c r="B237" s="154"/>
      <c r="C237" s="154"/>
      <c r="D237" s="154"/>
      <c r="E237" s="154"/>
      <c r="F237" s="154"/>
      <c r="G237" s="154"/>
      <c r="H237" s="154"/>
      <c r="I237" s="20"/>
    </row>
    <row r="238" spans="1:9" ht="15" x14ac:dyDescent="0.3">
      <c r="A238" s="154" t="s">
        <v>189</v>
      </c>
      <c r="B238" s="154"/>
      <c r="C238" s="154"/>
      <c r="D238" s="154"/>
      <c r="E238" s="154"/>
      <c r="F238" s="154"/>
      <c r="G238" s="154"/>
      <c r="H238" s="154"/>
      <c r="I238" s="20"/>
    </row>
    <row r="239" spans="1:9" ht="15.75" customHeight="1" x14ac:dyDescent="0.3">
      <c r="A239" s="154" t="s">
        <v>190</v>
      </c>
      <c r="B239" s="154"/>
      <c r="C239" s="154"/>
      <c r="D239" s="154"/>
      <c r="E239" s="154"/>
      <c r="F239" s="154"/>
      <c r="G239" s="154"/>
      <c r="H239" s="154"/>
      <c r="I239" s="20"/>
    </row>
    <row r="240" spans="1:9" ht="15" x14ac:dyDescent="0.3">
      <c r="A240" s="154" t="s">
        <v>191</v>
      </c>
      <c r="B240" s="154"/>
      <c r="C240" s="154"/>
      <c r="D240" s="154"/>
      <c r="E240" s="154"/>
      <c r="F240" s="154"/>
      <c r="G240" s="154"/>
      <c r="H240" s="154"/>
      <c r="I240" s="20"/>
    </row>
    <row r="241" spans="1:9" ht="15" x14ac:dyDescent="0.3">
      <c r="A241" s="154" t="s">
        <v>192</v>
      </c>
      <c r="B241" s="154"/>
      <c r="C241" s="154"/>
      <c r="D241" s="154"/>
      <c r="E241" s="154"/>
      <c r="F241" s="154"/>
      <c r="G241" s="154"/>
      <c r="H241" s="154"/>
      <c r="I241" s="20"/>
    </row>
    <row r="242" spans="1:9" ht="15.75" customHeight="1" x14ac:dyDescent="0.3">
      <c r="A242" s="154" t="s">
        <v>138</v>
      </c>
      <c r="B242" s="154"/>
      <c r="C242" s="154"/>
      <c r="D242" s="154"/>
      <c r="E242" s="154"/>
      <c r="F242" s="154"/>
      <c r="G242" s="154"/>
      <c r="H242" s="154">
        <v>1</v>
      </c>
      <c r="I242" s="20"/>
    </row>
    <row r="243" spans="1:9" ht="15.75" customHeight="1" x14ac:dyDescent="0.3">
      <c r="A243" s="19">
        <v>1</v>
      </c>
      <c r="B243" s="19" t="s">
        <v>129</v>
      </c>
      <c r="C243" s="19">
        <f>71.39*10.764</f>
        <v>768.44195999999999</v>
      </c>
      <c r="D243" s="133">
        <v>0</v>
      </c>
      <c r="E243" s="133">
        <f t="shared" ref="E243:E248" si="5">C243*1.6</f>
        <v>1229.5071360000002</v>
      </c>
      <c r="F243" s="134" t="str">
        <f>A242</f>
        <v>1st Floor</v>
      </c>
      <c r="G243" s="135"/>
      <c r="H243" s="136"/>
      <c r="I243" s="20"/>
    </row>
    <row r="244" spans="1:9" ht="15.5" x14ac:dyDescent="0.3">
      <c r="A244" s="19">
        <v>2</v>
      </c>
      <c r="B244" s="19" t="s">
        <v>129</v>
      </c>
      <c r="C244" s="19">
        <f>63.74*10.764</f>
        <v>686.09735999999998</v>
      </c>
      <c r="D244" s="133">
        <v>0</v>
      </c>
      <c r="E244" s="133">
        <f t="shared" si="5"/>
        <v>1097.755776</v>
      </c>
      <c r="F244" s="137"/>
      <c r="G244" s="138"/>
      <c r="H244" s="139"/>
      <c r="I244" s="20"/>
    </row>
    <row r="245" spans="1:9" ht="15.5" x14ac:dyDescent="0.3">
      <c r="A245" s="19">
        <v>3</v>
      </c>
      <c r="B245" s="19" t="s">
        <v>129</v>
      </c>
      <c r="C245" s="19">
        <f>63.74*10.764</f>
        <v>686.09735999999998</v>
      </c>
      <c r="D245" s="133">
        <v>0</v>
      </c>
      <c r="E245" s="133">
        <f t="shared" si="5"/>
        <v>1097.755776</v>
      </c>
      <c r="F245" s="137"/>
      <c r="G245" s="138"/>
      <c r="H245" s="139"/>
      <c r="I245" s="20"/>
    </row>
    <row r="246" spans="1:9" ht="15.75" customHeight="1" x14ac:dyDescent="0.3">
      <c r="A246" s="19">
        <v>4</v>
      </c>
      <c r="B246" s="19" t="s">
        <v>129</v>
      </c>
      <c r="C246" s="19">
        <f>71.39*10.764</f>
        <v>768.44195999999999</v>
      </c>
      <c r="D246" s="133">
        <v>0</v>
      </c>
      <c r="E246" s="133">
        <f t="shared" si="5"/>
        <v>1229.5071360000002</v>
      </c>
      <c r="F246" s="137"/>
      <c r="G246" s="138"/>
      <c r="H246" s="139"/>
      <c r="I246" s="20"/>
    </row>
    <row r="247" spans="1:9" ht="15.5" x14ac:dyDescent="0.3">
      <c r="A247" s="19">
        <v>5</v>
      </c>
      <c r="B247" s="19" t="s">
        <v>129</v>
      </c>
      <c r="C247" s="19">
        <f>61.7*10.764</f>
        <v>664.13879999999995</v>
      </c>
      <c r="D247" s="133">
        <v>0</v>
      </c>
      <c r="E247" s="133">
        <f t="shared" si="5"/>
        <v>1062.6220799999999</v>
      </c>
      <c r="F247" s="137"/>
      <c r="G247" s="138"/>
      <c r="H247" s="139"/>
      <c r="I247" s="20"/>
    </row>
    <row r="248" spans="1:9" ht="15.5" x14ac:dyDescent="0.3">
      <c r="A248" s="19">
        <v>6</v>
      </c>
      <c r="B248" s="19" t="s">
        <v>129</v>
      </c>
      <c r="C248" s="19">
        <f>61.8*10.764</f>
        <v>665.21519999999998</v>
      </c>
      <c r="D248" s="133">
        <v>0</v>
      </c>
      <c r="E248" s="133">
        <f t="shared" si="5"/>
        <v>1064.3443199999999</v>
      </c>
      <c r="F248" s="140"/>
      <c r="G248" s="141"/>
      <c r="H248" s="142"/>
      <c r="I248" s="20"/>
    </row>
    <row r="249" spans="1:9" ht="15.75" customHeight="1" x14ac:dyDescent="0.3">
      <c r="A249" s="130" t="s">
        <v>130</v>
      </c>
      <c r="B249" s="131"/>
      <c r="C249" s="131"/>
      <c r="D249" s="131"/>
      <c r="E249" s="131"/>
      <c r="F249" s="131"/>
      <c r="G249" s="131"/>
      <c r="H249" s="132"/>
      <c r="I249" s="20"/>
    </row>
    <row r="250" spans="1:9" ht="15.5" x14ac:dyDescent="0.3">
      <c r="A250" s="19">
        <v>1</v>
      </c>
      <c r="B250" s="19" t="s">
        <v>129</v>
      </c>
      <c r="C250" s="19">
        <f>71.39*10.764</f>
        <v>768.44195999999999</v>
      </c>
      <c r="D250" s="133">
        <v>0</v>
      </c>
      <c r="E250" s="133">
        <f t="shared" ref="E250:E255" si="6">C250*1.6</f>
        <v>1229.5071360000002</v>
      </c>
      <c r="F250" s="134" t="str">
        <f>A249</f>
        <v>2nd, 3rd, 6th to 10th, 13th to 17th, 20th to 24th, 27th to 31st, 34th to 38th Floor</v>
      </c>
      <c r="G250" s="135"/>
      <c r="H250" s="136"/>
      <c r="I250" s="20"/>
    </row>
    <row r="251" spans="1:9" ht="15.75" customHeight="1" x14ac:dyDescent="0.3">
      <c r="A251" s="19">
        <v>2</v>
      </c>
      <c r="B251" s="19" t="s">
        <v>129</v>
      </c>
      <c r="C251" s="19">
        <f>63.74*10.764</f>
        <v>686.09735999999998</v>
      </c>
      <c r="D251" s="133">
        <v>0</v>
      </c>
      <c r="E251" s="133">
        <f t="shared" si="6"/>
        <v>1097.755776</v>
      </c>
      <c r="F251" s="137"/>
      <c r="G251" s="138"/>
      <c r="H251" s="139"/>
      <c r="I251" s="20"/>
    </row>
    <row r="252" spans="1:9" ht="15.5" x14ac:dyDescent="0.3">
      <c r="A252" s="19">
        <v>3</v>
      </c>
      <c r="B252" s="19" t="s">
        <v>129</v>
      </c>
      <c r="C252" s="19">
        <f>63.74*10.764</f>
        <v>686.09735999999998</v>
      </c>
      <c r="D252" s="133">
        <v>0</v>
      </c>
      <c r="E252" s="133">
        <f t="shared" si="6"/>
        <v>1097.755776</v>
      </c>
      <c r="F252" s="137"/>
      <c r="G252" s="138"/>
      <c r="H252" s="139"/>
      <c r="I252" s="20"/>
    </row>
    <row r="253" spans="1:9" ht="15.5" x14ac:dyDescent="0.3">
      <c r="A253" s="19">
        <v>4</v>
      </c>
      <c r="B253" s="19" t="s">
        <v>129</v>
      </c>
      <c r="C253" s="19">
        <f>71.39*10.764</f>
        <v>768.44195999999999</v>
      </c>
      <c r="D253" s="133">
        <v>0</v>
      </c>
      <c r="E253" s="133">
        <f t="shared" si="6"/>
        <v>1229.5071360000002</v>
      </c>
      <c r="F253" s="137"/>
      <c r="G253" s="138"/>
      <c r="H253" s="139"/>
      <c r="I253" s="20"/>
    </row>
    <row r="254" spans="1:9" ht="15.75" customHeight="1" x14ac:dyDescent="0.3">
      <c r="A254" s="19">
        <v>5</v>
      </c>
      <c r="B254" s="19" t="s">
        <v>129</v>
      </c>
      <c r="C254" s="19">
        <f>61.7*10.764</f>
        <v>664.13879999999995</v>
      </c>
      <c r="D254" s="133">
        <v>0</v>
      </c>
      <c r="E254" s="133">
        <f t="shared" si="6"/>
        <v>1062.6220799999999</v>
      </c>
      <c r="F254" s="137"/>
      <c r="G254" s="138"/>
      <c r="H254" s="139"/>
      <c r="I254" s="20"/>
    </row>
    <row r="255" spans="1:9" ht="15.5" x14ac:dyDescent="0.3">
      <c r="A255" s="19">
        <v>6</v>
      </c>
      <c r="B255" s="19" t="s">
        <v>129</v>
      </c>
      <c r="C255" s="19">
        <f>61.8*10.764</f>
        <v>665.21519999999998</v>
      </c>
      <c r="D255" s="133">
        <v>0</v>
      </c>
      <c r="E255" s="133">
        <f t="shared" si="6"/>
        <v>1064.3443199999999</v>
      </c>
      <c r="F255" s="140"/>
      <c r="G255" s="141"/>
      <c r="H255" s="142"/>
      <c r="I255" s="20"/>
    </row>
    <row r="256" spans="1:9" ht="15" x14ac:dyDescent="0.3">
      <c r="A256" s="130" t="s">
        <v>182</v>
      </c>
      <c r="B256" s="131"/>
      <c r="C256" s="131"/>
      <c r="D256" s="131"/>
      <c r="E256" s="131"/>
      <c r="F256" s="131"/>
      <c r="G256" s="131"/>
      <c r="H256" s="132"/>
      <c r="I256" s="20"/>
    </row>
    <row r="257" spans="1:9" ht="15.5" x14ac:dyDescent="0.3">
      <c r="A257" s="19">
        <v>1</v>
      </c>
      <c r="B257" s="19" t="s">
        <v>129</v>
      </c>
      <c r="C257" s="19">
        <f>71.39*10.764</f>
        <v>768.44195999999999</v>
      </c>
      <c r="D257" s="133">
        <v>0</v>
      </c>
      <c r="E257" s="133">
        <f t="shared" ref="E257:E262" si="7">C257*1.6</f>
        <v>1229.5071360000002</v>
      </c>
      <c r="F257" s="134" t="str">
        <f>A256</f>
        <v>4th, 11th, 18th, 25th, 32nd Floor (Part Refuge Area)</v>
      </c>
      <c r="G257" s="135"/>
      <c r="H257" s="136"/>
      <c r="I257" s="20"/>
    </row>
    <row r="258" spans="1:9" ht="15.75" customHeight="1" x14ac:dyDescent="0.3">
      <c r="A258" s="19">
        <v>2</v>
      </c>
      <c r="B258" s="19" t="s">
        <v>129</v>
      </c>
      <c r="C258" s="19">
        <f>63.74*10.764</f>
        <v>686.09735999999998</v>
      </c>
      <c r="D258" s="133">
        <v>0</v>
      </c>
      <c r="E258" s="133">
        <f t="shared" si="7"/>
        <v>1097.755776</v>
      </c>
      <c r="F258" s="137"/>
      <c r="G258" s="138"/>
      <c r="H258" s="139"/>
      <c r="I258" s="20"/>
    </row>
    <row r="259" spans="1:9" ht="15.5" x14ac:dyDescent="0.3">
      <c r="A259" s="19">
        <v>3</v>
      </c>
      <c r="B259" s="19" t="s">
        <v>129</v>
      </c>
      <c r="C259" s="19">
        <f>63.74*10.764</f>
        <v>686.09735999999998</v>
      </c>
      <c r="D259" s="133">
        <v>0</v>
      </c>
      <c r="E259" s="133">
        <f t="shared" si="7"/>
        <v>1097.755776</v>
      </c>
      <c r="F259" s="137"/>
      <c r="G259" s="138"/>
      <c r="H259" s="139"/>
      <c r="I259" s="20"/>
    </row>
    <row r="260" spans="1:9" ht="15.5" x14ac:dyDescent="0.3">
      <c r="A260" s="19">
        <v>4</v>
      </c>
      <c r="B260" s="19" t="s">
        <v>129</v>
      </c>
      <c r="C260" s="19">
        <f>71.39*10.764</f>
        <v>768.44195999999999</v>
      </c>
      <c r="D260" s="133">
        <v>0</v>
      </c>
      <c r="E260" s="133">
        <f t="shared" si="7"/>
        <v>1229.5071360000002</v>
      </c>
      <c r="F260" s="137"/>
      <c r="G260" s="138"/>
      <c r="H260" s="139"/>
      <c r="I260" s="20"/>
    </row>
    <row r="261" spans="1:9" ht="15.75" customHeight="1" x14ac:dyDescent="0.3">
      <c r="A261" s="19">
        <v>5</v>
      </c>
      <c r="B261" s="19" t="s">
        <v>129</v>
      </c>
      <c r="C261" s="19">
        <f>61.7*10.764</f>
        <v>664.13879999999995</v>
      </c>
      <c r="D261" s="133">
        <v>0</v>
      </c>
      <c r="E261" s="133">
        <f t="shared" si="7"/>
        <v>1062.6220799999999</v>
      </c>
      <c r="F261" s="137"/>
      <c r="G261" s="138"/>
      <c r="H261" s="139"/>
      <c r="I261" s="20"/>
    </row>
    <row r="262" spans="1:9" ht="15.5" x14ac:dyDescent="0.3">
      <c r="A262" s="19">
        <v>6</v>
      </c>
      <c r="B262" s="133" t="s">
        <v>131</v>
      </c>
      <c r="C262" s="133">
        <f>61.8*10.764</f>
        <v>665.21519999999998</v>
      </c>
      <c r="D262" s="133">
        <v>0</v>
      </c>
      <c r="E262" s="133">
        <f t="shared" si="7"/>
        <v>1064.3443199999999</v>
      </c>
      <c r="F262" s="140"/>
      <c r="G262" s="141"/>
      <c r="H262" s="142"/>
      <c r="I262" s="20"/>
    </row>
    <row r="263" spans="1:9" ht="15" x14ac:dyDescent="0.3">
      <c r="A263" s="130" t="s">
        <v>132</v>
      </c>
      <c r="B263" s="131"/>
      <c r="C263" s="131"/>
      <c r="D263" s="131"/>
      <c r="E263" s="131"/>
      <c r="F263" s="131"/>
      <c r="G263" s="131"/>
      <c r="H263" s="132"/>
      <c r="I263" s="20"/>
    </row>
    <row r="264" spans="1:9" ht="15.75" customHeight="1" x14ac:dyDescent="0.3">
      <c r="A264" s="19">
        <v>1</v>
      </c>
      <c r="B264" s="19" t="s">
        <v>129</v>
      </c>
      <c r="C264" s="19">
        <f>71.39*10.764</f>
        <v>768.44195999999999</v>
      </c>
      <c r="D264" s="133">
        <v>0</v>
      </c>
      <c r="E264" s="133">
        <f t="shared" ref="E264:E269" si="8">C264*1.6</f>
        <v>1229.5071360000002</v>
      </c>
      <c r="F264" s="134" t="str">
        <f>A263</f>
        <v>5th, 12th, 19th, 26th, 33rd Floor</v>
      </c>
      <c r="G264" s="135"/>
      <c r="H264" s="136"/>
      <c r="I264" s="20"/>
    </row>
    <row r="265" spans="1:9" ht="15.75" customHeight="1" x14ac:dyDescent="0.3">
      <c r="A265" s="19">
        <v>2</v>
      </c>
      <c r="B265" s="19" t="s">
        <v>129</v>
      </c>
      <c r="C265" s="19">
        <f>63.74*10.764</f>
        <v>686.09735999999998</v>
      </c>
      <c r="D265" s="133">
        <v>0</v>
      </c>
      <c r="E265" s="133">
        <f t="shared" si="8"/>
        <v>1097.755776</v>
      </c>
      <c r="F265" s="137"/>
      <c r="G265" s="138"/>
      <c r="H265" s="139"/>
      <c r="I265" s="20"/>
    </row>
    <row r="266" spans="1:9" ht="15.5" x14ac:dyDescent="0.3">
      <c r="A266" s="19">
        <v>3</v>
      </c>
      <c r="B266" s="19" t="s">
        <v>129</v>
      </c>
      <c r="C266" s="19">
        <f>63.74*10.764</f>
        <v>686.09735999999998</v>
      </c>
      <c r="D266" s="133">
        <v>0</v>
      </c>
      <c r="E266" s="133">
        <f t="shared" si="8"/>
        <v>1097.755776</v>
      </c>
      <c r="F266" s="137"/>
      <c r="G266" s="138"/>
      <c r="H266" s="139"/>
      <c r="I266" s="20"/>
    </row>
    <row r="267" spans="1:9" ht="15.5" x14ac:dyDescent="0.3">
      <c r="A267" s="19">
        <v>4</v>
      </c>
      <c r="B267" s="19" t="s">
        <v>129</v>
      </c>
      <c r="C267" s="19">
        <f>71.39*10.764</f>
        <v>768.44195999999999</v>
      </c>
      <c r="D267" s="133">
        <v>0</v>
      </c>
      <c r="E267" s="133">
        <f t="shared" si="8"/>
        <v>1229.5071360000002</v>
      </c>
      <c r="F267" s="137"/>
      <c r="G267" s="138"/>
      <c r="H267" s="139"/>
      <c r="I267" s="20"/>
    </row>
    <row r="268" spans="1:9" ht="15.75" customHeight="1" x14ac:dyDescent="0.3">
      <c r="A268" s="19">
        <v>5</v>
      </c>
      <c r="B268" s="19" t="s">
        <v>129</v>
      </c>
      <c r="C268" s="19">
        <f>61.7*10.764</f>
        <v>664.13879999999995</v>
      </c>
      <c r="D268" s="133">
        <v>0</v>
      </c>
      <c r="E268" s="133">
        <f t="shared" si="8"/>
        <v>1062.6220799999999</v>
      </c>
      <c r="F268" s="137"/>
      <c r="G268" s="138"/>
      <c r="H268" s="139"/>
      <c r="I268" s="20"/>
    </row>
    <row r="269" spans="1:9" ht="15.5" x14ac:dyDescent="0.3">
      <c r="A269" s="19">
        <v>6</v>
      </c>
      <c r="B269" s="19" t="s">
        <v>129</v>
      </c>
      <c r="C269" s="19">
        <f>61.8*10.764</f>
        <v>665.21519999999998</v>
      </c>
      <c r="D269" s="133">
        <v>0</v>
      </c>
      <c r="E269" s="133">
        <f t="shared" si="8"/>
        <v>1064.3443199999999</v>
      </c>
      <c r="F269" s="140"/>
      <c r="G269" s="141"/>
      <c r="H269" s="142"/>
      <c r="I269" s="20"/>
    </row>
    <row r="270" spans="1:9" ht="15" x14ac:dyDescent="0.3">
      <c r="A270" s="130" t="s">
        <v>143</v>
      </c>
      <c r="B270" s="131"/>
      <c r="C270" s="131"/>
      <c r="D270" s="131"/>
      <c r="E270" s="131"/>
      <c r="F270" s="131"/>
      <c r="G270" s="131"/>
      <c r="H270" s="132"/>
      <c r="I270" s="20"/>
    </row>
    <row r="271" spans="1:9" ht="15.75" customHeight="1" x14ac:dyDescent="0.3">
      <c r="A271" s="130" t="s">
        <v>139</v>
      </c>
      <c r="B271" s="131"/>
      <c r="C271" s="131"/>
      <c r="D271" s="131"/>
      <c r="E271" s="131"/>
      <c r="F271" s="131"/>
      <c r="G271" s="131"/>
      <c r="H271" s="132"/>
      <c r="I271" s="20"/>
    </row>
    <row r="272" spans="1:9" ht="15.75" customHeight="1" x14ac:dyDescent="0.3">
      <c r="A272" s="19">
        <v>1</v>
      </c>
      <c r="B272" s="19" t="s">
        <v>129</v>
      </c>
      <c r="C272" s="19">
        <f>71.39*10.764</f>
        <v>768.44195999999999</v>
      </c>
      <c r="D272" s="133">
        <v>0</v>
      </c>
      <c r="E272" s="133">
        <f>C272*1.6</f>
        <v>1229.5071360000002</v>
      </c>
      <c r="F272" s="134" t="str">
        <f>A271</f>
        <v>39th Floor</v>
      </c>
      <c r="G272" s="135"/>
      <c r="H272" s="136"/>
      <c r="I272" s="20"/>
    </row>
    <row r="273" spans="1:9" ht="15.5" x14ac:dyDescent="0.3">
      <c r="A273" s="19">
        <v>2</v>
      </c>
      <c r="B273" s="19" t="s">
        <v>129</v>
      </c>
      <c r="C273" s="19">
        <f>63.74*10.764</f>
        <v>686.09735999999998</v>
      </c>
      <c r="D273" s="133">
        <v>0</v>
      </c>
      <c r="E273" s="133">
        <f>C273*1.6</f>
        <v>1097.755776</v>
      </c>
      <c r="F273" s="137"/>
      <c r="G273" s="138"/>
      <c r="H273" s="139"/>
      <c r="I273" s="20"/>
    </row>
    <row r="274" spans="1:9" ht="15.5" x14ac:dyDescent="0.3">
      <c r="A274" s="19">
        <v>3</v>
      </c>
      <c r="B274" s="19" t="s">
        <v>129</v>
      </c>
      <c r="C274" s="19">
        <f>63.74*10.764</f>
        <v>686.09735999999998</v>
      </c>
      <c r="D274" s="133">
        <v>0</v>
      </c>
      <c r="E274" s="133">
        <f>C274*1.6</f>
        <v>1097.755776</v>
      </c>
      <c r="F274" s="137"/>
      <c r="G274" s="138"/>
      <c r="H274" s="139"/>
      <c r="I274" s="20"/>
    </row>
    <row r="275" spans="1:9" ht="15.75" customHeight="1" x14ac:dyDescent="0.3">
      <c r="A275" s="19">
        <v>4</v>
      </c>
      <c r="B275" s="19" t="s">
        <v>129</v>
      </c>
      <c r="C275" s="19">
        <f>71.39*10.764</f>
        <v>768.44195999999999</v>
      </c>
      <c r="D275" s="133">
        <v>0</v>
      </c>
      <c r="E275" s="133">
        <f>C275*1.6</f>
        <v>1229.5071360000002</v>
      </c>
      <c r="F275" s="137"/>
      <c r="G275" s="138"/>
      <c r="H275" s="139"/>
      <c r="I275" s="20"/>
    </row>
    <row r="276" spans="1:9" ht="15.5" x14ac:dyDescent="0.3">
      <c r="A276" s="19">
        <v>5</v>
      </c>
      <c r="B276" s="19" t="s">
        <v>129</v>
      </c>
      <c r="C276" s="19">
        <f>61.7*10.764</f>
        <v>664.13879999999995</v>
      </c>
      <c r="D276" s="133">
        <v>0</v>
      </c>
      <c r="E276" s="133">
        <f>C276*1.6</f>
        <v>1062.6220799999999</v>
      </c>
      <c r="F276" s="137"/>
      <c r="G276" s="138"/>
      <c r="H276" s="139"/>
      <c r="I276" s="20"/>
    </row>
    <row r="277" spans="1:9" ht="15.5" x14ac:dyDescent="0.3">
      <c r="A277" s="19">
        <v>6</v>
      </c>
      <c r="B277" s="133" t="s">
        <v>131</v>
      </c>
      <c r="C277" s="133"/>
      <c r="D277" s="133"/>
      <c r="E277" s="133"/>
      <c r="F277" s="140"/>
      <c r="G277" s="141"/>
      <c r="H277" s="142"/>
      <c r="I277" s="20"/>
    </row>
    <row r="278" spans="1:9" ht="15" x14ac:dyDescent="0.3">
      <c r="A278" s="130" t="s">
        <v>140</v>
      </c>
      <c r="B278" s="131"/>
      <c r="C278" s="131"/>
      <c r="D278" s="131"/>
      <c r="E278" s="131"/>
      <c r="F278" s="131"/>
      <c r="G278" s="131"/>
      <c r="H278" s="132"/>
      <c r="I278" s="20"/>
    </row>
    <row r="279" spans="1:9" ht="15.75" customHeight="1" x14ac:dyDescent="0.3">
      <c r="A279" s="19">
        <v>1</v>
      </c>
      <c r="B279" s="19" t="s">
        <v>129</v>
      </c>
      <c r="C279" s="19">
        <f>(61.47+6.7*0.6)*10.764</f>
        <v>704.93435999999986</v>
      </c>
      <c r="D279" s="133">
        <f>(3.35*2.29)*10.764</f>
        <v>82.576025999999999</v>
      </c>
      <c r="E279" s="133">
        <f t="shared" ref="E279:E284" si="9">C279*1.6</f>
        <v>1127.8949759999998</v>
      </c>
      <c r="F279" s="134" t="str">
        <f>A278</f>
        <v>40th Floor</v>
      </c>
      <c r="G279" s="135"/>
      <c r="H279" s="136"/>
      <c r="I279" s="20"/>
    </row>
    <row r="280" spans="1:9" ht="15.5" x14ac:dyDescent="0.3">
      <c r="A280" s="19">
        <v>2</v>
      </c>
      <c r="B280" s="19" t="s">
        <v>129</v>
      </c>
      <c r="C280" s="19">
        <f>57.72*10.764</f>
        <v>621.29807999999991</v>
      </c>
      <c r="D280" s="133">
        <f>(3.05*1.575)*10.764</f>
        <v>51.707564999999995</v>
      </c>
      <c r="E280" s="133">
        <f t="shared" si="9"/>
        <v>994.07692799999995</v>
      </c>
      <c r="F280" s="137"/>
      <c r="G280" s="138"/>
      <c r="H280" s="139"/>
      <c r="I280" s="20"/>
    </row>
    <row r="281" spans="1:9" ht="15.5" x14ac:dyDescent="0.3">
      <c r="A281" s="19">
        <v>3</v>
      </c>
      <c r="B281" s="19" t="s">
        <v>129</v>
      </c>
      <c r="C281" s="19">
        <f>(55.14)*10.764</f>
        <v>593.52695999999992</v>
      </c>
      <c r="D281" s="133">
        <f>(3.4*2.35)*10.764</f>
        <v>86.004359999999991</v>
      </c>
      <c r="E281" s="133">
        <f t="shared" si="9"/>
        <v>949.64313599999991</v>
      </c>
      <c r="F281" s="137"/>
      <c r="G281" s="138"/>
      <c r="H281" s="139"/>
      <c r="I281" s="20"/>
    </row>
    <row r="282" spans="1:9" ht="15.75" customHeight="1" x14ac:dyDescent="0.3">
      <c r="A282" s="19">
        <v>4</v>
      </c>
      <c r="B282" s="19" t="s">
        <v>129</v>
      </c>
      <c r="C282" s="19">
        <f>(58.47+6.7*0.6)*10.764</f>
        <v>672.64235999999994</v>
      </c>
      <c r="D282" s="133">
        <f>(3.4*2.35)*10.764</f>
        <v>86.004359999999991</v>
      </c>
      <c r="E282" s="133">
        <f t="shared" si="9"/>
        <v>1076.2277759999999</v>
      </c>
      <c r="F282" s="137"/>
      <c r="G282" s="138"/>
      <c r="H282" s="139"/>
      <c r="I282" s="20"/>
    </row>
    <row r="283" spans="1:9" ht="15.5" x14ac:dyDescent="0.3">
      <c r="A283" s="19">
        <v>5</v>
      </c>
      <c r="B283" s="19" t="s">
        <v>129</v>
      </c>
      <c r="C283" s="19">
        <f>(56.02+2.65*1.135+3.2*0.49)*10.764</f>
        <v>652.25265300000001</v>
      </c>
      <c r="D283" s="133">
        <v>0</v>
      </c>
      <c r="E283" s="133">
        <f t="shared" si="9"/>
        <v>1043.6042448000001</v>
      </c>
      <c r="F283" s="137"/>
      <c r="G283" s="138"/>
      <c r="H283" s="139"/>
      <c r="I283" s="20"/>
    </row>
    <row r="284" spans="1:9" ht="15.5" x14ac:dyDescent="0.3">
      <c r="A284" s="19">
        <v>6</v>
      </c>
      <c r="B284" s="19" t="s">
        <v>129</v>
      </c>
      <c r="C284" s="19">
        <f>53.42*10.764</f>
        <v>575.01288</v>
      </c>
      <c r="D284" s="133">
        <v>0</v>
      </c>
      <c r="E284" s="133">
        <f t="shared" si="9"/>
        <v>920.02060800000004</v>
      </c>
      <c r="F284" s="140"/>
      <c r="G284" s="141"/>
      <c r="H284" s="142"/>
      <c r="I284" s="20"/>
    </row>
    <row r="285" spans="1:9" ht="15.75" customHeight="1" x14ac:dyDescent="0.3">
      <c r="A285" s="130" t="s">
        <v>141</v>
      </c>
      <c r="B285" s="131"/>
      <c r="C285" s="131"/>
      <c r="D285" s="131"/>
      <c r="E285" s="131"/>
      <c r="F285" s="131"/>
      <c r="G285" s="131"/>
      <c r="H285" s="132"/>
      <c r="I285" s="20"/>
    </row>
    <row r="286" spans="1:9" ht="15.75" customHeight="1" x14ac:dyDescent="0.3">
      <c r="A286" s="19">
        <v>1</v>
      </c>
      <c r="B286" s="19" t="s">
        <v>129</v>
      </c>
      <c r="C286" s="19">
        <f>(61.47)*10.764</f>
        <v>661.66307999999992</v>
      </c>
      <c r="D286" s="133">
        <v>0</v>
      </c>
      <c r="E286" s="133">
        <f t="shared" ref="E286:E291" si="10">C286*1.6</f>
        <v>1058.660928</v>
      </c>
      <c r="F286" s="134" t="str">
        <f>A285</f>
        <v>41st To 45th &amp; 48th To 50th Floor</v>
      </c>
      <c r="G286" s="135"/>
      <c r="H286" s="136"/>
      <c r="I286" s="20"/>
    </row>
    <row r="287" spans="1:9" ht="15.75" customHeight="1" x14ac:dyDescent="0.3">
      <c r="A287" s="19">
        <v>2</v>
      </c>
      <c r="B287" s="19" t="s">
        <v>129</v>
      </c>
      <c r="C287" s="19">
        <f>57.72*10.764</f>
        <v>621.29807999999991</v>
      </c>
      <c r="D287" s="133">
        <v>0</v>
      </c>
      <c r="E287" s="133">
        <f t="shared" si="10"/>
        <v>994.07692799999995</v>
      </c>
      <c r="F287" s="137"/>
      <c r="G287" s="138"/>
      <c r="H287" s="139"/>
      <c r="I287" s="20"/>
    </row>
    <row r="288" spans="1:9" ht="15.75" customHeight="1" x14ac:dyDescent="0.3">
      <c r="A288" s="19">
        <v>3</v>
      </c>
      <c r="B288" s="19" t="s">
        <v>129</v>
      </c>
      <c r="C288" s="19">
        <f>(55.14)*10.764</f>
        <v>593.52695999999992</v>
      </c>
      <c r="D288" s="133">
        <v>0</v>
      </c>
      <c r="E288" s="133">
        <f t="shared" si="10"/>
        <v>949.64313599999991</v>
      </c>
      <c r="F288" s="137"/>
      <c r="G288" s="138"/>
      <c r="H288" s="139"/>
      <c r="I288" s="20"/>
    </row>
    <row r="289" spans="1:9" ht="15.75" customHeight="1" x14ac:dyDescent="0.3">
      <c r="A289" s="19">
        <v>4</v>
      </c>
      <c r="B289" s="19" t="s">
        <v>129</v>
      </c>
      <c r="C289" s="19">
        <f>(58.47)*10.764</f>
        <v>629.37108000000001</v>
      </c>
      <c r="D289" s="133">
        <v>0</v>
      </c>
      <c r="E289" s="133">
        <f t="shared" si="10"/>
        <v>1006.993728</v>
      </c>
      <c r="F289" s="137"/>
      <c r="G289" s="138"/>
      <c r="H289" s="139"/>
      <c r="I289" s="20"/>
    </row>
    <row r="290" spans="1:9" ht="15.75" customHeight="1" x14ac:dyDescent="0.3">
      <c r="A290" s="19">
        <v>5</v>
      </c>
      <c r="B290" s="19" t="s">
        <v>129</v>
      </c>
      <c r="C290" s="19">
        <f>56.02*10.764</f>
        <v>602.99928</v>
      </c>
      <c r="D290" s="133">
        <v>0</v>
      </c>
      <c r="E290" s="133">
        <f t="shared" si="10"/>
        <v>964.79884800000002</v>
      </c>
      <c r="F290" s="137"/>
      <c r="G290" s="138"/>
      <c r="H290" s="139"/>
      <c r="I290" s="20"/>
    </row>
    <row r="291" spans="1:9" ht="15.75" customHeight="1" x14ac:dyDescent="0.3">
      <c r="A291" s="19">
        <v>6</v>
      </c>
      <c r="B291" s="19" t="s">
        <v>129</v>
      </c>
      <c r="C291" s="19">
        <f>53.42*10.764</f>
        <v>575.01288</v>
      </c>
      <c r="D291" s="133">
        <v>0</v>
      </c>
      <c r="E291" s="133">
        <f t="shared" si="10"/>
        <v>920.02060800000004</v>
      </c>
      <c r="F291" s="140"/>
      <c r="G291" s="141"/>
      <c r="H291" s="142"/>
      <c r="I291" s="20"/>
    </row>
    <row r="292" spans="1:9" ht="15.75" customHeight="1" x14ac:dyDescent="0.3">
      <c r="A292" s="130" t="s">
        <v>193</v>
      </c>
      <c r="B292" s="131"/>
      <c r="C292" s="131"/>
      <c r="D292" s="131"/>
      <c r="E292" s="131"/>
      <c r="F292" s="131"/>
      <c r="G292" s="131"/>
      <c r="H292" s="132"/>
      <c r="I292" s="20"/>
    </row>
    <row r="293" spans="1:9" ht="15.75" customHeight="1" x14ac:dyDescent="0.3">
      <c r="A293" s="19">
        <v>1</v>
      </c>
      <c r="B293" s="19" t="s">
        <v>129</v>
      </c>
      <c r="C293" s="19">
        <f>(61.47)*10.764</f>
        <v>661.66307999999992</v>
      </c>
      <c r="D293" s="133">
        <v>0</v>
      </c>
      <c r="E293" s="133">
        <f t="shared" ref="E293:E298" si="11">C293*1.6</f>
        <v>1058.660928</v>
      </c>
      <c r="F293" s="134" t="str">
        <f>A292</f>
        <v>46th Floor (Part Refuge Area)</v>
      </c>
      <c r="G293" s="135"/>
      <c r="H293" s="136"/>
      <c r="I293" s="20"/>
    </row>
    <row r="294" spans="1:9" ht="15.75" customHeight="1" x14ac:dyDescent="0.3">
      <c r="A294" s="19">
        <v>2</v>
      </c>
      <c r="B294" s="19" t="s">
        <v>129</v>
      </c>
      <c r="C294" s="19">
        <f>57.72*10.764</f>
        <v>621.29807999999991</v>
      </c>
      <c r="D294" s="133">
        <v>0</v>
      </c>
      <c r="E294" s="133">
        <f t="shared" si="11"/>
        <v>994.07692799999995</v>
      </c>
      <c r="F294" s="137"/>
      <c r="G294" s="138"/>
      <c r="H294" s="139"/>
      <c r="I294" s="20"/>
    </row>
    <row r="295" spans="1:9" ht="15.75" customHeight="1" x14ac:dyDescent="0.3">
      <c r="A295" s="19">
        <v>3</v>
      </c>
      <c r="B295" s="19" t="s">
        <v>129</v>
      </c>
      <c r="C295" s="19">
        <f>(55.14)*10.764</f>
        <v>593.52695999999992</v>
      </c>
      <c r="D295" s="133">
        <v>0</v>
      </c>
      <c r="E295" s="133">
        <f t="shared" si="11"/>
        <v>949.64313599999991</v>
      </c>
      <c r="F295" s="137"/>
      <c r="G295" s="138"/>
      <c r="H295" s="139"/>
      <c r="I295" s="20"/>
    </row>
    <row r="296" spans="1:9" ht="15.5" x14ac:dyDescent="0.3">
      <c r="A296" s="19">
        <v>4</v>
      </c>
      <c r="B296" s="19" t="s">
        <v>129</v>
      </c>
      <c r="C296" s="19">
        <f>(58.47)*10.764</f>
        <v>629.37108000000001</v>
      </c>
      <c r="D296" s="133">
        <v>0</v>
      </c>
      <c r="E296" s="133">
        <f t="shared" si="11"/>
        <v>1006.993728</v>
      </c>
      <c r="F296" s="137"/>
      <c r="G296" s="138"/>
      <c r="H296" s="139"/>
      <c r="I296" s="20"/>
    </row>
    <row r="297" spans="1:9" ht="15.5" x14ac:dyDescent="0.3">
      <c r="A297" s="19">
        <v>5</v>
      </c>
      <c r="B297" s="19" t="s">
        <v>129</v>
      </c>
      <c r="C297" s="19">
        <f>56.02*10.764</f>
        <v>602.99928</v>
      </c>
      <c r="D297" s="133">
        <v>0</v>
      </c>
      <c r="E297" s="133">
        <f t="shared" si="11"/>
        <v>964.79884800000002</v>
      </c>
      <c r="F297" s="137"/>
      <c r="G297" s="138"/>
      <c r="H297" s="139"/>
      <c r="I297" s="20"/>
    </row>
    <row r="298" spans="1:9" ht="15.75" customHeight="1" x14ac:dyDescent="0.3">
      <c r="A298" s="19">
        <v>6</v>
      </c>
      <c r="B298" s="133" t="s">
        <v>131</v>
      </c>
      <c r="C298" s="133">
        <f>53.42*10.764</f>
        <v>575.01288</v>
      </c>
      <c r="D298" s="133">
        <v>0</v>
      </c>
      <c r="E298" s="133">
        <f t="shared" si="11"/>
        <v>920.02060800000004</v>
      </c>
      <c r="F298" s="140"/>
      <c r="G298" s="141"/>
      <c r="H298" s="142"/>
      <c r="I298" s="20"/>
    </row>
    <row r="299" spans="1:9" ht="15.75" customHeight="1" x14ac:dyDescent="0.3">
      <c r="A299" s="130" t="s">
        <v>142</v>
      </c>
      <c r="B299" s="131"/>
      <c r="C299" s="131"/>
      <c r="D299" s="131"/>
      <c r="E299" s="131"/>
      <c r="F299" s="131"/>
      <c r="G299" s="131"/>
      <c r="H299" s="132"/>
      <c r="I299" s="20"/>
    </row>
    <row r="300" spans="1:9" ht="15.75" customHeight="1" x14ac:dyDescent="0.3">
      <c r="A300" s="19">
        <v>1</v>
      </c>
      <c r="B300" s="19" t="s">
        <v>129</v>
      </c>
      <c r="C300" s="19">
        <f>(61.47)*10.764</f>
        <v>661.66307999999992</v>
      </c>
      <c r="D300" s="133">
        <v>0</v>
      </c>
      <c r="E300" s="133">
        <f t="shared" ref="E300:E305" si="12">C300*1.6</f>
        <v>1058.660928</v>
      </c>
      <c r="F300" s="134" t="str">
        <f>A299</f>
        <v>47th Floor</v>
      </c>
      <c r="G300" s="135"/>
      <c r="H300" s="136"/>
      <c r="I300" s="20"/>
    </row>
    <row r="301" spans="1:9" ht="15.5" x14ac:dyDescent="0.3">
      <c r="A301" s="19">
        <v>2</v>
      </c>
      <c r="B301" s="19" t="s">
        <v>129</v>
      </c>
      <c r="C301" s="19">
        <f>57.72*10.764</f>
        <v>621.29807999999991</v>
      </c>
      <c r="D301" s="133">
        <v>0</v>
      </c>
      <c r="E301" s="133">
        <f t="shared" si="12"/>
        <v>994.07692799999995</v>
      </c>
      <c r="F301" s="137"/>
      <c r="G301" s="138"/>
      <c r="H301" s="139"/>
      <c r="I301" s="20"/>
    </row>
    <row r="302" spans="1:9" ht="15.5" x14ac:dyDescent="0.3">
      <c r="A302" s="19">
        <v>3</v>
      </c>
      <c r="B302" s="19" t="s">
        <v>129</v>
      </c>
      <c r="C302" s="19">
        <f>(55.14)*10.764</f>
        <v>593.52695999999992</v>
      </c>
      <c r="D302" s="133">
        <v>0</v>
      </c>
      <c r="E302" s="133">
        <f t="shared" si="12"/>
        <v>949.64313599999991</v>
      </c>
      <c r="F302" s="137"/>
      <c r="G302" s="138"/>
      <c r="H302" s="139"/>
      <c r="I302" s="20"/>
    </row>
    <row r="303" spans="1:9" ht="15.75" customHeight="1" x14ac:dyDescent="0.3">
      <c r="A303" s="19">
        <v>4</v>
      </c>
      <c r="B303" s="19" t="s">
        <v>129</v>
      </c>
      <c r="C303" s="19">
        <f>(58.47)*10.764</f>
        <v>629.37108000000001</v>
      </c>
      <c r="D303" s="133">
        <v>0</v>
      </c>
      <c r="E303" s="133">
        <f t="shared" si="12"/>
        <v>1006.993728</v>
      </c>
      <c r="F303" s="137"/>
      <c r="G303" s="138"/>
      <c r="H303" s="139"/>
      <c r="I303" s="20"/>
    </row>
    <row r="304" spans="1:9" ht="15.75" customHeight="1" x14ac:dyDescent="0.3">
      <c r="A304" s="19">
        <v>5</v>
      </c>
      <c r="B304" s="19" t="s">
        <v>129</v>
      </c>
      <c r="C304" s="19">
        <f>56.02*10.764</f>
        <v>602.99928</v>
      </c>
      <c r="D304" s="133">
        <v>0</v>
      </c>
      <c r="E304" s="133">
        <f t="shared" si="12"/>
        <v>964.79884800000002</v>
      </c>
      <c r="F304" s="137"/>
      <c r="G304" s="138"/>
      <c r="H304" s="139"/>
      <c r="I304" s="20"/>
    </row>
    <row r="305" spans="1:9" ht="15.75" customHeight="1" x14ac:dyDescent="0.3">
      <c r="A305" s="19">
        <v>6</v>
      </c>
      <c r="B305" s="19" t="s">
        <v>129</v>
      </c>
      <c r="C305" s="19">
        <f>53.42*10.764</f>
        <v>575.01288</v>
      </c>
      <c r="D305" s="133">
        <v>0</v>
      </c>
      <c r="E305" s="133">
        <f t="shared" si="12"/>
        <v>920.02060800000004</v>
      </c>
      <c r="F305" s="140"/>
      <c r="G305" s="141"/>
      <c r="H305" s="142"/>
      <c r="I305" s="20"/>
    </row>
    <row r="306" spans="1:9" ht="15" x14ac:dyDescent="0.3">
      <c r="A306" s="187" t="s">
        <v>196</v>
      </c>
      <c r="B306" s="188"/>
      <c r="C306" s="188"/>
      <c r="D306" s="188"/>
      <c r="E306" s="188"/>
      <c r="F306" s="188"/>
      <c r="G306" s="188"/>
      <c r="H306" s="189"/>
      <c r="I306" s="20"/>
    </row>
    <row r="307" spans="1:9" ht="15" x14ac:dyDescent="0.3">
      <c r="A307" s="130" t="s">
        <v>185</v>
      </c>
      <c r="B307" s="131"/>
      <c r="C307" s="131"/>
      <c r="D307" s="131"/>
      <c r="E307" s="131"/>
      <c r="F307" s="131"/>
      <c r="G307" s="131"/>
      <c r="H307" s="132"/>
      <c r="I307" s="20"/>
    </row>
    <row r="308" spans="1:9" ht="15.75" customHeight="1" x14ac:dyDescent="0.3">
      <c r="A308" s="130" t="s">
        <v>186</v>
      </c>
      <c r="B308" s="131"/>
      <c r="C308" s="131"/>
      <c r="D308" s="131"/>
      <c r="E308" s="131"/>
      <c r="F308" s="131"/>
      <c r="G308" s="131"/>
      <c r="H308" s="132"/>
      <c r="I308" s="20"/>
    </row>
    <row r="309" spans="1:9" ht="15.75" customHeight="1" x14ac:dyDescent="0.3">
      <c r="A309" s="130" t="s">
        <v>187</v>
      </c>
      <c r="B309" s="131"/>
      <c r="C309" s="131"/>
      <c r="D309" s="131"/>
      <c r="E309" s="131"/>
      <c r="F309" s="131"/>
      <c r="G309" s="131"/>
      <c r="H309" s="132"/>
      <c r="I309" s="20"/>
    </row>
    <row r="310" spans="1:9" ht="15.75" customHeight="1" x14ac:dyDescent="0.3">
      <c r="A310" s="130" t="s">
        <v>188</v>
      </c>
      <c r="B310" s="131"/>
      <c r="C310" s="131"/>
      <c r="D310" s="131"/>
      <c r="E310" s="131"/>
      <c r="F310" s="131"/>
      <c r="G310" s="131"/>
      <c r="H310" s="132"/>
      <c r="I310" s="20"/>
    </row>
    <row r="311" spans="1:9" ht="15" x14ac:dyDescent="0.3">
      <c r="A311" s="130" t="s">
        <v>189</v>
      </c>
      <c r="B311" s="131"/>
      <c r="C311" s="131"/>
      <c r="D311" s="131"/>
      <c r="E311" s="131"/>
      <c r="F311" s="131"/>
      <c r="G311" s="131"/>
      <c r="H311" s="132"/>
      <c r="I311" s="20"/>
    </row>
    <row r="312" spans="1:9" ht="15" x14ac:dyDescent="0.3">
      <c r="A312" s="130" t="s">
        <v>190</v>
      </c>
      <c r="B312" s="131"/>
      <c r="C312" s="131"/>
      <c r="D312" s="131"/>
      <c r="E312" s="131"/>
      <c r="F312" s="131"/>
      <c r="G312" s="131"/>
      <c r="H312" s="132"/>
      <c r="I312" s="20"/>
    </row>
    <row r="313" spans="1:9" ht="15.75" customHeight="1" x14ac:dyDescent="0.3">
      <c r="A313" s="130" t="s">
        <v>191</v>
      </c>
      <c r="B313" s="131"/>
      <c r="C313" s="131"/>
      <c r="D313" s="131"/>
      <c r="E313" s="131"/>
      <c r="F313" s="131"/>
      <c r="G313" s="131"/>
      <c r="H313" s="132"/>
      <c r="I313" s="20"/>
    </row>
    <row r="314" spans="1:9" ht="15.75" customHeight="1" x14ac:dyDescent="0.3">
      <c r="A314" s="130" t="s">
        <v>192</v>
      </c>
      <c r="B314" s="131"/>
      <c r="C314" s="131"/>
      <c r="D314" s="131"/>
      <c r="E314" s="131"/>
      <c r="F314" s="131"/>
      <c r="G314" s="131"/>
      <c r="H314" s="132"/>
      <c r="I314" s="20"/>
    </row>
    <row r="315" spans="1:9" ht="15.75" customHeight="1" x14ac:dyDescent="0.3">
      <c r="A315" s="130" t="s">
        <v>138</v>
      </c>
      <c r="B315" s="131"/>
      <c r="C315" s="131"/>
      <c r="D315" s="131"/>
      <c r="E315" s="131"/>
      <c r="F315" s="131"/>
      <c r="G315" s="131"/>
      <c r="H315" s="132"/>
      <c r="I315" s="20"/>
    </row>
    <row r="316" spans="1:9" ht="15.75" customHeight="1" x14ac:dyDescent="0.3">
      <c r="A316" s="19">
        <v>1</v>
      </c>
      <c r="B316" s="19" t="s">
        <v>144</v>
      </c>
      <c r="C316" s="19">
        <f>111.41*10.764</f>
        <v>1199.2172399999999</v>
      </c>
      <c r="D316" s="133">
        <v>0</v>
      </c>
      <c r="E316" s="133">
        <f>C316*1.6</f>
        <v>1918.747584</v>
      </c>
      <c r="F316" s="134" t="str">
        <f>A315</f>
        <v>1st Floor</v>
      </c>
      <c r="G316" s="135"/>
      <c r="H316" s="136"/>
      <c r="I316" s="20"/>
    </row>
    <row r="317" spans="1:9" ht="15.5" x14ac:dyDescent="0.3">
      <c r="A317" s="19">
        <v>2</v>
      </c>
      <c r="B317" s="19" t="s">
        <v>144</v>
      </c>
      <c r="C317" s="19">
        <f>96.95*10.764</f>
        <v>1043.5698</v>
      </c>
      <c r="D317" s="133">
        <v>0</v>
      </c>
      <c r="E317" s="133">
        <f>C317*1.6</f>
        <v>1669.7116800000001</v>
      </c>
      <c r="F317" s="137"/>
      <c r="G317" s="138"/>
      <c r="H317" s="139"/>
      <c r="I317" s="20"/>
    </row>
    <row r="318" spans="1:9" ht="15.5" x14ac:dyDescent="0.3">
      <c r="A318" s="19">
        <v>3</v>
      </c>
      <c r="B318" s="19" t="s">
        <v>144</v>
      </c>
      <c r="C318" s="19">
        <f>96.95*10.764</f>
        <v>1043.5698</v>
      </c>
      <c r="D318" s="133">
        <v>0</v>
      </c>
      <c r="E318" s="133">
        <f>C318*1.6</f>
        <v>1669.7116800000001</v>
      </c>
      <c r="F318" s="137"/>
      <c r="G318" s="138"/>
      <c r="H318" s="139"/>
      <c r="I318" s="20"/>
    </row>
    <row r="319" spans="1:9" ht="15.75" customHeight="1" x14ac:dyDescent="0.3">
      <c r="A319" s="19">
        <v>4</v>
      </c>
      <c r="B319" s="19" t="s">
        <v>144</v>
      </c>
      <c r="C319" s="19">
        <f>111.41*10.764</f>
        <v>1199.2172399999999</v>
      </c>
      <c r="D319" s="133">
        <v>0</v>
      </c>
      <c r="E319" s="133">
        <f>C319*1.6</f>
        <v>1918.747584</v>
      </c>
      <c r="F319" s="140"/>
      <c r="G319" s="141"/>
      <c r="H319" s="142"/>
      <c r="I319" s="20"/>
    </row>
    <row r="320" spans="1:9" ht="15" x14ac:dyDescent="0.3">
      <c r="A320" s="130" t="s">
        <v>130</v>
      </c>
      <c r="B320" s="131"/>
      <c r="C320" s="131"/>
      <c r="D320" s="131"/>
      <c r="E320" s="131"/>
      <c r="F320" s="131"/>
      <c r="G320" s="131"/>
      <c r="H320" s="132"/>
      <c r="I320" s="20"/>
    </row>
    <row r="321" spans="1:9" ht="15.75" customHeight="1" x14ac:dyDescent="0.3">
      <c r="A321" s="19">
        <v>1</v>
      </c>
      <c r="B321" s="19" t="s">
        <v>144</v>
      </c>
      <c r="C321" s="19">
        <f>111.41*10.764</f>
        <v>1199.2172399999999</v>
      </c>
      <c r="D321" s="133">
        <v>0</v>
      </c>
      <c r="E321" s="133">
        <f>C321*1.6</f>
        <v>1918.747584</v>
      </c>
      <c r="F321" s="134" t="str">
        <f>A320</f>
        <v>2nd, 3rd, 6th to 10th, 13th to 17th, 20th to 24th, 27th to 31st, 34th to 38th Floor</v>
      </c>
      <c r="G321" s="135"/>
      <c r="H321" s="136"/>
      <c r="I321" s="20"/>
    </row>
    <row r="322" spans="1:9" ht="15.5" x14ac:dyDescent="0.3">
      <c r="A322" s="19">
        <v>2</v>
      </c>
      <c r="B322" s="19" t="s">
        <v>144</v>
      </c>
      <c r="C322" s="19">
        <f>96.95*10.764</f>
        <v>1043.5698</v>
      </c>
      <c r="D322" s="133">
        <v>0</v>
      </c>
      <c r="E322" s="133">
        <f>C322*1.6</f>
        <v>1669.7116800000001</v>
      </c>
      <c r="F322" s="137"/>
      <c r="G322" s="138"/>
      <c r="H322" s="139"/>
      <c r="I322" s="20"/>
    </row>
    <row r="323" spans="1:9" ht="15.5" x14ac:dyDescent="0.3">
      <c r="A323" s="19">
        <v>3</v>
      </c>
      <c r="B323" s="19" t="s">
        <v>144</v>
      </c>
      <c r="C323" s="19">
        <f>96.95*10.764</f>
        <v>1043.5698</v>
      </c>
      <c r="D323" s="133">
        <v>0</v>
      </c>
      <c r="E323" s="133">
        <f>C323*1.6</f>
        <v>1669.7116800000001</v>
      </c>
      <c r="F323" s="137"/>
      <c r="G323" s="138"/>
      <c r="H323" s="139"/>
      <c r="I323" s="20"/>
    </row>
    <row r="324" spans="1:9" ht="15.75" customHeight="1" x14ac:dyDescent="0.3">
      <c r="A324" s="19">
        <v>4</v>
      </c>
      <c r="B324" s="19" t="s">
        <v>144</v>
      </c>
      <c r="C324" s="19">
        <f>111.41*10.764</f>
        <v>1199.2172399999999</v>
      </c>
      <c r="D324" s="133">
        <v>0</v>
      </c>
      <c r="E324" s="133">
        <f>C324*1.6</f>
        <v>1918.747584</v>
      </c>
      <c r="F324" s="140"/>
      <c r="G324" s="141"/>
      <c r="H324" s="142"/>
      <c r="I324" s="20"/>
    </row>
    <row r="325" spans="1:9" ht="15.75" customHeight="1" x14ac:dyDescent="0.3">
      <c r="A325" s="130" t="s">
        <v>182</v>
      </c>
      <c r="B325" s="131"/>
      <c r="C325" s="131"/>
      <c r="D325" s="131"/>
      <c r="E325" s="131"/>
      <c r="F325" s="131"/>
      <c r="G325" s="131"/>
      <c r="H325" s="132"/>
      <c r="I325" s="20"/>
    </row>
    <row r="326" spans="1:9" ht="15.75" customHeight="1" x14ac:dyDescent="0.3">
      <c r="A326" s="19">
        <v>1</v>
      </c>
      <c r="B326" s="19" t="s">
        <v>144</v>
      </c>
      <c r="C326" s="19">
        <f>111.41*10.764</f>
        <v>1199.2172399999999</v>
      </c>
      <c r="D326" s="133">
        <v>0</v>
      </c>
      <c r="E326" s="133">
        <f>C326*1.6</f>
        <v>1918.747584</v>
      </c>
      <c r="F326" s="134" t="str">
        <f>A325</f>
        <v>4th, 11th, 18th, 25th, 32nd Floor (Part Refuge Area)</v>
      </c>
      <c r="G326" s="135"/>
      <c r="H326" s="136"/>
      <c r="I326" s="20"/>
    </row>
    <row r="327" spans="1:9" ht="15.5" x14ac:dyDescent="0.3">
      <c r="A327" s="19">
        <v>2</v>
      </c>
      <c r="B327" s="133" t="s">
        <v>131</v>
      </c>
      <c r="C327" s="133"/>
      <c r="D327" s="133"/>
      <c r="E327" s="133"/>
      <c r="F327" s="137"/>
      <c r="G327" s="138"/>
      <c r="H327" s="139"/>
      <c r="I327" s="20"/>
    </row>
    <row r="328" spans="1:9" ht="15.5" x14ac:dyDescent="0.3">
      <c r="A328" s="19">
        <v>3</v>
      </c>
      <c r="B328" s="19" t="s">
        <v>144</v>
      </c>
      <c r="C328" s="19">
        <f>96.95*10.764</f>
        <v>1043.5698</v>
      </c>
      <c r="D328" s="133">
        <v>0</v>
      </c>
      <c r="E328" s="133">
        <f>C328*1.6</f>
        <v>1669.7116800000001</v>
      </c>
      <c r="F328" s="137"/>
      <c r="G328" s="138"/>
      <c r="H328" s="139"/>
      <c r="I328" s="20"/>
    </row>
    <row r="329" spans="1:9" ht="15.75" customHeight="1" x14ac:dyDescent="0.3">
      <c r="A329" s="19">
        <v>4</v>
      </c>
      <c r="B329" s="19" t="s">
        <v>144</v>
      </c>
      <c r="C329" s="19">
        <f>111.41*10.764</f>
        <v>1199.2172399999999</v>
      </c>
      <c r="D329" s="133">
        <v>0</v>
      </c>
      <c r="E329" s="133">
        <f>C329*1.6</f>
        <v>1918.747584</v>
      </c>
      <c r="F329" s="140"/>
      <c r="G329" s="141"/>
      <c r="H329" s="142"/>
      <c r="I329" s="20"/>
    </row>
    <row r="330" spans="1:9" ht="15.75" customHeight="1" x14ac:dyDescent="0.3">
      <c r="A330" s="130" t="s">
        <v>132</v>
      </c>
      <c r="B330" s="131"/>
      <c r="C330" s="131"/>
      <c r="D330" s="131"/>
      <c r="E330" s="131"/>
      <c r="F330" s="131"/>
      <c r="G330" s="131"/>
      <c r="H330" s="132"/>
      <c r="I330" s="20"/>
    </row>
    <row r="331" spans="1:9" ht="15.75" customHeight="1" x14ac:dyDescent="0.3">
      <c r="A331" s="19">
        <v>1</v>
      </c>
      <c r="B331" s="19" t="s">
        <v>144</v>
      </c>
      <c r="C331" s="19">
        <f>111.41*10.764</f>
        <v>1199.2172399999999</v>
      </c>
      <c r="D331" s="133">
        <v>0</v>
      </c>
      <c r="E331" s="133">
        <f>C331*1.6</f>
        <v>1918.747584</v>
      </c>
      <c r="F331" s="134" t="str">
        <f>A330</f>
        <v>5th, 12th, 19th, 26th, 33rd Floor</v>
      </c>
      <c r="G331" s="135"/>
      <c r="H331" s="136"/>
      <c r="I331" s="20"/>
    </row>
    <row r="332" spans="1:9" ht="15.5" x14ac:dyDescent="0.3">
      <c r="A332" s="19">
        <v>2</v>
      </c>
      <c r="B332" s="19" t="s">
        <v>144</v>
      </c>
      <c r="C332" s="19">
        <f>96.95*10.764</f>
        <v>1043.5698</v>
      </c>
      <c r="D332" s="133">
        <v>0</v>
      </c>
      <c r="E332" s="133">
        <f>C332*1.6</f>
        <v>1669.7116800000001</v>
      </c>
      <c r="F332" s="137"/>
      <c r="G332" s="138"/>
      <c r="H332" s="139"/>
      <c r="I332" s="20"/>
    </row>
    <row r="333" spans="1:9" ht="15.5" x14ac:dyDescent="0.3">
      <c r="A333" s="19">
        <v>3</v>
      </c>
      <c r="B333" s="19" t="s">
        <v>144</v>
      </c>
      <c r="C333" s="19">
        <f>96.95*10.764</f>
        <v>1043.5698</v>
      </c>
      <c r="D333" s="133">
        <v>0</v>
      </c>
      <c r="E333" s="133">
        <f>C333*1.6</f>
        <v>1669.7116800000001</v>
      </c>
      <c r="F333" s="137"/>
      <c r="G333" s="138"/>
      <c r="H333" s="139"/>
      <c r="I333" s="20"/>
    </row>
    <row r="334" spans="1:9" ht="15.75" customHeight="1" x14ac:dyDescent="0.3">
      <c r="A334" s="19">
        <v>4</v>
      </c>
      <c r="B334" s="19" t="s">
        <v>144</v>
      </c>
      <c r="C334" s="19">
        <f>111.41*10.764</f>
        <v>1199.2172399999999</v>
      </c>
      <c r="D334" s="133">
        <v>0</v>
      </c>
      <c r="E334" s="133">
        <f>C334*1.6</f>
        <v>1918.747584</v>
      </c>
      <c r="F334" s="140"/>
      <c r="G334" s="141"/>
      <c r="H334" s="142"/>
      <c r="I334" s="20"/>
    </row>
    <row r="335" spans="1:9" ht="15" x14ac:dyDescent="0.3">
      <c r="A335" s="130" t="s">
        <v>143</v>
      </c>
      <c r="B335" s="131"/>
      <c r="C335" s="131"/>
      <c r="D335" s="131"/>
      <c r="E335" s="131"/>
      <c r="F335" s="131"/>
      <c r="G335" s="131"/>
      <c r="H335" s="132"/>
      <c r="I335" s="20"/>
    </row>
    <row r="336" spans="1:9" ht="15.75" customHeight="1" x14ac:dyDescent="0.3">
      <c r="A336" s="130" t="s">
        <v>181</v>
      </c>
      <c r="B336" s="131"/>
      <c r="C336" s="131"/>
      <c r="D336" s="131"/>
      <c r="E336" s="131"/>
      <c r="F336" s="131"/>
      <c r="G336" s="131"/>
      <c r="H336" s="132"/>
      <c r="I336" s="20"/>
    </row>
    <row r="337" spans="1:9" ht="15.5" x14ac:dyDescent="0.3">
      <c r="A337" s="19">
        <v>1</v>
      </c>
      <c r="B337" s="19" t="s">
        <v>144</v>
      </c>
      <c r="C337" s="19">
        <f>111.41*10.764</f>
        <v>1199.2172399999999</v>
      </c>
      <c r="D337" s="133">
        <v>0</v>
      </c>
      <c r="E337" s="133">
        <f>C337*1.6</f>
        <v>1918.747584</v>
      </c>
      <c r="F337" s="134" t="str">
        <f>A336</f>
        <v>39th Floor ( Part Refuge Floor)</v>
      </c>
      <c r="G337" s="135"/>
      <c r="H337" s="136"/>
      <c r="I337" s="20"/>
    </row>
    <row r="338" spans="1:9" ht="15.5" x14ac:dyDescent="0.3">
      <c r="A338" s="19">
        <v>2</v>
      </c>
      <c r="B338" s="133" t="s">
        <v>131</v>
      </c>
      <c r="C338" s="133">
        <f>95.99*10.764</f>
        <v>1033.2363599999999</v>
      </c>
      <c r="D338" s="133">
        <v>0</v>
      </c>
      <c r="E338" s="133">
        <f>C338*1.6</f>
        <v>1653.1781759999999</v>
      </c>
      <c r="F338" s="137"/>
      <c r="G338" s="138"/>
      <c r="H338" s="139"/>
      <c r="I338" s="20"/>
    </row>
    <row r="339" spans="1:9" ht="15.75" customHeight="1" x14ac:dyDescent="0.3">
      <c r="A339" s="19">
        <v>3</v>
      </c>
      <c r="B339" s="19" t="s">
        <v>144</v>
      </c>
      <c r="C339" s="19">
        <f>96.95*10.764</f>
        <v>1043.5698</v>
      </c>
      <c r="D339" s="133">
        <v>0</v>
      </c>
      <c r="E339" s="133">
        <f>C339*1.6</f>
        <v>1669.7116800000001</v>
      </c>
      <c r="F339" s="137"/>
      <c r="G339" s="138"/>
      <c r="H339" s="139"/>
      <c r="I339" s="20"/>
    </row>
    <row r="340" spans="1:9" ht="15.75" customHeight="1" x14ac:dyDescent="0.3">
      <c r="A340" s="19">
        <v>4</v>
      </c>
      <c r="B340" s="19" t="s">
        <v>144</v>
      </c>
      <c r="C340" s="19">
        <f>111.41*10.764</f>
        <v>1199.2172399999999</v>
      </c>
      <c r="D340" s="133">
        <v>0</v>
      </c>
      <c r="E340" s="133">
        <f>C340*1.6</f>
        <v>1918.747584</v>
      </c>
      <c r="F340" s="140"/>
      <c r="G340" s="141"/>
      <c r="H340" s="142"/>
      <c r="I340" s="20"/>
    </row>
    <row r="341" spans="1:9" ht="15.75" customHeight="1" x14ac:dyDescent="0.3">
      <c r="A341" s="130" t="s">
        <v>140</v>
      </c>
      <c r="B341" s="131"/>
      <c r="C341" s="131"/>
      <c r="D341" s="131"/>
      <c r="E341" s="131"/>
      <c r="F341" s="131"/>
      <c r="G341" s="131"/>
      <c r="H341" s="132"/>
      <c r="I341" s="20"/>
    </row>
    <row r="342" spans="1:9" ht="15.75" customHeight="1" x14ac:dyDescent="0.3">
      <c r="A342" s="19">
        <v>1</v>
      </c>
      <c r="B342" s="19" t="s">
        <v>144</v>
      </c>
      <c r="C342" s="19">
        <f>103.91*10.764</f>
        <v>1118.4872399999999</v>
      </c>
      <c r="D342" s="133">
        <f>(5.98*1.33+7.11*0.925+3.125*0.97)*10.764</f>
        <v>189.03090960000003</v>
      </c>
      <c r="E342" s="133">
        <f>C342*1.6+D342/2</f>
        <v>1884.0950388000001</v>
      </c>
      <c r="F342" s="134" t="str">
        <f>A341</f>
        <v>40th Floor</v>
      </c>
      <c r="G342" s="135"/>
      <c r="H342" s="136"/>
      <c r="I342" s="20"/>
    </row>
    <row r="343" spans="1:9" ht="15.75" customHeight="1" x14ac:dyDescent="0.3">
      <c r="A343" s="19">
        <v>2</v>
      </c>
      <c r="B343" s="19" t="s">
        <v>144</v>
      </c>
      <c r="C343" s="19">
        <f>95.33*10.764</f>
        <v>1026.13212</v>
      </c>
      <c r="D343" s="133">
        <f>(3.345*2.6+3.3*0.9+3.545*1.51)*10.764</f>
        <v>183.20274180000001</v>
      </c>
      <c r="E343" s="133">
        <f>C343*1.6+D343/2</f>
        <v>1733.4127629</v>
      </c>
      <c r="F343" s="137"/>
      <c r="G343" s="138"/>
      <c r="H343" s="139"/>
      <c r="I343" s="20"/>
    </row>
    <row r="344" spans="1:9" ht="15.75" customHeight="1" x14ac:dyDescent="0.3">
      <c r="A344" s="19">
        <v>3</v>
      </c>
      <c r="B344" s="19" t="s">
        <v>144</v>
      </c>
      <c r="C344" s="19">
        <f>95.33*10.764</f>
        <v>1026.13212</v>
      </c>
      <c r="D344" s="133">
        <f>(3.345*2.6+3.3*0.9+3.545*1.51)*10.764</f>
        <v>183.20274180000001</v>
      </c>
      <c r="E344" s="133">
        <f>C344*1.6+D344/2</f>
        <v>1733.4127629</v>
      </c>
      <c r="F344" s="137"/>
      <c r="G344" s="138"/>
      <c r="H344" s="139"/>
      <c r="I344" s="20"/>
    </row>
    <row r="345" spans="1:9" ht="15.75" customHeight="1" x14ac:dyDescent="0.3">
      <c r="A345" s="19">
        <v>4</v>
      </c>
      <c r="B345" s="19" t="s">
        <v>144</v>
      </c>
      <c r="C345" s="19">
        <f>103.91*10.764</f>
        <v>1118.4872399999999</v>
      </c>
      <c r="D345" s="133">
        <f>(5.98*1.33+7.11*0.925+3.125*0.97)*10.764</f>
        <v>189.03090960000003</v>
      </c>
      <c r="E345" s="133">
        <f>C345*1.6+D345/2</f>
        <v>1884.0950388000001</v>
      </c>
      <c r="F345" s="140"/>
      <c r="G345" s="141"/>
      <c r="H345" s="142"/>
      <c r="I345" s="20"/>
    </row>
    <row r="346" spans="1:9" ht="15.75" customHeight="1" x14ac:dyDescent="0.3">
      <c r="A346" s="130" t="s">
        <v>141</v>
      </c>
      <c r="B346" s="131"/>
      <c r="C346" s="131"/>
      <c r="D346" s="131"/>
      <c r="E346" s="131"/>
      <c r="F346" s="131"/>
      <c r="G346" s="131"/>
      <c r="H346" s="132"/>
      <c r="I346" s="20"/>
    </row>
    <row r="347" spans="1:9" ht="15.75" customHeight="1" x14ac:dyDescent="0.3">
      <c r="A347" s="19">
        <v>1</v>
      </c>
      <c r="B347" s="19" t="s">
        <v>144</v>
      </c>
      <c r="C347" s="19">
        <f>103.91*10.764</f>
        <v>1118.4872399999999</v>
      </c>
      <c r="D347" s="133">
        <v>0</v>
      </c>
      <c r="E347" s="133">
        <f>C347*1.6</f>
        <v>1789.5795840000001</v>
      </c>
      <c r="F347" s="134" t="str">
        <f>A346</f>
        <v>41st To 45th &amp; 48th To 50th Floor</v>
      </c>
      <c r="G347" s="135"/>
      <c r="H347" s="136"/>
      <c r="I347" s="20"/>
    </row>
    <row r="348" spans="1:9" ht="15.75" customHeight="1" x14ac:dyDescent="0.3">
      <c r="A348" s="19">
        <v>2</v>
      </c>
      <c r="B348" s="19" t="s">
        <v>144</v>
      </c>
      <c r="C348" s="19">
        <f>95.33*10.764</f>
        <v>1026.13212</v>
      </c>
      <c r="D348" s="133">
        <v>0</v>
      </c>
      <c r="E348" s="133">
        <f>C348*1.6</f>
        <v>1641.8113920000001</v>
      </c>
      <c r="F348" s="137"/>
      <c r="G348" s="138"/>
      <c r="H348" s="139"/>
      <c r="I348" s="20"/>
    </row>
    <row r="349" spans="1:9" ht="15.75" customHeight="1" x14ac:dyDescent="0.3">
      <c r="A349" s="19">
        <v>3</v>
      </c>
      <c r="B349" s="19" t="s">
        <v>144</v>
      </c>
      <c r="C349" s="19">
        <f>95.33*10.764</f>
        <v>1026.13212</v>
      </c>
      <c r="D349" s="133">
        <v>0</v>
      </c>
      <c r="E349" s="133">
        <f>C349*1.6</f>
        <v>1641.8113920000001</v>
      </c>
      <c r="F349" s="137"/>
      <c r="G349" s="138"/>
      <c r="H349" s="139"/>
      <c r="I349" s="20"/>
    </row>
    <row r="350" spans="1:9" ht="15.75" customHeight="1" x14ac:dyDescent="0.3">
      <c r="A350" s="19">
        <v>4</v>
      </c>
      <c r="B350" s="19" t="s">
        <v>144</v>
      </c>
      <c r="C350" s="19">
        <f>103.91*10.764</f>
        <v>1118.4872399999999</v>
      </c>
      <c r="D350" s="133">
        <v>0</v>
      </c>
      <c r="E350" s="133">
        <f>C350*1.6</f>
        <v>1789.5795840000001</v>
      </c>
      <c r="F350" s="140"/>
      <c r="G350" s="141"/>
      <c r="H350" s="142"/>
      <c r="I350" s="20"/>
    </row>
    <row r="351" spans="1:9" ht="15" x14ac:dyDescent="0.3">
      <c r="A351" s="130" t="s">
        <v>193</v>
      </c>
      <c r="B351" s="131"/>
      <c r="C351" s="131"/>
      <c r="D351" s="131"/>
      <c r="E351" s="131"/>
      <c r="F351" s="131"/>
      <c r="G351" s="131"/>
      <c r="H351" s="132"/>
      <c r="I351" s="20"/>
    </row>
    <row r="352" spans="1:9" ht="15.5" x14ac:dyDescent="0.3">
      <c r="A352" s="19">
        <v>1</v>
      </c>
      <c r="B352" s="19" t="s">
        <v>144</v>
      </c>
      <c r="C352" s="19">
        <f>103.91*10.764</f>
        <v>1118.4872399999999</v>
      </c>
      <c r="D352" s="133">
        <v>0</v>
      </c>
      <c r="E352" s="133">
        <f>C352*1.6</f>
        <v>1789.5795840000001</v>
      </c>
      <c r="F352" s="134" t="str">
        <f>A351</f>
        <v>46th Floor (Part Refuge Area)</v>
      </c>
      <c r="G352" s="135"/>
      <c r="H352" s="136"/>
      <c r="I352" s="20"/>
    </row>
    <row r="353" spans="1:9" ht="15.75" customHeight="1" x14ac:dyDescent="0.3">
      <c r="A353" s="19">
        <v>2</v>
      </c>
      <c r="B353" s="133" t="s">
        <v>131</v>
      </c>
      <c r="C353" s="133">
        <f>95.33*10.764</f>
        <v>1026.13212</v>
      </c>
      <c r="D353" s="133">
        <v>0</v>
      </c>
      <c r="E353" s="133">
        <f>C353*1.6</f>
        <v>1641.8113920000001</v>
      </c>
      <c r="F353" s="137"/>
      <c r="G353" s="138"/>
      <c r="H353" s="139"/>
      <c r="I353" s="20"/>
    </row>
    <row r="354" spans="1:9" ht="15.5" x14ac:dyDescent="0.3">
      <c r="A354" s="19">
        <v>3</v>
      </c>
      <c r="B354" s="19" t="s">
        <v>144</v>
      </c>
      <c r="C354" s="19">
        <f>95.33*10.764</f>
        <v>1026.13212</v>
      </c>
      <c r="D354" s="133">
        <v>0</v>
      </c>
      <c r="E354" s="133">
        <f>C354*1.6</f>
        <v>1641.8113920000001</v>
      </c>
      <c r="F354" s="137"/>
      <c r="G354" s="138"/>
      <c r="H354" s="139"/>
      <c r="I354" s="20"/>
    </row>
    <row r="355" spans="1:9" ht="15.5" x14ac:dyDescent="0.3">
      <c r="A355" s="19">
        <v>4</v>
      </c>
      <c r="B355" s="19" t="s">
        <v>144</v>
      </c>
      <c r="C355" s="19">
        <f>103.91*10.764</f>
        <v>1118.4872399999999</v>
      </c>
      <c r="D355" s="133">
        <v>0</v>
      </c>
      <c r="E355" s="133">
        <f>C355*1.6</f>
        <v>1789.5795840000001</v>
      </c>
      <c r="F355" s="140"/>
      <c r="G355" s="141"/>
      <c r="H355" s="142"/>
      <c r="I355" s="20"/>
    </row>
    <row r="356" spans="1:9" ht="15.75" customHeight="1" x14ac:dyDescent="0.3">
      <c r="A356" s="130" t="s">
        <v>142</v>
      </c>
      <c r="B356" s="131"/>
      <c r="C356" s="131"/>
      <c r="D356" s="131"/>
      <c r="E356" s="131"/>
      <c r="F356" s="131"/>
      <c r="G356" s="131"/>
      <c r="H356" s="132"/>
      <c r="I356" s="20"/>
    </row>
    <row r="357" spans="1:9" ht="15.75" customHeight="1" x14ac:dyDescent="0.3">
      <c r="A357" s="19">
        <v>1</v>
      </c>
      <c r="B357" s="19" t="s">
        <v>144</v>
      </c>
      <c r="C357" s="19">
        <f>103.91*10.764</f>
        <v>1118.4872399999999</v>
      </c>
      <c r="D357" s="133">
        <v>0</v>
      </c>
      <c r="E357" s="133">
        <f>C357*1.6</f>
        <v>1789.5795840000001</v>
      </c>
      <c r="F357" s="134" t="str">
        <f>A356</f>
        <v>47th Floor</v>
      </c>
      <c r="G357" s="135"/>
      <c r="H357" s="136"/>
      <c r="I357" s="20"/>
    </row>
    <row r="358" spans="1:9" ht="15.5" x14ac:dyDescent="0.3">
      <c r="A358" s="19">
        <v>2</v>
      </c>
      <c r="B358" s="19" t="s">
        <v>144</v>
      </c>
      <c r="C358" s="19">
        <f>95.33*10.764</f>
        <v>1026.13212</v>
      </c>
      <c r="D358" s="133">
        <v>0</v>
      </c>
      <c r="E358" s="133">
        <f>C358*1.6</f>
        <v>1641.8113920000001</v>
      </c>
      <c r="F358" s="137"/>
      <c r="G358" s="138"/>
      <c r="H358" s="139"/>
      <c r="I358" s="20"/>
    </row>
    <row r="359" spans="1:9" ht="15.75" customHeight="1" x14ac:dyDescent="0.3">
      <c r="A359" s="19">
        <v>3</v>
      </c>
      <c r="B359" s="19" t="s">
        <v>144</v>
      </c>
      <c r="C359" s="19">
        <f>95.33*10.764</f>
        <v>1026.13212</v>
      </c>
      <c r="D359" s="133">
        <v>0</v>
      </c>
      <c r="E359" s="133">
        <f>C359*1.6</f>
        <v>1641.8113920000001</v>
      </c>
      <c r="F359" s="137"/>
      <c r="G359" s="138"/>
      <c r="H359" s="139"/>
      <c r="I359" s="20"/>
    </row>
    <row r="360" spans="1:9" ht="15.5" x14ac:dyDescent="0.3">
      <c r="A360" s="19">
        <v>4</v>
      </c>
      <c r="B360" s="19" t="s">
        <v>144</v>
      </c>
      <c r="C360" s="19">
        <f>103.91*10.764</f>
        <v>1118.4872399999999</v>
      </c>
      <c r="D360" s="133">
        <v>0</v>
      </c>
      <c r="E360" s="133">
        <f>C360*1.6</f>
        <v>1789.5795840000001</v>
      </c>
      <c r="F360" s="140"/>
      <c r="G360" s="141"/>
      <c r="H360" s="142"/>
      <c r="I360" s="20"/>
    </row>
    <row r="361" spans="1:9" ht="15" x14ac:dyDescent="0.3">
      <c r="A361" s="187" t="s">
        <v>197</v>
      </c>
      <c r="B361" s="188"/>
      <c r="C361" s="188"/>
      <c r="D361" s="188"/>
      <c r="E361" s="188"/>
      <c r="F361" s="188"/>
      <c r="G361" s="188"/>
      <c r="H361" s="189"/>
      <c r="I361" s="20"/>
    </row>
    <row r="362" spans="1:9" ht="15" x14ac:dyDescent="0.3">
      <c r="A362" s="130" t="s">
        <v>185</v>
      </c>
      <c r="B362" s="131"/>
      <c r="C362" s="131"/>
      <c r="D362" s="131"/>
      <c r="E362" s="131"/>
      <c r="F362" s="131"/>
      <c r="G362" s="131"/>
      <c r="H362" s="132"/>
      <c r="I362" s="20"/>
    </row>
    <row r="363" spans="1:9" ht="15.75" customHeight="1" x14ac:dyDescent="0.3">
      <c r="A363" s="130" t="s">
        <v>186</v>
      </c>
      <c r="B363" s="131"/>
      <c r="C363" s="131"/>
      <c r="D363" s="131"/>
      <c r="E363" s="131"/>
      <c r="F363" s="131"/>
      <c r="G363" s="131"/>
      <c r="H363" s="132"/>
      <c r="I363" s="20"/>
    </row>
    <row r="364" spans="1:9" ht="15.75" customHeight="1" x14ac:dyDescent="0.3">
      <c r="A364" s="130" t="s">
        <v>187</v>
      </c>
      <c r="B364" s="131"/>
      <c r="C364" s="131"/>
      <c r="D364" s="131"/>
      <c r="E364" s="131"/>
      <c r="F364" s="131"/>
      <c r="G364" s="131"/>
      <c r="H364" s="132"/>
      <c r="I364" s="20"/>
    </row>
    <row r="365" spans="1:9" ht="15" x14ac:dyDescent="0.3">
      <c r="A365" s="130" t="s">
        <v>188</v>
      </c>
      <c r="B365" s="131"/>
      <c r="C365" s="131"/>
      <c r="D365" s="131"/>
      <c r="E365" s="131"/>
      <c r="F365" s="131"/>
      <c r="G365" s="131"/>
      <c r="H365" s="132"/>
      <c r="I365" s="20"/>
    </row>
    <row r="366" spans="1:9" ht="15.75" customHeight="1" x14ac:dyDescent="0.3">
      <c r="A366" s="130" t="s">
        <v>189</v>
      </c>
      <c r="B366" s="131"/>
      <c r="C366" s="131"/>
      <c r="D366" s="131"/>
      <c r="E366" s="131"/>
      <c r="F366" s="131"/>
      <c r="G366" s="131"/>
      <c r="H366" s="132"/>
      <c r="I366" s="20"/>
    </row>
    <row r="367" spans="1:9" ht="15" x14ac:dyDescent="0.3">
      <c r="A367" s="130" t="s">
        <v>190</v>
      </c>
      <c r="B367" s="131"/>
      <c r="C367" s="131"/>
      <c r="D367" s="131"/>
      <c r="E367" s="131"/>
      <c r="F367" s="131"/>
      <c r="G367" s="131"/>
      <c r="H367" s="132"/>
      <c r="I367" s="20"/>
    </row>
    <row r="368" spans="1:9" ht="15" x14ac:dyDescent="0.3">
      <c r="A368" s="130" t="s">
        <v>191</v>
      </c>
      <c r="B368" s="131"/>
      <c r="C368" s="131"/>
      <c r="D368" s="131"/>
      <c r="E368" s="131"/>
      <c r="F368" s="131"/>
      <c r="G368" s="131"/>
      <c r="H368" s="132"/>
      <c r="I368" s="20"/>
    </row>
    <row r="369" spans="1:9" ht="15" x14ac:dyDescent="0.3">
      <c r="A369" s="130" t="s">
        <v>192</v>
      </c>
      <c r="B369" s="131"/>
      <c r="C369" s="131"/>
      <c r="D369" s="131"/>
      <c r="E369" s="131"/>
      <c r="F369" s="131"/>
      <c r="G369" s="131"/>
      <c r="H369" s="132"/>
      <c r="I369" s="20"/>
    </row>
    <row r="370" spans="1:9" ht="15.75" customHeight="1" x14ac:dyDescent="0.3">
      <c r="A370" s="130" t="s">
        <v>138</v>
      </c>
      <c r="B370" s="131"/>
      <c r="C370" s="131"/>
      <c r="D370" s="131"/>
      <c r="E370" s="131"/>
      <c r="F370" s="131"/>
      <c r="G370" s="131"/>
      <c r="H370" s="132"/>
      <c r="I370" s="20"/>
    </row>
    <row r="371" spans="1:9" ht="15.75" customHeight="1" x14ac:dyDescent="0.3">
      <c r="A371" s="19">
        <v>1</v>
      </c>
      <c r="B371" s="19" t="s">
        <v>129</v>
      </c>
      <c r="C371" s="19">
        <f>70.99*10.764</f>
        <v>764.13635999999985</v>
      </c>
      <c r="D371" s="133">
        <v>0</v>
      </c>
      <c r="E371" s="133">
        <f t="shared" ref="E371:E376" si="13">C371*1.6</f>
        <v>1222.6181759999997</v>
      </c>
      <c r="F371" s="134" t="str">
        <f>A370</f>
        <v>1st Floor</v>
      </c>
      <c r="G371" s="135"/>
      <c r="H371" s="136"/>
      <c r="I371" s="20"/>
    </row>
    <row r="372" spans="1:9" ht="15.5" x14ac:dyDescent="0.3">
      <c r="A372" s="19">
        <v>2</v>
      </c>
      <c r="B372" s="19" t="s">
        <v>129</v>
      </c>
      <c r="C372" s="19">
        <f>70.99*10.764</f>
        <v>764.13635999999985</v>
      </c>
      <c r="D372" s="133">
        <v>0</v>
      </c>
      <c r="E372" s="133">
        <f t="shared" si="13"/>
        <v>1222.6181759999997</v>
      </c>
      <c r="F372" s="137"/>
      <c r="G372" s="138"/>
      <c r="H372" s="139"/>
      <c r="I372" s="20"/>
    </row>
    <row r="373" spans="1:9" ht="15.75" customHeight="1" x14ac:dyDescent="0.3">
      <c r="A373" s="19">
        <v>3</v>
      </c>
      <c r="B373" s="19" t="s">
        <v>129</v>
      </c>
      <c r="C373" s="19">
        <f>63.45*10.764</f>
        <v>682.97579999999994</v>
      </c>
      <c r="D373" s="133">
        <v>0</v>
      </c>
      <c r="E373" s="133">
        <f t="shared" si="13"/>
        <v>1092.7612799999999</v>
      </c>
      <c r="F373" s="137"/>
      <c r="G373" s="138"/>
      <c r="H373" s="139"/>
      <c r="I373" s="20"/>
    </row>
    <row r="374" spans="1:9" ht="15.5" x14ac:dyDescent="0.3">
      <c r="A374" s="19">
        <v>4</v>
      </c>
      <c r="B374" s="19" t="s">
        <v>129</v>
      </c>
      <c r="C374" s="19">
        <f>63.45*10.764</f>
        <v>682.97579999999994</v>
      </c>
      <c r="D374" s="133">
        <v>0</v>
      </c>
      <c r="E374" s="133">
        <f t="shared" si="13"/>
        <v>1092.7612799999999</v>
      </c>
      <c r="F374" s="137"/>
      <c r="G374" s="138"/>
      <c r="H374" s="139"/>
      <c r="I374" s="20"/>
    </row>
    <row r="375" spans="1:9" ht="15.5" x14ac:dyDescent="0.3">
      <c r="A375" s="19">
        <v>5</v>
      </c>
      <c r="B375" s="19" t="s">
        <v>129</v>
      </c>
      <c r="C375" s="19">
        <f>62.09*10.764</f>
        <v>668.33676000000003</v>
      </c>
      <c r="D375" s="133">
        <v>0</v>
      </c>
      <c r="E375" s="133">
        <f t="shared" si="13"/>
        <v>1069.3388160000002</v>
      </c>
      <c r="F375" s="137"/>
      <c r="G375" s="138"/>
      <c r="H375" s="139"/>
      <c r="I375" s="20"/>
    </row>
    <row r="376" spans="1:9" ht="15.5" x14ac:dyDescent="0.3">
      <c r="A376" s="19">
        <v>6</v>
      </c>
      <c r="B376" s="19" t="s">
        <v>129</v>
      </c>
      <c r="C376" s="19">
        <f>62.1*10.764</f>
        <v>668.44439999999997</v>
      </c>
      <c r="D376" s="133">
        <v>0</v>
      </c>
      <c r="E376" s="133">
        <f t="shared" si="13"/>
        <v>1069.5110400000001</v>
      </c>
      <c r="F376" s="140"/>
      <c r="G376" s="141"/>
      <c r="H376" s="142"/>
      <c r="I376" s="20"/>
    </row>
    <row r="377" spans="1:9" ht="15.75" customHeight="1" x14ac:dyDescent="0.3">
      <c r="A377" s="130" t="s">
        <v>130</v>
      </c>
      <c r="B377" s="131"/>
      <c r="C377" s="131"/>
      <c r="D377" s="131"/>
      <c r="E377" s="131"/>
      <c r="F377" s="131"/>
      <c r="G377" s="131"/>
      <c r="H377" s="132"/>
      <c r="I377" s="20"/>
    </row>
    <row r="378" spans="1:9" ht="15.5" x14ac:dyDescent="0.3">
      <c r="A378" s="19">
        <v>1</v>
      </c>
      <c r="B378" s="19" t="s">
        <v>129</v>
      </c>
      <c r="C378" s="19">
        <f>70.99*10.764</f>
        <v>764.13635999999985</v>
      </c>
      <c r="D378" s="133">
        <v>0</v>
      </c>
      <c r="E378" s="133">
        <f t="shared" ref="E378:E383" si="14">C378*1.6</f>
        <v>1222.6181759999997</v>
      </c>
      <c r="F378" s="134" t="str">
        <f>A377</f>
        <v>2nd, 3rd, 6th to 10th, 13th to 17th, 20th to 24th, 27th to 31st, 34th to 38th Floor</v>
      </c>
      <c r="G378" s="135"/>
      <c r="H378" s="136"/>
      <c r="I378" s="20"/>
    </row>
    <row r="379" spans="1:9" ht="15.75" customHeight="1" x14ac:dyDescent="0.3">
      <c r="A379" s="19">
        <v>2</v>
      </c>
      <c r="B379" s="19" t="s">
        <v>129</v>
      </c>
      <c r="C379" s="19">
        <f>70.99*10.764</f>
        <v>764.13635999999985</v>
      </c>
      <c r="D379" s="133">
        <v>0</v>
      </c>
      <c r="E379" s="133">
        <f t="shared" si="14"/>
        <v>1222.6181759999997</v>
      </c>
      <c r="F379" s="137"/>
      <c r="G379" s="138"/>
      <c r="H379" s="139"/>
      <c r="I379" s="20"/>
    </row>
    <row r="380" spans="1:9" ht="15.5" x14ac:dyDescent="0.3">
      <c r="A380" s="19">
        <v>3</v>
      </c>
      <c r="B380" s="19" t="s">
        <v>129</v>
      </c>
      <c r="C380" s="19">
        <f>63.45*10.764</f>
        <v>682.97579999999994</v>
      </c>
      <c r="D380" s="133">
        <v>0</v>
      </c>
      <c r="E380" s="133">
        <f t="shared" si="14"/>
        <v>1092.7612799999999</v>
      </c>
      <c r="F380" s="137"/>
      <c r="G380" s="138"/>
      <c r="H380" s="139"/>
      <c r="I380" s="20"/>
    </row>
    <row r="381" spans="1:9" ht="15.75" customHeight="1" x14ac:dyDescent="0.3">
      <c r="A381" s="19">
        <v>4</v>
      </c>
      <c r="B381" s="19" t="s">
        <v>129</v>
      </c>
      <c r="C381" s="19">
        <f>63.45*10.764</f>
        <v>682.97579999999994</v>
      </c>
      <c r="D381" s="133">
        <v>0</v>
      </c>
      <c r="E381" s="133">
        <f t="shared" si="14"/>
        <v>1092.7612799999999</v>
      </c>
      <c r="F381" s="137"/>
      <c r="G381" s="138"/>
      <c r="H381" s="139"/>
      <c r="I381" s="20"/>
    </row>
    <row r="382" spans="1:9" ht="15.5" x14ac:dyDescent="0.3">
      <c r="A382" s="19">
        <v>5</v>
      </c>
      <c r="B382" s="19" t="s">
        <v>129</v>
      </c>
      <c r="C382" s="19">
        <f>62.09*10.764</f>
        <v>668.33676000000003</v>
      </c>
      <c r="D382" s="133">
        <v>0</v>
      </c>
      <c r="E382" s="133">
        <f t="shared" si="14"/>
        <v>1069.3388160000002</v>
      </c>
      <c r="F382" s="137"/>
      <c r="G382" s="138"/>
      <c r="H382" s="139"/>
      <c r="I382" s="20"/>
    </row>
    <row r="383" spans="1:9" ht="15.5" x14ac:dyDescent="0.3">
      <c r="A383" s="19">
        <v>6</v>
      </c>
      <c r="B383" s="19" t="s">
        <v>129</v>
      </c>
      <c r="C383" s="19">
        <f>62.1*10.764</f>
        <v>668.44439999999997</v>
      </c>
      <c r="D383" s="133">
        <v>0</v>
      </c>
      <c r="E383" s="133">
        <f t="shared" si="14"/>
        <v>1069.5110400000001</v>
      </c>
      <c r="F383" s="140"/>
      <c r="G383" s="141"/>
      <c r="H383" s="142"/>
      <c r="I383" s="20"/>
    </row>
    <row r="384" spans="1:9" ht="15" x14ac:dyDescent="0.3">
      <c r="A384" s="130" t="s">
        <v>182</v>
      </c>
      <c r="B384" s="131"/>
      <c r="C384" s="131"/>
      <c r="D384" s="131"/>
      <c r="E384" s="131"/>
      <c r="F384" s="131"/>
      <c r="G384" s="131"/>
      <c r="H384" s="132"/>
      <c r="I384" s="20"/>
    </row>
    <row r="385" spans="1:9" ht="15.75" customHeight="1" x14ac:dyDescent="0.3">
      <c r="A385" s="19">
        <v>1</v>
      </c>
      <c r="B385" s="19" t="s">
        <v>129</v>
      </c>
      <c r="C385" s="19">
        <f>70.99*10.764</f>
        <v>764.13635999999985</v>
      </c>
      <c r="D385" s="133">
        <v>0</v>
      </c>
      <c r="E385" s="133">
        <f>C385*1.6</f>
        <v>1222.6181759999997</v>
      </c>
      <c r="F385" s="134" t="str">
        <f>A384</f>
        <v>4th, 11th, 18th, 25th, 32nd Floor (Part Refuge Area)</v>
      </c>
      <c r="G385" s="135"/>
      <c r="H385" s="136"/>
      <c r="I385" s="20"/>
    </row>
    <row r="386" spans="1:9" ht="15.5" x14ac:dyDescent="0.3">
      <c r="A386" s="19">
        <v>2</v>
      </c>
      <c r="B386" s="19" t="s">
        <v>129</v>
      </c>
      <c r="C386" s="19">
        <f>70.99*10.764</f>
        <v>764.13635999999985</v>
      </c>
      <c r="D386" s="133">
        <v>0</v>
      </c>
      <c r="E386" s="133">
        <f>C386*1.6</f>
        <v>1222.6181759999997</v>
      </c>
      <c r="F386" s="137"/>
      <c r="G386" s="138"/>
      <c r="H386" s="139"/>
      <c r="I386" s="20"/>
    </row>
    <row r="387" spans="1:9" ht="15.75" customHeight="1" x14ac:dyDescent="0.3">
      <c r="A387" s="19">
        <v>3</v>
      </c>
      <c r="B387" s="19" t="s">
        <v>129</v>
      </c>
      <c r="C387" s="19">
        <f>63.45*10.764</f>
        <v>682.97579999999994</v>
      </c>
      <c r="D387" s="133">
        <v>0</v>
      </c>
      <c r="E387" s="133">
        <f>C387*1.6</f>
        <v>1092.7612799999999</v>
      </c>
      <c r="F387" s="137"/>
      <c r="G387" s="138"/>
      <c r="H387" s="139"/>
      <c r="I387" s="20"/>
    </row>
    <row r="388" spans="1:9" ht="15.5" x14ac:dyDescent="0.3">
      <c r="A388" s="19">
        <v>4</v>
      </c>
      <c r="B388" s="19" t="s">
        <v>129</v>
      </c>
      <c r="C388" s="19">
        <f>63.45*10.764</f>
        <v>682.97579999999994</v>
      </c>
      <c r="D388" s="133">
        <v>0</v>
      </c>
      <c r="E388" s="133">
        <f>C388*1.6</f>
        <v>1092.7612799999999</v>
      </c>
      <c r="F388" s="137"/>
      <c r="G388" s="138"/>
      <c r="H388" s="139"/>
      <c r="I388" s="20"/>
    </row>
    <row r="389" spans="1:9" ht="15.75" customHeight="1" x14ac:dyDescent="0.3">
      <c r="A389" s="19">
        <v>5</v>
      </c>
      <c r="B389" s="19" t="s">
        <v>129</v>
      </c>
      <c r="C389" s="19">
        <f>62.09*10.764</f>
        <v>668.33676000000003</v>
      </c>
      <c r="D389" s="133">
        <v>0</v>
      </c>
      <c r="E389" s="133">
        <f>C389*1.6</f>
        <v>1069.3388160000002</v>
      </c>
      <c r="F389" s="137"/>
      <c r="G389" s="138"/>
      <c r="H389" s="139"/>
      <c r="I389" s="20"/>
    </row>
    <row r="390" spans="1:9" ht="15.5" x14ac:dyDescent="0.3">
      <c r="A390" s="19">
        <v>6</v>
      </c>
      <c r="B390" s="133" t="s">
        <v>131</v>
      </c>
      <c r="C390" s="133"/>
      <c r="D390" s="133"/>
      <c r="E390" s="133"/>
      <c r="F390" s="140"/>
      <c r="G390" s="141"/>
      <c r="H390" s="142"/>
      <c r="I390" s="20"/>
    </row>
    <row r="391" spans="1:9" ht="15" x14ac:dyDescent="0.3">
      <c r="A391" s="130" t="s">
        <v>132</v>
      </c>
      <c r="B391" s="131"/>
      <c r="C391" s="131"/>
      <c r="D391" s="131"/>
      <c r="E391" s="131"/>
      <c r="F391" s="131"/>
      <c r="G391" s="131"/>
      <c r="H391" s="132"/>
      <c r="I391" s="20"/>
    </row>
    <row r="392" spans="1:9" ht="15.75" customHeight="1" x14ac:dyDescent="0.3">
      <c r="A392" s="19">
        <v>1</v>
      </c>
      <c r="B392" s="19" t="s">
        <v>129</v>
      </c>
      <c r="C392" s="19">
        <f>70.99*10.764</f>
        <v>764.13635999999985</v>
      </c>
      <c r="D392" s="133">
        <v>0</v>
      </c>
      <c r="E392" s="133">
        <f t="shared" ref="E392:E397" si="15">C392*1.6</f>
        <v>1222.6181759999997</v>
      </c>
      <c r="F392" s="134" t="str">
        <f>A391</f>
        <v>5th, 12th, 19th, 26th, 33rd Floor</v>
      </c>
      <c r="G392" s="135"/>
      <c r="H392" s="136"/>
      <c r="I392" s="20"/>
    </row>
    <row r="393" spans="1:9" ht="15.75" customHeight="1" x14ac:dyDescent="0.3">
      <c r="A393" s="19">
        <v>2</v>
      </c>
      <c r="B393" s="19" t="s">
        <v>129</v>
      </c>
      <c r="C393" s="19">
        <f>70.99*10.764</f>
        <v>764.13635999999985</v>
      </c>
      <c r="D393" s="133">
        <v>0</v>
      </c>
      <c r="E393" s="133">
        <f t="shared" si="15"/>
        <v>1222.6181759999997</v>
      </c>
      <c r="F393" s="137"/>
      <c r="G393" s="138"/>
      <c r="H393" s="139"/>
      <c r="I393" s="20"/>
    </row>
    <row r="394" spans="1:9" ht="15.5" x14ac:dyDescent="0.3">
      <c r="A394" s="19">
        <v>3</v>
      </c>
      <c r="B394" s="19" t="s">
        <v>129</v>
      </c>
      <c r="C394" s="19">
        <f>63.45*10.764</f>
        <v>682.97579999999994</v>
      </c>
      <c r="D394" s="133">
        <v>0</v>
      </c>
      <c r="E394" s="133">
        <f t="shared" si="15"/>
        <v>1092.7612799999999</v>
      </c>
      <c r="F394" s="137"/>
      <c r="G394" s="138"/>
      <c r="H394" s="139"/>
      <c r="I394" s="20"/>
    </row>
    <row r="395" spans="1:9" ht="15.75" customHeight="1" x14ac:dyDescent="0.3">
      <c r="A395" s="19">
        <v>4</v>
      </c>
      <c r="B395" s="19" t="s">
        <v>129</v>
      </c>
      <c r="C395" s="19">
        <f>63.45*10.764</f>
        <v>682.97579999999994</v>
      </c>
      <c r="D395" s="133">
        <v>0</v>
      </c>
      <c r="E395" s="133">
        <f t="shared" si="15"/>
        <v>1092.7612799999999</v>
      </c>
      <c r="F395" s="137"/>
      <c r="G395" s="138"/>
      <c r="H395" s="139"/>
      <c r="I395" s="20"/>
    </row>
    <row r="396" spans="1:9" ht="15.5" x14ac:dyDescent="0.3">
      <c r="A396" s="19">
        <v>5</v>
      </c>
      <c r="B396" s="19" t="s">
        <v>129</v>
      </c>
      <c r="C396" s="19">
        <f>62.09*10.764</f>
        <v>668.33676000000003</v>
      </c>
      <c r="D396" s="133">
        <v>0</v>
      </c>
      <c r="E396" s="133">
        <f t="shared" si="15"/>
        <v>1069.3388160000002</v>
      </c>
      <c r="F396" s="137"/>
      <c r="G396" s="138"/>
      <c r="H396" s="139"/>
      <c r="I396" s="20"/>
    </row>
    <row r="397" spans="1:9" ht="15.5" x14ac:dyDescent="0.3">
      <c r="A397" s="19">
        <v>6</v>
      </c>
      <c r="B397" s="19" t="s">
        <v>129</v>
      </c>
      <c r="C397" s="19">
        <f>62.1*10.764</f>
        <v>668.44439999999997</v>
      </c>
      <c r="D397" s="133">
        <v>0</v>
      </c>
      <c r="E397" s="133">
        <f t="shared" si="15"/>
        <v>1069.5110400000001</v>
      </c>
      <c r="F397" s="140"/>
      <c r="G397" s="141"/>
      <c r="H397" s="142"/>
      <c r="I397" s="20"/>
    </row>
    <row r="398" spans="1:9" ht="15.75" customHeight="1" x14ac:dyDescent="0.3">
      <c r="A398" s="130" t="s">
        <v>143</v>
      </c>
      <c r="B398" s="131"/>
      <c r="C398" s="131"/>
      <c r="D398" s="131"/>
      <c r="E398" s="131"/>
      <c r="F398" s="131"/>
      <c r="G398" s="131"/>
      <c r="H398" s="132"/>
      <c r="I398" s="20"/>
    </row>
    <row r="399" spans="1:9" ht="15.75" customHeight="1" x14ac:dyDescent="0.3">
      <c r="A399" s="130" t="s">
        <v>139</v>
      </c>
      <c r="B399" s="131"/>
      <c r="C399" s="131"/>
      <c r="D399" s="131"/>
      <c r="E399" s="131"/>
      <c r="F399" s="131"/>
      <c r="G399" s="131"/>
      <c r="H399" s="132"/>
      <c r="I399" s="20"/>
    </row>
    <row r="400" spans="1:9" ht="15.5" x14ac:dyDescent="0.3">
      <c r="A400" s="19">
        <v>1</v>
      </c>
      <c r="B400" s="19" t="s">
        <v>129</v>
      </c>
      <c r="C400" s="19">
        <f>70.99*10.764</f>
        <v>764.13635999999985</v>
      </c>
      <c r="D400" s="133">
        <v>0</v>
      </c>
      <c r="E400" s="133">
        <f t="shared" ref="E400:E405" si="16">C400*1.6</f>
        <v>1222.6181759999997</v>
      </c>
      <c r="F400" s="134" t="str">
        <f>A399</f>
        <v>39th Floor</v>
      </c>
      <c r="G400" s="135"/>
      <c r="H400" s="136"/>
      <c r="I400" s="20"/>
    </row>
    <row r="401" spans="1:9" ht="15.75" customHeight="1" x14ac:dyDescent="0.3">
      <c r="A401" s="19">
        <v>2</v>
      </c>
      <c r="B401" s="19" t="s">
        <v>129</v>
      </c>
      <c r="C401" s="19">
        <f>70.99*10.764</f>
        <v>764.13635999999985</v>
      </c>
      <c r="D401" s="133">
        <v>0</v>
      </c>
      <c r="E401" s="133">
        <f t="shared" si="16"/>
        <v>1222.6181759999997</v>
      </c>
      <c r="F401" s="137"/>
      <c r="G401" s="138"/>
      <c r="H401" s="139"/>
      <c r="I401" s="20"/>
    </row>
    <row r="402" spans="1:9" ht="15.5" x14ac:dyDescent="0.3">
      <c r="A402" s="19">
        <v>3</v>
      </c>
      <c r="B402" s="133" t="s">
        <v>131</v>
      </c>
      <c r="C402" s="133">
        <f>63.45*10.764</f>
        <v>682.97579999999994</v>
      </c>
      <c r="D402" s="133">
        <v>0</v>
      </c>
      <c r="E402" s="133">
        <f t="shared" si="16"/>
        <v>1092.7612799999999</v>
      </c>
      <c r="F402" s="137"/>
      <c r="G402" s="138"/>
      <c r="H402" s="139"/>
      <c r="I402" s="20"/>
    </row>
    <row r="403" spans="1:9" ht="15.5" x14ac:dyDescent="0.3">
      <c r="A403" s="19">
        <v>4</v>
      </c>
      <c r="B403" s="19" t="s">
        <v>129</v>
      </c>
      <c r="C403" s="19">
        <f>63.45*10.764</f>
        <v>682.97579999999994</v>
      </c>
      <c r="D403" s="133">
        <v>0</v>
      </c>
      <c r="E403" s="133">
        <f t="shared" si="16"/>
        <v>1092.7612799999999</v>
      </c>
      <c r="F403" s="137"/>
      <c r="G403" s="138"/>
      <c r="H403" s="139"/>
      <c r="I403" s="20"/>
    </row>
    <row r="404" spans="1:9" ht="15.5" x14ac:dyDescent="0.3">
      <c r="A404" s="19">
        <v>5</v>
      </c>
      <c r="B404" s="19" t="s">
        <v>129</v>
      </c>
      <c r="C404" s="19">
        <f>62.09*10.764</f>
        <v>668.33676000000003</v>
      </c>
      <c r="D404" s="133">
        <v>0</v>
      </c>
      <c r="E404" s="133">
        <f t="shared" si="16"/>
        <v>1069.3388160000002</v>
      </c>
      <c r="F404" s="137"/>
      <c r="G404" s="138"/>
      <c r="H404" s="139"/>
      <c r="I404" s="20"/>
    </row>
    <row r="405" spans="1:9" ht="15.75" customHeight="1" x14ac:dyDescent="0.3">
      <c r="A405" s="19">
        <v>6</v>
      </c>
      <c r="B405" s="133" t="s">
        <v>131</v>
      </c>
      <c r="C405" s="133">
        <f>62.1*10.764</f>
        <v>668.44439999999997</v>
      </c>
      <c r="D405" s="133">
        <v>0</v>
      </c>
      <c r="E405" s="133">
        <f t="shared" si="16"/>
        <v>1069.5110400000001</v>
      </c>
      <c r="F405" s="140"/>
      <c r="G405" s="141"/>
      <c r="H405" s="142"/>
      <c r="I405" s="20"/>
    </row>
    <row r="406" spans="1:9" ht="15" x14ac:dyDescent="0.3">
      <c r="A406" s="130" t="s">
        <v>145</v>
      </c>
      <c r="B406" s="131"/>
      <c r="C406" s="131"/>
      <c r="D406" s="131"/>
      <c r="E406" s="131"/>
      <c r="F406" s="131"/>
      <c r="G406" s="131"/>
      <c r="H406" s="132"/>
      <c r="I406" s="20"/>
    </row>
    <row r="407" spans="1:9" ht="15.75" customHeight="1" x14ac:dyDescent="0.3">
      <c r="A407" s="130" t="s">
        <v>140</v>
      </c>
      <c r="B407" s="131"/>
      <c r="C407" s="131"/>
      <c r="D407" s="131"/>
      <c r="E407" s="131"/>
      <c r="F407" s="131"/>
      <c r="G407" s="131"/>
      <c r="H407" s="132"/>
      <c r="I407" s="20"/>
    </row>
    <row r="408" spans="1:9" ht="15.5" x14ac:dyDescent="0.3">
      <c r="A408" s="19">
        <v>1</v>
      </c>
      <c r="B408" s="19" t="s">
        <v>183</v>
      </c>
      <c r="C408" s="19">
        <f>157*10.764</f>
        <v>1689.9479999999999</v>
      </c>
      <c r="D408" s="133">
        <v>0</v>
      </c>
      <c r="E408" s="133">
        <f>C408*1.6</f>
        <v>2703.9168</v>
      </c>
      <c r="F408" s="134" t="str">
        <f>A407</f>
        <v>40th Floor</v>
      </c>
      <c r="G408" s="135"/>
      <c r="H408" s="136"/>
      <c r="I408" s="20"/>
    </row>
    <row r="409" spans="1:9" ht="15.5" x14ac:dyDescent="0.3">
      <c r="A409" s="19">
        <v>3</v>
      </c>
      <c r="B409" s="19" t="s">
        <v>129</v>
      </c>
      <c r="C409" s="19">
        <f>63.45*10.764</f>
        <v>682.97579999999994</v>
      </c>
      <c r="D409" s="133">
        <v>0</v>
      </c>
      <c r="E409" s="133">
        <f>C409*1.6</f>
        <v>1092.7612799999999</v>
      </c>
      <c r="F409" s="137"/>
      <c r="G409" s="138"/>
      <c r="H409" s="139"/>
      <c r="I409" s="20"/>
    </row>
    <row r="410" spans="1:9" ht="15.75" customHeight="1" x14ac:dyDescent="0.3">
      <c r="A410" s="19">
        <v>4</v>
      </c>
      <c r="B410" s="19" t="s">
        <v>129</v>
      </c>
      <c r="C410" s="19">
        <f>63.45*10.764</f>
        <v>682.97579999999994</v>
      </c>
      <c r="D410" s="133">
        <v>0</v>
      </c>
      <c r="E410" s="133">
        <f>C410*1.6</f>
        <v>1092.7612799999999</v>
      </c>
      <c r="F410" s="137"/>
      <c r="G410" s="138"/>
      <c r="H410" s="139"/>
      <c r="I410" s="20"/>
    </row>
    <row r="411" spans="1:9" ht="15.75" customHeight="1" x14ac:dyDescent="0.3">
      <c r="A411" s="19">
        <v>5</v>
      </c>
      <c r="B411" s="19" t="s">
        <v>129</v>
      </c>
      <c r="C411" s="19">
        <f>62.09*10.764</f>
        <v>668.33676000000003</v>
      </c>
      <c r="D411" s="133">
        <v>0</v>
      </c>
      <c r="E411" s="133">
        <f>C411*1.6</f>
        <v>1069.3388160000002</v>
      </c>
      <c r="F411" s="137"/>
      <c r="G411" s="138"/>
      <c r="H411" s="139"/>
      <c r="I411" s="20"/>
    </row>
    <row r="412" spans="1:9" ht="15.75" customHeight="1" x14ac:dyDescent="0.3">
      <c r="A412" s="19">
        <v>6</v>
      </c>
      <c r="B412" s="19" t="s">
        <v>129</v>
      </c>
      <c r="C412" s="19">
        <f>62.1*10.764</f>
        <v>668.44439999999997</v>
      </c>
      <c r="D412" s="133">
        <v>0</v>
      </c>
      <c r="E412" s="133">
        <f>C412*1.6</f>
        <v>1069.5110400000001</v>
      </c>
      <c r="F412" s="140"/>
      <c r="G412" s="141"/>
      <c r="H412" s="142"/>
      <c r="I412" s="20"/>
    </row>
    <row r="413" spans="1:9" ht="15.75" customHeight="1" x14ac:dyDescent="0.3">
      <c r="A413" s="130" t="s">
        <v>141</v>
      </c>
      <c r="B413" s="131"/>
      <c r="C413" s="131"/>
      <c r="D413" s="131"/>
      <c r="E413" s="131"/>
      <c r="F413" s="131"/>
      <c r="G413" s="131"/>
      <c r="H413" s="132"/>
      <c r="I413" s="20"/>
    </row>
    <row r="414" spans="1:9" ht="15.75" customHeight="1" x14ac:dyDescent="0.3">
      <c r="A414" s="19">
        <v>1</v>
      </c>
      <c r="B414" s="19" t="s">
        <v>183</v>
      </c>
      <c r="C414" s="19">
        <f>157*10.764</f>
        <v>1689.9479999999999</v>
      </c>
      <c r="D414" s="133">
        <v>0</v>
      </c>
      <c r="E414" s="133">
        <f>C414*1.6</f>
        <v>2703.9168</v>
      </c>
      <c r="F414" s="134" t="str">
        <f>A413</f>
        <v>41st To 45th &amp; 48th To 50th Floor</v>
      </c>
      <c r="G414" s="135"/>
      <c r="H414" s="136"/>
      <c r="I414" s="20"/>
    </row>
    <row r="415" spans="1:9" ht="15.75" customHeight="1" x14ac:dyDescent="0.3">
      <c r="A415" s="19">
        <v>3</v>
      </c>
      <c r="B415" s="19" t="s">
        <v>129</v>
      </c>
      <c r="C415" s="19">
        <f>63.45*10.764</f>
        <v>682.97579999999994</v>
      </c>
      <c r="D415" s="133">
        <v>0</v>
      </c>
      <c r="E415" s="133">
        <f>C415*1.6</f>
        <v>1092.7612799999999</v>
      </c>
      <c r="F415" s="137"/>
      <c r="G415" s="138"/>
      <c r="H415" s="139"/>
      <c r="I415" s="20"/>
    </row>
    <row r="416" spans="1:9" ht="15.75" customHeight="1" x14ac:dyDescent="0.3">
      <c r="A416" s="19">
        <v>4</v>
      </c>
      <c r="B416" s="19" t="s">
        <v>129</v>
      </c>
      <c r="C416" s="19">
        <f>63.45*10.764</f>
        <v>682.97579999999994</v>
      </c>
      <c r="D416" s="133">
        <v>0</v>
      </c>
      <c r="E416" s="133">
        <f>C416*1.6</f>
        <v>1092.7612799999999</v>
      </c>
      <c r="F416" s="137"/>
      <c r="G416" s="138"/>
      <c r="H416" s="139"/>
      <c r="I416" s="20"/>
    </row>
    <row r="417" spans="1:11" ht="15.75" customHeight="1" x14ac:dyDescent="0.3">
      <c r="A417" s="19">
        <v>5</v>
      </c>
      <c r="B417" s="19" t="s">
        <v>129</v>
      </c>
      <c r="C417" s="19">
        <f>62.09*10.764</f>
        <v>668.33676000000003</v>
      </c>
      <c r="D417" s="133">
        <v>0</v>
      </c>
      <c r="E417" s="133">
        <f>C417*1.6</f>
        <v>1069.3388160000002</v>
      </c>
      <c r="F417" s="137"/>
      <c r="G417" s="138"/>
      <c r="H417" s="139"/>
      <c r="I417" s="20"/>
    </row>
    <row r="418" spans="1:11" ht="15.75" customHeight="1" x14ac:dyDescent="0.3">
      <c r="A418" s="19">
        <v>6</v>
      </c>
      <c r="B418" s="19" t="s">
        <v>129</v>
      </c>
      <c r="C418" s="19">
        <f>62.1*10.764</f>
        <v>668.44439999999997</v>
      </c>
      <c r="D418" s="133">
        <v>0</v>
      </c>
      <c r="E418" s="133">
        <f>C418*1.6</f>
        <v>1069.5110400000001</v>
      </c>
      <c r="F418" s="140"/>
      <c r="G418" s="141"/>
      <c r="H418" s="142"/>
      <c r="I418" s="20"/>
    </row>
    <row r="419" spans="1:11" ht="15.75" customHeight="1" x14ac:dyDescent="0.3">
      <c r="A419" s="130" t="s">
        <v>193</v>
      </c>
      <c r="B419" s="131"/>
      <c r="C419" s="131"/>
      <c r="D419" s="131"/>
      <c r="E419" s="131"/>
      <c r="F419" s="131"/>
      <c r="G419" s="131"/>
      <c r="H419" s="132"/>
      <c r="I419" s="20"/>
    </row>
    <row r="420" spans="1:11" ht="15.75" customHeight="1" x14ac:dyDescent="0.3">
      <c r="A420" s="19">
        <v>1</v>
      </c>
      <c r="B420" s="19" t="s">
        <v>183</v>
      </c>
      <c r="C420" s="19">
        <f>157*10.764</f>
        <v>1689.9479999999999</v>
      </c>
      <c r="D420" s="133">
        <v>0</v>
      </c>
      <c r="E420" s="133">
        <f>C420*1.6</f>
        <v>2703.9168</v>
      </c>
      <c r="F420" s="134" t="str">
        <f>A419</f>
        <v>46th Floor (Part Refuge Area)</v>
      </c>
      <c r="G420" s="135"/>
      <c r="H420" s="136"/>
      <c r="I420" s="20"/>
    </row>
    <row r="421" spans="1:11" ht="15.5" x14ac:dyDescent="0.3">
      <c r="A421" s="19">
        <v>3</v>
      </c>
      <c r="B421" s="19" t="s">
        <v>129</v>
      </c>
      <c r="C421" s="19">
        <f>63.45*10.764</f>
        <v>682.97579999999994</v>
      </c>
      <c r="D421" s="133">
        <v>0</v>
      </c>
      <c r="E421" s="133">
        <f>C421*1.6</f>
        <v>1092.7612799999999</v>
      </c>
      <c r="F421" s="137"/>
      <c r="G421" s="138"/>
      <c r="H421" s="139"/>
      <c r="I421" s="20"/>
    </row>
    <row r="422" spans="1:11" ht="15.5" x14ac:dyDescent="0.3">
      <c r="A422" s="19">
        <v>4</v>
      </c>
      <c r="B422" s="19" t="s">
        <v>129</v>
      </c>
      <c r="C422" s="19">
        <f>63.45*10.764</f>
        <v>682.97579999999994</v>
      </c>
      <c r="D422" s="133">
        <v>0</v>
      </c>
      <c r="E422" s="133">
        <f>C422*1.6</f>
        <v>1092.7612799999999</v>
      </c>
      <c r="F422" s="137"/>
      <c r="G422" s="138"/>
      <c r="H422" s="139"/>
      <c r="I422" s="20"/>
    </row>
    <row r="423" spans="1:11" ht="15.75" customHeight="1" x14ac:dyDescent="0.3">
      <c r="A423" s="19">
        <v>5</v>
      </c>
      <c r="B423" s="19" t="s">
        <v>129</v>
      </c>
      <c r="C423" s="19">
        <f>62.09*10.764</f>
        <v>668.33676000000003</v>
      </c>
      <c r="D423" s="133">
        <v>0</v>
      </c>
      <c r="E423" s="133">
        <f>C423*1.6</f>
        <v>1069.3388160000002</v>
      </c>
      <c r="F423" s="137"/>
      <c r="G423" s="138"/>
      <c r="H423" s="139"/>
      <c r="I423" s="20"/>
    </row>
    <row r="424" spans="1:11" ht="15.5" x14ac:dyDescent="0.3">
      <c r="A424" s="19">
        <v>6</v>
      </c>
      <c r="B424" s="133" t="s">
        <v>131</v>
      </c>
      <c r="C424" s="133">
        <f>62.1*10.764</f>
        <v>668.44439999999997</v>
      </c>
      <c r="D424" s="133">
        <v>0</v>
      </c>
      <c r="E424" s="133">
        <f>C424*1.6</f>
        <v>1069.5110400000001</v>
      </c>
      <c r="F424" s="140"/>
      <c r="G424" s="141"/>
      <c r="H424" s="142"/>
      <c r="I424" s="20"/>
    </row>
    <row r="425" spans="1:11" ht="15" x14ac:dyDescent="0.3">
      <c r="A425" s="130" t="s">
        <v>142</v>
      </c>
      <c r="B425" s="131"/>
      <c r="C425" s="131"/>
      <c r="D425" s="131"/>
      <c r="E425" s="131"/>
      <c r="F425" s="131"/>
      <c r="G425" s="131"/>
      <c r="H425" s="132"/>
      <c r="I425" s="20"/>
    </row>
    <row r="426" spans="1:11" ht="15.75" customHeight="1" x14ac:dyDescent="0.3">
      <c r="A426" s="19">
        <v>1</v>
      </c>
      <c r="B426" s="19" t="s">
        <v>183</v>
      </c>
      <c r="C426" s="19">
        <f>157*10.764</f>
        <v>1689.9479999999999</v>
      </c>
      <c r="D426" s="133">
        <v>0</v>
      </c>
      <c r="E426" s="133">
        <f>C426*1.6</f>
        <v>2703.9168</v>
      </c>
      <c r="F426" s="134" t="str">
        <f>A425</f>
        <v>47th Floor</v>
      </c>
      <c r="G426" s="135"/>
      <c r="H426" s="136"/>
      <c r="I426" s="20"/>
    </row>
    <row r="427" spans="1:11" ht="15.75" customHeight="1" x14ac:dyDescent="0.3">
      <c r="A427" s="19">
        <v>3</v>
      </c>
      <c r="B427" s="19" t="s">
        <v>129</v>
      </c>
      <c r="C427" s="19">
        <f>63.45*10.764</f>
        <v>682.97579999999994</v>
      </c>
      <c r="D427" s="133">
        <v>0</v>
      </c>
      <c r="E427" s="133">
        <f>C427*1.6</f>
        <v>1092.7612799999999</v>
      </c>
      <c r="F427" s="137"/>
      <c r="G427" s="138"/>
      <c r="H427" s="139"/>
      <c r="I427" s="20"/>
    </row>
    <row r="428" spans="1:11" ht="15.5" x14ac:dyDescent="0.3">
      <c r="A428" s="19">
        <v>4</v>
      </c>
      <c r="B428" s="19" t="s">
        <v>129</v>
      </c>
      <c r="C428" s="19">
        <f>63.45*10.764</f>
        <v>682.97579999999994</v>
      </c>
      <c r="D428" s="133">
        <v>0</v>
      </c>
      <c r="E428" s="133">
        <f>C428*1.6</f>
        <v>1092.7612799999999</v>
      </c>
      <c r="F428" s="137"/>
      <c r="G428" s="138"/>
      <c r="H428" s="139"/>
      <c r="I428" s="20"/>
    </row>
    <row r="429" spans="1:11" ht="15.5" x14ac:dyDescent="0.3">
      <c r="A429" s="19">
        <v>5</v>
      </c>
      <c r="B429" s="19" t="s">
        <v>129</v>
      </c>
      <c r="C429" s="19">
        <f>62.09*10.764</f>
        <v>668.33676000000003</v>
      </c>
      <c r="D429" s="133">
        <v>0</v>
      </c>
      <c r="E429" s="133">
        <f>C429*1.6</f>
        <v>1069.3388160000002</v>
      </c>
      <c r="F429" s="137"/>
      <c r="G429" s="138"/>
      <c r="H429" s="139"/>
      <c r="I429" s="20"/>
    </row>
    <row r="430" spans="1:11" ht="15.75" customHeight="1" x14ac:dyDescent="0.3">
      <c r="A430" s="19">
        <v>6</v>
      </c>
      <c r="B430" s="19" t="s">
        <v>129</v>
      </c>
      <c r="C430" s="19">
        <f>62.1*10.764</f>
        <v>668.44439999999997</v>
      </c>
      <c r="D430" s="133">
        <v>0</v>
      </c>
      <c r="E430" s="133">
        <f>C430*1.6</f>
        <v>1069.5110400000001</v>
      </c>
      <c r="F430" s="140"/>
      <c r="G430" s="141"/>
      <c r="H430" s="142"/>
      <c r="I430" s="20" t="s">
        <v>283</v>
      </c>
    </row>
    <row r="431" spans="1:11" ht="15" x14ac:dyDescent="0.3">
      <c r="A431" s="187" t="s">
        <v>198</v>
      </c>
      <c r="B431" s="188"/>
      <c r="C431" s="188"/>
      <c r="D431" s="188"/>
      <c r="E431" s="188"/>
      <c r="F431" s="188"/>
      <c r="G431" s="188"/>
      <c r="H431" s="189"/>
      <c r="I431" s="77">
        <f>21500000/C452</f>
        <v>32226.504300244782</v>
      </c>
      <c r="J431">
        <f>(26500+160*14)*C452+SUM(E137:H142)</f>
        <v>21148969.172799997</v>
      </c>
      <c r="K431">
        <f>(27000+170*14)*C452+SUM(E137:H142)</f>
        <v>21575946.913599998</v>
      </c>
    </row>
    <row r="432" spans="1:11" ht="15" x14ac:dyDescent="0.3">
      <c r="A432" s="130" t="s">
        <v>185</v>
      </c>
      <c r="B432" s="131"/>
      <c r="C432" s="131"/>
      <c r="D432" s="131"/>
      <c r="E432" s="131"/>
      <c r="F432" s="131"/>
      <c r="G432" s="131"/>
      <c r="H432" s="132"/>
      <c r="I432" s="20"/>
    </row>
    <row r="433" spans="1:9" ht="15.75" customHeight="1" x14ac:dyDescent="0.3">
      <c r="A433" s="130" t="s">
        <v>186</v>
      </c>
      <c r="B433" s="131"/>
      <c r="C433" s="131"/>
      <c r="D433" s="131"/>
      <c r="E433" s="131"/>
      <c r="F433" s="131"/>
      <c r="G433" s="131"/>
      <c r="H433" s="132"/>
      <c r="I433" s="20"/>
    </row>
    <row r="434" spans="1:9" ht="15.75" customHeight="1" x14ac:dyDescent="0.3">
      <c r="A434" s="130" t="s">
        <v>187</v>
      </c>
      <c r="B434" s="131"/>
      <c r="C434" s="131"/>
      <c r="D434" s="131"/>
      <c r="E434" s="131"/>
      <c r="F434" s="131"/>
      <c r="G434" s="131"/>
      <c r="H434" s="132"/>
      <c r="I434" s="20"/>
    </row>
    <row r="435" spans="1:9" ht="15" x14ac:dyDescent="0.3">
      <c r="A435" s="130" t="s">
        <v>188</v>
      </c>
      <c r="B435" s="131"/>
      <c r="C435" s="131"/>
      <c r="D435" s="131"/>
      <c r="E435" s="131"/>
      <c r="F435" s="131"/>
      <c r="G435" s="131"/>
      <c r="H435" s="132"/>
      <c r="I435" s="20"/>
    </row>
    <row r="436" spans="1:9" ht="15" x14ac:dyDescent="0.3">
      <c r="A436" s="130" t="s">
        <v>189</v>
      </c>
      <c r="B436" s="131"/>
      <c r="C436" s="131"/>
      <c r="D436" s="131"/>
      <c r="E436" s="131"/>
      <c r="F436" s="131"/>
      <c r="G436" s="131"/>
      <c r="H436" s="132"/>
      <c r="I436" s="20"/>
    </row>
    <row r="437" spans="1:9" ht="15.75" customHeight="1" x14ac:dyDescent="0.3">
      <c r="A437" s="130" t="s">
        <v>190</v>
      </c>
      <c r="B437" s="131"/>
      <c r="C437" s="131"/>
      <c r="D437" s="131"/>
      <c r="E437" s="131"/>
      <c r="F437" s="131"/>
      <c r="G437" s="131"/>
      <c r="H437" s="132"/>
      <c r="I437" s="20"/>
    </row>
    <row r="438" spans="1:9" ht="15" x14ac:dyDescent="0.3">
      <c r="A438" s="130" t="s">
        <v>191</v>
      </c>
      <c r="B438" s="131"/>
      <c r="C438" s="131"/>
      <c r="D438" s="131"/>
      <c r="E438" s="131"/>
      <c r="F438" s="131"/>
      <c r="G438" s="131"/>
      <c r="H438" s="132"/>
      <c r="I438" s="20"/>
    </row>
    <row r="439" spans="1:9" ht="15" x14ac:dyDescent="0.3">
      <c r="A439" s="130" t="s">
        <v>192</v>
      </c>
      <c r="B439" s="131"/>
      <c r="C439" s="131"/>
      <c r="D439" s="131"/>
      <c r="E439" s="131"/>
      <c r="F439" s="131"/>
      <c r="G439" s="131"/>
      <c r="H439" s="132"/>
      <c r="I439" s="20"/>
    </row>
    <row r="440" spans="1:9" ht="15.75" customHeight="1" x14ac:dyDescent="0.3">
      <c r="A440" s="130" t="s">
        <v>138</v>
      </c>
      <c r="B440" s="131"/>
      <c r="C440" s="131"/>
      <c r="D440" s="131"/>
      <c r="E440" s="131"/>
      <c r="F440" s="131"/>
      <c r="G440" s="131"/>
      <c r="H440" s="132"/>
      <c r="I440" s="20"/>
    </row>
    <row r="441" spans="1:9" ht="15.75" customHeight="1" x14ac:dyDescent="0.3">
      <c r="A441" s="19">
        <v>1</v>
      </c>
      <c r="B441" s="19" t="s">
        <v>146</v>
      </c>
      <c r="C441" s="19">
        <f>47.46*10.764</f>
        <v>510.85944000000001</v>
      </c>
      <c r="D441" s="133">
        <v>0</v>
      </c>
      <c r="E441" s="133">
        <f t="shared" ref="E441:E446" si="17">C441*1.6</f>
        <v>817.37510400000008</v>
      </c>
      <c r="F441" s="134" t="str">
        <f>A440</f>
        <v>1st Floor</v>
      </c>
      <c r="G441" s="135"/>
      <c r="H441" s="136"/>
      <c r="I441" s="20"/>
    </row>
    <row r="442" spans="1:9" ht="15.5" x14ac:dyDescent="0.3">
      <c r="A442" s="19">
        <v>2</v>
      </c>
      <c r="B442" s="19" t="s">
        <v>146</v>
      </c>
      <c r="C442" s="19">
        <f>47.46*10.764</f>
        <v>510.85944000000001</v>
      </c>
      <c r="D442" s="133">
        <v>0</v>
      </c>
      <c r="E442" s="133">
        <f t="shared" si="17"/>
        <v>817.37510400000008</v>
      </c>
      <c r="F442" s="137"/>
      <c r="G442" s="138"/>
      <c r="H442" s="139"/>
      <c r="I442" s="20"/>
    </row>
    <row r="443" spans="1:9" ht="15.5" x14ac:dyDescent="0.3">
      <c r="A443" s="19">
        <v>3</v>
      </c>
      <c r="B443" s="19" t="s">
        <v>146</v>
      </c>
      <c r="C443" s="19">
        <f>47.46*10.764</f>
        <v>510.85944000000001</v>
      </c>
      <c r="D443" s="133">
        <v>0</v>
      </c>
      <c r="E443" s="133">
        <f t="shared" si="17"/>
        <v>817.37510400000008</v>
      </c>
      <c r="F443" s="137"/>
      <c r="G443" s="138"/>
      <c r="H443" s="139"/>
      <c r="I443" s="20"/>
    </row>
    <row r="444" spans="1:9" ht="15.75" customHeight="1" x14ac:dyDescent="0.3">
      <c r="A444" s="19">
        <v>4</v>
      </c>
      <c r="B444" s="19" t="s">
        <v>146</v>
      </c>
      <c r="C444" s="19">
        <f>47.46*10.764</f>
        <v>510.85944000000001</v>
      </c>
      <c r="D444" s="133">
        <v>0</v>
      </c>
      <c r="E444" s="133">
        <f t="shared" si="17"/>
        <v>817.37510400000008</v>
      </c>
      <c r="F444" s="137"/>
      <c r="G444" s="138"/>
      <c r="H444" s="139"/>
      <c r="I444" s="20"/>
    </row>
    <row r="445" spans="1:9" ht="15.5" x14ac:dyDescent="0.3">
      <c r="A445" s="19">
        <v>5</v>
      </c>
      <c r="B445" s="19" t="s">
        <v>129</v>
      </c>
      <c r="C445" s="19">
        <f>61.98*10.764</f>
        <v>667.15271999999993</v>
      </c>
      <c r="D445" s="133">
        <v>0</v>
      </c>
      <c r="E445" s="133">
        <f t="shared" si="17"/>
        <v>1067.444352</v>
      </c>
      <c r="F445" s="137"/>
      <c r="G445" s="138"/>
      <c r="H445" s="139"/>
      <c r="I445" s="20"/>
    </row>
    <row r="446" spans="1:9" ht="15.5" x14ac:dyDescent="0.3">
      <c r="A446" s="19">
        <v>6</v>
      </c>
      <c r="B446" s="19" t="s">
        <v>129</v>
      </c>
      <c r="C446" s="19">
        <f>61.99*10.764</f>
        <v>667.26035999999999</v>
      </c>
      <c r="D446" s="133">
        <v>0</v>
      </c>
      <c r="E446" s="133">
        <f t="shared" si="17"/>
        <v>1067.6165760000001</v>
      </c>
      <c r="F446" s="140"/>
      <c r="G446" s="141"/>
      <c r="H446" s="142"/>
      <c r="I446" s="20"/>
    </row>
    <row r="447" spans="1:9" ht="15.75" customHeight="1" x14ac:dyDescent="0.3">
      <c r="A447" s="130" t="s">
        <v>184</v>
      </c>
      <c r="B447" s="131"/>
      <c r="C447" s="131"/>
      <c r="D447" s="131"/>
      <c r="E447" s="131"/>
      <c r="F447" s="131"/>
      <c r="G447" s="131"/>
      <c r="H447" s="132"/>
      <c r="I447" s="20"/>
    </row>
    <row r="448" spans="1:9" ht="15.5" x14ac:dyDescent="0.3">
      <c r="A448" s="19">
        <v>1</v>
      </c>
      <c r="B448" s="19" t="s">
        <v>146</v>
      </c>
      <c r="C448" s="19">
        <f>47.46*10.764</f>
        <v>510.85944000000001</v>
      </c>
      <c r="D448" s="133">
        <v>0</v>
      </c>
      <c r="E448" s="133">
        <f t="shared" ref="E448:E453" si="18">C448*1.6</f>
        <v>817.37510400000008</v>
      </c>
      <c r="F448" s="134" t="str">
        <f>A447</f>
        <v>2nd, 3rd, 6th to 10th, 13th to 17th, 20th to 24th, 27th to 31st Floor</v>
      </c>
      <c r="G448" s="135"/>
      <c r="H448" s="136"/>
      <c r="I448" s="20"/>
    </row>
    <row r="449" spans="1:9" ht="15.75" customHeight="1" x14ac:dyDescent="0.3">
      <c r="A449" s="19">
        <v>2</v>
      </c>
      <c r="B449" s="19" t="s">
        <v>146</v>
      </c>
      <c r="C449" s="19">
        <f>47.46*10.764</f>
        <v>510.85944000000001</v>
      </c>
      <c r="D449" s="133">
        <v>0</v>
      </c>
      <c r="E449" s="133">
        <f t="shared" si="18"/>
        <v>817.37510400000008</v>
      </c>
      <c r="F449" s="137"/>
      <c r="G449" s="138"/>
      <c r="H449" s="139"/>
      <c r="I449" s="20"/>
    </row>
    <row r="450" spans="1:9" ht="15.5" x14ac:dyDescent="0.3">
      <c r="A450" s="19">
        <v>3</v>
      </c>
      <c r="B450" s="19" t="s">
        <v>146</v>
      </c>
      <c r="C450" s="19">
        <f>47.46*10.764</f>
        <v>510.85944000000001</v>
      </c>
      <c r="D450" s="133">
        <v>0</v>
      </c>
      <c r="E450" s="133">
        <f t="shared" si="18"/>
        <v>817.37510400000008</v>
      </c>
      <c r="F450" s="137"/>
      <c r="G450" s="138"/>
      <c r="H450" s="139"/>
      <c r="I450" s="20"/>
    </row>
    <row r="451" spans="1:9" ht="15.5" x14ac:dyDescent="0.3">
      <c r="A451" s="19">
        <v>4</v>
      </c>
      <c r="B451" s="19" t="s">
        <v>146</v>
      </c>
      <c r="C451" s="19">
        <f>47.46*10.764</f>
        <v>510.85944000000001</v>
      </c>
      <c r="D451" s="133">
        <v>0</v>
      </c>
      <c r="E451" s="133">
        <f t="shared" si="18"/>
        <v>817.37510400000008</v>
      </c>
      <c r="F451" s="137"/>
      <c r="G451" s="138"/>
      <c r="H451" s="139"/>
      <c r="I451" s="20"/>
    </row>
    <row r="452" spans="1:9" ht="15.75" customHeight="1" x14ac:dyDescent="0.3">
      <c r="A452" s="19">
        <v>5</v>
      </c>
      <c r="B452" s="19" t="s">
        <v>129</v>
      </c>
      <c r="C452" s="19">
        <f>61.98*10.764</f>
        <v>667.15271999999993</v>
      </c>
      <c r="D452" s="133">
        <v>0</v>
      </c>
      <c r="E452" s="133">
        <f t="shared" si="18"/>
        <v>1067.444352</v>
      </c>
      <c r="F452" s="137"/>
      <c r="G452" s="138"/>
      <c r="H452" s="139"/>
      <c r="I452" s="20"/>
    </row>
    <row r="453" spans="1:9" ht="15.5" x14ac:dyDescent="0.3">
      <c r="A453" s="19">
        <v>6</v>
      </c>
      <c r="B453" s="19" t="s">
        <v>129</v>
      </c>
      <c r="C453" s="19">
        <f>61.99*10.764</f>
        <v>667.26035999999999</v>
      </c>
      <c r="D453" s="133">
        <v>0</v>
      </c>
      <c r="E453" s="133">
        <f t="shared" si="18"/>
        <v>1067.6165760000001</v>
      </c>
      <c r="F453" s="140"/>
      <c r="G453" s="141"/>
      <c r="H453" s="142"/>
      <c r="I453" s="20"/>
    </row>
    <row r="454" spans="1:9" ht="15" x14ac:dyDescent="0.3">
      <c r="A454" s="130" t="s">
        <v>182</v>
      </c>
      <c r="B454" s="131"/>
      <c r="C454" s="131"/>
      <c r="D454" s="131"/>
      <c r="E454" s="131"/>
      <c r="F454" s="131"/>
      <c r="G454" s="131"/>
      <c r="H454" s="132"/>
      <c r="I454" s="20"/>
    </row>
    <row r="455" spans="1:9" ht="15.75" customHeight="1" x14ac:dyDescent="0.3">
      <c r="A455" s="19">
        <v>1</v>
      </c>
      <c r="B455" s="19" t="s">
        <v>146</v>
      </c>
      <c r="C455" s="19">
        <f>47.46*10.764</f>
        <v>510.85944000000001</v>
      </c>
      <c r="D455" s="133">
        <v>0</v>
      </c>
      <c r="E455" s="133">
        <f t="shared" ref="E455:E460" si="19">C455*1.6</f>
        <v>817.37510400000008</v>
      </c>
      <c r="F455" s="134" t="str">
        <f>A454</f>
        <v>4th, 11th, 18th, 25th, 32nd Floor (Part Refuge Area)</v>
      </c>
      <c r="G455" s="135"/>
      <c r="H455" s="136"/>
      <c r="I455" s="20"/>
    </row>
    <row r="456" spans="1:9" ht="15.75" customHeight="1" x14ac:dyDescent="0.3">
      <c r="A456" s="19">
        <v>2</v>
      </c>
      <c r="B456" s="19" t="s">
        <v>146</v>
      </c>
      <c r="C456" s="19">
        <f>47.46*10.764</f>
        <v>510.85944000000001</v>
      </c>
      <c r="D456" s="133">
        <v>0</v>
      </c>
      <c r="E456" s="133">
        <f t="shared" si="19"/>
        <v>817.37510400000008</v>
      </c>
      <c r="F456" s="137"/>
      <c r="G456" s="138"/>
      <c r="H456" s="139"/>
      <c r="I456" s="20"/>
    </row>
    <row r="457" spans="1:9" ht="15.5" x14ac:dyDescent="0.3">
      <c r="A457" s="19">
        <v>3</v>
      </c>
      <c r="B457" s="19" t="s">
        <v>146</v>
      </c>
      <c r="C457" s="19">
        <f>47.46*10.764</f>
        <v>510.85944000000001</v>
      </c>
      <c r="D457" s="133">
        <v>0</v>
      </c>
      <c r="E457" s="133">
        <f t="shared" si="19"/>
        <v>817.37510400000008</v>
      </c>
      <c r="F457" s="137"/>
      <c r="G457" s="138"/>
      <c r="H457" s="139"/>
      <c r="I457" s="20"/>
    </row>
    <row r="458" spans="1:9" ht="15.5" x14ac:dyDescent="0.3">
      <c r="A458" s="19">
        <v>4</v>
      </c>
      <c r="B458" s="19" t="s">
        <v>146</v>
      </c>
      <c r="C458" s="19">
        <f>47.46*10.764</f>
        <v>510.85944000000001</v>
      </c>
      <c r="D458" s="133">
        <v>0</v>
      </c>
      <c r="E458" s="133">
        <f t="shared" si="19"/>
        <v>817.37510400000008</v>
      </c>
      <c r="F458" s="137"/>
      <c r="G458" s="138"/>
      <c r="H458" s="139"/>
      <c r="I458" s="20"/>
    </row>
    <row r="459" spans="1:9" ht="15.75" customHeight="1" x14ac:dyDescent="0.3">
      <c r="A459" s="19">
        <v>5</v>
      </c>
      <c r="B459" s="19" t="s">
        <v>129</v>
      </c>
      <c r="C459" s="19">
        <f>61.98*10.764</f>
        <v>667.15271999999993</v>
      </c>
      <c r="D459" s="133">
        <v>0</v>
      </c>
      <c r="E459" s="133">
        <f t="shared" si="19"/>
        <v>1067.444352</v>
      </c>
      <c r="F459" s="137"/>
      <c r="G459" s="138"/>
      <c r="H459" s="139"/>
      <c r="I459" s="20"/>
    </row>
    <row r="460" spans="1:9" ht="15.5" x14ac:dyDescent="0.3">
      <c r="A460" s="19">
        <v>6</v>
      </c>
      <c r="B460" s="133" t="s">
        <v>131</v>
      </c>
      <c r="C460" s="133">
        <f>61.99*10.764</f>
        <v>667.26035999999999</v>
      </c>
      <c r="D460" s="133">
        <v>0</v>
      </c>
      <c r="E460" s="133">
        <f t="shared" si="19"/>
        <v>1067.6165760000001</v>
      </c>
      <c r="F460" s="140"/>
      <c r="G460" s="141"/>
      <c r="H460" s="142"/>
      <c r="I460" s="20"/>
    </row>
    <row r="461" spans="1:9" ht="15.65" customHeight="1" x14ac:dyDescent="0.3">
      <c r="A461" s="130" t="s">
        <v>149</v>
      </c>
      <c r="B461" s="131"/>
      <c r="C461" s="131"/>
      <c r="D461" s="131"/>
      <c r="E461" s="131"/>
      <c r="F461" s="131"/>
      <c r="G461" s="131"/>
      <c r="H461" s="132"/>
      <c r="I461" s="20"/>
    </row>
    <row r="462" spans="1:9" ht="15.75" customHeight="1" x14ac:dyDescent="0.3">
      <c r="A462" s="19">
        <v>1</v>
      </c>
      <c r="B462" s="19" t="s">
        <v>146</v>
      </c>
      <c r="C462" s="19">
        <f>47.46*10.764</f>
        <v>510.85944000000001</v>
      </c>
      <c r="D462" s="133">
        <v>0</v>
      </c>
      <c r="E462" s="133">
        <f t="shared" ref="E462:E467" si="20">C462*1.6</f>
        <v>817.37510400000008</v>
      </c>
      <c r="F462" s="134" t="str">
        <f>A461</f>
        <v>5th, 12th, 19th &amp; 26th Floor</v>
      </c>
      <c r="G462" s="135"/>
      <c r="H462" s="136"/>
      <c r="I462" s="20"/>
    </row>
    <row r="463" spans="1:9" ht="15.75" customHeight="1" x14ac:dyDescent="0.3">
      <c r="A463" s="19">
        <v>2</v>
      </c>
      <c r="B463" s="19" t="s">
        <v>146</v>
      </c>
      <c r="C463" s="19">
        <f>47.46*10.764</f>
        <v>510.85944000000001</v>
      </c>
      <c r="D463" s="133">
        <v>0</v>
      </c>
      <c r="E463" s="133">
        <f t="shared" si="20"/>
        <v>817.37510400000008</v>
      </c>
      <c r="F463" s="137"/>
      <c r="G463" s="138"/>
      <c r="H463" s="139"/>
      <c r="I463" s="20"/>
    </row>
    <row r="464" spans="1:9" ht="15.5" x14ac:dyDescent="0.3">
      <c r="A464" s="19">
        <v>3</v>
      </c>
      <c r="B464" s="19" t="s">
        <v>146</v>
      </c>
      <c r="C464" s="19">
        <f>47.46*10.764</f>
        <v>510.85944000000001</v>
      </c>
      <c r="D464" s="133">
        <v>0</v>
      </c>
      <c r="E464" s="133">
        <f t="shared" si="20"/>
        <v>817.37510400000008</v>
      </c>
      <c r="F464" s="137"/>
      <c r="G464" s="138"/>
      <c r="H464" s="139"/>
      <c r="I464" s="20"/>
    </row>
    <row r="465" spans="1:9" ht="15.5" x14ac:dyDescent="0.3">
      <c r="A465" s="19">
        <v>4</v>
      </c>
      <c r="B465" s="19" t="s">
        <v>146</v>
      </c>
      <c r="C465" s="19">
        <f>47.46*10.764</f>
        <v>510.85944000000001</v>
      </c>
      <c r="D465" s="133">
        <v>0</v>
      </c>
      <c r="E465" s="133">
        <f t="shared" si="20"/>
        <v>817.37510400000008</v>
      </c>
      <c r="F465" s="137"/>
      <c r="G465" s="138"/>
      <c r="H465" s="139"/>
      <c r="I465" s="20"/>
    </row>
    <row r="466" spans="1:9" ht="15.75" customHeight="1" x14ac:dyDescent="0.3">
      <c r="A466" s="19">
        <v>5</v>
      </c>
      <c r="B466" s="19" t="s">
        <v>129</v>
      </c>
      <c r="C466" s="19">
        <f>61.98*10.764</f>
        <v>667.15271999999993</v>
      </c>
      <c r="D466" s="133">
        <v>0</v>
      </c>
      <c r="E466" s="133">
        <f t="shared" si="20"/>
        <v>1067.444352</v>
      </c>
      <c r="F466" s="137"/>
      <c r="G466" s="138"/>
      <c r="H466" s="139"/>
      <c r="I466" s="20"/>
    </row>
    <row r="467" spans="1:9" ht="15.5" x14ac:dyDescent="0.3">
      <c r="A467" s="19">
        <v>6</v>
      </c>
      <c r="B467" s="19" t="s">
        <v>129</v>
      </c>
      <c r="C467" s="19">
        <f>61.99*10.764</f>
        <v>667.26035999999999</v>
      </c>
      <c r="D467" s="133">
        <v>0</v>
      </c>
      <c r="E467" s="133">
        <f t="shared" si="20"/>
        <v>1067.6165760000001</v>
      </c>
      <c r="F467" s="137"/>
      <c r="G467" s="138"/>
      <c r="H467" s="139"/>
      <c r="I467" s="20"/>
    </row>
    <row r="468" spans="1:9" ht="15.65" customHeight="1" x14ac:dyDescent="0.3">
      <c r="A468" s="130" t="s">
        <v>143</v>
      </c>
      <c r="B468" s="131"/>
      <c r="C468" s="131"/>
      <c r="D468" s="131"/>
      <c r="E468" s="131"/>
      <c r="F468" s="131"/>
      <c r="G468" s="131"/>
      <c r="H468" s="132"/>
      <c r="I468" s="20"/>
    </row>
    <row r="469" spans="1:9" ht="15" x14ac:dyDescent="0.3">
      <c r="A469" s="130" t="s">
        <v>147</v>
      </c>
      <c r="B469" s="131"/>
      <c r="C469" s="131"/>
      <c r="D469" s="131"/>
      <c r="E469" s="131"/>
      <c r="F469" s="131"/>
      <c r="G469" s="131"/>
      <c r="H469" s="132"/>
      <c r="I469" s="20"/>
    </row>
    <row r="470" spans="1:9" ht="15.75" customHeight="1" x14ac:dyDescent="0.3">
      <c r="A470" s="19">
        <v>1</v>
      </c>
      <c r="B470" s="19" t="s">
        <v>146</v>
      </c>
      <c r="C470" s="19">
        <f>47.46*10.764</f>
        <v>510.85944000000001</v>
      </c>
      <c r="D470" s="133">
        <v>0</v>
      </c>
      <c r="E470" s="133">
        <f t="shared" ref="E470:E475" si="21">C470*1.6</f>
        <v>817.37510400000008</v>
      </c>
      <c r="F470" s="134" t="str">
        <f>A469</f>
        <v>33rd Floor</v>
      </c>
      <c r="G470" s="135"/>
      <c r="H470" s="136"/>
      <c r="I470" s="20"/>
    </row>
    <row r="471" spans="1:9" ht="15.5" x14ac:dyDescent="0.3">
      <c r="A471" s="19">
        <v>2</v>
      </c>
      <c r="B471" s="19" t="s">
        <v>146</v>
      </c>
      <c r="C471" s="19">
        <f>47.46*10.764</f>
        <v>510.85944000000001</v>
      </c>
      <c r="D471" s="133">
        <v>0</v>
      </c>
      <c r="E471" s="133">
        <f t="shared" si="21"/>
        <v>817.37510400000008</v>
      </c>
      <c r="F471" s="137"/>
      <c r="G471" s="138"/>
      <c r="H471" s="139"/>
      <c r="I471" s="20"/>
    </row>
    <row r="472" spans="1:9" ht="15.5" x14ac:dyDescent="0.3">
      <c r="A472" s="19">
        <v>3</v>
      </c>
      <c r="B472" s="19" t="s">
        <v>146</v>
      </c>
      <c r="C472" s="19">
        <f>47.46*10.764</f>
        <v>510.85944000000001</v>
      </c>
      <c r="D472" s="133">
        <v>0</v>
      </c>
      <c r="E472" s="133">
        <f t="shared" si="21"/>
        <v>817.37510400000008</v>
      </c>
      <c r="F472" s="137"/>
      <c r="G472" s="138"/>
      <c r="H472" s="139"/>
      <c r="I472" s="20"/>
    </row>
    <row r="473" spans="1:9" ht="15.75" customHeight="1" x14ac:dyDescent="0.3">
      <c r="A473" s="19">
        <v>4</v>
      </c>
      <c r="B473" s="19" t="s">
        <v>146</v>
      </c>
      <c r="C473" s="19">
        <f>47.46*10.764</f>
        <v>510.85944000000001</v>
      </c>
      <c r="D473" s="133">
        <v>0</v>
      </c>
      <c r="E473" s="133">
        <f t="shared" si="21"/>
        <v>817.37510400000008</v>
      </c>
      <c r="F473" s="137"/>
      <c r="G473" s="138"/>
      <c r="H473" s="139"/>
      <c r="I473" s="20"/>
    </row>
    <row r="474" spans="1:9" ht="15.5" x14ac:dyDescent="0.3">
      <c r="A474" s="19">
        <v>5</v>
      </c>
      <c r="B474" s="19" t="s">
        <v>129</v>
      </c>
      <c r="C474" s="19">
        <f>61.98*10.764</f>
        <v>667.15271999999993</v>
      </c>
      <c r="D474" s="133">
        <v>0</v>
      </c>
      <c r="E474" s="133">
        <f t="shared" si="21"/>
        <v>1067.444352</v>
      </c>
      <c r="F474" s="137"/>
      <c r="G474" s="138"/>
      <c r="H474" s="139"/>
      <c r="I474" s="20"/>
    </row>
    <row r="475" spans="1:9" ht="15.5" x14ac:dyDescent="0.3">
      <c r="A475" s="19">
        <v>6</v>
      </c>
      <c r="B475" s="19" t="s">
        <v>129</v>
      </c>
      <c r="C475" s="19">
        <f>61.8*10.764</f>
        <v>665.21519999999998</v>
      </c>
      <c r="D475" s="133">
        <v>0</v>
      </c>
      <c r="E475" s="133">
        <f t="shared" si="21"/>
        <v>1064.3443199999999</v>
      </c>
      <c r="F475" s="140"/>
      <c r="G475" s="141"/>
      <c r="H475" s="142"/>
    </row>
    <row r="476" spans="1:9" ht="15.75" customHeight="1" x14ac:dyDescent="0.3">
      <c r="A476" s="130" t="s">
        <v>148</v>
      </c>
      <c r="B476" s="131"/>
      <c r="C476" s="131"/>
      <c r="D476" s="131"/>
      <c r="E476" s="131"/>
      <c r="F476" s="131"/>
      <c r="G476" s="131"/>
      <c r="H476" s="132"/>
      <c r="I476" s="20"/>
    </row>
    <row r="477" spans="1:9" ht="15.75" customHeight="1" x14ac:dyDescent="0.3">
      <c r="A477" s="19">
        <v>1</v>
      </c>
      <c r="B477" s="19" t="s">
        <v>146</v>
      </c>
      <c r="C477" s="19">
        <f>47.46*10.764</f>
        <v>510.85944000000001</v>
      </c>
      <c r="D477" s="133">
        <v>0</v>
      </c>
      <c r="E477" s="133">
        <f t="shared" ref="E477:E482" si="22">C477*1.6</f>
        <v>817.37510400000008</v>
      </c>
      <c r="F477" s="134" t="str">
        <f>A476</f>
        <v>34th To 38th &amp; 41st To 43rd Floor</v>
      </c>
      <c r="G477" s="135"/>
      <c r="H477" s="136"/>
      <c r="I477" s="20"/>
    </row>
    <row r="478" spans="1:9" ht="15.75" hidden="1" customHeight="1" x14ac:dyDescent="0.3">
      <c r="A478" s="19">
        <v>2</v>
      </c>
      <c r="B478" s="19" t="s">
        <v>146</v>
      </c>
      <c r="C478" s="19">
        <f>47.46*10.764</f>
        <v>510.85944000000001</v>
      </c>
      <c r="D478" s="133">
        <v>0</v>
      </c>
      <c r="E478" s="133">
        <f t="shared" si="22"/>
        <v>817.37510400000008</v>
      </c>
      <c r="F478" s="137"/>
      <c r="G478" s="138"/>
      <c r="H478" s="139"/>
      <c r="I478" s="20"/>
    </row>
    <row r="479" spans="1:9" ht="15.75" hidden="1" customHeight="1" x14ac:dyDescent="0.3">
      <c r="A479" s="19">
        <v>3</v>
      </c>
      <c r="B479" s="19" t="s">
        <v>146</v>
      </c>
      <c r="C479" s="19">
        <f>47.46*10.764</f>
        <v>510.85944000000001</v>
      </c>
      <c r="D479" s="133">
        <v>0</v>
      </c>
      <c r="E479" s="133">
        <f t="shared" si="22"/>
        <v>817.37510400000008</v>
      </c>
      <c r="F479" s="137"/>
      <c r="G479" s="138"/>
      <c r="H479" s="139"/>
      <c r="I479" s="20"/>
    </row>
    <row r="480" spans="1:9" ht="15.75" customHeight="1" x14ac:dyDescent="0.3">
      <c r="A480" s="19">
        <v>4</v>
      </c>
      <c r="B480" s="19" t="s">
        <v>146</v>
      </c>
      <c r="C480" s="19">
        <f>47.46*10.764</f>
        <v>510.85944000000001</v>
      </c>
      <c r="D480" s="133">
        <v>0</v>
      </c>
      <c r="E480" s="133">
        <f t="shared" si="22"/>
        <v>817.37510400000008</v>
      </c>
      <c r="F480" s="137"/>
      <c r="G480" s="138"/>
      <c r="H480" s="139"/>
      <c r="I480" s="20"/>
    </row>
    <row r="481" spans="1:9" ht="15.75" customHeight="1" x14ac:dyDescent="0.3">
      <c r="A481" s="19">
        <v>5</v>
      </c>
      <c r="B481" s="19" t="s">
        <v>129</v>
      </c>
      <c r="C481" s="19">
        <f>61.98*10.764</f>
        <v>667.15271999999993</v>
      </c>
      <c r="D481" s="133">
        <v>0</v>
      </c>
      <c r="E481" s="133">
        <f t="shared" si="22"/>
        <v>1067.444352</v>
      </c>
      <c r="F481" s="137"/>
      <c r="G481" s="138"/>
      <c r="H481" s="139"/>
      <c r="I481" s="20"/>
    </row>
    <row r="482" spans="1:9" ht="15.75" customHeight="1" x14ac:dyDescent="0.3">
      <c r="A482" s="19">
        <v>6</v>
      </c>
      <c r="B482" s="19" t="s">
        <v>129</v>
      </c>
      <c r="C482" s="19">
        <f>61.8*10.764</f>
        <v>665.21519999999998</v>
      </c>
      <c r="D482" s="133">
        <v>0</v>
      </c>
      <c r="E482" s="133">
        <f t="shared" si="22"/>
        <v>1064.3443199999999</v>
      </c>
      <c r="F482" s="140"/>
      <c r="G482" s="141"/>
      <c r="H482" s="142"/>
      <c r="I482" s="20"/>
    </row>
    <row r="483" spans="1:9" ht="15.75" customHeight="1" x14ac:dyDescent="0.3">
      <c r="A483" s="130" t="s">
        <v>181</v>
      </c>
      <c r="B483" s="131"/>
      <c r="C483" s="131"/>
      <c r="D483" s="131"/>
      <c r="E483" s="131"/>
      <c r="F483" s="131"/>
      <c r="G483" s="131"/>
      <c r="H483" s="132"/>
      <c r="I483" s="20"/>
    </row>
    <row r="484" spans="1:9" ht="15.75" customHeight="1" x14ac:dyDescent="0.3">
      <c r="A484" s="19">
        <v>1</v>
      </c>
      <c r="B484" s="19" t="s">
        <v>146</v>
      </c>
      <c r="C484" s="19">
        <f>47.46*10.764</f>
        <v>510.85944000000001</v>
      </c>
      <c r="D484" s="133">
        <v>0</v>
      </c>
      <c r="E484" s="133">
        <f t="shared" ref="E484:E489" si="23">C484*1.6</f>
        <v>817.37510400000008</v>
      </c>
      <c r="F484" s="134" t="str">
        <f>A483</f>
        <v>39th Floor ( Part Refuge Floor)</v>
      </c>
      <c r="G484" s="135"/>
      <c r="H484" s="136"/>
      <c r="I484" s="20"/>
    </row>
    <row r="485" spans="1:9" ht="15.75" customHeight="1" x14ac:dyDescent="0.3">
      <c r="A485" s="19">
        <v>2</v>
      </c>
      <c r="B485" s="19" t="s">
        <v>146</v>
      </c>
      <c r="C485" s="19">
        <f>47.46*10.764</f>
        <v>510.85944000000001</v>
      </c>
      <c r="D485" s="133">
        <v>0</v>
      </c>
      <c r="E485" s="133">
        <f t="shared" si="23"/>
        <v>817.37510400000008</v>
      </c>
      <c r="F485" s="137"/>
      <c r="G485" s="138"/>
      <c r="H485" s="139"/>
      <c r="I485" s="20"/>
    </row>
    <row r="486" spans="1:9" ht="15.75" customHeight="1" x14ac:dyDescent="0.3">
      <c r="A486" s="19">
        <v>3</v>
      </c>
      <c r="B486" s="19" t="s">
        <v>146</v>
      </c>
      <c r="C486" s="19">
        <f>47.46*10.764</f>
        <v>510.85944000000001</v>
      </c>
      <c r="D486" s="133">
        <v>0</v>
      </c>
      <c r="E486" s="133">
        <f t="shared" si="23"/>
        <v>817.37510400000008</v>
      </c>
      <c r="F486" s="137"/>
      <c r="G486" s="138"/>
      <c r="H486" s="139"/>
      <c r="I486" s="20"/>
    </row>
    <row r="487" spans="1:9" ht="15.5" x14ac:dyDescent="0.3">
      <c r="A487" s="19">
        <v>4</v>
      </c>
      <c r="B487" s="19" t="s">
        <v>146</v>
      </c>
      <c r="C487" s="19">
        <f>47.46*10.764</f>
        <v>510.85944000000001</v>
      </c>
      <c r="D487" s="133">
        <v>0</v>
      </c>
      <c r="E487" s="133">
        <f t="shared" si="23"/>
        <v>817.37510400000008</v>
      </c>
      <c r="F487" s="137"/>
      <c r="G487" s="138"/>
      <c r="H487" s="139"/>
      <c r="I487" s="20"/>
    </row>
    <row r="488" spans="1:9" ht="15.5" x14ac:dyDescent="0.3">
      <c r="A488" s="19">
        <v>5</v>
      </c>
      <c r="B488" s="19" t="s">
        <v>129</v>
      </c>
      <c r="C488" s="19">
        <f>61.98*10.764</f>
        <v>667.15271999999993</v>
      </c>
      <c r="D488" s="133">
        <v>0</v>
      </c>
      <c r="E488" s="133">
        <f t="shared" si="23"/>
        <v>1067.444352</v>
      </c>
      <c r="F488" s="137"/>
      <c r="G488" s="138"/>
      <c r="H488" s="139"/>
      <c r="I488" s="20"/>
    </row>
    <row r="489" spans="1:9" ht="15.75" customHeight="1" x14ac:dyDescent="0.3">
      <c r="A489" s="19">
        <v>6</v>
      </c>
      <c r="B489" s="133" t="s">
        <v>131</v>
      </c>
      <c r="C489" s="133">
        <f>61.8*10.764</f>
        <v>665.21519999999998</v>
      </c>
      <c r="D489" s="133">
        <v>0</v>
      </c>
      <c r="E489" s="133">
        <f t="shared" si="23"/>
        <v>1064.3443199999999</v>
      </c>
      <c r="F489" s="140"/>
      <c r="G489" s="141"/>
      <c r="H489" s="142"/>
      <c r="I489" s="20"/>
    </row>
    <row r="490" spans="1:9" ht="15" x14ac:dyDescent="0.3">
      <c r="A490" s="130" t="s">
        <v>140</v>
      </c>
      <c r="B490" s="131"/>
      <c r="C490" s="131"/>
      <c r="D490" s="131"/>
      <c r="E490" s="131"/>
      <c r="F490" s="131"/>
      <c r="G490" s="131"/>
      <c r="H490" s="132"/>
      <c r="I490" s="20"/>
    </row>
    <row r="491" spans="1:9" ht="15.5" x14ac:dyDescent="0.3">
      <c r="A491" s="19">
        <v>1</v>
      </c>
      <c r="B491" s="19" t="s">
        <v>146</v>
      </c>
      <c r="C491" s="19">
        <f>47.46*10.764</f>
        <v>510.85944000000001</v>
      </c>
      <c r="D491" s="133">
        <v>0</v>
      </c>
      <c r="E491" s="133">
        <f t="shared" ref="E491:E496" si="24">C491*1.6</f>
        <v>817.37510400000008</v>
      </c>
      <c r="F491" s="134" t="str">
        <f>A490</f>
        <v>40th Floor</v>
      </c>
      <c r="G491" s="135"/>
      <c r="H491" s="136"/>
      <c r="I491" s="20"/>
    </row>
    <row r="492" spans="1:9" ht="15.75" customHeight="1" x14ac:dyDescent="0.3">
      <c r="A492" s="19">
        <v>2</v>
      </c>
      <c r="B492" s="19" t="s">
        <v>146</v>
      </c>
      <c r="C492" s="19">
        <f>47.46*10.764</f>
        <v>510.85944000000001</v>
      </c>
      <c r="D492" s="133">
        <v>0</v>
      </c>
      <c r="E492" s="133">
        <f t="shared" si="24"/>
        <v>817.37510400000008</v>
      </c>
      <c r="F492" s="137"/>
      <c r="G492" s="138"/>
      <c r="H492" s="139"/>
      <c r="I492" s="20"/>
    </row>
    <row r="493" spans="1:9" ht="15.75" customHeight="1" x14ac:dyDescent="0.3">
      <c r="A493" s="19">
        <v>3</v>
      </c>
      <c r="B493" s="19" t="s">
        <v>146</v>
      </c>
      <c r="C493" s="19">
        <f>47.46*10.764</f>
        <v>510.85944000000001</v>
      </c>
      <c r="D493" s="133">
        <v>0</v>
      </c>
      <c r="E493" s="133">
        <f t="shared" si="24"/>
        <v>817.37510400000008</v>
      </c>
      <c r="F493" s="137"/>
      <c r="G493" s="138"/>
      <c r="H493" s="139"/>
      <c r="I493" s="20"/>
    </row>
    <row r="494" spans="1:9" ht="15.5" x14ac:dyDescent="0.3">
      <c r="A494" s="19">
        <v>4</v>
      </c>
      <c r="B494" s="19" t="s">
        <v>146</v>
      </c>
      <c r="C494" s="19">
        <f>47.46*10.764</f>
        <v>510.85944000000001</v>
      </c>
      <c r="D494" s="133">
        <v>0</v>
      </c>
      <c r="E494" s="133">
        <f t="shared" si="24"/>
        <v>817.37510400000008</v>
      </c>
      <c r="F494" s="137"/>
      <c r="G494" s="138"/>
      <c r="H494" s="139"/>
      <c r="I494" s="20"/>
    </row>
    <row r="495" spans="1:9" ht="15.5" x14ac:dyDescent="0.3">
      <c r="A495" s="19">
        <v>5</v>
      </c>
      <c r="B495" s="19" t="s">
        <v>129</v>
      </c>
      <c r="C495" s="19">
        <f>61.98*10.764</f>
        <v>667.15271999999993</v>
      </c>
      <c r="D495" s="133">
        <v>0</v>
      </c>
      <c r="E495" s="133">
        <f t="shared" si="24"/>
        <v>1067.444352</v>
      </c>
      <c r="F495" s="137"/>
      <c r="G495" s="138"/>
      <c r="H495" s="139"/>
      <c r="I495" s="20"/>
    </row>
    <row r="496" spans="1:9" ht="15.75" customHeight="1" x14ac:dyDescent="0.3">
      <c r="A496" s="19">
        <v>6</v>
      </c>
      <c r="B496" s="19" t="s">
        <v>129</v>
      </c>
      <c r="C496" s="19">
        <f>61.8*10.764</f>
        <v>665.21519999999998</v>
      </c>
      <c r="D496" s="133">
        <v>0</v>
      </c>
      <c r="E496" s="133">
        <f t="shared" si="24"/>
        <v>1064.3443199999999</v>
      </c>
      <c r="F496" s="140"/>
      <c r="G496" s="141"/>
      <c r="H496" s="142"/>
      <c r="I496" s="20"/>
    </row>
    <row r="497" spans="1:9" ht="15" x14ac:dyDescent="0.3">
      <c r="A497" s="187" t="s">
        <v>236</v>
      </c>
      <c r="B497" s="188"/>
      <c r="C497" s="188"/>
      <c r="D497" s="188"/>
      <c r="E497" s="188"/>
      <c r="F497" s="188"/>
      <c r="G497" s="188"/>
      <c r="H497" s="189"/>
      <c r="I497" s="20"/>
    </row>
    <row r="498" spans="1:9" ht="15" x14ac:dyDescent="0.3">
      <c r="A498" s="130" t="s">
        <v>248</v>
      </c>
      <c r="B498" s="131"/>
      <c r="C498" s="131"/>
      <c r="D498" s="131"/>
      <c r="E498" s="131"/>
      <c r="F498" s="131"/>
      <c r="G498" s="131"/>
      <c r="H498" s="132"/>
      <c r="I498" s="20"/>
    </row>
    <row r="499" spans="1:9" ht="15.75" customHeight="1" x14ac:dyDescent="0.3">
      <c r="A499" s="130" t="s">
        <v>186</v>
      </c>
      <c r="B499" s="131"/>
      <c r="C499" s="131"/>
      <c r="D499" s="131"/>
      <c r="E499" s="131"/>
      <c r="F499" s="131"/>
      <c r="G499" s="131"/>
      <c r="H499" s="132"/>
      <c r="I499" s="20"/>
    </row>
    <row r="500" spans="1:9" ht="15.75" customHeight="1" x14ac:dyDescent="0.3">
      <c r="A500" s="130" t="s">
        <v>187</v>
      </c>
      <c r="B500" s="131"/>
      <c r="C500" s="131"/>
      <c r="D500" s="131"/>
      <c r="E500" s="131"/>
      <c r="F500" s="131"/>
      <c r="G500" s="131"/>
      <c r="H500" s="132"/>
      <c r="I500" s="20"/>
    </row>
    <row r="501" spans="1:9" ht="15" x14ac:dyDescent="0.3">
      <c r="A501" s="130" t="s">
        <v>188</v>
      </c>
      <c r="B501" s="131"/>
      <c r="C501" s="131"/>
      <c r="D501" s="131"/>
      <c r="E501" s="131"/>
      <c r="F501" s="131"/>
      <c r="G501" s="131"/>
      <c r="H501" s="132"/>
      <c r="I501" s="20"/>
    </row>
    <row r="502" spans="1:9" ht="15" x14ac:dyDescent="0.3">
      <c r="A502" s="130" t="s">
        <v>189</v>
      </c>
      <c r="B502" s="131"/>
      <c r="C502" s="131"/>
      <c r="D502" s="131"/>
      <c r="E502" s="131"/>
      <c r="F502" s="131"/>
      <c r="G502" s="131"/>
      <c r="H502" s="132"/>
      <c r="I502" s="20"/>
    </row>
    <row r="503" spans="1:9" ht="15.75" customHeight="1" x14ac:dyDescent="0.3">
      <c r="A503" s="130" t="s">
        <v>190</v>
      </c>
      <c r="B503" s="131"/>
      <c r="C503" s="131"/>
      <c r="D503" s="131"/>
      <c r="E503" s="131"/>
      <c r="F503" s="131"/>
      <c r="G503" s="131"/>
      <c r="H503" s="132"/>
      <c r="I503" s="20"/>
    </row>
    <row r="504" spans="1:9" ht="15" x14ac:dyDescent="0.3">
      <c r="A504" s="130" t="s">
        <v>191</v>
      </c>
      <c r="B504" s="131"/>
      <c r="C504" s="131"/>
      <c r="D504" s="131"/>
      <c r="E504" s="131"/>
      <c r="F504" s="131"/>
      <c r="G504" s="131"/>
      <c r="H504" s="132"/>
      <c r="I504" s="20"/>
    </row>
    <row r="505" spans="1:9" ht="15" x14ac:dyDescent="0.3">
      <c r="A505" s="191" t="s">
        <v>192</v>
      </c>
      <c r="B505" s="192"/>
      <c r="C505" s="192"/>
      <c r="D505" s="192"/>
      <c r="E505" s="192"/>
      <c r="F505" s="192"/>
      <c r="G505" s="192"/>
      <c r="H505" s="193"/>
      <c r="I505" s="20"/>
    </row>
    <row r="506" spans="1:9" ht="15.75" customHeight="1" x14ac:dyDescent="0.3">
      <c r="A506" s="130" t="s">
        <v>249</v>
      </c>
      <c r="B506" s="131"/>
      <c r="C506" s="131"/>
      <c r="D506" s="131"/>
      <c r="E506" s="131"/>
      <c r="F506" s="131"/>
      <c r="G506" s="131"/>
      <c r="H506" s="132"/>
      <c r="I506" s="20"/>
    </row>
    <row r="507" spans="1:9" ht="15.75" customHeight="1" x14ac:dyDescent="0.3">
      <c r="A507" s="19">
        <v>1</v>
      </c>
      <c r="B507" s="19" t="s">
        <v>238</v>
      </c>
      <c r="C507" s="19">
        <f>((1.75*1.3+5.18*3.05+3.38*2.65+3.05*2.425+2.25*3.8+1.055*2.8+1.055*2.1+3.05*3+4.205*3.025)+(2.025*1+2.425*1.375+2.475*1.525))*10.764</f>
        <v>851.97732749999989</v>
      </c>
      <c r="D507" s="133">
        <v>0</v>
      </c>
      <c r="E507" s="133">
        <f t="shared" ref="E507:E512" si="25">C507*1.6</f>
        <v>1363.163724</v>
      </c>
      <c r="F507" s="134" t="str">
        <f>A506</f>
        <v>1st Floor for Residential</v>
      </c>
      <c r="G507" s="135"/>
      <c r="H507" s="136"/>
      <c r="I507" s="20"/>
    </row>
    <row r="508" spans="1:9" ht="15.5" x14ac:dyDescent="0.3">
      <c r="A508" s="19">
        <v>2</v>
      </c>
      <c r="B508" s="19" t="s">
        <v>238</v>
      </c>
      <c r="C508" s="19">
        <f>((1.75*1.3+5.18*3.05+3.38*2.65+3.05*2.425+2.25*3.8+1.055*2.8+1.055*2.1+3.05*3+4.205*3.025)+(2.025*1+2.425*1.375+2.475*1.525))*10.764</f>
        <v>851.97732749999989</v>
      </c>
      <c r="D508" s="133">
        <v>0</v>
      </c>
      <c r="E508" s="133">
        <f t="shared" si="25"/>
        <v>1363.163724</v>
      </c>
      <c r="F508" s="137"/>
      <c r="G508" s="138"/>
      <c r="H508" s="139"/>
      <c r="I508" s="20"/>
    </row>
    <row r="509" spans="1:9" ht="15.5" x14ac:dyDescent="0.3">
      <c r="A509" s="19">
        <v>3</v>
      </c>
      <c r="B509" s="19" t="s">
        <v>238</v>
      </c>
      <c r="C509" s="19">
        <f>(3.45*7.305+3*2.175+2.545*3.05+3.35*3.05+3.05*4.15+(2.15*1+4.345*1+2.175*1+2.475*1.525+1.42*2.325))*10.764</f>
        <v>840.78007649999995</v>
      </c>
      <c r="D509" s="133">
        <v>0</v>
      </c>
      <c r="E509" s="133">
        <f t="shared" si="25"/>
        <v>1345.2481224000001</v>
      </c>
      <c r="F509" s="137"/>
      <c r="G509" s="138"/>
      <c r="H509" s="139"/>
      <c r="I509" s="20"/>
    </row>
    <row r="510" spans="1:9" ht="15.75" customHeight="1" x14ac:dyDescent="0.3">
      <c r="A510" s="19">
        <v>4</v>
      </c>
      <c r="B510" s="19" t="s">
        <v>238</v>
      </c>
      <c r="C510" s="19">
        <f>(3.45*7.305+3*2.175+2.545*3.05+3.35*3.05+3.05*4.15+(2.15*1+4.345*1+2.175*1+2.475*1.525+1.42*2.325))*10.764</f>
        <v>840.78007649999995</v>
      </c>
      <c r="D510" s="133">
        <v>0</v>
      </c>
      <c r="E510" s="133">
        <f t="shared" si="25"/>
        <v>1345.2481224000001</v>
      </c>
      <c r="F510" s="137"/>
      <c r="G510" s="138"/>
      <c r="H510" s="139"/>
      <c r="I510" s="20"/>
    </row>
    <row r="511" spans="1:9" ht="15.5" x14ac:dyDescent="0.3">
      <c r="A511" s="19">
        <v>5</v>
      </c>
      <c r="B511" s="19" t="s">
        <v>238</v>
      </c>
      <c r="C511" s="19">
        <f>(3.45*6.625+2.425*3.05+2.125*3.05+3.05*3+3.05*4.75+(1.95*1+5.2*1+2.125*1+2.425*1.375+1.225*0.65+1.375*2.275))*10.764</f>
        <v>827.80541999999991</v>
      </c>
      <c r="D511" s="133">
        <v>0</v>
      </c>
      <c r="E511" s="133">
        <f t="shared" si="25"/>
        <v>1324.488672</v>
      </c>
      <c r="F511" s="137"/>
      <c r="G511" s="138"/>
      <c r="H511" s="139"/>
      <c r="I511" s="20"/>
    </row>
    <row r="512" spans="1:9" ht="15.75" customHeight="1" x14ac:dyDescent="0.3">
      <c r="A512" s="19">
        <v>6</v>
      </c>
      <c r="B512" s="19" t="s">
        <v>238</v>
      </c>
      <c r="C512" s="19">
        <f>(3.45*6.575+2.425*3.05+2.125*2+2.325*1.05+3*3.05+3.05*4.75+(5.2*1+1.95*1+2.125*1+2.425*1.375+1.225*0.65+1.375*2.275))*10.764</f>
        <v>828.20906999999988</v>
      </c>
      <c r="D512" s="133">
        <v>0</v>
      </c>
      <c r="E512" s="133">
        <f t="shared" si="25"/>
        <v>1325.1345119999999</v>
      </c>
      <c r="F512" s="140"/>
      <c r="G512" s="141"/>
      <c r="H512" s="142"/>
      <c r="I512" s="20"/>
    </row>
    <row r="513" spans="1:9" ht="15.75" customHeight="1" x14ac:dyDescent="0.3">
      <c r="A513" s="130" t="s">
        <v>239</v>
      </c>
      <c r="B513" s="131"/>
      <c r="C513" s="131"/>
      <c r="D513" s="131"/>
      <c r="E513" s="131"/>
      <c r="F513" s="131"/>
      <c r="G513" s="131"/>
      <c r="H513" s="132"/>
      <c r="I513" s="20"/>
    </row>
    <row r="514" spans="1:9" ht="15.75" customHeight="1" x14ac:dyDescent="0.3">
      <c r="A514" s="19">
        <v>1</v>
      </c>
      <c r="B514" s="19" t="s">
        <v>238</v>
      </c>
      <c r="C514" s="19">
        <f>((1.75*1.3+5.18*3.05+3.38*2.65+3.05*2.425+2.25*3.8+1.055*2.8+1.055*2.1+3.05*3+4.205*3.025)+(2.025*1+2.425*1.375+2.475*1.525))*10.764</f>
        <v>851.97732749999989</v>
      </c>
      <c r="D514" s="133">
        <v>0</v>
      </c>
      <c r="E514" s="133">
        <f t="shared" ref="E514:E519" si="26">C514*1.6</f>
        <v>1363.163724</v>
      </c>
      <c r="F514" s="134" t="str">
        <f>A513</f>
        <v>2nd, 3rd, 6th to 10th &amp; 13th to 17th Floor</v>
      </c>
      <c r="G514" s="135"/>
      <c r="H514" s="136"/>
      <c r="I514" s="20"/>
    </row>
    <row r="515" spans="1:9" ht="15.5" x14ac:dyDescent="0.3">
      <c r="A515" s="19">
        <v>2</v>
      </c>
      <c r="B515" s="19" t="s">
        <v>238</v>
      </c>
      <c r="C515" s="19">
        <f>((1.75*1.3+5.18*3.05+3.38*2.65+3.05*2.425+2.25*3.8+1.055*2.8+1.055*2.1+3.05*3+4.205*3.025)+(2.025*1+2.425*1.375+2.475*1.525))*10.764</f>
        <v>851.97732749999989</v>
      </c>
      <c r="D515" s="133">
        <v>0</v>
      </c>
      <c r="E515" s="133">
        <f t="shared" si="26"/>
        <v>1363.163724</v>
      </c>
      <c r="F515" s="137"/>
      <c r="G515" s="138"/>
      <c r="H515" s="139"/>
      <c r="I515" s="20"/>
    </row>
    <row r="516" spans="1:9" ht="15.5" x14ac:dyDescent="0.3">
      <c r="A516" s="19">
        <v>3</v>
      </c>
      <c r="B516" s="19" t="s">
        <v>238</v>
      </c>
      <c r="C516" s="19">
        <f>(3.45*7.305+3*2.175+2.545*3.05+3.35*3.05+3.05*4.15+(2.15*1+4.345*1+2.175*1+2.475*1.525+1.42*2.325))*10.764</f>
        <v>840.78007649999995</v>
      </c>
      <c r="D516" s="133">
        <v>0</v>
      </c>
      <c r="E516" s="133">
        <f t="shared" si="26"/>
        <v>1345.2481224000001</v>
      </c>
      <c r="F516" s="137"/>
      <c r="G516" s="138"/>
      <c r="H516" s="139"/>
      <c r="I516" s="20"/>
    </row>
    <row r="517" spans="1:9" ht="15.75" customHeight="1" x14ac:dyDescent="0.3">
      <c r="A517" s="19">
        <v>4</v>
      </c>
      <c r="B517" s="19" t="s">
        <v>238</v>
      </c>
      <c r="C517" s="19">
        <f>(3.45*7.305+3*2.175+2.545*3.05+3.35*3.05+3.05*4.15+(2.15*1+4.345*1+2.175*1+2.475*1.525+1.42*2.325))*10.764</f>
        <v>840.78007649999995</v>
      </c>
      <c r="D517" s="133">
        <v>0</v>
      </c>
      <c r="E517" s="133">
        <f t="shared" si="26"/>
        <v>1345.2481224000001</v>
      </c>
      <c r="F517" s="137"/>
      <c r="G517" s="138"/>
      <c r="H517" s="139"/>
      <c r="I517" s="20"/>
    </row>
    <row r="518" spans="1:9" ht="15.5" x14ac:dyDescent="0.3">
      <c r="A518" s="19">
        <v>5</v>
      </c>
      <c r="B518" s="19" t="s">
        <v>238</v>
      </c>
      <c r="C518" s="19">
        <f>(3.45*6.625+2.425*3.05+2.125*3.05+3.05*3+3.05*4.75+(1.95*1+5.2*1+2.125*1+2.425*1.375+1.225*0.65+1.375*2.275))*10.764</f>
        <v>827.80541999999991</v>
      </c>
      <c r="D518" s="133">
        <v>0</v>
      </c>
      <c r="E518" s="133">
        <f t="shared" si="26"/>
        <v>1324.488672</v>
      </c>
      <c r="F518" s="137"/>
      <c r="G518" s="138"/>
      <c r="H518" s="139"/>
      <c r="I518" s="20"/>
    </row>
    <row r="519" spans="1:9" ht="15.5" x14ac:dyDescent="0.3">
      <c r="A519" s="19">
        <v>6</v>
      </c>
      <c r="B519" s="19" t="s">
        <v>238</v>
      </c>
      <c r="C519" s="19">
        <f>(3.45*6.575+2.425*3.05+2.125*2+2.325*1.05+3*3.05+3.05*4.75+(5.2*1+1.95*1+2.125*1+2.425*1.375+1.225*0.65+1.375*2.275))*10.764</f>
        <v>828.20906999999988</v>
      </c>
      <c r="D519" s="133">
        <v>0</v>
      </c>
      <c r="E519" s="133">
        <f t="shared" si="26"/>
        <v>1325.1345119999999</v>
      </c>
      <c r="F519" s="140"/>
      <c r="G519" s="141"/>
      <c r="H519" s="142"/>
      <c r="I519" s="20"/>
    </row>
    <row r="520" spans="1:9" ht="15.75" customHeight="1" x14ac:dyDescent="0.3">
      <c r="A520" s="130" t="s">
        <v>240</v>
      </c>
      <c r="B520" s="131"/>
      <c r="C520" s="131"/>
      <c r="D520" s="131"/>
      <c r="E520" s="131"/>
      <c r="F520" s="131"/>
      <c r="G520" s="131"/>
      <c r="H520" s="132"/>
      <c r="I520" s="20"/>
    </row>
    <row r="521" spans="1:9" ht="15.75" customHeight="1" x14ac:dyDescent="0.3">
      <c r="A521" s="19">
        <v>1</v>
      </c>
      <c r="B521" s="19" t="s">
        <v>238</v>
      </c>
      <c r="C521" s="19">
        <f>((1.75*1.3+5.18*3.05+3.38*2.65+3.05*2.425+2.25*3.8+1.055*2.8+1.055*2.1+3.05*3+4.205*3.025)+(2.025*1+2.425*1.375+2.475*1.525))*10.764</f>
        <v>851.97732749999989</v>
      </c>
      <c r="D521" s="133">
        <v>0</v>
      </c>
      <c r="E521" s="133">
        <f t="shared" ref="E521:E526" si="27">C521*1.6</f>
        <v>1363.163724</v>
      </c>
      <c r="F521" s="134" t="str">
        <f>A520</f>
        <v>5th &amp; 12th Floor</v>
      </c>
      <c r="G521" s="135"/>
      <c r="H521" s="136"/>
      <c r="I521" s="20"/>
    </row>
    <row r="522" spans="1:9" ht="15.5" x14ac:dyDescent="0.3">
      <c r="A522" s="19">
        <v>2</v>
      </c>
      <c r="B522" s="19" t="s">
        <v>238</v>
      </c>
      <c r="C522" s="19">
        <f>((1.75*1.3+5.18*3.05+3.38*2.65+3.05*2.425+2.25*3.8+1.055*2.8+1.055*2.1+3.05*3+4.205*3.025)+(2.025*1+2.425*1.375+2.475*1.525))*10.764</f>
        <v>851.97732749999989</v>
      </c>
      <c r="D522" s="133">
        <v>0</v>
      </c>
      <c r="E522" s="133">
        <f t="shared" si="27"/>
        <v>1363.163724</v>
      </c>
      <c r="F522" s="137"/>
      <c r="G522" s="138"/>
      <c r="H522" s="139"/>
      <c r="I522" s="20"/>
    </row>
    <row r="523" spans="1:9" ht="15.5" x14ac:dyDescent="0.3">
      <c r="A523" s="19">
        <v>3</v>
      </c>
      <c r="B523" s="19" t="s">
        <v>238</v>
      </c>
      <c r="C523" s="19">
        <f>(3.45*7.305+3*2.175+2.545*3.05+3.35*3.05+3.05*4.15+(2.15*1+4.345*1+2.175*1+2.475*1.525+1.42*2.325))*10.764</f>
        <v>840.78007649999995</v>
      </c>
      <c r="D523" s="133">
        <v>0</v>
      </c>
      <c r="E523" s="133">
        <f t="shared" si="27"/>
        <v>1345.2481224000001</v>
      </c>
      <c r="F523" s="137"/>
      <c r="G523" s="138"/>
      <c r="H523" s="139"/>
      <c r="I523" s="20"/>
    </row>
    <row r="524" spans="1:9" ht="15.75" customHeight="1" x14ac:dyDescent="0.3">
      <c r="A524" s="19">
        <v>4</v>
      </c>
      <c r="B524" s="19" t="s">
        <v>238</v>
      </c>
      <c r="C524" s="19">
        <f>(3.45*7.305+3*2.175+2.545*3.05+3.35*3.05+3.05*4.15+(2.15*1+4.345*1+2.175*1+2.475*1.525+1.42*2.325))*10.764</f>
        <v>840.78007649999995</v>
      </c>
      <c r="D524" s="133">
        <v>0</v>
      </c>
      <c r="E524" s="133">
        <f t="shared" si="27"/>
        <v>1345.2481224000001</v>
      </c>
      <c r="F524" s="137"/>
      <c r="G524" s="138"/>
      <c r="H524" s="139"/>
      <c r="I524" s="20"/>
    </row>
    <row r="525" spans="1:9" ht="15.5" x14ac:dyDescent="0.3">
      <c r="A525" s="19">
        <v>5</v>
      </c>
      <c r="B525" s="19" t="s">
        <v>238</v>
      </c>
      <c r="C525" s="19">
        <f>(3.45*6.625+2.425*3.05+2.125*3.05+3.05*3+3.05*4.75+(1.95*1+5.2*1+2.125*1+2.425*1.375+1.225*0.65+1.375*2.275))*10.764</f>
        <v>827.80541999999991</v>
      </c>
      <c r="D525" s="133">
        <v>0</v>
      </c>
      <c r="E525" s="133">
        <f t="shared" si="27"/>
        <v>1324.488672</v>
      </c>
      <c r="F525" s="137"/>
      <c r="G525" s="138"/>
      <c r="H525" s="139"/>
      <c r="I525" s="20"/>
    </row>
    <row r="526" spans="1:9" ht="15.5" x14ac:dyDescent="0.3">
      <c r="A526" s="19">
        <v>6</v>
      </c>
      <c r="B526" s="19" t="s">
        <v>238</v>
      </c>
      <c r="C526" s="19">
        <f>(3.45*6.575+2.425*3.05+2.125*2+2.325*1.05+3*3.05+3.05*4.75+(5.2*1+1.95*1+2.125*1+2.425*1.375+1.225*0.65+1.375*2.275))*10.764</f>
        <v>828.20906999999988</v>
      </c>
      <c r="D526" s="133">
        <v>0</v>
      </c>
      <c r="E526" s="133">
        <f t="shared" si="27"/>
        <v>1325.1345119999999</v>
      </c>
      <c r="F526" s="140"/>
      <c r="G526" s="141"/>
      <c r="H526" s="142"/>
      <c r="I526" s="20"/>
    </row>
    <row r="527" spans="1:9" ht="15.75" customHeight="1" x14ac:dyDescent="0.3">
      <c r="A527" s="130" t="s">
        <v>241</v>
      </c>
      <c r="B527" s="131"/>
      <c r="C527" s="131"/>
      <c r="D527" s="131"/>
      <c r="E527" s="131"/>
      <c r="F527" s="131"/>
      <c r="G527" s="131"/>
      <c r="H527" s="132"/>
      <c r="I527" s="20"/>
    </row>
    <row r="528" spans="1:9" ht="15.75" customHeight="1" x14ac:dyDescent="0.3">
      <c r="A528" s="19">
        <v>1</v>
      </c>
      <c r="B528" s="19" t="s">
        <v>238</v>
      </c>
      <c r="C528" s="19">
        <f>((1.75*1.3+5.18*3.05+3.38*2.65+3.05*2.425+2.25*3.8+1.055*2.8+1.055*2.1+3.05*3+4.205*3.025)+(2.025*1+2.425*1.375+2.475*1.525))*10.764</f>
        <v>851.97732749999989</v>
      </c>
      <c r="D528" s="133">
        <v>0</v>
      </c>
      <c r="E528" s="133">
        <f>C528*1.6</f>
        <v>1363.163724</v>
      </c>
      <c r="F528" s="134" t="str">
        <f>A527</f>
        <v>4th, 11th &amp; 18th (Part Refuge Area)</v>
      </c>
      <c r="G528" s="135"/>
      <c r="H528" s="136"/>
      <c r="I528" s="20"/>
    </row>
    <row r="529" spans="1:9" ht="15.5" x14ac:dyDescent="0.3">
      <c r="A529" s="19">
        <v>2</v>
      </c>
      <c r="B529" s="19" t="s">
        <v>238</v>
      </c>
      <c r="C529" s="19">
        <f>((1.75*1.3+5.18*3.05+3.38*2.65+3.05*2.425+2.25*3.8+1.055*2.8+1.055*2.1+3.05*3+4.205*3.025)+(2.025*1+2.425*1.375+2.475*1.525))*10.764</f>
        <v>851.97732749999989</v>
      </c>
      <c r="D529" s="133">
        <v>0</v>
      </c>
      <c r="E529" s="133">
        <f>C529*1.6</f>
        <v>1363.163724</v>
      </c>
      <c r="F529" s="137"/>
      <c r="G529" s="138"/>
      <c r="H529" s="139"/>
      <c r="I529" s="20"/>
    </row>
    <row r="530" spans="1:9" ht="15.5" x14ac:dyDescent="0.3">
      <c r="A530" s="19">
        <v>3</v>
      </c>
      <c r="B530" s="194" t="s">
        <v>131</v>
      </c>
      <c r="C530" s="195"/>
      <c r="D530" s="195"/>
      <c r="E530" s="196"/>
      <c r="F530" s="137"/>
      <c r="G530" s="138"/>
      <c r="H530" s="139"/>
      <c r="I530" s="20"/>
    </row>
    <row r="531" spans="1:9" ht="15.75" customHeight="1" x14ac:dyDescent="0.3">
      <c r="A531" s="19">
        <v>4</v>
      </c>
      <c r="B531" s="19" t="s">
        <v>259</v>
      </c>
      <c r="C531" s="19">
        <f>(3.45*7.305+3*2.175+2.545*3.05+3.35*3.05+3.05*4.15+3.45*4.88+2.9*2.175+2.175*1+(2.15*1+4.345*1+2.175*0.9+1.42*2.325+1.42*2.325+2.475*1.525))*10.764</f>
        <v>1146.5045865</v>
      </c>
      <c r="D531" s="133">
        <v>0</v>
      </c>
      <c r="E531" s="133">
        <f>C531*1.6</f>
        <v>1834.4073384000001</v>
      </c>
      <c r="F531" s="137"/>
      <c r="G531" s="138"/>
      <c r="H531" s="139"/>
      <c r="I531" s="20"/>
    </row>
    <row r="532" spans="1:9" ht="15.5" x14ac:dyDescent="0.3">
      <c r="A532" s="19">
        <v>5</v>
      </c>
      <c r="B532" s="19" t="s">
        <v>238</v>
      </c>
      <c r="C532" s="19">
        <f>(3.45*6.625+2.425*3.05+2.125*3.05+3.05*3+3.05*4.75+(1.95*1+5.2*1+2.125*1+2.425*1.375+1.225*0.65+1.375*2.275))*10.764</f>
        <v>827.80541999999991</v>
      </c>
      <c r="D532" s="133">
        <v>0</v>
      </c>
      <c r="E532" s="133">
        <f>C532*1.6</f>
        <v>1324.488672</v>
      </c>
      <c r="F532" s="137"/>
      <c r="G532" s="138"/>
      <c r="H532" s="139"/>
      <c r="I532" s="20"/>
    </row>
    <row r="533" spans="1:9" ht="15.75" customHeight="1" x14ac:dyDescent="0.3">
      <c r="A533" s="191" t="s">
        <v>251</v>
      </c>
      <c r="B533" s="192"/>
      <c r="C533" s="192"/>
      <c r="D533" s="192"/>
      <c r="E533" s="192"/>
      <c r="F533" s="192"/>
      <c r="G533" s="192"/>
      <c r="H533" s="193"/>
      <c r="I533" s="20"/>
    </row>
    <row r="534" spans="1:9" ht="15.75" customHeight="1" x14ac:dyDescent="0.3">
      <c r="A534" s="130" t="s">
        <v>250</v>
      </c>
      <c r="B534" s="131"/>
      <c r="C534" s="131"/>
      <c r="D534" s="131"/>
      <c r="E534" s="131"/>
      <c r="F534" s="131"/>
      <c r="G534" s="131"/>
      <c r="H534" s="132"/>
      <c r="I534" s="20"/>
    </row>
    <row r="535" spans="1:9" ht="15.5" x14ac:dyDescent="0.3">
      <c r="A535" s="19">
        <v>1</v>
      </c>
      <c r="B535" s="19" t="s">
        <v>238</v>
      </c>
      <c r="C535" s="19">
        <f>((1.75*1.3+5.18*3.05+3.38*2.65+3.05*2.425+2.25*3.8+1.055*2.8+1.055*2.1+3.05*3+4.205*3.025)+(2.025*1+2.425*1.375+2.475*1.525+1.35*3.05))*10.764</f>
        <v>896.29809749999993</v>
      </c>
      <c r="D535" s="133">
        <v>0</v>
      </c>
      <c r="E535" s="133">
        <f t="shared" ref="E535:E540" si="28">C535*1.6</f>
        <v>1434.0769559999999</v>
      </c>
      <c r="F535" s="134" t="str">
        <f>A534</f>
        <v>19th to 24th, 27th to 31st &amp; 34th to 38th Floor</v>
      </c>
      <c r="G535" s="135"/>
      <c r="H535" s="136"/>
      <c r="I535" s="20"/>
    </row>
    <row r="536" spans="1:9" ht="15.5" x14ac:dyDescent="0.3">
      <c r="A536" s="19">
        <v>2</v>
      </c>
      <c r="B536" s="19" t="s">
        <v>238</v>
      </c>
      <c r="C536" s="19">
        <f>((1.75*1.3+5.18*3.05+3.38*2.65+3.05*2.425+2.25*3.8+1.055*2.8+1.055*2.1+3.05*3+4.205*3.025)+(2.025*1+2.425*1.375+2.475*1.525+1.35*3.05))*10.764</f>
        <v>896.29809749999993</v>
      </c>
      <c r="D536" s="133">
        <v>0</v>
      </c>
      <c r="E536" s="133">
        <f t="shared" si="28"/>
        <v>1434.0769559999999</v>
      </c>
      <c r="F536" s="137"/>
      <c r="G536" s="138"/>
      <c r="H536" s="139"/>
      <c r="I536" s="20"/>
    </row>
    <row r="537" spans="1:9" ht="15.75" customHeight="1" x14ac:dyDescent="0.3">
      <c r="A537" s="19">
        <v>3</v>
      </c>
      <c r="B537" s="19" t="s">
        <v>238</v>
      </c>
      <c r="C537" s="19">
        <f>(3.45*7.305+3*2.175+2.545*3.05+3.35*3.05+3.05*4.15+(2.15*1+4.345*1+2.175*1+2.475*1.525+1.42*2.325))*10.764</f>
        <v>840.78007649999995</v>
      </c>
      <c r="D537" s="133">
        <v>0</v>
      </c>
      <c r="E537" s="133">
        <f t="shared" si="28"/>
        <v>1345.2481224000001</v>
      </c>
      <c r="F537" s="137"/>
      <c r="G537" s="138"/>
      <c r="H537" s="139"/>
      <c r="I537" s="20"/>
    </row>
    <row r="538" spans="1:9" ht="15.5" x14ac:dyDescent="0.3">
      <c r="A538" s="19">
        <v>4</v>
      </c>
      <c r="B538" s="19" t="s">
        <v>238</v>
      </c>
      <c r="C538" s="19">
        <f>(3.45*7.305+3*2.175+2.545*3.05+3.35*3.05+3.05*4.15+(2.15*1+4.345*1+2.175*1+2.475*1.525+1.42*2.325))*10.764</f>
        <v>840.78007649999995</v>
      </c>
      <c r="D538" s="133">
        <v>0</v>
      </c>
      <c r="E538" s="133">
        <f t="shared" si="28"/>
        <v>1345.2481224000001</v>
      </c>
      <c r="F538" s="137"/>
      <c r="G538" s="138"/>
      <c r="H538" s="139"/>
      <c r="I538" s="20"/>
    </row>
    <row r="539" spans="1:9" ht="15.5" x14ac:dyDescent="0.3">
      <c r="A539" s="19">
        <v>5</v>
      </c>
      <c r="B539" s="19" t="s">
        <v>238</v>
      </c>
      <c r="C539" s="19">
        <f>(3.45*6.625+2.425*3.05+2.125*3.05+3.05*3+3.05*4.75+(1.95*1+5.2*1+2.125*1+2.425*1.375+1.225*0.65+1.375*2.275+3.2*1.375))*10.764</f>
        <v>875.16701999999998</v>
      </c>
      <c r="D539" s="133">
        <v>0</v>
      </c>
      <c r="E539" s="133">
        <f t="shared" si="28"/>
        <v>1400.2672320000001</v>
      </c>
      <c r="F539" s="137"/>
      <c r="G539" s="138"/>
      <c r="H539" s="139"/>
      <c r="I539" s="20"/>
    </row>
    <row r="540" spans="1:9" ht="15.75" customHeight="1" x14ac:dyDescent="0.3">
      <c r="A540" s="19">
        <v>6</v>
      </c>
      <c r="B540" s="19" t="s">
        <v>238</v>
      </c>
      <c r="C540" s="19">
        <f>(3.45*6.625+2.425*3.05+2.125*3.05+3.05*3+3.05*4.75+(1.95*1+5.2*1+2.125*1+2.425*1.375+1.225*0.65+1.375*2.275+3.2*1.375))*10.764</f>
        <v>875.16701999999998</v>
      </c>
      <c r="D540" s="133">
        <v>0</v>
      </c>
      <c r="E540" s="133">
        <f t="shared" si="28"/>
        <v>1400.2672320000001</v>
      </c>
      <c r="F540" s="140"/>
      <c r="G540" s="141"/>
      <c r="H540" s="142"/>
      <c r="I540" s="20"/>
    </row>
    <row r="541" spans="1:9" ht="15.75" customHeight="1" x14ac:dyDescent="0.3">
      <c r="A541" s="130" t="s">
        <v>252</v>
      </c>
      <c r="B541" s="131"/>
      <c r="C541" s="131"/>
      <c r="D541" s="131"/>
      <c r="E541" s="131"/>
      <c r="F541" s="131"/>
      <c r="G541" s="131"/>
      <c r="H541" s="132"/>
      <c r="I541" s="20"/>
    </row>
    <row r="542" spans="1:9" ht="15.75" customHeight="1" x14ac:dyDescent="0.3">
      <c r="A542" s="19">
        <v>1</v>
      </c>
      <c r="B542" s="19" t="s">
        <v>238</v>
      </c>
      <c r="C542" s="19">
        <f>((1.75*1.3+5.18*3.05+3.38*2.65+3.05*2.425+2.25*3.8+1.055*2.8+1.055*2.1+3.05*3+4.205*3.025)+(2.025*1+2.425*1.375+2.475*1.525+1.35*3.05))*10.764</f>
        <v>896.29809749999993</v>
      </c>
      <c r="D542" s="133">
        <v>0</v>
      </c>
      <c r="E542" s="133">
        <f t="shared" ref="E542:E547" si="29">C542*1.6</f>
        <v>1434.0769559999999</v>
      </c>
      <c r="F542" s="134" t="str">
        <f>A541</f>
        <v>26th &amp; 33rd Floor</v>
      </c>
      <c r="G542" s="135"/>
      <c r="H542" s="136"/>
      <c r="I542" s="20"/>
    </row>
    <row r="543" spans="1:9" ht="15.75" customHeight="1" x14ac:dyDescent="0.3">
      <c r="A543" s="19">
        <v>2</v>
      </c>
      <c r="B543" s="19" t="s">
        <v>238</v>
      </c>
      <c r="C543" s="19">
        <f>((1.75*1.3+5.18*3.05+3.38*2.65+3.05*2.425+2.25*3.8+1.055*2.8+1.055*2.1+3.05*3+4.205*3.025)+(2.025*1+2.425*1.375+2.475*1.525+1.35*3.05))*10.764</f>
        <v>896.29809749999993</v>
      </c>
      <c r="D543" s="133">
        <v>0</v>
      </c>
      <c r="E543" s="133">
        <f t="shared" si="29"/>
        <v>1434.0769559999999</v>
      </c>
      <c r="F543" s="137"/>
      <c r="G543" s="138"/>
      <c r="H543" s="139"/>
      <c r="I543" s="20"/>
    </row>
    <row r="544" spans="1:9" ht="15.75" customHeight="1" x14ac:dyDescent="0.3">
      <c r="A544" s="19">
        <v>3</v>
      </c>
      <c r="B544" s="19" t="s">
        <v>238</v>
      </c>
      <c r="C544" s="19">
        <f>(3.45*7.305+3*2.175+2.545*3.05+3.35*3.05+3.05*4.15+(2.15*1+4.345*1+2.175*1+2.475*1.525+1.42*2.325))*10.764</f>
        <v>840.78007649999995</v>
      </c>
      <c r="D544" s="133">
        <v>0</v>
      </c>
      <c r="E544" s="133">
        <f t="shared" si="29"/>
        <v>1345.2481224000001</v>
      </c>
      <c r="F544" s="137"/>
      <c r="G544" s="138"/>
      <c r="H544" s="139"/>
      <c r="I544" s="20"/>
    </row>
    <row r="545" spans="1:9" ht="15.5" x14ac:dyDescent="0.3">
      <c r="A545" s="19">
        <v>4</v>
      </c>
      <c r="B545" s="19" t="s">
        <v>238</v>
      </c>
      <c r="C545" s="19">
        <f>(3.45*7.305+3*2.175+2.545*3.05+3.35*3.05+3.05*4.15+(2.15*1+4.345*1+2.175*1+2.475*1.525+1.42*2.325))*10.764</f>
        <v>840.78007649999995</v>
      </c>
      <c r="D545" s="133">
        <v>0</v>
      </c>
      <c r="E545" s="133">
        <f t="shared" si="29"/>
        <v>1345.2481224000001</v>
      </c>
      <c r="F545" s="137"/>
      <c r="G545" s="138"/>
      <c r="H545" s="139"/>
      <c r="I545" s="20"/>
    </row>
    <row r="546" spans="1:9" ht="15.5" x14ac:dyDescent="0.3">
      <c r="A546" s="19">
        <v>5</v>
      </c>
      <c r="B546" s="19" t="s">
        <v>238</v>
      </c>
      <c r="C546" s="19">
        <f>(3.45*6.625+2.425*3.05+2.125*3.05+3.05*3+3.05*4.75+(1.95*1+5.2*1+2.125*1+2.425*1.375+1.225*0.65+1.375*2.275+3.2*1.375))*10.764</f>
        <v>875.16701999999998</v>
      </c>
      <c r="D546" s="133">
        <v>0</v>
      </c>
      <c r="E546" s="133">
        <f t="shared" si="29"/>
        <v>1400.2672320000001</v>
      </c>
      <c r="F546" s="137"/>
      <c r="G546" s="138"/>
      <c r="H546" s="139"/>
      <c r="I546" s="20"/>
    </row>
    <row r="547" spans="1:9" ht="15.75" customHeight="1" x14ac:dyDescent="0.3">
      <c r="A547" s="19">
        <v>6</v>
      </c>
      <c r="B547" s="19" t="s">
        <v>238</v>
      </c>
      <c r="C547" s="19">
        <f>(3.45*6.625+2.425*3.05+2.125*3.05+3.05*3+3.05*4.75+(1.95*1+5.2*1+2.125*1+2.425*1.375+1.225*0.65+1.375*2.275+3.2*1.375))*10.764</f>
        <v>875.16701999999998</v>
      </c>
      <c r="D547" s="133">
        <v>0</v>
      </c>
      <c r="E547" s="133">
        <f t="shared" si="29"/>
        <v>1400.2672320000001</v>
      </c>
      <c r="F547" s="140"/>
      <c r="G547" s="141"/>
      <c r="H547" s="142"/>
      <c r="I547" s="20"/>
    </row>
    <row r="548" spans="1:9" ht="15.75" customHeight="1" x14ac:dyDescent="0.3">
      <c r="A548" s="130" t="s">
        <v>253</v>
      </c>
      <c r="B548" s="131"/>
      <c r="C548" s="131"/>
      <c r="D548" s="131"/>
      <c r="E548" s="131"/>
      <c r="F548" s="131"/>
      <c r="G548" s="131"/>
      <c r="H548" s="132"/>
      <c r="I548" s="20"/>
    </row>
    <row r="549" spans="1:9" ht="15.5" x14ac:dyDescent="0.3">
      <c r="A549" s="19">
        <v>1</v>
      </c>
      <c r="B549" s="19" t="s">
        <v>238</v>
      </c>
      <c r="C549" s="19">
        <f>((1.75*1.3+5.18*3.05+3.38*2.65+3.05*2.425+2.25*3.8+1.055*2.8+1.055*2.1+3.05*3+4.205*3.025)+(2.025*1+2.425*1.375+2.475*1.525+1.35*3.05))*10.764</f>
        <v>896.29809749999993</v>
      </c>
      <c r="D549" s="133">
        <v>0</v>
      </c>
      <c r="E549" s="133">
        <f>C549*1.6</f>
        <v>1434.0769559999999</v>
      </c>
      <c r="F549" s="134" t="str">
        <f>A548</f>
        <v>25th, 32nd &amp; 39th Floor (Part Refuge Area)</v>
      </c>
      <c r="G549" s="135"/>
      <c r="H549" s="136"/>
      <c r="I549" s="20"/>
    </row>
    <row r="550" spans="1:9" ht="15.5" x14ac:dyDescent="0.3">
      <c r="A550" s="19">
        <v>2</v>
      </c>
      <c r="B550" s="19" t="s">
        <v>238</v>
      </c>
      <c r="C550" s="19">
        <f>((1.75*1.3+5.18*3.05+3.38*2.65+3.05*2.425+2.25*3.8+1.055*2.8+1.055*2.1+3.05*3+4.205*3.025)+(2.025*1+2.425*1.375+2.475*1.525+1.35*3.05))*10.764</f>
        <v>896.29809749999993</v>
      </c>
      <c r="D550" s="133">
        <v>0</v>
      </c>
      <c r="E550" s="133">
        <f>C550*1.6</f>
        <v>1434.0769559999999</v>
      </c>
      <c r="F550" s="137"/>
      <c r="G550" s="138"/>
      <c r="H550" s="139"/>
      <c r="I550" s="20"/>
    </row>
    <row r="551" spans="1:9" ht="15.5" x14ac:dyDescent="0.3">
      <c r="A551" s="19">
        <v>3</v>
      </c>
      <c r="B551" s="194" t="s">
        <v>131</v>
      </c>
      <c r="C551" s="195"/>
      <c r="D551" s="195"/>
      <c r="E551" s="196"/>
      <c r="F551" s="137"/>
      <c r="G551" s="138"/>
      <c r="H551" s="139"/>
      <c r="I551" s="20"/>
    </row>
    <row r="552" spans="1:9" ht="15.5" x14ac:dyDescent="0.3">
      <c r="A552" s="19">
        <v>4</v>
      </c>
      <c r="B552" s="19" t="s">
        <v>259</v>
      </c>
      <c r="C552" s="19">
        <f>(3.45*7.305+3*2.175+2.445*3.05+3.35*3.05+3.05*4.15+3.45*4.88+2.9*2.175+2.175*1+(2.15*1+4.345*1+2.175*0.9+1.42*2.325+1.42*2.325))*10.764</f>
        <v>1102.5941939999998</v>
      </c>
      <c r="D552" s="133">
        <v>0</v>
      </c>
      <c r="E552" s="133">
        <f>C552*1.6</f>
        <v>1764.1507103999998</v>
      </c>
      <c r="F552" s="137"/>
      <c r="G552" s="138"/>
      <c r="H552" s="139"/>
      <c r="I552" s="20"/>
    </row>
    <row r="553" spans="1:9" ht="15.75" customHeight="1" x14ac:dyDescent="0.3">
      <c r="A553" s="19">
        <v>5</v>
      </c>
      <c r="B553" s="19" t="s">
        <v>238</v>
      </c>
      <c r="C553" s="19">
        <f>(3.45*6.625+2.425*3.05+2.125*3.05+3.05*3+3.05*4.75+(1.95*1+5.2*1+2.125*1+2.425*1.375+1.225*0.65+1.375*2.275+3.2*1.375))*10.764</f>
        <v>875.16701999999998</v>
      </c>
      <c r="D553" s="133">
        <v>0</v>
      </c>
      <c r="E553" s="133">
        <f>C553*1.6</f>
        <v>1400.2672320000001</v>
      </c>
      <c r="F553" s="137"/>
      <c r="G553" s="138"/>
      <c r="H553" s="139"/>
      <c r="I553" s="20"/>
    </row>
    <row r="554" spans="1:9" ht="15.75" customHeight="1" x14ac:dyDescent="0.3">
      <c r="A554" s="130" t="s">
        <v>140</v>
      </c>
      <c r="B554" s="131"/>
      <c r="C554" s="131"/>
      <c r="D554" s="131"/>
      <c r="E554" s="131"/>
      <c r="F554" s="131"/>
      <c r="G554" s="131"/>
      <c r="H554" s="132"/>
      <c r="I554" s="20"/>
    </row>
    <row r="555" spans="1:9" ht="15.5" x14ac:dyDescent="0.3">
      <c r="A555" s="19">
        <v>1</v>
      </c>
      <c r="B555" s="19" t="s">
        <v>238</v>
      </c>
      <c r="C555" s="19">
        <f>((1.75*1.3+5.18*3.05+3.38*2.65+3.05*2.425+2.25*3.8+1.055*2.8+1.055*2.1+3.05*3+4.205*3.025)+(2.025*1+2.425*1.375+2.475*1.525+1.35*3.05))*10.764</f>
        <v>896.29809749999993</v>
      </c>
      <c r="D555" s="133">
        <v>0</v>
      </c>
      <c r="E555" s="133">
        <f t="shared" ref="E555:E560" si="30">C555*1.6</f>
        <v>1434.0769559999999</v>
      </c>
      <c r="F555" s="134" t="str">
        <f>A554</f>
        <v>40th Floor</v>
      </c>
      <c r="G555" s="135"/>
      <c r="H555" s="136"/>
      <c r="I555" s="20"/>
    </row>
    <row r="556" spans="1:9" ht="15.5" x14ac:dyDescent="0.3">
      <c r="A556" s="19">
        <v>2</v>
      </c>
      <c r="B556" s="19" t="s">
        <v>238</v>
      </c>
      <c r="C556" s="19">
        <f>((1.75*1.3+5.18*3.05+3.38*2.65+3.05*2.425+2.25*3.8+1.055*2.8+1.055*2.1+3.05*3+4.205*3.025)+(2.025*1+2.425*1.375+2.475*1.525+1.35*3.05))*10.764</f>
        <v>896.29809749999993</v>
      </c>
      <c r="D556" s="133">
        <v>0</v>
      </c>
      <c r="E556" s="133">
        <f t="shared" si="30"/>
        <v>1434.0769559999999</v>
      </c>
      <c r="F556" s="137"/>
      <c r="G556" s="138"/>
      <c r="H556" s="139"/>
      <c r="I556" s="20"/>
    </row>
    <row r="557" spans="1:9" ht="15.75" customHeight="1" x14ac:dyDescent="0.3">
      <c r="A557" s="19">
        <v>3</v>
      </c>
      <c r="B557" s="19" t="s">
        <v>238</v>
      </c>
      <c r="C557" s="19">
        <f>(3.45*7.305+3*2.175+2.545*3.05+3.35*3.05+3.05*4.15+(2.15*1+4.345*1+2.175*1+2.475*1.525+1.42*2.325))*10.764</f>
        <v>840.78007649999995</v>
      </c>
      <c r="D557" s="133">
        <v>0</v>
      </c>
      <c r="E557" s="133">
        <f t="shared" si="30"/>
        <v>1345.2481224000001</v>
      </c>
      <c r="F557" s="137"/>
      <c r="G557" s="138"/>
      <c r="H557" s="139"/>
      <c r="I557" s="20"/>
    </row>
    <row r="558" spans="1:9" ht="15.5" x14ac:dyDescent="0.3">
      <c r="A558" s="19">
        <v>4</v>
      </c>
      <c r="B558" s="19" t="s">
        <v>238</v>
      </c>
      <c r="C558" s="19">
        <f>(3.45*7.305+3*2.175+2.545*3.05+3.35*3.05+3.05*4.15+(2.15*1+4.345*1+2.175*1+2.475*1.525+1.42*2.325))*10.764</f>
        <v>840.78007649999995</v>
      </c>
      <c r="D558" s="133">
        <v>0</v>
      </c>
      <c r="E558" s="133">
        <f t="shared" si="30"/>
        <v>1345.2481224000001</v>
      </c>
      <c r="F558" s="137"/>
      <c r="G558" s="138"/>
      <c r="H558" s="139"/>
      <c r="I558" s="20"/>
    </row>
    <row r="559" spans="1:9" ht="15.5" x14ac:dyDescent="0.3">
      <c r="A559" s="19">
        <v>5</v>
      </c>
      <c r="B559" s="19" t="s">
        <v>238</v>
      </c>
      <c r="C559" s="19">
        <f>(3.45*6.625+2.425*3.05+2.125*3.05+3.05*3+3.05*4.75+(1.95*1+5.2*1+2.125*1+2.425*1.375+1.225*0.65+1.375*2.275+3.2*1.375))*10.764</f>
        <v>875.16701999999998</v>
      </c>
      <c r="D559" s="133">
        <v>0</v>
      </c>
      <c r="E559" s="133">
        <f t="shared" si="30"/>
        <v>1400.2672320000001</v>
      </c>
      <c r="F559" s="137"/>
      <c r="G559" s="138"/>
      <c r="H559" s="139"/>
      <c r="I559" s="20"/>
    </row>
    <row r="560" spans="1:9" ht="15.5" x14ac:dyDescent="0.3">
      <c r="A560" s="19">
        <v>6</v>
      </c>
      <c r="B560" s="19" t="s">
        <v>238</v>
      </c>
      <c r="C560" s="19">
        <f>(3.45*6.625+2.425*3.05+2.125*3.05+3.05*3+3.05*4.75+(1.95*1+5.2*1+2.125*1+2.425*1.375+1.225*0.65+1.375*2.275+3.2*1.375))*10.764</f>
        <v>875.16701999999998</v>
      </c>
      <c r="D560" s="133">
        <v>0</v>
      </c>
      <c r="E560" s="133">
        <f t="shared" si="30"/>
        <v>1400.2672320000001</v>
      </c>
      <c r="F560" s="140"/>
      <c r="G560" s="141"/>
      <c r="H560" s="142"/>
      <c r="I560" s="20"/>
    </row>
    <row r="561" spans="1:9" ht="15" x14ac:dyDescent="0.3">
      <c r="A561" s="187" t="s">
        <v>326</v>
      </c>
      <c r="B561" s="188"/>
      <c r="C561" s="188"/>
      <c r="D561" s="188"/>
      <c r="E561" s="188"/>
      <c r="F561" s="188"/>
      <c r="G561" s="188"/>
      <c r="H561" s="189"/>
      <c r="I561" s="20"/>
    </row>
    <row r="562" spans="1:9" ht="15.75" customHeight="1" x14ac:dyDescent="0.3">
      <c r="A562" s="130" t="s">
        <v>318</v>
      </c>
      <c r="B562" s="131"/>
      <c r="C562" s="131"/>
      <c r="D562" s="131"/>
      <c r="E562" s="131"/>
      <c r="F562" s="131"/>
      <c r="G562" s="131"/>
      <c r="H562" s="132"/>
      <c r="I562" s="20"/>
    </row>
    <row r="563" spans="1:9" ht="15.75" customHeight="1" x14ac:dyDescent="0.3">
      <c r="A563" s="130" t="s">
        <v>289</v>
      </c>
      <c r="B563" s="131"/>
      <c r="C563" s="131"/>
      <c r="D563" s="131"/>
      <c r="E563" s="131"/>
      <c r="F563" s="131"/>
      <c r="G563" s="131"/>
      <c r="H563" s="132"/>
      <c r="I563" s="20"/>
    </row>
    <row r="564" spans="1:9" ht="15" x14ac:dyDescent="0.3">
      <c r="A564" s="130" t="s">
        <v>290</v>
      </c>
      <c r="B564" s="131"/>
      <c r="C564" s="131"/>
      <c r="D564" s="131"/>
      <c r="E564" s="131"/>
      <c r="F564" s="131"/>
      <c r="G564" s="131"/>
      <c r="H564" s="132"/>
      <c r="I564" s="20"/>
    </row>
    <row r="565" spans="1:9" ht="15" x14ac:dyDescent="0.3">
      <c r="A565" s="130" t="s">
        <v>321</v>
      </c>
      <c r="B565" s="131"/>
      <c r="C565" s="131"/>
      <c r="D565" s="131"/>
      <c r="E565" s="131"/>
      <c r="F565" s="131"/>
      <c r="G565" s="131"/>
      <c r="H565" s="132"/>
      <c r="I565" s="20"/>
    </row>
    <row r="566" spans="1:9" ht="15.75" customHeight="1" x14ac:dyDescent="0.3">
      <c r="A566" s="19">
        <v>1</v>
      </c>
      <c r="B566" s="79" t="s">
        <v>174</v>
      </c>
      <c r="C566" s="80">
        <f>(27.03)*(10.764)</f>
        <v>290.95092</v>
      </c>
      <c r="D566" s="133">
        <v>0</v>
      </c>
      <c r="E566" s="133">
        <f t="shared" ref="E566:E571" si="31">C566*1.6</f>
        <v>465.52147200000002</v>
      </c>
      <c r="F566" s="134" t="str">
        <f>A565</f>
        <v xml:space="preserve">1st to 7th, 9th to 14th &amp; 16th to 21st Floor For Residential </v>
      </c>
      <c r="G566" s="135"/>
      <c r="H566" s="136"/>
      <c r="I566" s="20"/>
    </row>
    <row r="567" spans="1:9" ht="15.5" x14ac:dyDescent="0.3">
      <c r="A567" s="19">
        <f>A566+1</f>
        <v>2</v>
      </c>
      <c r="B567" s="79" t="s">
        <v>174</v>
      </c>
      <c r="C567" s="80">
        <f>(27.85)*(10.764)</f>
        <v>299.7774</v>
      </c>
      <c r="D567" s="133">
        <v>0</v>
      </c>
      <c r="E567" s="133">
        <f t="shared" si="31"/>
        <v>479.64384000000001</v>
      </c>
      <c r="F567" s="137"/>
      <c r="G567" s="138"/>
      <c r="H567" s="139"/>
      <c r="I567" s="20"/>
    </row>
    <row r="568" spans="1:9" ht="15.5" x14ac:dyDescent="0.3">
      <c r="A568" s="19">
        <f t="shared" ref="A568:A573" si="32">A567+1</f>
        <v>3</v>
      </c>
      <c r="B568" s="79" t="s">
        <v>174</v>
      </c>
      <c r="C568" s="80">
        <f>(27.85)*(10.764)</f>
        <v>299.7774</v>
      </c>
      <c r="D568" s="133">
        <v>0</v>
      </c>
      <c r="E568" s="133">
        <f t="shared" si="31"/>
        <v>479.64384000000001</v>
      </c>
      <c r="F568" s="137"/>
      <c r="G568" s="138"/>
      <c r="H568" s="139"/>
      <c r="I568" s="20"/>
    </row>
    <row r="569" spans="1:9" ht="15.5" x14ac:dyDescent="0.3">
      <c r="A569" s="19">
        <f t="shared" si="32"/>
        <v>4</v>
      </c>
      <c r="B569" s="79" t="s">
        <v>174</v>
      </c>
      <c r="C569" s="80">
        <f>(27.03)*(10.764)</f>
        <v>290.95092</v>
      </c>
      <c r="D569" s="133">
        <v>0</v>
      </c>
      <c r="E569" s="133">
        <f t="shared" si="31"/>
        <v>465.52147200000002</v>
      </c>
      <c r="F569" s="137"/>
      <c r="G569" s="138"/>
      <c r="H569" s="139"/>
      <c r="I569" s="20"/>
    </row>
    <row r="570" spans="1:9" ht="15.5" x14ac:dyDescent="0.3">
      <c r="A570" s="19">
        <f t="shared" si="32"/>
        <v>5</v>
      </c>
      <c r="B570" s="79" t="s">
        <v>174</v>
      </c>
      <c r="C570" s="80">
        <f>(27.03)*(10.764)</f>
        <v>290.95092</v>
      </c>
      <c r="D570" s="133">
        <v>0</v>
      </c>
      <c r="E570" s="133">
        <f t="shared" si="31"/>
        <v>465.52147200000002</v>
      </c>
      <c r="F570" s="137"/>
      <c r="G570" s="138"/>
      <c r="H570" s="139"/>
      <c r="I570" s="20"/>
    </row>
    <row r="571" spans="1:9" ht="15.5" x14ac:dyDescent="0.3">
      <c r="A571" s="19">
        <f t="shared" si="32"/>
        <v>6</v>
      </c>
      <c r="B571" s="79" t="s">
        <v>174</v>
      </c>
      <c r="C571" s="80">
        <f>(27.85)*(10.764)</f>
        <v>299.7774</v>
      </c>
      <c r="D571" s="133">
        <v>0</v>
      </c>
      <c r="E571" s="133">
        <f t="shared" si="31"/>
        <v>479.64384000000001</v>
      </c>
      <c r="F571" s="137"/>
      <c r="G571" s="138"/>
      <c r="H571" s="139"/>
    </row>
    <row r="572" spans="1:9" ht="15.5" x14ac:dyDescent="0.3">
      <c r="A572" s="19">
        <f t="shared" si="32"/>
        <v>7</v>
      </c>
      <c r="B572" s="79" t="s">
        <v>174</v>
      </c>
      <c r="C572" s="80">
        <f>(27.85)*(10.764)</f>
        <v>299.7774</v>
      </c>
      <c r="D572" s="133">
        <v>0</v>
      </c>
      <c r="E572" s="133">
        <f t="shared" ref="E572:E573" si="33">C572*1.6</f>
        <v>479.64384000000001</v>
      </c>
      <c r="F572" s="137"/>
      <c r="G572" s="138"/>
      <c r="H572" s="139"/>
    </row>
    <row r="573" spans="1:9" ht="15" customHeight="1" x14ac:dyDescent="0.3">
      <c r="A573" s="19">
        <f t="shared" si="32"/>
        <v>8</v>
      </c>
      <c r="B573" s="79" t="s">
        <v>174</v>
      </c>
      <c r="C573" s="80">
        <f>(27.03)*(10.764)</f>
        <v>290.95092</v>
      </c>
      <c r="D573" s="133">
        <v>0</v>
      </c>
      <c r="E573" s="133">
        <f t="shared" si="33"/>
        <v>465.52147200000002</v>
      </c>
      <c r="F573" s="140"/>
      <c r="G573" s="141"/>
      <c r="H573" s="142"/>
    </row>
    <row r="574" spans="1:9" ht="15" customHeight="1" x14ac:dyDescent="0.3">
      <c r="A574" s="130" t="s">
        <v>291</v>
      </c>
      <c r="B574" s="131"/>
      <c r="C574" s="131"/>
      <c r="D574" s="131"/>
      <c r="E574" s="131"/>
      <c r="F574" s="131"/>
      <c r="G574" s="131"/>
      <c r="H574" s="132"/>
    </row>
    <row r="575" spans="1:9" ht="15" customHeight="1" x14ac:dyDescent="0.3">
      <c r="A575" s="19">
        <v>1</v>
      </c>
      <c r="B575" s="79" t="s">
        <v>174</v>
      </c>
      <c r="C575" s="80">
        <f>(27.03)*(10.764)</f>
        <v>290.95092</v>
      </c>
      <c r="D575" s="133">
        <v>0</v>
      </c>
      <c r="E575" s="133">
        <f t="shared" ref="E575:E582" si="34">C575*1.6</f>
        <v>465.52147200000002</v>
      </c>
      <c r="F575" s="134" t="str">
        <f>A574</f>
        <v>8th Floor For Residential (Part Refuge Area)</v>
      </c>
      <c r="G575" s="135"/>
      <c r="H575" s="136"/>
    </row>
    <row r="576" spans="1:9" ht="15" customHeight="1" x14ac:dyDescent="0.3">
      <c r="A576" s="19">
        <f>A575+1</f>
        <v>2</v>
      </c>
      <c r="B576" s="79" t="s">
        <v>174</v>
      </c>
      <c r="C576" s="80">
        <f>(27.85)*(10.764)</f>
        <v>299.7774</v>
      </c>
      <c r="D576" s="133">
        <v>0</v>
      </c>
      <c r="E576" s="133">
        <f t="shared" si="34"/>
        <v>479.64384000000001</v>
      </c>
      <c r="F576" s="137"/>
      <c r="G576" s="138"/>
      <c r="H576" s="139"/>
    </row>
    <row r="577" spans="1:8" ht="15" customHeight="1" x14ac:dyDescent="0.3">
      <c r="A577" s="19">
        <f t="shared" ref="A577:A582" si="35">A576+1</f>
        <v>3</v>
      </c>
      <c r="B577" s="79" t="s">
        <v>174</v>
      </c>
      <c r="C577" s="80">
        <f>(27.85)*(10.764)</f>
        <v>299.7774</v>
      </c>
      <c r="D577" s="133">
        <v>0</v>
      </c>
      <c r="E577" s="133">
        <f t="shared" si="34"/>
        <v>479.64384000000001</v>
      </c>
      <c r="F577" s="137"/>
      <c r="G577" s="138"/>
      <c r="H577" s="139"/>
    </row>
    <row r="578" spans="1:8" ht="15.5" x14ac:dyDescent="0.3">
      <c r="A578" s="19">
        <f t="shared" si="35"/>
        <v>4</v>
      </c>
      <c r="B578" s="198" t="s">
        <v>131</v>
      </c>
      <c r="C578" s="199"/>
      <c r="D578" s="199"/>
      <c r="E578" s="200"/>
      <c r="F578" s="137"/>
      <c r="G578" s="138"/>
      <c r="H578" s="139"/>
    </row>
    <row r="579" spans="1:8" ht="15.5" x14ac:dyDescent="0.3">
      <c r="A579" s="19">
        <f t="shared" si="35"/>
        <v>5</v>
      </c>
      <c r="B579" s="201"/>
      <c r="C579" s="202"/>
      <c r="D579" s="202"/>
      <c r="E579" s="203"/>
      <c r="F579" s="137"/>
      <c r="G579" s="138"/>
      <c r="H579" s="139"/>
    </row>
    <row r="580" spans="1:8" ht="15.5" x14ac:dyDescent="0.3">
      <c r="A580" s="19">
        <f t="shared" si="35"/>
        <v>6</v>
      </c>
      <c r="B580" s="79" t="s">
        <v>174</v>
      </c>
      <c r="C580" s="80">
        <f>(27.85)*(10.764)</f>
        <v>299.7774</v>
      </c>
      <c r="D580" s="133">
        <v>0</v>
      </c>
      <c r="E580" s="133">
        <f t="shared" si="34"/>
        <v>479.64384000000001</v>
      </c>
      <c r="F580" s="137"/>
      <c r="G580" s="138"/>
      <c r="H580" s="139"/>
    </row>
    <row r="581" spans="1:8" ht="15.5" x14ac:dyDescent="0.3">
      <c r="A581" s="19">
        <f t="shared" si="35"/>
        <v>7</v>
      </c>
      <c r="B581" s="79" t="s">
        <v>174</v>
      </c>
      <c r="C581" s="80">
        <f>(27.85)*(10.764)</f>
        <v>299.7774</v>
      </c>
      <c r="D581" s="133">
        <v>0</v>
      </c>
      <c r="E581" s="133">
        <f t="shared" si="34"/>
        <v>479.64384000000001</v>
      </c>
      <c r="F581" s="137"/>
      <c r="G581" s="138"/>
      <c r="H581" s="139"/>
    </row>
    <row r="582" spans="1:8" ht="15.5" x14ac:dyDescent="0.3">
      <c r="A582" s="19">
        <f t="shared" si="35"/>
        <v>8</v>
      </c>
      <c r="B582" s="79" t="s">
        <v>174</v>
      </c>
      <c r="C582" s="80">
        <f>(27.03)*(10.764)</f>
        <v>290.95092</v>
      </c>
      <c r="D582" s="133">
        <v>0</v>
      </c>
      <c r="E582" s="133">
        <f t="shared" si="34"/>
        <v>465.52147200000002</v>
      </c>
      <c r="F582" s="140"/>
      <c r="G582" s="141"/>
      <c r="H582" s="142"/>
    </row>
    <row r="583" spans="1:8" ht="15" x14ac:dyDescent="0.3">
      <c r="A583" s="130" t="s">
        <v>292</v>
      </c>
      <c r="B583" s="131"/>
      <c r="C583" s="131"/>
      <c r="D583" s="131"/>
      <c r="E583" s="131"/>
      <c r="F583" s="131"/>
      <c r="G583" s="131"/>
      <c r="H583" s="132"/>
    </row>
    <row r="584" spans="1:8" ht="15.5" x14ac:dyDescent="0.3">
      <c r="A584" s="19">
        <v>1</v>
      </c>
      <c r="B584" s="79" t="s">
        <v>174</v>
      </c>
      <c r="C584" s="80">
        <f>(27.03)*(10.764)</f>
        <v>290.95092</v>
      </c>
      <c r="D584" s="133">
        <v>0</v>
      </c>
      <c r="E584" s="133">
        <f t="shared" ref="E584:E586" si="36">C584*1.6</f>
        <v>465.52147200000002</v>
      </c>
      <c r="F584" s="134" t="str">
        <f>A583</f>
        <v>15th Floor For Residential (Part Refuge Area)</v>
      </c>
      <c r="G584" s="135"/>
      <c r="H584" s="136"/>
    </row>
    <row r="585" spans="1:8" ht="15.5" x14ac:dyDescent="0.3">
      <c r="A585" s="19">
        <f>A584+1</f>
        <v>2</v>
      </c>
      <c r="B585" s="79" t="s">
        <v>174</v>
      </c>
      <c r="C585" s="80">
        <f>(27.85)*(10.764)</f>
        <v>299.7774</v>
      </c>
      <c r="D585" s="133">
        <v>0</v>
      </c>
      <c r="E585" s="133">
        <f t="shared" si="36"/>
        <v>479.64384000000001</v>
      </c>
      <c r="F585" s="137"/>
      <c r="G585" s="138"/>
      <c r="H585" s="139"/>
    </row>
    <row r="586" spans="1:8" ht="15.5" x14ac:dyDescent="0.3">
      <c r="A586" s="19">
        <f t="shared" ref="A586:A591" si="37">A585+1</f>
        <v>3</v>
      </c>
      <c r="B586" s="79" t="s">
        <v>174</v>
      </c>
      <c r="C586" s="80">
        <f>(27.85)*(10.764)</f>
        <v>299.7774</v>
      </c>
      <c r="D586" s="133">
        <v>0</v>
      </c>
      <c r="E586" s="133">
        <f t="shared" si="36"/>
        <v>479.64384000000001</v>
      </c>
      <c r="F586" s="137"/>
      <c r="G586" s="138"/>
      <c r="H586" s="139"/>
    </row>
    <row r="587" spans="1:8" ht="15.5" x14ac:dyDescent="0.3">
      <c r="A587" s="19">
        <f t="shared" si="37"/>
        <v>4</v>
      </c>
      <c r="B587" s="198" t="s">
        <v>131</v>
      </c>
      <c r="C587" s="199"/>
      <c r="D587" s="199"/>
      <c r="E587" s="200"/>
      <c r="F587" s="137"/>
      <c r="G587" s="138"/>
      <c r="H587" s="139"/>
    </row>
    <row r="588" spans="1:8" ht="15.5" x14ac:dyDescent="0.3">
      <c r="A588" s="19">
        <f t="shared" si="37"/>
        <v>5</v>
      </c>
      <c r="B588" s="201"/>
      <c r="C588" s="202"/>
      <c r="D588" s="202"/>
      <c r="E588" s="203"/>
      <c r="F588" s="137"/>
      <c r="G588" s="138"/>
      <c r="H588" s="139"/>
    </row>
    <row r="589" spans="1:8" ht="15.5" x14ac:dyDescent="0.3">
      <c r="A589" s="19">
        <f t="shared" si="37"/>
        <v>6</v>
      </c>
      <c r="B589" s="79" t="s">
        <v>174</v>
      </c>
      <c r="C589" s="80">
        <f>(27.85)*(10.764)</f>
        <v>299.7774</v>
      </c>
      <c r="D589" s="133">
        <v>0</v>
      </c>
      <c r="E589" s="133">
        <f t="shared" ref="E589:E591" si="38">C589*1.6</f>
        <v>479.64384000000001</v>
      </c>
      <c r="F589" s="137"/>
      <c r="G589" s="138"/>
      <c r="H589" s="139"/>
    </row>
    <row r="590" spans="1:8" ht="15.5" x14ac:dyDescent="0.3">
      <c r="A590" s="19">
        <f t="shared" si="37"/>
        <v>7</v>
      </c>
      <c r="B590" s="79" t="s">
        <v>174</v>
      </c>
      <c r="C590" s="80">
        <f>(27.85)*(10.764)</f>
        <v>299.7774</v>
      </c>
      <c r="D590" s="133">
        <v>0</v>
      </c>
      <c r="E590" s="133">
        <f t="shared" si="38"/>
        <v>479.64384000000001</v>
      </c>
      <c r="F590" s="137"/>
      <c r="G590" s="138"/>
      <c r="H590" s="139"/>
    </row>
    <row r="591" spans="1:8" ht="15.5" x14ac:dyDescent="0.3">
      <c r="A591" s="19">
        <f t="shared" si="37"/>
        <v>8</v>
      </c>
      <c r="B591" s="79" t="s">
        <v>174</v>
      </c>
      <c r="C591" s="80">
        <f>(27.03)*(10.764)</f>
        <v>290.95092</v>
      </c>
      <c r="D591" s="133">
        <v>0</v>
      </c>
      <c r="E591" s="133">
        <f t="shared" si="38"/>
        <v>465.52147200000002</v>
      </c>
      <c r="F591" s="140"/>
      <c r="G591" s="141"/>
      <c r="H591" s="142"/>
    </row>
    <row r="592" spans="1:8" ht="15" x14ac:dyDescent="0.3">
      <c r="A592" s="130" t="s">
        <v>322</v>
      </c>
      <c r="B592" s="131"/>
      <c r="C592" s="131"/>
      <c r="D592" s="131"/>
      <c r="E592" s="131"/>
      <c r="F592" s="131"/>
      <c r="G592" s="131"/>
      <c r="H592" s="132"/>
    </row>
    <row r="593" spans="1:9" ht="15.5" x14ac:dyDescent="0.3">
      <c r="A593" s="19">
        <v>1</v>
      </c>
      <c r="B593" s="79" t="s">
        <v>174</v>
      </c>
      <c r="C593" s="80">
        <f>(27.03)*(10.764)</f>
        <v>290.95092</v>
      </c>
      <c r="D593" s="133">
        <v>0</v>
      </c>
      <c r="E593" s="133">
        <f t="shared" ref="E593:E600" si="39">C593*1.6</f>
        <v>465.52147200000002</v>
      </c>
      <c r="F593" s="134" t="str">
        <f>A592</f>
        <v>22nd Floor</v>
      </c>
      <c r="G593" s="135"/>
      <c r="H593" s="136"/>
    </row>
    <row r="594" spans="1:9" ht="15.5" x14ac:dyDescent="0.3">
      <c r="A594" s="19">
        <f>A593+1</f>
        <v>2</v>
      </c>
      <c r="B594" s="79" t="s">
        <v>174</v>
      </c>
      <c r="C594" s="80">
        <f>(27.85)*(10.764)</f>
        <v>299.7774</v>
      </c>
      <c r="D594" s="133">
        <v>0</v>
      </c>
      <c r="E594" s="133">
        <f t="shared" si="39"/>
        <v>479.64384000000001</v>
      </c>
      <c r="F594" s="137"/>
      <c r="G594" s="138"/>
      <c r="H594" s="139"/>
    </row>
    <row r="595" spans="1:9" ht="15.5" x14ac:dyDescent="0.3">
      <c r="A595" s="19">
        <f t="shared" ref="A595:A600" si="40">A594+1</f>
        <v>3</v>
      </c>
      <c r="B595" s="79" t="s">
        <v>174</v>
      </c>
      <c r="C595" s="80">
        <f>(27.85)*(10.764)</f>
        <v>299.7774</v>
      </c>
      <c r="D595" s="133">
        <v>0</v>
      </c>
      <c r="E595" s="133">
        <f t="shared" si="39"/>
        <v>479.64384000000001</v>
      </c>
      <c r="F595" s="137"/>
      <c r="G595" s="138"/>
      <c r="H595" s="139"/>
    </row>
    <row r="596" spans="1:9" ht="15.5" x14ac:dyDescent="0.3">
      <c r="A596" s="19">
        <f t="shared" si="40"/>
        <v>4</v>
      </c>
      <c r="B596" s="79" t="s">
        <v>174</v>
      </c>
      <c r="C596" s="80">
        <f>(27.03)*(10.764)</f>
        <v>290.95092</v>
      </c>
      <c r="D596" s="133">
        <v>0</v>
      </c>
      <c r="E596" s="133">
        <f t="shared" si="39"/>
        <v>465.52147200000002</v>
      </c>
      <c r="F596" s="137"/>
      <c r="G596" s="138"/>
      <c r="H596" s="139"/>
    </row>
    <row r="597" spans="1:9" ht="15.5" x14ac:dyDescent="0.3">
      <c r="A597" s="19">
        <f t="shared" si="40"/>
        <v>5</v>
      </c>
      <c r="B597" s="79" t="s">
        <v>174</v>
      </c>
      <c r="C597" s="80">
        <f>(27.03)*(10.764)</f>
        <v>290.95092</v>
      </c>
      <c r="D597" s="133">
        <v>0</v>
      </c>
      <c r="E597" s="133">
        <f t="shared" si="39"/>
        <v>465.52147200000002</v>
      </c>
      <c r="F597" s="137"/>
      <c r="G597" s="138"/>
      <c r="H597" s="139"/>
    </row>
    <row r="598" spans="1:9" ht="15.5" x14ac:dyDescent="0.3">
      <c r="A598" s="19">
        <f t="shared" si="40"/>
        <v>6</v>
      </c>
      <c r="B598" s="79" t="s">
        <v>174</v>
      </c>
      <c r="C598" s="80">
        <f>(27.85)*(10.764)</f>
        <v>299.7774</v>
      </c>
      <c r="D598" s="133">
        <v>0</v>
      </c>
      <c r="E598" s="133">
        <f t="shared" si="39"/>
        <v>479.64384000000001</v>
      </c>
      <c r="F598" s="137"/>
      <c r="G598" s="138"/>
      <c r="H598" s="139"/>
    </row>
    <row r="599" spans="1:9" ht="15.5" x14ac:dyDescent="0.3">
      <c r="A599" s="19">
        <f t="shared" si="40"/>
        <v>7</v>
      </c>
      <c r="B599" s="79" t="s">
        <v>174</v>
      </c>
      <c r="C599" s="80">
        <f>(27.85)*(10.764)</f>
        <v>299.7774</v>
      </c>
      <c r="D599" s="133">
        <v>0</v>
      </c>
      <c r="E599" s="133">
        <f t="shared" si="39"/>
        <v>479.64384000000001</v>
      </c>
      <c r="F599" s="137"/>
      <c r="G599" s="138"/>
      <c r="H599" s="139"/>
      <c r="I599" s="20"/>
    </row>
    <row r="600" spans="1:9" ht="15.5" x14ac:dyDescent="0.3">
      <c r="A600" s="19">
        <f t="shared" si="40"/>
        <v>8</v>
      </c>
      <c r="B600" s="79" t="s">
        <v>174</v>
      </c>
      <c r="C600" s="80">
        <f>(27.03)*(10.764)</f>
        <v>290.95092</v>
      </c>
      <c r="D600" s="133">
        <v>0</v>
      </c>
      <c r="E600" s="133">
        <f t="shared" si="39"/>
        <v>465.52147200000002</v>
      </c>
      <c r="F600" s="140"/>
      <c r="G600" s="141"/>
      <c r="H600" s="142"/>
    </row>
    <row r="601" spans="1:9" ht="361.5" customHeight="1" x14ac:dyDescent="0.3">
      <c r="A601" s="158" t="s">
        <v>359</v>
      </c>
      <c r="B601" s="159"/>
      <c r="C601" s="159"/>
      <c r="D601" s="159"/>
      <c r="E601" s="159"/>
      <c r="F601" s="159"/>
      <c r="G601" s="159"/>
      <c r="H601" s="160"/>
    </row>
    <row r="602" spans="1:9" ht="14" x14ac:dyDescent="0.3">
      <c r="A602" s="111" t="s">
        <v>64</v>
      </c>
      <c r="B602" s="113"/>
      <c r="C602" s="113"/>
      <c r="D602" s="113"/>
      <c r="E602" s="113"/>
      <c r="F602" s="113"/>
      <c r="G602" s="113"/>
      <c r="H602" s="112"/>
    </row>
    <row r="603" spans="1:9" ht="14" x14ac:dyDescent="0.3">
      <c r="A603" s="111" t="s">
        <v>65</v>
      </c>
      <c r="B603" s="113"/>
      <c r="C603" s="113"/>
      <c r="D603" s="113"/>
      <c r="E603" s="113"/>
      <c r="F603" s="113"/>
      <c r="G603" s="113"/>
      <c r="H603" s="112"/>
    </row>
    <row r="604" spans="1:9" ht="14" x14ac:dyDescent="0.3">
      <c r="A604" s="111" t="s">
        <v>66</v>
      </c>
      <c r="B604" s="113"/>
      <c r="C604" s="113"/>
      <c r="D604" s="113"/>
      <c r="E604" s="113"/>
      <c r="F604" s="113"/>
      <c r="G604" s="113"/>
      <c r="H604" s="112"/>
    </row>
    <row r="605" spans="1:9" ht="14" x14ac:dyDescent="0.3">
      <c r="A605" s="111" t="s">
        <v>67</v>
      </c>
      <c r="B605" s="113"/>
      <c r="C605" s="113"/>
      <c r="D605" s="113"/>
      <c r="E605" s="113"/>
      <c r="F605" s="113"/>
      <c r="G605" s="113"/>
      <c r="H605" s="112"/>
    </row>
    <row r="606" spans="1:9" ht="14" x14ac:dyDescent="0.3">
      <c r="A606" s="111" t="s">
        <v>68</v>
      </c>
      <c r="B606" s="113"/>
      <c r="C606" s="113"/>
      <c r="D606" s="113"/>
      <c r="E606" s="113"/>
      <c r="F606" s="113"/>
      <c r="G606" s="113"/>
      <c r="H606" s="112"/>
    </row>
    <row r="607" spans="1:9" ht="14" x14ac:dyDescent="0.3">
      <c r="A607" s="111" t="s">
        <v>69</v>
      </c>
      <c r="B607" s="113"/>
      <c r="C607" s="113"/>
      <c r="D607" s="113"/>
      <c r="E607" s="113"/>
      <c r="F607" s="113"/>
      <c r="G607" s="113"/>
      <c r="H607" s="112"/>
    </row>
    <row r="608" spans="1:9" ht="14" x14ac:dyDescent="0.3">
      <c r="A608" s="111" t="s">
        <v>70</v>
      </c>
      <c r="B608" s="113"/>
      <c r="C608" s="113"/>
      <c r="D608" s="113"/>
      <c r="E608" s="113"/>
      <c r="F608" s="113"/>
      <c r="G608" s="113"/>
      <c r="H608" s="112"/>
    </row>
    <row r="609" spans="1:8" ht="60" customHeight="1" x14ac:dyDescent="0.3">
      <c r="A609" s="174" t="s">
        <v>72</v>
      </c>
      <c r="B609" s="175"/>
      <c r="C609" s="175"/>
      <c r="D609" s="175"/>
      <c r="E609" s="175"/>
      <c r="F609" s="175"/>
      <c r="G609" s="175"/>
      <c r="H609" s="176"/>
    </row>
    <row r="610" spans="1:8" ht="14" x14ac:dyDescent="0.3">
      <c r="A610" s="120" t="s">
        <v>71</v>
      </c>
      <c r="B610" s="120"/>
      <c r="C610" s="120"/>
      <c r="D610" s="120"/>
      <c r="E610" s="120"/>
      <c r="F610" s="120"/>
      <c r="G610" s="120"/>
    </row>
    <row r="611" spans="1:8" ht="14" x14ac:dyDescent="0.3">
      <c r="H611" s="1"/>
    </row>
    <row r="625" spans="5:5" hidden="1" x14ac:dyDescent="0.3"/>
    <row r="626" spans="5:5" hidden="1" x14ac:dyDescent="0.3"/>
    <row r="627" spans="5:5" hidden="1" x14ac:dyDescent="0.3"/>
    <row r="628" spans="5:5" hidden="1" x14ac:dyDescent="0.3"/>
    <row r="629" spans="5:5" hidden="1" x14ac:dyDescent="0.3"/>
    <row r="630" spans="5:5" hidden="1" x14ac:dyDescent="0.3"/>
    <row r="631" spans="5:5" hidden="1" x14ac:dyDescent="0.3"/>
    <row r="632" spans="5:5" hidden="1" x14ac:dyDescent="0.3">
      <c r="E632" s="2"/>
    </row>
    <row r="633" spans="5:5" x14ac:dyDescent="0.3">
      <c r="E633" s="2"/>
    </row>
    <row r="634" spans="5:5" x14ac:dyDescent="0.3">
      <c r="E634" s="2"/>
    </row>
    <row r="667" spans="1:1" ht="15" x14ac:dyDescent="0.3">
      <c r="A667" s="49" t="s">
        <v>270</v>
      </c>
    </row>
    <row r="715" spans="1:8" ht="14" x14ac:dyDescent="0.3">
      <c r="A715" s="120" t="s">
        <v>323</v>
      </c>
      <c r="B715" s="120"/>
      <c r="C715" s="120"/>
      <c r="D715" s="120"/>
      <c r="E715" s="120"/>
      <c r="F715" s="120"/>
      <c r="G715" s="120"/>
    </row>
    <row r="716" spans="1:8" ht="14" x14ac:dyDescent="0.3">
      <c r="H716" s="1"/>
    </row>
    <row r="730" hidden="1" x14ac:dyDescent="0.3"/>
    <row r="731" hidden="1" x14ac:dyDescent="0.3"/>
    <row r="732" hidden="1" x14ac:dyDescent="0.3"/>
    <row r="733" hidden="1" x14ac:dyDescent="0.3"/>
    <row r="734" hidden="1" x14ac:dyDescent="0.3"/>
    <row r="735" hidden="1" x14ac:dyDescent="0.3"/>
    <row r="736" hidden="1" x14ac:dyDescent="0.3"/>
    <row r="737" spans="5:5" hidden="1" x14ac:dyDescent="0.3">
      <c r="E737" s="2"/>
    </row>
    <row r="738" spans="5:5" x14ac:dyDescent="0.3">
      <c r="E738" s="2"/>
    </row>
    <row r="739" spans="5:5" x14ac:dyDescent="0.3">
      <c r="E739" s="2"/>
    </row>
    <row r="768" spans="1:7" ht="14" x14ac:dyDescent="0.3">
      <c r="A768" s="120" t="s">
        <v>323</v>
      </c>
      <c r="B768" s="120"/>
      <c r="C768" s="120"/>
      <c r="D768" s="120"/>
      <c r="E768" s="120"/>
      <c r="F768" s="120"/>
      <c r="G768" s="120"/>
    </row>
    <row r="816" spans="1:7" ht="14" x14ac:dyDescent="0.3">
      <c r="A816" s="120" t="s">
        <v>323</v>
      </c>
      <c r="B816" s="120"/>
      <c r="C816" s="120"/>
      <c r="D816" s="120"/>
      <c r="E816" s="120"/>
      <c r="F816" s="120"/>
      <c r="G816" s="120"/>
    </row>
    <row r="864" spans="1:1" ht="15" x14ac:dyDescent="0.3">
      <c r="A864" s="49" t="s">
        <v>234</v>
      </c>
    </row>
  </sheetData>
  <mergeCells count="793">
    <mergeCell ref="A124:B124"/>
    <mergeCell ref="E124:F133"/>
    <mergeCell ref="G124:H133"/>
    <mergeCell ref="D580:E580"/>
    <mergeCell ref="C86:D87"/>
    <mergeCell ref="E86:F87"/>
    <mergeCell ref="G86:H87"/>
    <mergeCell ref="D591:E591"/>
    <mergeCell ref="B156:C156"/>
    <mergeCell ref="D156:H156"/>
    <mergeCell ref="A118:B118"/>
    <mergeCell ref="C118:H118"/>
    <mergeCell ref="D582:E582"/>
    <mergeCell ref="F575:H582"/>
    <mergeCell ref="D581:E581"/>
    <mergeCell ref="B578:E579"/>
    <mergeCell ref="A574:H574"/>
    <mergeCell ref="D575:E575"/>
    <mergeCell ref="D576:E576"/>
    <mergeCell ref="D577:E577"/>
    <mergeCell ref="A562:H562"/>
    <mergeCell ref="A563:H563"/>
    <mergeCell ref="A564:H564"/>
    <mergeCell ref="A120:B120"/>
    <mergeCell ref="C120:H120"/>
    <mergeCell ref="A123:B123"/>
    <mergeCell ref="E123:F123"/>
    <mergeCell ref="G123:H123"/>
    <mergeCell ref="A561:H561"/>
    <mergeCell ref="A583:H583"/>
    <mergeCell ref="D584:E584"/>
    <mergeCell ref="F584:H591"/>
    <mergeCell ref="D585:E585"/>
    <mergeCell ref="D586:E586"/>
    <mergeCell ref="B587:E588"/>
    <mergeCell ref="D589:E589"/>
    <mergeCell ref="D590:E590"/>
    <mergeCell ref="A592:H592"/>
    <mergeCell ref="D593:E593"/>
    <mergeCell ref="F593:H600"/>
    <mergeCell ref="D594:E594"/>
    <mergeCell ref="D595:E595"/>
    <mergeCell ref="D596:E596"/>
    <mergeCell ref="D597:E597"/>
    <mergeCell ref="D598:E598"/>
    <mergeCell ref="D599:E599"/>
    <mergeCell ref="D600:E600"/>
    <mergeCell ref="A565:H565"/>
    <mergeCell ref="D566:E566"/>
    <mergeCell ref="D567:E567"/>
    <mergeCell ref="D568:E568"/>
    <mergeCell ref="D569:E569"/>
    <mergeCell ref="D570:E570"/>
    <mergeCell ref="D571:E571"/>
    <mergeCell ref="D572:E572"/>
    <mergeCell ref="D573:E573"/>
    <mergeCell ref="F566:H573"/>
    <mergeCell ref="D549:E549"/>
    <mergeCell ref="F549:H553"/>
    <mergeCell ref="D550:E550"/>
    <mergeCell ref="B551:E551"/>
    <mergeCell ref="D552:E552"/>
    <mergeCell ref="D553:E553"/>
    <mergeCell ref="D543:E543"/>
    <mergeCell ref="D544:E544"/>
    <mergeCell ref="D545:E545"/>
    <mergeCell ref="D546:E546"/>
    <mergeCell ref="D547:E547"/>
    <mergeCell ref="F542:H547"/>
    <mergeCell ref="A607:H607"/>
    <mergeCell ref="A608:H608"/>
    <mergeCell ref="D522:E522"/>
    <mergeCell ref="D524:E524"/>
    <mergeCell ref="D525:E525"/>
    <mergeCell ref="D526:E526"/>
    <mergeCell ref="A506:H506"/>
    <mergeCell ref="D507:E507"/>
    <mergeCell ref="F507:H512"/>
    <mergeCell ref="D542:E542"/>
    <mergeCell ref="A533:H533"/>
    <mergeCell ref="A534:H534"/>
    <mergeCell ref="D514:E514"/>
    <mergeCell ref="F514:H519"/>
    <mergeCell ref="D515:E515"/>
    <mergeCell ref="D516:E516"/>
    <mergeCell ref="D517:E517"/>
    <mergeCell ref="D518:E518"/>
    <mergeCell ref="D519:E519"/>
    <mergeCell ref="A527:H527"/>
    <mergeCell ref="D528:E528"/>
    <mergeCell ref="F528:H532"/>
    <mergeCell ref="D529:E529"/>
    <mergeCell ref="D523:E523"/>
    <mergeCell ref="A548:H548"/>
    <mergeCell ref="A497:H497"/>
    <mergeCell ref="A498:H498"/>
    <mergeCell ref="A499:H499"/>
    <mergeCell ref="A500:H500"/>
    <mergeCell ref="A501:H501"/>
    <mergeCell ref="D462:E462"/>
    <mergeCell ref="D463:E463"/>
    <mergeCell ref="D464:E464"/>
    <mergeCell ref="D465:E465"/>
    <mergeCell ref="D466:E466"/>
    <mergeCell ref="D467:E467"/>
    <mergeCell ref="A468:H468"/>
    <mergeCell ref="A469:H469"/>
    <mergeCell ref="A476:H476"/>
    <mergeCell ref="F470:H475"/>
    <mergeCell ref="D470:E470"/>
    <mergeCell ref="D471:E471"/>
    <mergeCell ref="D472:E472"/>
    <mergeCell ref="D473:E473"/>
    <mergeCell ref="D474:E474"/>
    <mergeCell ref="D475:E475"/>
    <mergeCell ref="D477:E477"/>
    <mergeCell ref="D478:E478"/>
    <mergeCell ref="A256:H256"/>
    <mergeCell ref="A263:H263"/>
    <mergeCell ref="A31:B31"/>
    <mergeCell ref="C31:H31"/>
    <mergeCell ref="C30:H30"/>
    <mergeCell ref="D536:E536"/>
    <mergeCell ref="D537:E537"/>
    <mergeCell ref="D538:E538"/>
    <mergeCell ref="D539:E539"/>
    <mergeCell ref="A125:B125"/>
    <mergeCell ref="A126:B126"/>
    <mergeCell ref="A127:B127"/>
    <mergeCell ref="D479:E479"/>
    <mergeCell ref="B55:H55"/>
    <mergeCell ref="A66:A67"/>
    <mergeCell ref="F60:H60"/>
    <mergeCell ref="A60:A61"/>
    <mergeCell ref="B61:H61"/>
    <mergeCell ref="A72:B72"/>
    <mergeCell ref="A83:B83"/>
    <mergeCell ref="C83:H83"/>
    <mergeCell ref="A85:B85"/>
    <mergeCell ref="C85:H85"/>
    <mergeCell ref="A86:B87"/>
    <mergeCell ref="D492:E492"/>
    <mergeCell ref="D493:E493"/>
    <mergeCell ref="D494:E494"/>
    <mergeCell ref="D495:E495"/>
    <mergeCell ref="D496:E496"/>
    <mergeCell ref="D535:E535"/>
    <mergeCell ref="F535:H540"/>
    <mergeCell ref="D395:E395"/>
    <mergeCell ref="D403:E403"/>
    <mergeCell ref="D404:E404"/>
    <mergeCell ref="D540:E540"/>
    <mergeCell ref="A541:H541"/>
    <mergeCell ref="D508:E508"/>
    <mergeCell ref="D509:E509"/>
    <mergeCell ref="D510:E510"/>
    <mergeCell ref="D511:E511"/>
    <mergeCell ref="D512:E512"/>
    <mergeCell ref="A513:H513"/>
    <mergeCell ref="A502:H502"/>
    <mergeCell ref="A503:H503"/>
    <mergeCell ref="A504:H504"/>
    <mergeCell ref="A505:H505"/>
    <mergeCell ref="D532:E532"/>
    <mergeCell ref="B530:E530"/>
    <mergeCell ref="A520:H520"/>
    <mergeCell ref="D521:E521"/>
    <mergeCell ref="D531:E531"/>
    <mergeCell ref="F521:H526"/>
    <mergeCell ref="A106:B106"/>
    <mergeCell ref="C106:H106"/>
    <mergeCell ref="A107:B107"/>
    <mergeCell ref="E107:F107"/>
    <mergeCell ref="G107:H107"/>
    <mergeCell ref="A108:B108"/>
    <mergeCell ref="E108:F117"/>
    <mergeCell ref="G108:H117"/>
    <mergeCell ref="A109:B109"/>
    <mergeCell ref="A110:B110"/>
    <mergeCell ref="A111:B111"/>
    <mergeCell ref="A112:B112"/>
    <mergeCell ref="A113:B113"/>
    <mergeCell ref="A114:B114"/>
    <mergeCell ref="A115:B115"/>
    <mergeCell ref="A116:B116"/>
    <mergeCell ref="A117:B117"/>
    <mergeCell ref="D244:E244"/>
    <mergeCell ref="A239:H239"/>
    <mergeCell ref="A240:H240"/>
    <mergeCell ref="A241:H241"/>
    <mergeCell ref="A242:H242"/>
    <mergeCell ref="A369:H369"/>
    <mergeCell ref="A370:H370"/>
    <mergeCell ref="D303:E303"/>
    <mergeCell ref="D304:E304"/>
    <mergeCell ref="D305:E305"/>
    <mergeCell ref="A365:H365"/>
    <mergeCell ref="A366:H366"/>
    <mergeCell ref="A367:H367"/>
    <mergeCell ref="A368:H368"/>
    <mergeCell ref="A336:H336"/>
    <mergeCell ref="A341:H341"/>
    <mergeCell ref="A346:H346"/>
    <mergeCell ref="A351:H351"/>
    <mergeCell ref="A356:H356"/>
    <mergeCell ref="D357:E357"/>
    <mergeCell ref="A361:H361"/>
    <mergeCell ref="A362:H362"/>
    <mergeCell ref="A363:H363"/>
    <mergeCell ref="A364:H364"/>
    <mergeCell ref="F462:H467"/>
    <mergeCell ref="F441:H446"/>
    <mergeCell ref="F448:H453"/>
    <mergeCell ref="B460:E460"/>
    <mergeCell ref="D448:E448"/>
    <mergeCell ref="D449:E449"/>
    <mergeCell ref="D450:E450"/>
    <mergeCell ref="D451:E451"/>
    <mergeCell ref="D452:E452"/>
    <mergeCell ref="D453:E453"/>
    <mergeCell ref="D441:E441"/>
    <mergeCell ref="D442:E442"/>
    <mergeCell ref="D443:E443"/>
    <mergeCell ref="D444:E444"/>
    <mergeCell ref="D445:E445"/>
    <mergeCell ref="D446:E446"/>
    <mergeCell ref="A447:H447"/>
    <mergeCell ref="D456:E456"/>
    <mergeCell ref="D457:E457"/>
    <mergeCell ref="D455:E455"/>
    <mergeCell ref="A454:H454"/>
    <mergeCell ref="A461:H461"/>
    <mergeCell ref="D458:E458"/>
    <mergeCell ref="D459:E459"/>
    <mergeCell ref="B405:E405"/>
    <mergeCell ref="A440:H440"/>
    <mergeCell ref="A432:H432"/>
    <mergeCell ref="A435:H435"/>
    <mergeCell ref="A434:H434"/>
    <mergeCell ref="F420:H424"/>
    <mergeCell ref="A436:H436"/>
    <mergeCell ref="A433:H433"/>
    <mergeCell ref="A437:H437"/>
    <mergeCell ref="A438:H438"/>
    <mergeCell ref="A439:H439"/>
    <mergeCell ref="D421:E421"/>
    <mergeCell ref="D422:E422"/>
    <mergeCell ref="D420:E420"/>
    <mergeCell ref="A425:H425"/>
    <mergeCell ref="A431:H431"/>
    <mergeCell ref="F426:H430"/>
    <mergeCell ref="D414:E414"/>
    <mergeCell ref="D415:E415"/>
    <mergeCell ref="D416:E416"/>
    <mergeCell ref="D412:E412"/>
    <mergeCell ref="A413:H413"/>
    <mergeCell ref="F408:H412"/>
    <mergeCell ref="F414:H418"/>
    <mergeCell ref="D373:E373"/>
    <mergeCell ref="D374:E374"/>
    <mergeCell ref="D375:E375"/>
    <mergeCell ref="D376:E376"/>
    <mergeCell ref="A398:H398"/>
    <mergeCell ref="F385:H390"/>
    <mergeCell ref="F392:H397"/>
    <mergeCell ref="D382:E382"/>
    <mergeCell ref="D383:E383"/>
    <mergeCell ref="D385:E385"/>
    <mergeCell ref="F378:H383"/>
    <mergeCell ref="D379:E379"/>
    <mergeCell ref="D380:E380"/>
    <mergeCell ref="D381:E381"/>
    <mergeCell ref="D378:E378"/>
    <mergeCell ref="D388:E388"/>
    <mergeCell ref="B390:E390"/>
    <mergeCell ref="D393:E393"/>
    <mergeCell ref="D394:E394"/>
    <mergeCell ref="A399:H399"/>
    <mergeCell ref="B402:E402"/>
    <mergeCell ref="D317:E317"/>
    <mergeCell ref="D289:E289"/>
    <mergeCell ref="D290:E290"/>
    <mergeCell ref="D291:E291"/>
    <mergeCell ref="D293:E293"/>
    <mergeCell ref="D294:E294"/>
    <mergeCell ref="D295:E295"/>
    <mergeCell ref="A308:H308"/>
    <mergeCell ref="A309:H309"/>
    <mergeCell ref="A310:H310"/>
    <mergeCell ref="A311:H311"/>
    <mergeCell ref="A312:H312"/>
    <mergeCell ref="A313:H313"/>
    <mergeCell ref="A314:H314"/>
    <mergeCell ref="A315:H315"/>
    <mergeCell ref="A299:H299"/>
    <mergeCell ref="F300:H305"/>
    <mergeCell ref="F316:H319"/>
    <mergeCell ref="D300:E300"/>
    <mergeCell ref="D301:E301"/>
    <mergeCell ref="D302:E302"/>
    <mergeCell ref="A320:H320"/>
    <mergeCell ref="D284:E284"/>
    <mergeCell ref="D286:E286"/>
    <mergeCell ref="D287:E287"/>
    <mergeCell ref="D288:E288"/>
    <mergeCell ref="D296:E296"/>
    <mergeCell ref="D297:E297"/>
    <mergeCell ref="F279:H284"/>
    <mergeCell ref="F272:H277"/>
    <mergeCell ref="D316:E316"/>
    <mergeCell ref="A306:H306"/>
    <mergeCell ref="A307:H307"/>
    <mergeCell ref="A3:C3"/>
    <mergeCell ref="A4:C4"/>
    <mergeCell ref="A8:C8"/>
    <mergeCell ref="A10:C10"/>
    <mergeCell ref="A1:H1"/>
    <mergeCell ref="A2:H2"/>
    <mergeCell ref="D3:H3"/>
    <mergeCell ref="D4:H4"/>
    <mergeCell ref="B189:E189"/>
    <mergeCell ref="D179:E179"/>
    <mergeCell ref="A11:C11"/>
    <mergeCell ref="A5:C5"/>
    <mergeCell ref="A148:H148"/>
    <mergeCell ref="A6:C6"/>
    <mergeCell ref="A7:C7"/>
    <mergeCell ref="B15:D15"/>
    <mergeCell ref="D5:H5"/>
    <mergeCell ref="D6:H6"/>
    <mergeCell ref="D7:H7"/>
    <mergeCell ref="D8:H8"/>
    <mergeCell ref="D10:H10"/>
    <mergeCell ref="D11:H11"/>
    <mergeCell ref="A104:B104"/>
    <mergeCell ref="C104:H104"/>
    <mergeCell ref="A12:C12"/>
    <mergeCell ref="A13:C13"/>
    <mergeCell ref="D12:H12"/>
    <mergeCell ref="D13:H13"/>
    <mergeCell ref="B14:H14"/>
    <mergeCell ref="A20:C20"/>
    <mergeCell ref="E15:F15"/>
    <mergeCell ref="E16:F16"/>
    <mergeCell ref="E17:F17"/>
    <mergeCell ref="E18:F18"/>
    <mergeCell ref="G15:H15"/>
    <mergeCell ref="G16:H16"/>
    <mergeCell ref="G17:H17"/>
    <mergeCell ref="G18:H18"/>
    <mergeCell ref="B16:D16"/>
    <mergeCell ref="B17:D17"/>
    <mergeCell ref="B18:D18"/>
    <mergeCell ref="A28:H28"/>
    <mergeCell ref="A29:H29"/>
    <mergeCell ref="A21:C21"/>
    <mergeCell ref="A22:C22"/>
    <mergeCell ref="A19:C19"/>
    <mergeCell ref="D19:H19"/>
    <mergeCell ref="D20:H20"/>
    <mergeCell ref="D21:H21"/>
    <mergeCell ref="D22:H22"/>
    <mergeCell ref="A27:B27"/>
    <mergeCell ref="E27:F27"/>
    <mergeCell ref="A23:C23"/>
    <mergeCell ref="A24:C24"/>
    <mergeCell ref="A25:B25"/>
    <mergeCell ref="E25:F25"/>
    <mergeCell ref="D23:H23"/>
    <mergeCell ref="D24:H24"/>
    <mergeCell ref="G25:H25"/>
    <mergeCell ref="G26:H26"/>
    <mergeCell ref="G27:H27"/>
    <mergeCell ref="E143:H143"/>
    <mergeCell ref="A142:D142"/>
    <mergeCell ref="E142:H142"/>
    <mergeCell ref="B62:D62"/>
    <mergeCell ref="F62:H62"/>
    <mergeCell ref="B63:H63"/>
    <mergeCell ref="A39:C39"/>
    <mergeCell ref="B41:D41"/>
    <mergeCell ref="D39:H39"/>
    <mergeCell ref="A40:H40"/>
    <mergeCell ref="F41:H41"/>
    <mergeCell ref="F42:H42"/>
    <mergeCell ref="G43:H43"/>
    <mergeCell ref="B45:D45"/>
    <mergeCell ref="F45:H45"/>
    <mergeCell ref="A131:B131"/>
    <mergeCell ref="A132:B132"/>
    <mergeCell ref="A133:B133"/>
    <mergeCell ref="A48:H48"/>
    <mergeCell ref="B49:D49"/>
    <mergeCell ref="F49:H49"/>
    <mergeCell ref="B50:D50"/>
    <mergeCell ref="F50:H50"/>
    <mergeCell ref="B53:D53"/>
    <mergeCell ref="D154:H154"/>
    <mergeCell ref="B149:C149"/>
    <mergeCell ref="D149:H149"/>
    <mergeCell ref="B150:C150"/>
    <mergeCell ref="D150:H150"/>
    <mergeCell ref="B151:C151"/>
    <mergeCell ref="D151:H151"/>
    <mergeCell ref="B152:C152"/>
    <mergeCell ref="D152:H152"/>
    <mergeCell ref="B153:C153"/>
    <mergeCell ref="D153:H153"/>
    <mergeCell ref="A610:G610"/>
    <mergeCell ref="A601:H601"/>
    <mergeCell ref="A602:H602"/>
    <mergeCell ref="A603:H603"/>
    <mergeCell ref="A604:H604"/>
    <mergeCell ref="A605:H605"/>
    <mergeCell ref="A606:H606"/>
    <mergeCell ref="A609:H609"/>
    <mergeCell ref="D229:E229"/>
    <mergeCell ref="D230:E230"/>
    <mergeCell ref="D231:E231"/>
    <mergeCell ref="D232:E232"/>
    <mergeCell ref="D243:E243"/>
    <mergeCell ref="D269:E269"/>
    <mergeCell ref="D272:E272"/>
    <mergeCell ref="A270:H270"/>
    <mergeCell ref="A278:H278"/>
    <mergeCell ref="A285:H285"/>
    <mergeCell ref="A292:H292"/>
    <mergeCell ref="F286:H291"/>
    <mergeCell ref="F293:H298"/>
    <mergeCell ref="D279:E279"/>
    <mergeCell ref="D280:E280"/>
    <mergeCell ref="D281:E281"/>
    <mergeCell ref="A271:H271"/>
    <mergeCell ref="B298:E298"/>
    <mergeCell ref="B277:E277"/>
    <mergeCell ref="B262:E262"/>
    <mergeCell ref="D250:E250"/>
    <mergeCell ref="D251:E251"/>
    <mergeCell ref="D252:E252"/>
    <mergeCell ref="D253:E253"/>
    <mergeCell ref="D254:E254"/>
    <mergeCell ref="D255:E255"/>
    <mergeCell ref="D257:E257"/>
    <mergeCell ref="D258:E258"/>
    <mergeCell ref="D259:E259"/>
    <mergeCell ref="D260:E260"/>
    <mergeCell ref="D261:E261"/>
    <mergeCell ref="D264:E264"/>
    <mergeCell ref="D265:E265"/>
    <mergeCell ref="D273:E273"/>
    <mergeCell ref="D274:E274"/>
    <mergeCell ref="D275:E275"/>
    <mergeCell ref="D276:E276"/>
    <mergeCell ref="D268:E268"/>
    <mergeCell ref="D282:E282"/>
    <mergeCell ref="D283:E283"/>
    <mergeCell ref="F342:H345"/>
    <mergeCell ref="B338:E338"/>
    <mergeCell ref="D339:E339"/>
    <mergeCell ref="D340:E340"/>
    <mergeCell ref="D342:E342"/>
    <mergeCell ref="D343:E343"/>
    <mergeCell ref="D344:E344"/>
    <mergeCell ref="D345:E345"/>
    <mergeCell ref="D328:E328"/>
    <mergeCell ref="D329:E329"/>
    <mergeCell ref="D331:E331"/>
    <mergeCell ref="D332:E332"/>
    <mergeCell ref="D333:E333"/>
    <mergeCell ref="D334:E334"/>
    <mergeCell ref="D337:E337"/>
    <mergeCell ref="F321:H324"/>
    <mergeCell ref="F326:H329"/>
    <mergeCell ref="F331:H334"/>
    <mergeCell ref="F337:H340"/>
    <mergeCell ref="B327:E327"/>
    <mergeCell ref="A330:H330"/>
    <mergeCell ref="A335:H335"/>
    <mergeCell ref="D322:E322"/>
    <mergeCell ref="D323:E323"/>
    <mergeCell ref="D324:E324"/>
    <mergeCell ref="D326:E326"/>
    <mergeCell ref="A325:H325"/>
    <mergeCell ref="D347:E347"/>
    <mergeCell ref="D397:E397"/>
    <mergeCell ref="A384:H384"/>
    <mergeCell ref="A391:H391"/>
    <mergeCell ref="D386:E386"/>
    <mergeCell ref="D387:E387"/>
    <mergeCell ref="D396:E396"/>
    <mergeCell ref="D389:E389"/>
    <mergeCell ref="D392:E392"/>
    <mergeCell ref="D359:E359"/>
    <mergeCell ref="F347:H350"/>
    <mergeCell ref="F352:H355"/>
    <mergeCell ref="F357:H360"/>
    <mergeCell ref="B353:E353"/>
    <mergeCell ref="D348:E348"/>
    <mergeCell ref="D349:E349"/>
    <mergeCell ref="D350:E350"/>
    <mergeCell ref="D352:E352"/>
    <mergeCell ref="D354:E354"/>
    <mergeCell ref="D355:E355"/>
    <mergeCell ref="A377:H377"/>
    <mergeCell ref="F371:H376"/>
    <mergeCell ref="D371:E371"/>
    <mergeCell ref="D372:E372"/>
    <mergeCell ref="F455:H460"/>
    <mergeCell ref="D423:E423"/>
    <mergeCell ref="D426:E426"/>
    <mergeCell ref="D427:E427"/>
    <mergeCell ref="D428:E428"/>
    <mergeCell ref="D429:E429"/>
    <mergeCell ref="D430:E430"/>
    <mergeCell ref="B424:E424"/>
    <mergeCell ref="D410:E410"/>
    <mergeCell ref="D411:E411"/>
    <mergeCell ref="D417:E417"/>
    <mergeCell ref="D400:E400"/>
    <mergeCell ref="D401:E401"/>
    <mergeCell ref="F400:H405"/>
    <mergeCell ref="D487:E487"/>
    <mergeCell ref="D488:E488"/>
    <mergeCell ref="D491:E491"/>
    <mergeCell ref="B489:E489"/>
    <mergeCell ref="A483:H483"/>
    <mergeCell ref="A490:H490"/>
    <mergeCell ref="F477:H482"/>
    <mergeCell ref="F484:H489"/>
    <mergeCell ref="F491:H496"/>
    <mergeCell ref="D480:E480"/>
    <mergeCell ref="D481:E481"/>
    <mergeCell ref="D482:E482"/>
    <mergeCell ref="D484:E484"/>
    <mergeCell ref="D485:E485"/>
    <mergeCell ref="D486:E486"/>
    <mergeCell ref="A419:H419"/>
    <mergeCell ref="D408:E408"/>
    <mergeCell ref="D409:E409"/>
    <mergeCell ref="D418:E418"/>
    <mergeCell ref="A406:H406"/>
    <mergeCell ref="A407:H407"/>
    <mergeCell ref="D267:E267"/>
    <mergeCell ref="D216:E216"/>
    <mergeCell ref="D201:E201"/>
    <mergeCell ref="D358:E358"/>
    <mergeCell ref="D360:E360"/>
    <mergeCell ref="D318:E318"/>
    <mergeCell ref="D319:E319"/>
    <mergeCell ref="D321:E321"/>
    <mergeCell ref="A134:H134"/>
    <mergeCell ref="E135:H135"/>
    <mergeCell ref="E136:H136"/>
    <mergeCell ref="E137:H137"/>
    <mergeCell ref="E138:H138"/>
    <mergeCell ref="E139:H139"/>
    <mergeCell ref="A135:D135"/>
    <mergeCell ref="A136:D136"/>
    <mergeCell ref="A140:D140"/>
    <mergeCell ref="A141:D141"/>
    <mergeCell ref="A143:D143"/>
    <mergeCell ref="A137:D137"/>
    <mergeCell ref="A139:D139"/>
    <mergeCell ref="E140:H140"/>
    <mergeCell ref="E141:H141"/>
    <mergeCell ref="A138:D138"/>
    <mergeCell ref="F250:H255"/>
    <mergeCell ref="F243:H248"/>
    <mergeCell ref="A249:H249"/>
    <mergeCell ref="F257:H262"/>
    <mergeCell ref="F264:H269"/>
    <mergeCell ref="D180:E180"/>
    <mergeCell ref="D181:E181"/>
    <mergeCell ref="D182:E182"/>
    <mergeCell ref="D184:E184"/>
    <mergeCell ref="D185:E185"/>
    <mergeCell ref="D186:E186"/>
    <mergeCell ref="D187:E187"/>
    <mergeCell ref="D188:E188"/>
    <mergeCell ref="D202:E202"/>
    <mergeCell ref="D203:E203"/>
    <mergeCell ref="D206:E206"/>
    <mergeCell ref="D207:E207"/>
    <mergeCell ref="D208:E208"/>
    <mergeCell ref="D209:E209"/>
    <mergeCell ref="D245:E245"/>
    <mergeCell ref="D246:E246"/>
    <mergeCell ref="D247:E247"/>
    <mergeCell ref="D248:E248"/>
    <mergeCell ref="D266:E266"/>
    <mergeCell ref="A233:H233"/>
    <mergeCell ref="A234:H234"/>
    <mergeCell ref="A235:H235"/>
    <mergeCell ref="A236:H236"/>
    <mergeCell ref="A237:H237"/>
    <mergeCell ref="A238:H238"/>
    <mergeCell ref="D227:E227"/>
    <mergeCell ref="D228:E228"/>
    <mergeCell ref="D193:E193"/>
    <mergeCell ref="D194:E194"/>
    <mergeCell ref="D195:E195"/>
    <mergeCell ref="D196:E196"/>
    <mergeCell ref="A197:H197"/>
    <mergeCell ref="D218:E218"/>
    <mergeCell ref="D220:E220"/>
    <mergeCell ref="D221:E221"/>
    <mergeCell ref="D222:E222"/>
    <mergeCell ref="D223:E223"/>
    <mergeCell ref="D224:E224"/>
    <mergeCell ref="A226:H226"/>
    <mergeCell ref="A219:H219"/>
    <mergeCell ref="A212:H212"/>
    <mergeCell ref="A205:H205"/>
    <mergeCell ref="D217:E217"/>
    <mergeCell ref="C88:H88"/>
    <mergeCell ref="A90:B90"/>
    <mergeCell ref="C90:H90"/>
    <mergeCell ref="A198:H198"/>
    <mergeCell ref="D211:E211"/>
    <mergeCell ref="D213:E213"/>
    <mergeCell ref="D214:E214"/>
    <mergeCell ref="D215:E215"/>
    <mergeCell ref="B204:E204"/>
    <mergeCell ref="B155:C155"/>
    <mergeCell ref="D155:H155"/>
    <mergeCell ref="A190:H190"/>
    <mergeCell ref="A183:H183"/>
    <mergeCell ref="A176:H176"/>
    <mergeCell ref="B157:C157"/>
    <mergeCell ref="D157:H157"/>
    <mergeCell ref="A158:H158"/>
    <mergeCell ref="F159:H159"/>
    <mergeCell ref="A160:H160"/>
    <mergeCell ref="D159:E159"/>
    <mergeCell ref="D170:E170"/>
    <mergeCell ref="D173:E173"/>
    <mergeCell ref="D174:E174"/>
    <mergeCell ref="B154:C154"/>
    <mergeCell ref="D210:E210"/>
    <mergeCell ref="D199:E199"/>
    <mergeCell ref="D200:E200"/>
    <mergeCell ref="F199:H204"/>
    <mergeCell ref="F206:H211"/>
    <mergeCell ref="F213:H218"/>
    <mergeCell ref="F220:H225"/>
    <mergeCell ref="A164:H164"/>
    <mergeCell ref="D175:E175"/>
    <mergeCell ref="D177:E177"/>
    <mergeCell ref="D178:E178"/>
    <mergeCell ref="A166:H166"/>
    <mergeCell ref="D191:E191"/>
    <mergeCell ref="D192:E192"/>
    <mergeCell ref="A167:H167"/>
    <mergeCell ref="A168:H168"/>
    <mergeCell ref="A169:H169"/>
    <mergeCell ref="F170:H175"/>
    <mergeCell ref="F177:H182"/>
    <mergeCell ref="F184:H189"/>
    <mergeCell ref="D171:E171"/>
    <mergeCell ref="D172:E172"/>
    <mergeCell ref="F191:H196"/>
    <mergeCell ref="A62:A63"/>
    <mergeCell ref="B47:D47"/>
    <mergeCell ref="G47:H47"/>
    <mergeCell ref="A71:H71"/>
    <mergeCell ref="B56:D56"/>
    <mergeCell ref="F56:H56"/>
    <mergeCell ref="A56:A57"/>
    <mergeCell ref="B57:H57"/>
    <mergeCell ref="B58:D58"/>
    <mergeCell ref="F58:H58"/>
    <mergeCell ref="A58:A59"/>
    <mergeCell ref="B59:H59"/>
    <mergeCell ref="B60:D60"/>
    <mergeCell ref="G53:H53"/>
    <mergeCell ref="A64:A65"/>
    <mergeCell ref="B64:D64"/>
    <mergeCell ref="F64:H64"/>
    <mergeCell ref="B65:H65"/>
    <mergeCell ref="A51:A52"/>
    <mergeCell ref="F51:F52"/>
    <mergeCell ref="G51:H52"/>
    <mergeCell ref="E51:E52"/>
    <mergeCell ref="B51:D52"/>
    <mergeCell ref="A54:A55"/>
    <mergeCell ref="D558:E558"/>
    <mergeCell ref="D559:E559"/>
    <mergeCell ref="D560:E560"/>
    <mergeCell ref="A93:B93"/>
    <mergeCell ref="E93:F93"/>
    <mergeCell ref="G93:H93"/>
    <mergeCell ref="A94:B94"/>
    <mergeCell ref="F227:H232"/>
    <mergeCell ref="A96:B96"/>
    <mergeCell ref="A97:B97"/>
    <mergeCell ref="A98:B98"/>
    <mergeCell ref="A99:B99"/>
    <mergeCell ref="A100:B100"/>
    <mergeCell ref="A101:B101"/>
    <mergeCell ref="A102:B102"/>
    <mergeCell ref="A103:B103"/>
    <mergeCell ref="A165:H165"/>
    <mergeCell ref="A161:H161"/>
    <mergeCell ref="A162:H162"/>
    <mergeCell ref="A163:H163"/>
    <mergeCell ref="A128:B128"/>
    <mergeCell ref="A129:B129"/>
    <mergeCell ref="A130:B130"/>
    <mergeCell ref="B225:E225"/>
    <mergeCell ref="A9:C9"/>
    <mergeCell ref="D9:H9"/>
    <mergeCell ref="B54:D54"/>
    <mergeCell ref="F54:H54"/>
    <mergeCell ref="A36:C36"/>
    <mergeCell ref="A37:C37"/>
    <mergeCell ref="A38:C38"/>
    <mergeCell ref="A33:G33"/>
    <mergeCell ref="A34:C34"/>
    <mergeCell ref="A35:C35"/>
    <mergeCell ref="A32:H32"/>
    <mergeCell ref="D34:H34"/>
    <mergeCell ref="D35:H35"/>
    <mergeCell ref="D36:H36"/>
    <mergeCell ref="D37:H37"/>
    <mergeCell ref="D38:H38"/>
    <mergeCell ref="B42:D42"/>
    <mergeCell ref="B43:D43"/>
    <mergeCell ref="B46:D46"/>
    <mergeCell ref="F46:H46"/>
    <mergeCell ref="A44:H44"/>
    <mergeCell ref="A30:B30"/>
    <mergeCell ref="A26:B26"/>
    <mergeCell ref="E26:F26"/>
    <mergeCell ref="A715:G715"/>
    <mergeCell ref="A768:G768"/>
    <mergeCell ref="A816:G816"/>
    <mergeCell ref="B66:D66"/>
    <mergeCell ref="F66:H66"/>
    <mergeCell ref="B67:H67"/>
    <mergeCell ref="A68:A69"/>
    <mergeCell ref="B68:D68"/>
    <mergeCell ref="F68:H68"/>
    <mergeCell ref="B69:H69"/>
    <mergeCell ref="B70:D70"/>
    <mergeCell ref="F70:H70"/>
    <mergeCell ref="E94:F103"/>
    <mergeCell ref="G94:H103"/>
    <mergeCell ref="A95:B95"/>
    <mergeCell ref="A91:B92"/>
    <mergeCell ref="C91:D92"/>
    <mergeCell ref="E91:F92"/>
    <mergeCell ref="G91:H92"/>
    <mergeCell ref="A554:H554"/>
    <mergeCell ref="D555:E555"/>
    <mergeCell ref="F555:H560"/>
    <mergeCell ref="D556:E556"/>
    <mergeCell ref="D557:E557"/>
    <mergeCell ref="A73:B73"/>
    <mergeCell ref="C73:H73"/>
    <mergeCell ref="C72:H72"/>
    <mergeCell ref="I68:J68"/>
    <mergeCell ref="L68:M68"/>
    <mergeCell ref="N68:P68"/>
    <mergeCell ref="C74:H74"/>
    <mergeCell ref="C75:H75"/>
    <mergeCell ref="C76:H76"/>
    <mergeCell ref="A74:B74"/>
    <mergeCell ref="A75:B75"/>
    <mergeCell ref="A76:B76"/>
    <mergeCell ref="A145:D145"/>
    <mergeCell ref="E145:H145"/>
    <mergeCell ref="A146:D146"/>
    <mergeCell ref="E146:H146"/>
    <mergeCell ref="A147:D147"/>
    <mergeCell ref="E147:H147"/>
    <mergeCell ref="A77:B77"/>
    <mergeCell ref="C77:H77"/>
    <mergeCell ref="A121:B122"/>
    <mergeCell ref="C121:D122"/>
    <mergeCell ref="E121:F122"/>
    <mergeCell ref="G121:H122"/>
    <mergeCell ref="A78:B78"/>
    <mergeCell ref="C78:H78"/>
    <mergeCell ref="A144:H144"/>
    <mergeCell ref="A79:B79"/>
    <mergeCell ref="C79:H79"/>
    <mergeCell ref="A81:B81"/>
    <mergeCell ref="C81:H81"/>
    <mergeCell ref="A80:B80"/>
    <mergeCell ref="C80:H80"/>
    <mergeCell ref="A82:B82"/>
    <mergeCell ref="C82:H82"/>
    <mergeCell ref="A88:B88"/>
  </mergeCells>
  <hyperlinks>
    <hyperlink ref="A1" r:id="rId1" display="mailto:axisbank@vsjadon.com"/>
    <hyperlink ref="C31" r:id="rId2"/>
    <hyperlink ref="L78" r:id="rId3" location="showModal"/>
  </hyperlinks>
  <printOptions horizontalCentered="1"/>
  <pageMargins left="0.39370078740157483" right="0.39370078740157483" top="0.78740157480314965" bottom="0.78740157480314965" header="0.19685039370078741" footer="0.19685039370078741"/>
  <pageSetup paperSize="9" scale="93" fitToHeight="0" orientation="portrait" r:id="rId4"/>
  <headerFooter>
    <oddHeader>&amp;C&amp;G</oddHeader>
    <oddFooter>&amp;L&amp;"Times New Roman,Bold"&amp;11&amp;F&amp;C&amp;G&amp;R&amp;"Times New Roman,Bold"&amp;11&amp;P</oddFooter>
  </headerFooter>
  <rowBreaks count="7" manualBreakCount="7">
    <brk id="50" max="16383" man="1"/>
    <brk id="609" max="7" man="1"/>
    <brk id="666" max="7" man="1"/>
    <brk id="714" max="7" man="1"/>
    <brk id="767" max="7" man="1"/>
    <brk id="815" max="7" man="1"/>
    <brk id="863" max="7" man="1"/>
  </rowBreaks>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C14" sqref="C14"/>
    </sheetView>
  </sheetViews>
  <sheetFormatPr defaultRowHeight="13" x14ac:dyDescent="0.3"/>
  <cols>
    <col min="1" max="1" width="14.09765625" customWidth="1"/>
  </cols>
  <sheetData>
    <row r="1" spans="1:2" x14ac:dyDescent="0.3">
      <c r="A1" s="20" t="s">
        <v>133</v>
      </c>
      <c r="B1" s="20" t="s">
        <v>134</v>
      </c>
    </row>
    <row r="2" spans="1:2" x14ac:dyDescent="0.3">
      <c r="B2" s="20" t="s">
        <v>135</v>
      </c>
    </row>
    <row r="3" spans="1:2" x14ac:dyDescent="0.3">
      <c r="B3" s="20" t="s">
        <v>136</v>
      </c>
    </row>
    <row r="4" spans="1:2" x14ac:dyDescent="0.3">
      <c r="B4" s="20" t="s">
        <v>137</v>
      </c>
    </row>
    <row r="26" spans="1:2" x14ac:dyDescent="0.3">
      <c r="A26" s="24">
        <v>44160</v>
      </c>
      <c r="B26" s="20" t="s">
        <v>160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H5" sqref="H5"/>
    </sheetView>
  </sheetViews>
  <sheetFormatPr defaultColWidth="8.69921875" defaultRowHeight="14.5" x14ac:dyDescent="0.35"/>
  <cols>
    <col min="1" max="1" width="10.296875" style="25" bestFit="1" customWidth="1"/>
    <col min="2" max="2" width="22.09765625" style="25" customWidth="1"/>
    <col min="3" max="3" width="37" style="25" customWidth="1"/>
    <col min="4" max="5" width="11.3984375" style="25" customWidth="1"/>
    <col min="6" max="6" width="14" style="25" customWidth="1"/>
    <col min="7" max="7" width="20" style="25" customWidth="1"/>
    <col min="8" max="8" width="16.3984375" style="25" customWidth="1"/>
    <col min="9" max="9" width="8.69921875" style="25"/>
    <col min="10" max="10" width="9.796875" style="25" bestFit="1" customWidth="1"/>
    <col min="11" max="16384" width="8.69921875" style="25"/>
  </cols>
  <sheetData>
    <row r="1" spans="1:10" x14ac:dyDescent="0.35">
      <c r="A1" s="36">
        <v>44160</v>
      </c>
      <c r="B1" s="25" t="s">
        <v>160</v>
      </c>
    </row>
    <row r="2" spans="1:10" x14ac:dyDescent="0.35">
      <c r="A2" s="26"/>
      <c r="B2" s="26"/>
      <c r="C2" s="26"/>
      <c r="D2" s="26"/>
      <c r="E2" s="26"/>
      <c r="F2" s="26"/>
      <c r="G2" s="26"/>
      <c r="H2" s="26"/>
    </row>
    <row r="3" spans="1:10" x14ac:dyDescent="0.35">
      <c r="A3" s="26"/>
      <c r="B3" s="209" t="s">
        <v>162</v>
      </c>
      <c r="C3" s="209"/>
      <c r="D3" s="209"/>
      <c r="E3" s="209"/>
      <c r="F3" s="209"/>
      <c r="G3" s="209"/>
      <c r="H3" s="209"/>
    </row>
    <row r="4" spans="1:10" x14ac:dyDescent="0.35">
      <c r="A4" s="26"/>
      <c r="B4" s="27" t="s">
        <v>163</v>
      </c>
      <c r="C4" s="27" t="s">
        <v>164</v>
      </c>
      <c r="D4" s="27" t="s">
        <v>165</v>
      </c>
      <c r="E4" s="27" t="s">
        <v>166</v>
      </c>
      <c r="F4" s="27" t="s">
        <v>167</v>
      </c>
      <c r="G4" s="27" t="s">
        <v>168</v>
      </c>
      <c r="H4" s="27" t="s">
        <v>169</v>
      </c>
      <c r="J4" s="38" t="s">
        <v>178</v>
      </c>
    </row>
    <row r="5" spans="1:10" x14ac:dyDescent="0.35">
      <c r="A5" s="26"/>
      <c r="B5" s="28" t="s">
        <v>171</v>
      </c>
      <c r="C5" s="29" t="s">
        <v>75</v>
      </c>
      <c r="D5" s="28" t="s">
        <v>174</v>
      </c>
      <c r="E5" s="28">
        <v>537</v>
      </c>
      <c r="F5" s="30">
        <f>E5*1.6</f>
        <v>859.2</v>
      </c>
      <c r="G5" s="30">
        <f>H5/F5</f>
        <v>9892.9236499068902</v>
      </c>
      <c r="H5" s="31">
        <v>8500000</v>
      </c>
      <c r="J5" s="37">
        <f>H5/E5</f>
        <v>15828.677839851025</v>
      </c>
    </row>
    <row r="6" spans="1:10" x14ac:dyDescent="0.35">
      <c r="A6" s="26"/>
      <c r="B6" s="28" t="s">
        <v>171</v>
      </c>
      <c r="C6" s="29" t="s">
        <v>75</v>
      </c>
      <c r="D6" s="28" t="s">
        <v>129</v>
      </c>
      <c r="E6" s="28">
        <v>665</v>
      </c>
      <c r="F6" s="30">
        <v>1123</v>
      </c>
      <c r="G6" s="30">
        <f t="shared" ref="G6:G11" si="0">H6/F6</f>
        <v>13357.079252003561</v>
      </c>
      <c r="H6" s="31">
        <v>15000000</v>
      </c>
      <c r="J6" s="37">
        <f t="shared" ref="J6:J14" si="1">H6/E6</f>
        <v>22556.390977443611</v>
      </c>
    </row>
    <row r="7" spans="1:10" x14ac:dyDescent="0.35">
      <c r="A7" s="26"/>
      <c r="B7" s="28" t="s">
        <v>171</v>
      </c>
      <c r="C7" s="29" t="s">
        <v>75</v>
      </c>
      <c r="D7" s="28" t="s">
        <v>144</v>
      </c>
      <c r="E7" s="28">
        <v>1249</v>
      </c>
      <c r="F7" s="30">
        <v>1499</v>
      </c>
      <c r="G7" s="30">
        <f t="shared" si="0"/>
        <v>23749.166110740494</v>
      </c>
      <c r="H7" s="31">
        <v>35600000</v>
      </c>
      <c r="J7" s="37">
        <f t="shared" si="1"/>
        <v>28502.802241793433</v>
      </c>
    </row>
    <row r="8" spans="1:10" x14ac:dyDescent="0.35">
      <c r="A8" s="26"/>
      <c r="B8" s="28" t="s">
        <v>170</v>
      </c>
      <c r="C8" s="29" t="s">
        <v>75</v>
      </c>
      <c r="D8" s="28" t="s">
        <v>174</v>
      </c>
      <c r="E8" s="28">
        <v>350</v>
      </c>
      <c r="F8" s="30">
        <v>560</v>
      </c>
      <c r="G8" s="30">
        <f t="shared" si="0"/>
        <v>14821.428571428571</v>
      </c>
      <c r="H8" s="31">
        <v>8300000</v>
      </c>
      <c r="J8" s="37">
        <f t="shared" si="1"/>
        <v>23714.285714285714</v>
      </c>
    </row>
    <row r="9" spans="1:10" x14ac:dyDescent="0.35">
      <c r="A9" s="26"/>
      <c r="B9" s="28" t="s">
        <v>170</v>
      </c>
      <c r="C9" s="29" t="s">
        <v>75</v>
      </c>
      <c r="D9" s="28" t="s">
        <v>129</v>
      </c>
      <c r="E9" s="28">
        <v>690</v>
      </c>
      <c r="F9" s="30">
        <f t="shared" ref="F9:F14" si="2">E9*1.6</f>
        <v>1104</v>
      </c>
      <c r="G9" s="30">
        <f t="shared" si="0"/>
        <v>13315.217391304348</v>
      </c>
      <c r="H9" s="31">
        <v>14700000</v>
      </c>
      <c r="J9" s="37">
        <f t="shared" si="1"/>
        <v>21304.347826086956</v>
      </c>
    </row>
    <row r="10" spans="1:10" x14ac:dyDescent="0.35">
      <c r="A10" s="26"/>
      <c r="B10" s="28" t="s">
        <v>170</v>
      </c>
      <c r="C10" s="29" t="s">
        <v>75</v>
      </c>
      <c r="D10" s="28" t="s">
        <v>144</v>
      </c>
      <c r="E10" s="28">
        <v>850</v>
      </c>
      <c r="F10" s="30">
        <f t="shared" si="2"/>
        <v>1360</v>
      </c>
      <c r="G10" s="30">
        <f t="shared" si="0"/>
        <v>13014.705882352941</v>
      </c>
      <c r="H10" s="31">
        <v>17700000</v>
      </c>
      <c r="J10" s="37">
        <f t="shared" si="1"/>
        <v>20823.529411764706</v>
      </c>
    </row>
    <row r="11" spans="1:10" x14ac:dyDescent="0.35">
      <c r="A11" s="26"/>
      <c r="B11" s="28" t="s">
        <v>175</v>
      </c>
      <c r="C11" s="29" t="s">
        <v>75</v>
      </c>
      <c r="D11" s="28" t="s">
        <v>174</v>
      </c>
      <c r="E11" s="28">
        <v>537</v>
      </c>
      <c r="F11" s="30">
        <f t="shared" si="2"/>
        <v>859.2</v>
      </c>
      <c r="G11" s="30">
        <f t="shared" si="0"/>
        <v>11638.737197392924</v>
      </c>
      <c r="H11" s="31">
        <v>10000003</v>
      </c>
      <c r="J11" s="37">
        <f t="shared" si="1"/>
        <v>18621.979515828676</v>
      </c>
    </row>
    <row r="12" spans="1:10" x14ac:dyDescent="0.35">
      <c r="A12" s="26"/>
      <c r="B12" s="28" t="s">
        <v>175</v>
      </c>
      <c r="C12" s="29" t="s">
        <v>75</v>
      </c>
      <c r="D12" s="28" t="s">
        <v>144</v>
      </c>
      <c r="E12" s="28">
        <v>1249</v>
      </c>
      <c r="F12" s="30">
        <f t="shared" si="2"/>
        <v>1998.4</v>
      </c>
      <c r="G12" s="30">
        <f>H12/F12</f>
        <v>15662.530024019215</v>
      </c>
      <c r="H12" s="31">
        <v>31300000</v>
      </c>
      <c r="J12" s="37">
        <f t="shared" si="1"/>
        <v>25060.048038430745</v>
      </c>
    </row>
    <row r="13" spans="1:10" x14ac:dyDescent="0.35">
      <c r="A13" s="26"/>
      <c r="B13" s="28" t="s">
        <v>176</v>
      </c>
      <c r="C13" s="29" t="s">
        <v>75</v>
      </c>
      <c r="D13" s="28" t="s">
        <v>146</v>
      </c>
      <c r="E13" s="28">
        <v>537</v>
      </c>
      <c r="F13" s="30">
        <f t="shared" si="2"/>
        <v>859.2</v>
      </c>
      <c r="G13" s="30">
        <f>H13/F13</f>
        <v>11638.737197392924</v>
      </c>
      <c r="H13" s="31">
        <v>10000003</v>
      </c>
      <c r="J13" s="37">
        <f t="shared" si="1"/>
        <v>18621.979515828676</v>
      </c>
    </row>
    <row r="14" spans="1:10" x14ac:dyDescent="0.35">
      <c r="A14" s="26"/>
      <c r="B14" s="28" t="s">
        <v>176</v>
      </c>
      <c r="C14" s="29" t="s">
        <v>75</v>
      </c>
      <c r="D14" s="28" t="s">
        <v>144</v>
      </c>
      <c r="E14" s="28">
        <v>1249</v>
      </c>
      <c r="F14" s="30">
        <f t="shared" si="2"/>
        <v>1998.4</v>
      </c>
      <c r="G14" s="30">
        <f>H14/F14</f>
        <v>15662.530024019215</v>
      </c>
      <c r="H14" s="31">
        <v>31300000</v>
      </c>
      <c r="J14" s="37">
        <f t="shared" si="1"/>
        <v>25060.048038430745</v>
      </c>
    </row>
    <row r="15" spans="1:10" x14ac:dyDescent="0.35">
      <c r="A15" s="26"/>
      <c r="B15" s="32" t="s">
        <v>172</v>
      </c>
      <c r="C15" s="28"/>
      <c r="D15" s="28"/>
      <c r="E15" s="28"/>
      <c r="F15" s="28"/>
      <c r="G15" s="33">
        <f>AVERAGE(G5:G11)</f>
        <v>14255.608293589961</v>
      </c>
      <c r="H15" s="28"/>
      <c r="J15" s="37">
        <f>AVERAGE(J5:J14)</f>
        <v>22009.408911974431</v>
      </c>
    </row>
    <row r="16" spans="1:10" x14ac:dyDescent="0.35">
      <c r="B16" s="32" t="s">
        <v>173</v>
      </c>
      <c r="C16" s="28"/>
      <c r="D16" s="28"/>
      <c r="E16" s="28"/>
      <c r="F16" s="34"/>
      <c r="G16" s="32">
        <v>14300</v>
      </c>
      <c r="H16" s="32"/>
      <c r="I16" s="35"/>
      <c r="J16" s="38" t="s">
        <v>177</v>
      </c>
    </row>
  </sheetData>
  <mergeCells count="1">
    <mergeCell ref="B3:H3"/>
  </mergeCells>
  <phoneticPr fontId="1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zoomScaleNormal="100" workbookViewId="0">
      <selection activeCell="C9" sqref="C9"/>
    </sheetView>
  </sheetViews>
  <sheetFormatPr defaultRowHeight="14" x14ac:dyDescent="0.3"/>
  <cols>
    <col min="1" max="1" width="24" style="4" customWidth="1"/>
    <col min="2" max="2" width="13.69921875" style="4" customWidth="1"/>
    <col min="3" max="4" width="9.296875" style="4"/>
    <col min="5" max="5" width="11.796875" style="4" customWidth="1"/>
    <col min="6" max="6" width="12.3984375" style="4" customWidth="1"/>
    <col min="7" max="7" width="9.296875" style="4"/>
    <col min="8" max="8" width="12.09765625" style="4" customWidth="1"/>
    <col min="9" max="9" width="18" style="4" customWidth="1"/>
    <col min="10" max="258" width="9.296875" style="4"/>
    <col min="259" max="259" width="13.69921875" style="4" customWidth="1"/>
    <col min="260" max="260" width="9.296875" style="4"/>
    <col min="261" max="261" width="17.09765625" style="4" customWidth="1"/>
    <col min="262" max="262" width="12.3984375" style="4" customWidth="1"/>
    <col min="263" max="514" width="9.296875" style="4"/>
    <col min="515" max="515" width="13.69921875" style="4" customWidth="1"/>
    <col min="516" max="516" width="9.296875" style="4"/>
    <col min="517" max="517" width="17.09765625" style="4" customWidth="1"/>
    <col min="518" max="518" width="12.3984375" style="4" customWidth="1"/>
    <col min="519" max="770" width="9.296875" style="4"/>
    <col min="771" max="771" width="13.69921875" style="4" customWidth="1"/>
    <col min="772" max="772" width="9.296875" style="4"/>
    <col min="773" max="773" width="17.09765625" style="4" customWidth="1"/>
    <col min="774" max="774" width="12.3984375" style="4" customWidth="1"/>
    <col min="775" max="1026" width="9.296875" style="4"/>
    <col min="1027" max="1027" width="13.69921875" style="4" customWidth="1"/>
    <col min="1028" max="1028" width="9.296875" style="4"/>
    <col min="1029" max="1029" width="17.09765625" style="4" customWidth="1"/>
    <col min="1030" max="1030" width="12.3984375" style="4" customWidth="1"/>
    <col min="1031" max="1282" width="9.296875" style="4"/>
    <col min="1283" max="1283" width="13.69921875" style="4" customWidth="1"/>
    <col min="1284" max="1284" width="9.296875" style="4"/>
    <col min="1285" max="1285" width="17.09765625" style="4" customWidth="1"/>
    <col min="1286" max="1286" width="12.3984375" style="4" customWidth="1"/>
    <col min="1287" max="1538" width="9.296875" style="4"/>
    <col min="1539" max="1539" width="13.69921875" style="4" customWidth="1"/>
    <col min="1540" max="1540" width="9.296875" style="4"/>
    <col min="1541" max="1541" width="17.09765625" style="4" customWidth="1"/>
    <col min="1542" max="1542" width="12.3984375" style="4" customWidth="1"/>
    <col min="1543" max="1794" width="9.296875" style="4"/>
    <col min="1795" max="1795" width="13.69921875" style="4" customWidth="1"/>
    <col min="1796" max="1796" width="9.296875" style="4"/>
    <col min="1797" max="1797" width="17.09765625" style="4" customWidth="1"/>
    <col min="1798" max="1798" width="12.3984375" style="4" customWidth="1"/>
    <col min="1799" max="2050" width="9.296875" style="4"/>
    <col min="2051" max="2051" width="13.69921875" style="4" customWidth="1"/>
    <col min="2052" max="2052" width="9.296875" style="4"/>
    <col min="2053" max="2053" width="17.09765625" style="4" customWidth="1"/>
    <col min="2054" max="2054" width="12.3984375" style="4" customWidth="1"/>
    <col min="2055" max="2306" width="9.296875" style="4"/>
    <col min="2307" max="2307" width="13.69921875" style="4" customWidth="1"/>
    <col min="2308" max="2308" width="9.296875" style="4"/>
    <col min="2309" max="2309" width="17.09765625" style="4" customWidth="1"/>
    <col min="2310" max="2310" width="12.3984375" style="4" customWidth="1"/>
    <col min="2311" max="2562" width="9.296875" style="4"/>
    <col min="2563" max="2563" width="13.69921875" style="4" customWidth="1"/>
    <col min="2564" max="2564" width="9.296875" style="4"/>
    <col min="2565" max="2565" width="17.09765625" style="4" customWidth="1"/>
    <col min="2566" max="2566" width="12.3984375" style="4" customWidth="1"/>
    <col min="2567" max="2818" width="9.296875" style="4"/>
    <col min="2819" max="2819" width="13.69921875" style="4" customWidth="1"/>
    <col min="2820" max="2820" width="9.296875" style="4"/>
    <col min="2821" max="2821" width="17.09765625" style="4" customWidth="1"/>
    <col min="2822" max="2822" width="12.3984375" style="4" customWidth="1"/>
    <col min="2823" max="3074" width="9.296875" style="4"/>
    <col min="3075" max="3075" width="13.69921875" style="4" customWidth="1"/>
    <col min="3076" max="3076" width="9.296875" style="4"/>
    <col min="3077" max="3077" width="17.09765625" style="4" customWidth="1"/>
    <col min="3078" max="3078" width="12.3984375" style="4" customWidth="1"/>
    <col min="3079" max="3330" width="9.296875" style="4"/>
    <col min="3331" max="3331" width="13.69921875" style="4" customWidth="1"/>
    <col min="3332" max="3332" width="9.296875" style="4"/>
    <col min="3333" max="3333" width="17.09765625" style="4" customWidth="1"/>
    <col min="3334" max="3334" width="12.3984375" style="4" customWidth="1"/>
    <col min="3335" max="3586" width="9.296875" style="4"/>
    <col min="3587" max="3587" width="13.69921875" style="4" customWidth="1"/>
    <col min="3588" max="3588" width="9.296875" style="4"/>
    <col min="3589" max="3589" width="17.09765625" style="4" customWidth="1"/>
    <col min="3590" max="3590" width="12.3984375" style="4" customWidth="1"/>
    <col min="3591" max="3842" width="9.296875" style="4"/>
    <col min="3843" max="3843" width="13.69921875" style="4" customWidth="1"/>
    <col min="3844" max="3844" width="9.296875" style="4"/>
    <col min="3845" max="3845" width="17.09765625" style="4" customWidth="1"/>
    <col min="3846" max="3846" width="12.3984375" style="4" customWidth="1"/>
    <col min="3847" max="4098" width="9.296875" style="4"/>
    <col min="4099" max="4099" width="13.69921875" style="4" customWidth="1"/>
    <col min="4100" max="4100" width="9.296875" style="4"/>
    <col min="4101" max="4101" width="17.09765625" style="4" customWidth="1"/>
    <col min="4102" max="4102" width="12.3984375" style="4" customWidth="1"/>
    <col min="4103" max="4354" width="9.296875" style="4"/>
    <col min="4355" max="4355" width="13.69921875" style="4" customWidth="1"/>
    <col min="4356" max="4356" width="9.296875" style="4"/>
    <col min="4357" max="4357" width="17.09765625" style="4" customWidth="1"/>
    <col min="4358" max="4358" width="12.3984375" style="4" customWidth="1"/>
    <col min="4359" max="4610" width="9.296875" style="4"/>
    <col min="4611" max="4611" width="13.69921875" style="4" customWidth="1"/>
    <col min="4612" max="4612" width="9.296875" style="4"/>
    <col min="4613" max="4613" width="17.09765625" style="4" customWidth="1"/>
    <col min="4614" max="4614" width="12.3984375" style="4" customWidth="1"/>
    <col min="4615" max="4866" width="9.296875" style="4"/>
    <col min="4867" max="4867" width="13.69921875" style="4" customWidth="1"/>
    <col min="4868" max="4868" width="9.296875" style="4"/>
    <col min="4869" max="4869" width="17.09765625" style="4" customWidth="1"/>
    <col min="4870" max="4870" width="12.3984375" style="4" customWidth="1"/>
    <col min="4871" max="5122" width="9.296875" style="4"/>
    <col min="5123" max="5123" width="13.69921875" style="4" customWidth="1"/>
    <col min="5124" max="5124" width="9.296875" style="4"/>
    <col min="5125" max="5125" width="17.09765625" style="4" customWidth="1"/>
    <col min="5126" max="5126" width="12.3984375" style="4" customWidth="1"/>
    <col min="5127" max="5378" width="9.296875" style="4"/>
    <col min="5379" max="5379" width="13.69921875" style="4" customWidth="1"/>
    <col min="5380" max="5380" width="9.296875" style="4"/>
    <col min="5381" max="5381" width="17.09765625" style="4" customWidth="1"/>
    <col min="5382" max="5382" width="12.3984375" style="4" customWidth="1"/>
    <col min="5383" max="5634" width="9.296875" style="4"/>
    <col min="5635" max="5635" width="13.69921875" style="4" customWidth="1"/>
    <col min="5636" max="5636" width="9.296875" style="4"/>
    <col min="5637" max="5637" width="17.09765625" style="4" customWidth="1"/>
    <col min="5638" max="5638" width="12.3984375" style="4" customWidth="1"/>
    <col min="5639" max="5890" width="9.296875" style="4"/>
    <col min="5891" max="5891" width="13.69921875" style="4" customWidth="1"/>
    <col min="5892" max="5892" width="9.296875" style="4"/>
    <col min="5893" max="5893" width="17.09765625" style="4" customWidth="1"/>
    <col min="5894" max="5894" width="12.3984375" style="4" customWidth="1"/>
    <col min="5895" max="6146" width="9.296875" style="4"/>
    <col min="6147" max="6147" width="13.69921875" style="4" customWidth="1"/>
    <col min="6148" max="6148" width="9.296875" style="4"/>
    <col min="6149" max="6149" width="17.09765625" style="4" customWidth="1"/>
    <col min="6150" max="6150" width="12.3984375" style="4" customWidth="1"/>
    <col min="6151" max="6402" width="9.296875" style="4"/>
    <col min="6403" max="6403" width="13.69921875" style="4" customWidth="1"/>
    <col min="6404" max="6404" width="9.296875" style="4"/>
    <col min="6405" max="6405" width="17.09765625" style="4" customWidth="1"/>
    <col min="6406" max="6406" width="12.3984375" style="4" customWidth="1"/>
    <col min="6407" max="6658" width="9.296875" style="4"/>
    <col min="6659" max="6659" width="13.69921875" style="4" customWidth="1"/>
    <col min="6660" max="6660" width="9.296875" style="4"/>
    <col min="6661" max="6661" width="17.09765625" style="4" customWidth="1"/>
    <col min="6662" max="6662" width="12.3984375" style="4" customWidth="1"/>
    <col min="6663" max="6914" width="9.296875" style="4"/>
    <col min="6915" max="6915" width="13.69921875" style="4" customWidth="1"/>
    <col min="6916" max="6916" width="9.296875" style="4"/>
    <col min="6917" max="6917" width="17.09765625" style="4" customWidth="1"/>
    <col min="6918" max="6918" width="12.3984375" style="4" customWidth="1"/>
    <col min="6919" max="7170" width="9.296875" style="4"/>
    <col min="7171" max="7171" width="13.69921875" style="4" customWidth="1"/>
    <col min="7172" max="7172" width="9.296875" style="4"/>
    <col min="7173" max="7173" width="17.09765625" style="4" customWidth="1"/>
    <col min="7174" max="7174" width="12.3984375" style="4" customWidth="1"/>
    <col min="7175" max="7426" width="9.296875" style="4"/>
    <col min="7427" max="7427" width="13.69921875" style="4" customWidth="1"/>
    <col min="7428" max="7428" width="9.296875" style="4"/>
    <col min="7429" max="7429" width="17.09765625" style="4" customWidth="1"/>
    <col min="7430" max="7430" width="12.3984375" style="4" customWidth="1"/>
    <col min="7431" max="7682" width="9.296875" style="4"/>
    <col min="7683" max="7683" width="13.69921875" style="4" customWidth="1"/>
    <col min="7684" max="7684" width="9.296875" style="4"/>
    <col min="7685" max="7685" width="17.09765625" style="4" customWidth="1"/>
    <col min="7686" max="7686" width="12.3984375" style="4" customWidth="1"/>
    <col min="7687" max="7938" width="9.296875" style="4"/>
    <col min="7939" max="7939" width="13.69921875" style="4" customWidth="1"/>
    <col min="7940" max="7940" width="9.296875" style="4"/>
    <col min="7941" max="7941" width="17.09765625" style="4" customWidth="1"/>
    <col min="7942" max="7942" width="12.3984375" style="4" customWidth="1"/>
    <col min="7943" max="8194" width="9.296875" style="4"/>
    <col min="8195" max="8195" width="13.69921875" style="4" customWidth="1"/>
    <col min="8196" max="8196" width="9.296875" style="4"/>
    <col min="8197" max="8197" width="17.09765625" style="4" customWidth="1"/>
    <col min="8198" max="8198" width="12.3984375" style="4" customWidth="1"/>
    <col min="8199" max="8450" width="9.296875" style="4"/>
    <col min="8451" max="8451" width="13.69921875" style="4" customWidth="1"/>
    <col min="8452" max="8452" width="9.296875" style="4"/>
    <col min="8453" max="8453" width="17.09765625" style="4" customWidth="1"/>
    <col min="8454" max="8454" width="12.3984375" style="4" customWidth="1"/>
    <col min="8455" max="8706" width="9.296875" style="4"/>
    <col min="8707" max="8707" width="13.69921875" style="4" customWidth="1"/>
    <col min="8708" max="8708" width="9.296875" style="4"/>
    <col min="8709" max="8709" width="17.09765625" style="4" customWidth="1"/>
    <col min="8710" max="8710" width="12.3984375" style="4" customWidth="1"/>
    <col min="8711" max="8962" width="9.296875" style="4"/>
    <col min="8963" max="8963" width="13.69921875" style="4" customWidth="1"/>
    <col min="8964" max="8964" width="9.296875" style="4"/>
    <col min="8965" max="8965" width="17.09765625" style="4" customWidth="1"/>
    <col min="8966" max="8966" width="12.3984375" style="4" customWidth="1"/>
    <col min="8967" max="9218" width="9.296875" style="4"/>
    <col min="9219" max="9219" width="13.69921875" style="4" customWidth="1"/>
    <col min="9220" max="9220" width="9.296875" style="4"/>
    <col min="9221" max="9221" width="17.09765625" style="4" customWidth="1"/>
    <col min="9222" max="9222" width="12.3984375" style="4" customWidth="1"/>
    <col min="9223" max="9474" width="9.296875" style="4"/>
    <col min="9475" max="9475" width="13.69921875" style="4" customWidth="1"/>
    <col min="9476" max="9476" width="9.296875" style="4"/>
    <col min="9477" max="9477" width="17.09765625" style="4" customWidth="1"/>
    <col min="9478" max="9478" width="12.3984375" style="4" customWidth="1"/>
    <col min="9479" max="9730" width="9.296875" style="4"/>
    <col min="9731" max="9731" width="13.69921875" style="4" customWidth="1"/>
    <col min="9732" max="9732" width="9.296875" style="4"/>
    <col min="9733" max="9733" width="17.09765625" style="4" customWidth="1"/>
    <col min="9734" max="9734" width="12.3984375" style="4" customWidth="1"/>
    <col min="9735" max="9986" width="9.296875" style="4"/>
    <col min="9987" max="9987" width="13.69921875" style="4" customWidth="1"/>
    <col min="9988" max="9988" width="9.296875" style="4"/>
    <col min="9989" max="9989" width="17.09765625" style="4" customWidth="1"/>
    <col min="9990" max="9990" width="12.3984375" style="4" customWidth="1"/>
    <col min="9991" max="10242" width="9.296875" style="4"/>
    <col min="10243" max="10243" width="13.69921875" style="4" customWidth="1"/>
    <col min="10244" max="10244" width="9.296875" style="4"/>
    <col min="10245" max="10245" width="17.09765625" style="4" customWidth="1"/>
    <col min="10246" max="10246" width="12.3984375" style="4" customWidth="1"/>
    <col min="10247" max="10498" width="9.296875" style="4"/>
    <col min="10499" max="10499" width="13.69921875" style="4" customWidth="1"/>
    <col min="10500" max="10500" width="9.296875" style="4"/>
    <col min="10501" max="10501" width="17.09765625" style="4" customWidth="1"/>
    <col min="10502" max="10502" width="12.3984375" style="4" customWidth="1"/>
    <col min="10503" max="10754" width="9.296875" style="4"/>
    <col min="10755" max="10755" width="13.69921875" style="4" customWidth="1"/>
    <col min="10756" max="10756" width="9.296875" style="4"/>
    <col min="10757" max="10757" width="17.09765625" style="4" customWidth="1"/>
    <col min="10758" max="10758" width="12.3984375" style="4" customWidth="1"/>
    <col min="10759" max="11010" width="9.296875" style="4"/>
    <col min="11011" max="11011" width="13.69921875" style="4" customWidth="1"/>
    <col min="11012" max="11012" width="9.296875" style="4"/>
    <col min="11013" max="11013" width="17.09765625" style="4" customWidth="1"/>
    <col min="11014" max="11014" width="12.3984375" style="4" customWidth="1"/>
    <col min="11015" max="11266" width="9.296875" style="4"/>
    <col min="11267" max="11267" width="13.69921875" style="4" customWidth="1"/>
    <col min="11268" max="11268" width="9.296875" style="4"/>
    <col min="11269" max="11269" width="17.09765625" style="4" customWidth="1"/>
    <col min="11270" max="11270" width="12.3984375" style="4" customWidth="1"/>
    <col min="11271" max="11522" width="9.296875" style="4"/>
    <col min="11523" max="11523" width="13.69921875" style="4" customWidth="1"/>
    <col min="11524" max="11524" width="9.296875" style="4"/>
    <col min="11525" max="11525" width="17.09765625" style="4" customWidth="1"/>
    <col min="11526" max="11526" width="12.3984375" style="4" customWidth="1"/>
    <col min="11527" max="11778" width="9.296875" style="4"/>
    <col min="11779" max="11779" width="13.69921875" style="4" customWidth="1"/>
    <col min="11780" max="11780" width="9.296875" style="4"/>
    <col min="11781" max="11781" width="17.09765625" style="4" customWidth="1"/>
    <col min="11782" max="11782" width="12.3984375" style="4" customWidth="1"/>
    <col min="11783" max="12034" width="9.296875" style="4"/>
    <col min="12035" max="12035" width="13.69921875" style="4" customWidth="1"/>
    <col min="12036" max="12036" width="9.296875" style="4"/>
    <col min="12037" max="12037" width="17.09765625" style="4" customWidth="1"/>
    <col min="12038" max="12038" width="12.3984375" style="4" customWidth="1"/>
    <col min="12039" max="12290" width="9.296875" style="4"/>
    <col min="12291" max="12291" width="13.69921875" style="4" customWidth="1"/>
    <col min="12292" max="12292" width="9.296875" style="4"/>
    <col min="12293" max="12293" width="17.09765625" style="4" customWidth="1"/>
    <col min="12294" max="12294" width="12.3984375" style="4" customWidth="1"/>
    <col min="12295" max="12546" width="9.296875" style="4"/>
    <col min="12547" max="12547" width="13.69921875" style="4" customWidth="1"/>
    <col min="12548" max="12548" width="9.296875" style="4"/>
    <col min="12549" max="12549" width="17.09765625" style="4" customWidth="1"/>
    <col min="12550" max="12550" width="12.3984375" style="4" customWidth="1"/>
    <col min="12551" max="12802" width="9.296875" style="4"/>
    <col min="12803" max="12803" width="13.69921875" style="4" customWidth="1"/>
    <col min="12804" max="12804" width="9.296875" style="4"/>
    <col min="12805" max="12805" width="17.09765625" style="4" customWidth="1"/>
    <col min="12806" max="12806" width="12.3984375" style="4" customWidth="1"/>
    <col min="12807" max="13058" width="9.296875" style="4"/>
    <col min="13059" max="13059" width="13.69921875" style="4" customWidth="1"/>
    <col min="13060" max="13060" width="9.296875" style="4"/>
    <col min="13061" max="13061" width="17.09765625" style="4" customWidth="1"/>
    <col min="13062" max="13062" width="12.3984375" style="4" customWidth="1"/>
    <col min="13063" max="13314" width="9.296875" style="4"/>
    <col min="13315" max="13315" width="13.69921875" style="4" customWidth="1"/>
    <col min="13316" max="13316" width="9.296875" style="4"/>
    <col min="13317" max="13317" width="17.09765625" style="4" customWidth="1"/>
    <col min="13318" max="13318" width="12.3984375" style="4" customWidth="1"/>
    <col min="13319" max="13570" width="9.296875" style="4"/>
    <col min="13571" max="13571" width="13.69921875" style="4" customWidth="1"/>
    <col min="13572" max="13572" width="9.296875" style="4"/>
    <col min="13573" max="13573" width="17.09765625" style="4" customWidth="1"/>
    <col min="13574" max="13574" width="12.3984375" style="4" customWidth="1"/>
    <col min="13575" max="13826" width="9.296875" style="4"/>
    <col min="13827" max="13827" width="13.69921875" style="4" customWidth="1"/>
    <col min="13828" max="13828" width="9.296875" style="4"/>
    <col min="13829" max="13829" width="17.09765625" style="4" customWidth="1"/>
    <col min="13830" max="13830" width="12.3984375" style="4" customWidth="1"/>
    <col min="13831" max="14082" width="9.296875" style="4"/>
    <col min="14083" max="14083" width="13.69921875" style="4" customWidth="1"/>
    <col min="14084" max="14084" width="9.296875" style="4"/>
    <col min="14085" max="14085" width="17.09765625" style="4" customWidth="1"/>
    <col min="14086" max="14086" width="12.3984375" style="4" customWidth="1"/>
    <col min="14087" max="14338" width="9.296875" style="4"/>
    <col min="14339" max="14339" width="13.69921875" style="4" customWidth="1"/>
    <col min="14340" max="14340" width="9.296875" style="4"/>
    <col min="14341" max="14341" width="17.09765625" style="4" customWidth="1"/>
    <col min="14342" max="14342" width="12.3984375" style="4" customWidth="1"/>
    <col min="14343" max="14594" width="9.296875" style="4"/>
    <col min="14595" max="14595" width="13.69921875" style="4" customWidth="1"/>
    <col min="14596" max="14596" width="9.296875" style="4"/>
    <col min="14597" max="14597" width="17.09765625" style="4" customWidth="1"/>
    <col min="14598" max="14598" width="12.3984375" style="4" customWidth="1"/>
    <col min="14599" max="14850" width="9.296875" style="4"/>
    <col min="14851" max="14851" width="13.69921875" style="4" customWidth="1"/>
    <col min="14852" max="14852" width="9.296875" style="4"/>
    <col min="14853" max="14853" width="17.09765625" style="4" customWidth="1"/>
    <col min="14854" max="14854" width="12.3984375" style="4" customWidth="1"/>
    <col min="14855" max="15106" width="9.296875" style="4"/>
    <col min="15107" max="15107" width="13.69921875" style="4" customWidth="1"/>
    <col min="15108" max="15108" width="9.296875" style="4"/>
    <col min="15109" max="15109" width="17.09765625" style="4" customWidth="1"/>
    <col min="15110" max="15110" width="12.3984375" style="4" customWidth="1"/>
    <col min="15111" max="15362" width="9.296875" style="4"/>
    <col min="15363" max="15363" width="13.69921875" style="4" customWidth="1"/>
    <col min="15364" max="15364" width="9.296875" style="4"/>
    <col min="15365" max="15365" width="17.09765625" style="4" customWidth="1"/>
    <col min="15366" max="15366" width="12.3984375" style="4" customWidth="1"/>
    <col min="15367" max="15618" width="9.296875" style="4"/>
    <col min="15619" max="15619" width="13.69921875" style="4" customWidth="1"/>
    <col min="15620" max="15620" width="9.296875" style="4"/>
    <col min="15621" max="15621" width="17.09765625" style="4" customWidth="1"/>
    <col min="15622" max="15622" width="12.3984375" style="4" customWidth="1"/>
    <col min="15623" max="15874" width="9.296875" style="4"/>
    <col min="15875" max="15875" width="13.69921875" style="4" customWidth="1"/>
    <col min="15876" max="15876" width="9.296875" style="4"/>
    <col min="15877" max="15877" width="17.09765625" style="4" customWidth="1"/>
    <col min="15878" max="15878" width="12.3984375" style="4" customWidth="1"/>
    <col min="15879" max="16130" width="9.296875" style="4"/>
    <col min="16131" max="16131" width="13.69921875" style="4" customWidth="1"/>
    <col min="16132" max="16132" width="9.296875" style="4"/>
    <col min="16133" max="16133" width="17.09765625" style="4" customWidth="1"/>
    <col min="16134" max="16134" width="12.3984375" style="4" customWidth="1"/>
    <col min="16135" max="16384" width="9.296875" style="4"/>
  </cols>
  <sheetData>
    <row r="2" spans="1:13" x14ac:dyDescent="0.3">
      <c r="A2" s="3" t="s">
        <v>76</v>
      </c>
      <c r="B2" s="3" t="s">
        <v>77</v>
      </c>
      <c r="C2" s="3" t="s">
        <v>78</v>
      </c>
      <c r="D2" s="211" t="s">
        <v>79</v>
      </c>
      <c r="E2" s="211"/>
    </row>
    <row r="3" spans="1:13" x14ac:dyDescent="0.3">
      <c r="A3" s="5">
        <v>2</v>
      </c>
      <c r="B3" s="5">
        <v>4</v>
      </c>
      <c r="C3" s="5">
        <v>1</v>
      </c>
      <c r="D3" s="212">
        <v>50</v>
      </c>
      <c r="E3" s="212"/>
      <c r="F3" s="4" t="s">
        <v>123</v>
      </c>
    </row>
    <row r="5" spans="1:13" x14ac:dyDescent="0.3">
      <c r="A5" s="4" t="s">
        <v>80</v>
      </c>
      <c r="B5" s="6" t="s">
        <v>81</v>
      </c>
      <c r="C5" s="6">
        <f>D3</f>
        <v>50</v>
      </c>
      <c r="D5" s="7"/>
    </row>
    <row r="6" spans="1:13" x14ac:dyDescent="0.3">
      <c r="A6" s="4" t="s">
        <v>82</v>
      </c>
      <c r="B6" s="8">
        <v>10</v>
      </c>
      <c r="C6" s="9">
        <v>10</v>
      </c>
      <c r="D6" s="10">
        <f>((100/B6)*C6)/100</f>
        <v>1</v>
      </c>
    </row>
    <row r="7" spans="1:13" x14ac:dyDescent="0.3">
      <c r="A7" s="4" t="s">
        <v>83</v>
      </c>
      <c r="B7" s="8">
        <f>A3+B3+C3+D3</f>
        <v>57</v>
      </c>
      <c r="C7" s="9">
        <f>A3+B3+C3+46</f>
        <v>53</v>
      </c>
      <c r="D7" s="10">
        <f t="shared" ref="D7:D12" si="0">((100/B7)*C7)/100</f>
        <v>0.92982456140350878</v>
      </c>
      <c r="F7" s="213" t="s">
        <v>84</v>
      </c>
      <c r="G7" s="213"/>
      <c r="H7" s="11" t="s">
        <v>85</v>
      </c>
      <c r="J7" s="12"/>
    </row>
    <row r="8" spans="1:13" x14ac:dyDescent="0.3">
      <c r="A8" s="4" t="s">
        <v>86</v>
      </c>
      <c r="B8" s="8">
        <f>C5</f>
        <v>50</v>
      </c>
      <c r="C8" s="9">
        <v>45</v>
      </c>
      <c r="D8" s="10">
        <f t="shared" si="0"/>
        <v>0.9</v>
      </c>
      <c r="F8" s="210" t="s">
        <v>87</v>
      </c>
      <c r="G8" s="210"/>
      <c r="H8" s="8" t="s">
        <v>88</v>
      </c>
    </row>
    <row r="9" spans="1:13" x14ac:dyDescent="0.3">
      <c r="A9" s="4" t="s">
        <v>89</v>
      </c>
      <c r="B9" s="8">
        <f>C5</f>
        <v>50</v>
      </c>
      <c r="C9" s="9">
        <f>C8/2</f>
        <v>22.5</v>
      </c>
      <c r="D9" s="10">
        <f t="shared" si="0"/>
        <v>0.45</v>
      </c>
      <c r="F9" s="210" t="s">
        <v>90</v>
      </c>
      <c r="G9" s="210"/>
      <c r="H9" s="8" t="s">
        <v>91</v>
      </c>
    </row>
    <row r="10" spans="1:13" x14ac:dyDescent="0.3">
      <c r="A10" s="4" t="s">
        <v>92</v>
      </c>
      <c r="B10" s="8">
        <f>C5</f>
        <v>50</v>
      </c>
      <c r="C10" s="9">
        <v>0</v>
      </c>
      <c r="D10" s="10">
        <f t="shared" si="0"/>
        <v>0</v>
      </c>
      <c r="F10" s="210" t="s">
        <v>93</v>
      </c>
      <c r="G10" s="210"/>
      <c r="H10" s="8" t="s">
        <v>94</v>
      </c>
    </row>
    <row r="11" spans="1:13" x14ac:dyDescent="0.3">
      <c r="A11" s="13" t="s">
        <v>95</v>
      </c>
      <c r="B11" s="8">
        <f>C5</f>
        <v>50</v>
      </c>
      <c r="C11" s="9">
        <v>0</v>
      </c>
      <c r="D11" s="10">
        <f t="shared" si="0"/>
        <v>0</v>
      </c>
      <c r="F11" s="210" t="s">
        <v>96</v>
      </c>
      <c r="G11" s="210"/>
      <c r="H11" s="8" t="s">
        <v>97</v>
      </c>
    </row>
    <row r="12" spans="1:13" x14ac:dyDescent="0.3">
      <c r="A12" s="4" t="s">
        <v>98</v>
      </c>
      <c r="B12" s="8">
        <f>C5</f>
        <v>50</v>
      </c>
      <c r="C12" s="9">
        <v>0</v>
      </c>
      <c r="D12" s="10">
        <f t="shared" si="0"/>
        <v>0</v>
      </c>
      <c r="F12" s="210" t="s">
        <v>99</v>
      </c>
      <c r="G12" s="210"/>
      <c r="H12" s="8" t="s">
        <v>100</v>
      </c>
    </row>
    <row r="13" spans="1:13" x14ac:dyDescent="0.3">
      <c r="F13" s="210" t="s">
        <v>101</v>
      </c>
      <c r="G13" s="210"/>
      <c r="H13" s="8" t="s">
        <v>102</v>
      </c>
    </row>
    <row r="14" spans="1:13" hidden="1" x14ac:dyDescent="0.3">
      <c r="A14" s="3"/>
      <c r="B14" s="3" t="s">
        <v>103</v>
      </c>
      <c r="C14" s="3" t="s">
        <v>104</v>
      </c>
      <c r="G14" s="3" t="s">
        <v>82</v>
      </c>
      <c r="H14" s="3" t="s">
        <v>105</v>
      </c>
      <c r="I14" s="3" t="s">
        <v>106</v>
      </c>
      <c r="J14" s="3" t="s">
        <v>107</v>
      </c>
      <c r="K14" s="3" t="s">
        <v>92</v>
      </c>
      <c r="L14" s="3" t="s">
        <v>95</v>
      </c>
      <c r="M14" s="3" t="s">
        <v>98</v>
      </c>
    </row>
    <row r="15" spans="1:13" hidden="1" x14ac:dyDescent="0.3">
      <c r="A15" s="3" t="s">
        <v>108</v>
      </c>
      <c r="B15" s="3">
        <f>G15</f>
        <v>10</v>
      </c>
      <c r="C15" s="3">
        <f>G16</f>
        <v>30</v>
      </c>
      <c r="E15" s="211" t="s">
        <v>103</v>
      </c>
      <c r="F15" s="211"/>
      <c r="G15" s="14">
        <f>C6</f>
        <v>10</v>
      </c>
      <c r="H15" s="14">
        <f>40/B7*C7</f>
        <v>37.192982456140349</v>
      </c>
      <c r="I15" s="14">
        <f>15/B8*C8</f>
        <v>13.5</v>
      </c>
      <c r="J15" s="14">
        <f>10/B9*C9</f>
        <v>4.5</v>
      </c>
      <c r="K15" s="14">
        <f>10/B10*C10</f>
        <v>0</v>
      </c>
      <c r="L15" s="14">
        <f>5/B11*C11</f>
        <v>0</v>
      </c>
      <c r="M15" s="14">
        <f>5/B12*C12</f>
        <v>0</v>
      </c>
    </row>
    <row r="16" spans="1:13" hidden="1" x14ac:dyDescent="0.3">
      <c r="A16" s="3" t="s">
        <v>109</v>
      </c>
      <c r="B16" s="3">
        <f>H15</f>
        <v>37.192982456140349</v>
      </c>
      <c r="C16" s="3">
        <f>H16</f>
        <v>27.89473684210526</v>
      </c>
      <c r="E16" s="211" t="s">
        <v>110</v>
      </c>
      <c r="F16" s="211"/>
      <c r="G16" s="3">
        <f>G15+20</f>
        <v>30</v>
      </c>
      <c r="H16" s="3">
        <f>30/B7*C7</f>
        <v>27.89473684210526</v>
      </c>
      <c r="I16" s="3">
        <f>15/B8*C8</f>
        <v>13.5</v>
      </c>
      <c r="J16" s="3">
        <f>10/B9*C9</f>
        <v>4.5</v>
      </c>
      <c r="K16" s="3">
        <f>5/B10*C10</f>
        <v>0</v>
      </c>
      <c r="L16" s="3">
        <f>5/B11*C11</f>
        <v>0</v>
      </c>
      <c r="M16" s="3">
        <f>5/B12*C12</f>
        <v>0</v>
      </c>
    </row>
    <row r="17" spans="1:8" hidden="1" x14ac:dyDescent="0.3">
      <c r="A17" s="3" t="s">
        <v>106</v>
      </c>
      <c r="B17" s="3">
        <f>I15</f>
        <v>13.5</v>
      </c>
      <c r="C17" s="3">
        <f>I16</f>
        <v>13.5</v>
      </c>
    </row>
    <row r="18" spans="1:8" hidden="1" x14ac:dyDescent="0.3">
      <c r="A18" s="3" t="s">
        <v>107</v>
      </c>
      <c r="B18" s="3">
        <f>J15</f>
        <v>4.5</v>
      </c>
      <c r="C18" s="3">
        <f>J16</f>
        <v>4.5</v>
      </c>
    </row>
    <row r="19" spans="1:8" hidden="1" x14ac:dyDescent="0.3">
      <c r="A19" s="3" t="s">
        <v>92</v>
      </c>
      <c r="B19" s="3">
        <f>K15</f>
        <v>0</v>
      </c>
      <c r="C19" s="3">
        <f>K16</f>
        <v>0</v>
      </c>
    </row>
    <row r="20" spans="1:8" hidden="1" x14ac:dyDescent="0.3">
      <c r="A20" s="15" t="s">
        <v>95</v>
      </c>
      <c r="B20" s="3">
        <f>L15</f>
        <v>0</v>
      </c>
      <c r="C20" s="3">
        <f>L16</f>
        <v>0</v>
      </c>
    </row>
    <row r="21" spans="1:8" hidden="1" x14ac:dyDescent="0.3">
      <c r="A21" s="3" t="s">
        <v>98</v>
      </c>
      <c r="B21" s="3">
        <f>M15</f>
        <v>0</v>
      </c>
      <c r="C21" s="3">
        <f>M16</f>
        <v>0</v>
      </c>
    </row>
    <row r="22" spans="1:8" x14ac:dyDescent="0.3">
      <c r="A22" s="3" t="s">
        <v>111</v>
      </c>
      <c r="B22" s="16">
        <f>(B15+B16+B17+B18+B19+B20+B21)/100</f>
        <v>0.65192982456140358</v>
      </c>
      <c r="C22" s="16">
        <f>(C15+C16+C17+C18+C19+C20+C21)/100</f>
        <v>0.75894736842105259</v>
      </c>
      <c r="F22" s="210" t="s">
        <v>112</v>
      </c>
      <c r="G22" s="210"/>
      <c r="H22" s="8" t="s">
        <v>91</v>
      </c>
    </row>
    <row r="23" spans="1:8" x14ac:dyDescent="0.3">
      <c r="F23" s="210" t="s">
        <v>113</v>
      </c>
      <c r="G23" s="210"/>
      <c r="H23" s="8" t="s">
        <v>114</v>
      </c>
    </row>
    <row r="24" spans="1:8" x14ac:dyDescent="0.3">
      <c r="A24" s="4" t="s">
        <v>115</v>
      </c>
      <c r="B24" s="17">
        <v>0.01</v>
      </c>
      <c r="C24" s="17">
        <v>0.02</v>
      </c>
      <c r="F24" s="210" t="s">
        <v>116</v>
      </c>
      <c r="G24" s="210"/>
      <c r="H24" s="8" t="s">
        <v>117</v>
      </c>
    </row>
    <row r="25" spans="1:8" x14ac:dyDescent="0.3">
      <c r="A25" s="4" t="s">
        <v>118</v>
      </c>
      <c r="B25" s="17">
        <v>0.01</v>
      </c>
      <c r="C25" s="17">
        <v>0.03</v>
      </c>
    </row>
    <row r="26" spans="1:8" x14ac:dyDescent="0.3">
      <c r="A26" s="4" t="s">
        <v>119</v>
      </c>
      <c r="B26" s="17">
        <v>0.03</v>
      </c>
      <c r="C26" s="17">
        <v>0.08</v>
      </c>
    </row>
    <row r="27" spans="1:8" x14ac:dyDescent="0.3">
      <c r="A27" s="4" t="s">
        <v>120</v>
      </c>
      <c r="B27" s="17">
        <v>0.05</v>
      </c>
      <c r="C27" s="17">
        <v>0.15</v>
      </c>
    </row>
    <row r="28" spans="1:8" x14ac:dyDescent="0.3">
      <c r="A28" s="4" t="s">
        <v>121</v>
      </c>
      <c r="B28" s="17">
        <v>7.0000000000000007E-2</v>
      </c>
      <c r="C28" s="17">
        <v>0.2</v>
      </c>
    </row>
    <row r="29" spans="1:8" x14ac:dyDescent="0.3">
      <c r="A29" s="4" t="s">
        <v>122</v>
      </c>
      <c r="B29" s="17">
        <v>0.1</v>
      </c>
      <c r="C29" s="17">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E29" sqref="E29"/>
    </sheetView>
  </sheetViews>
  <sheetFormatPr defaultRowHeight="14" x14ac:dyDescent="0.3"/>
  <cols>
    <col min="1" max="1" width="24" style="4" customWidth="1"/>
    <col min="2" max="2" width="13.69921875" style="4" customWidth="1"/>
    <col min="3" max="4" width="9.296875" style="4"/>
    <col min="5" max="5" width="11.796875" style="4" customWidth="1"/>
    <col min="6" max="6" width="12.3984375" style="4" customWidth="1"/>
    <col min="7" max="7" width="9.296875" style="4"/>
    <col min="8" max="8" width="12.09765625" style="4" customWidth="1"/>
    <col min="9" max="9" width="18" style="4" customWidth="1"/>
    <col min="10" max="258" width="9.296875" style="4"/>
    <col min="259" max="259" width="13.69921875" style="4" customWidth="1"/>
    <col min="260" max="260" width="9.296875" style="4"/>
    <col min="261" max="261" width="17.09765625" style="4" customWidth="1"/>
    <col min="262" max="262" width="12.3984375" style="4" customWidth="1"/>
    <col min="263" max="514" width="9.296875" style="4"/>
    <col min="515" max="515" width="13.69921875" style="4" customWidth="1"/>
    <col min="516" max="516" width="9.296875" style="4"/>
    <col min="517" max="517" width="17.09765625" style="4" customWidth="1"/>
    <col min="518" max="518" width="12.3984375" style="4" customWidth="1"/>
    <col min="519" max="770" width="9.296875" style="4"/>
    <col min="771" max="771" width="13.69921875" style="4" customWidth="1"/>
    <col min="772" max="772" width="9.296875" style="4"/>
    <col min="773" max="773" width="17.09765625" style="4" customWidth="1"/>
    <col min="774" max="774" width="12.3984375" style="4" customWidth="1"/>
    <col min="775" max="1026" width="9.296875" style="4"/>
    <col min="1027" max="1027" width="13.69921875" style="4" customWidth="1"/>
    <col min="1028" max="1028" width="9.296875" style="4"/>
    <col min="1029" max="1029" width="17.09765625" style="4" customWidth="1"/>
    <col min="1030" max="1030" width="12.3984375" style="4" customWidth="1"/>
    <col min="1031" max="1282" width="9.296875" style="4"/>
    <col min="1283" max="1283" width="13.69921875" style="4" customWidth="1"/>
    <col min="1284" max="1284" width="9.296875" style="4"/>
    <col min="1285" max="1285" width="17.09765625" style="4" customWidth="1"/>
    <col min="1286" max="1286" width="12.3984375" style="4" customWidth="1"/>
    <col min="1287" max="1538" width="9.296875" style="4"/>
    <col min="1539" max="1539" width="13.69921875" style="4" customWidth="1"/>
    <col min="1540" max="1540" width="9.296875" style="4"/>
    <col min="1541" max="1541" width="17.09765625" style="4" customWidth="1"/>
    <col min="1542" max="1542" width="12.3984375" style="4" customWidth="1"/>
    <col min="1543" max="1794" width="9.296875" style="4"/>
    <col min="1795" max="1795" width="13.69921875" style="4" customWidth="1"/>
    <col min="1796" max="1796" width="9.296875" style="4"/>
    <col min="1797" max="1797" width="17.09765625" style="4" customWidth="1"/>
    <col min="1798" max="1798" width="12.3984375" style="4" customWidth="1"/>
    <col min="1799" max="2050" width="9.296875" style="4"/>
    <col min="2051" max="2051" width="13.69921875" style="4" customWidth="1"/>
    <col min="2052" max="2052" width="9.296875" style="4"/>
    <col min="2053" max="2053" width="17.09765625" style="4" customWidth="1"/>
    <col min="2054" max="2054" width="12.3984375" style="4" customWidth="1"/>
    <col min="2055" max="2306" width="9.296875" style="4"/>
    <col min="2307" max="2307" width="13.69921875" style="4" customWidth="1"/>
    <col min="2308" max="2308" width="9.296875" style="4"/>
    <col min="2309" max="2309" width="17.09765625" style="4" customWidth="1"/>
    <col min="2310" max="2310" width="12.3984375" style="4" customWidth="1"/>
    <col min="2311" max="2562" width="9.296875" style="4"/>
    <col min="2563" max="2563" width="13.69921875" style="4" customWidth="1"/>
    <col min="2564" max="2564" width="9.296875" style="4"/>
    <col min="2565" max="2565" width="17.09765625" style="4" customWidth="1"/>
    <col min="2566" max="2566" width="12.3984375" style="4" customWidth="1"/>
    <col min="2567" max="2818" width="9.296875" style="4"/>
    <col min="2819" max="2819" width="13.69921875" style="4" customWidth="1"/>
    <col min="2820" max="2820" width="9.296875" style="4"/>
    <col min="2821" max="2821" width="17.09765625" style="4" customWidth="1"/>
    <col min="2822" max="2822" width="12.3984375" style="4" customWidth="1"/>
    <col min="2823" max="3074" width="9.296875" style="4"/>
    <col min="3075" max="3075" width="13.69921875" style="4" customWidth="1"/>
    <col min="3076" max="3076" width="9.296875" style="4"/>
    <col min="3077" max="3077" width="17.09765625" style="4" customWidth="1"/>
    <col min="3078" max="3078" width="12.3984375" style="4" customWidth="1"/>
    <col min="3079" max="3330" width="9.296875" style="4"/>
    <col min="3331" max="3331" width="13.69921875" style="4" customWidth="1"/>
    <col min="3332" max="3332" width="9.296875" style="4"/>
    <col min="3333" max="3333" width="17.09765625" style="4" customWidth="1"/>
    <col min="3334" max="3334" width="12.3984375" style="4" customWidth="1"/>
    <col min="3335" max="3586" width="9.296875" style="4"/>
    <col min="3587" max="3587" width="13.69921875" style="4" customWidth="1"/>
    <col min="3588" max="3588" width="9.296875" style="4"/>
    <col min="3589" max="3589" width="17.09765625" style="4" customWidth="1"/>
    <col min="3590" max="3590" width="12.3984375" style="4" customWidth="1"/>
    <col min="3591" max="3842" width="9.296875" style="4"/>
    <col min="3843" max="3843" width="13.69921875" style="4" customWidth="1"/>
    <col min="3844" max="3844" width="9.296875" style="4"/>
    <col min="3845" max="3845" width="17.09765625" style="4" customWidth="1"/>
    <col min="3846" max="3846" width="12.3984375" style="4" customWidth="1"/>
    <col min="3847" max="4098" width="9.296875" style="4"/>
    <col min="4099" max="4099" width="13.69921875" style="4" customWidth="1"/>
    <col min="4100" max="4100" width="9.296875" style="4"/>
    <col min="4101" max="4101" width="17.09765625" style="4" customWidth="1"/>
    <col min="4102" max="4102" width="12.3984375" style="4" customWidth="1"/>
    <col min="4103" max="4354" width="9.296875" style="4"/>
    <col min="4355" max="4355" width="13.69921875" style="4" customWidth="1"/>
    <col min="4356" max="4356" width="9.296875" style="4"/>
    <col min="4357" max="4357" width="17.09765625" style="4" customWidth="1"/>
    <col min="4358" max="4358" width="12.3984375" style="4" customWidth="1"/>
    <col min="4359" max="4610" width="9.296875" style="4"/>
    <col min="4611" max="4611" width="13.69921875" style="4" customWidth="1"/>
    <col min="4612" max="4612" width="9.296875" style="4"/>
    <col min="4613" max="4613" width="17.09765625" style="4" customWidth="1"/>
    <col min="4614" max="4614" width="12.3984375" style="4" customWidth="1"/>
    <col min="4615" max="4866" width="9.296875" style="4"/>
    <col min="4867" max="4867" width="13.69921875" style="4" customWidth="1"/>
    <col min="4868" max="4868" width="9.296875" style="4"/>
    <col min="4869" max="4869" width="17.09765625" style="4" customWidth="1"/>
    <col min="4870" max="4870" width="12.3984375" style="4" customWidth="1"/>
    <col min="4871" max="5122" width="9.296875" style="4"/>
    <col min="5123" max="5123" width="13.69921875" style="4" customWidth="1"/>
    <col min="5124" max="5124" width="9.296875" style="4"/>
    <col min="5125" max="5125" width="17.09765625" style="4" customWidth="1"/>
    <col min="5126" max="5126" width="12.3984375" style="4" customWidth="1"/>
    <col min="5127" max="5378" width="9.296875" style="4"/>
    <col min="5379" max="5379" width="13.69921875" style="4" customWidth="1"/>
    <col min="5380" max="5380" width="9.296875" style="4"/>
    <col min="5381" max="5381" width="17.09765625" style="4" customWidth="1"/>
    <col min="5382" max="5382" width="12.3984375" style="4" customWidth="1"/>
    <col min="5383" max="5634" width="9.296875" style="4"/>
    <col min="5635" max="5635" width="13.69921875" style="4" customWidth="1"/>
    <col min="5636" max="5636" width="9.296875" style="4"/>
    <col min="5637" max="5637" width="17.09765625" style="4" customWidth="1"/>
    <col min="5638" max="5638" width="12.3984375" style="4" customWidth="1"/>
    <col min="5639" max="5890" width="9.296875" style="4"/>
    <col min="5891" max="5891" width="13.69921875" style="4" customWidth="1"/>
    <col min="5892" max="5892" width="9.296875" style="4"/>
    <col min="5893" max="5893" width="17.09765625" style="4" customWidth="1"/>
    <col min="5894" max="5894" width="12.3984375" style="4" customWidth="1"/>
    <col min="5895" max="6146" width="9.296875" style="4"/>
    <col min="6147" max="6147" width="13.69921875" style="4" customWidth="1"/>
    <col min="6148" max="6148" width="9.296875" style="4"/>
    <col min="6149" max="6149" width="17.09765625" style="4" customWidth="1"/>
    <col min="6150" max="6150" width="12.3984375" style="4" customWidth="1"/>
    <col min="6151" max="6402" width="9.296875" style="4"/>
    <col min="6403" max="6403" width="13.69921875" style="4" customWidth="1"/>
    <col min="6404" max="6404" width="9.296875" style="4"/>
    <col min="6405" max="6405" width="17.09765625" style="4" customWidth="1"/>
    <col min="6406" max="6406" width="12.3984375" style="4" customWidth="1"/>
    <col min="6407" max="6658" width="9.296875" style="4"/>
    <col min="6659" max="6659" width="13.69921875" style="4" customWidth="1"/>
    <col min="6660" max="6660" width="9.296875" style="4"/>
    <col min="6661" max="6661" width="17.09765625" style="4" customWidth="1"/>
    <col min="6662" max="6662" width="12.3984375" style="4" customWidth="1"/>
    <col min="6663" max="6914" width="9.296875" style="4"/>
    <col min="6915" max="6915" width="13.69921875" style="4" customWidth="1"/>
    <col min="6916" max="6916" width="9.296875" style="4"/>
    <col min="6917" max="6917" width="17.09765625" style="4" customWidth="1"/>
    <col min="6918" max="6918" width="12.3984375" style="4" customWidth="1"/>
    <col min="6919" max="7170" width="9.296875" style="4"/>
    <col min="7171" max="7171" width="13.69921875" style="4" customWidth="1"/>
    <col min="7172" max="7172" width="9.296875" style="4"/>
    <col min="7173" max="7173" width="17.09765625" style="4" customWidth="1"/>
    <col min="7174" max="7174" width="12.3984375" style="4" customWidth="1"/>
    <col min="7175" max="7426" width="9.296875" style="4"/>
    <col min="7427" max="7427" width="13.69921875" style="4" customWidth="1"/>
    <col min="7428" max="7428" width="9.296875" style="4"/>
    <col min="7429" max="7429" width="17.09765625" style="4" customWidth="1"/>
    <col min="7430" max="7430" width="12.3984375" style="4" customWidth="1"/>
    <col min="7431" max="7682" width="9.296875" style="4"/>
    <col min="7683" max="7683" width="13.69921875" style="4" customWidth="1"/>
    <col min="7684" max="7684" width="9.296875" style="4"/>
    <col min="7685" max="7685" width="17.09765625" style="4" customWidth="1"/>
    <col min="7686" max="7686" width="12.3984375" style="4" customWidth="1"/>
    <col min="7687" max="7938" width="9.296875" style="4"/>
    <col min="7939" max="7939" width="13.69921875" style="4" customWidth="1"/>
    <col min="7940" max="7940" width="9.296875" style="4"/>
    <col min="7941" max="7941" width="17.09765625" style="4" customWidth="1"/>
    <col min="7942" max="7942" width="12.3984375" style="4" customWidth="1"/>
    <col min="7943" max="8194" width="9.296875" style="4"/>
    <col min="8195" max="8195" width="13.69921875" style="4" customWidth="1"/>
    <col min="8196" max="8196" width="9.296875" style="4"/>
    <col min="8197" max="8197" width="17.09765625" style="4" customWidth="1"/>
    <col min="8198" max="8198" width="12.3984375" style="4" customWidth="1"/>
    <col min="8199" max="8450" width="9.296875" style="4"/>
    <col min="8451" max="8451" width="13.69921875" style="4" customWidth="1"/>
    <col min="8452" max="8452" width="9.296875" style="4"/>
    <col min="8453" max="8453" width="17.09765625" style="4" customWidth="1"/>
    <col min="8454" max="8454" width="12.3984375" style="4" customWidth="1"/>
    <col min="8455" max="8706" width="9.296875" style="4"/>
    <col min="8707" max="8707" width="13.69921875" style="4" customWidth="1"/>
    <col min="8708" max="8708" width="9.296875" style="4"/>
    <col min="8709" max="8709" width="17.09765625" style="4" customWidth="1"/>
    <col min="8710" max="8710" width="12.3984375" style="4" customWidth="1"/>
    <col min="8711" max="8962" width="9.296875" style="4"/>
    <col min="8963" max="8963" width="13.69921875" style="4" customWidth="1"/>
    <col min="8964" max="8964" width="9.296875" style="4"/>
    <col min="8965" max="8965" width="17.09765625" style="4" customWidth="1"/>
    <col min="8966" max="8966" width="12.3984375" style="4" customWidth="1"/>
    <col min="8967" max="9218" width="9.296875" style="4"/>
    <col min="9219" max="9219" width="13.69921875" style="4" customWidth="1"/>
    <col min="9220" max="9220" width="9.296875" style="4"/>
    <col min="9221" max="9221" width="17.09765625" style="4" customWidth="1"/>
    <col min="9222" max="9222" width="12.3984375" style="4" customWidth="1"/>
    <col min="9223" max="9474" width="9.296875" style="4"/>
    <col min="9475" max="9475" width="13.69921875" style="4" customWidth="1"/>
    <col min="9476" max="9476" width="9.296875" style="4"/>
    <col min="9477" max="9477" width="17.09765625" style="4" customWidth="1"/>
    <col min="9478" max="9478" width="12.3984375" style="4" customWidth="1"/>
    <col min="9479" max="9730" width="9.296875" style="4"/>
    <col min="9731" max="9731" width="13.69921875" style="4" customWidth="1"/>
    <col min="9732" max="9732" width="9.296875" style="4"/>
    <col min="9733" max="9733" width="17.09765625" style="4" customWidth="1"/>
    <col min="9734" max="9734" width="12.3984375" style="4" customWidth="1"/>
    <col min="9735" max="9986" width="9.296875" style="4"/>
    <col min="9987" max="9987" width="13.69921875" style="4" customWidth="1"/>
    <col min="9988" max="9988" width="9.296875" style="4"/>
    <col min="9989" max="9989" width="17.09765625" style="4" customWidth="1"/>
    <col min="9990" max="9990" width="12.3984375" style="4" customWidth="1"/>
    <col min="9991" max="10242" width="9.296875" style="4"/>
    <col min="10243" max="10243" width="13.69921875" style="4" customWidth="1"/>
    <col min="10244" max="10244" width="9.296875" style="4"/>
    <col min="10245" max="10245" width="17.09765625" style="4" customWidth="1"/>
    <col min="10246" max="10246" width="12.3984375" style="4" customWidth="1"/>
    <col min="10247" max="10498" width="9.296875" style="4"/>
    <col min="10499" max="10499" width="13.69921875" style="4" customWidth="1"/>
    <col min="10500" max="10500" width="9.296875" style="4"/>
    <col min="10501" max="10501" width="17.09765625" style="4" customWidth="1"/>
    <col min="10502" max="10502" width="12.3984375" style="4" customWidth="1"/>
    <col min="10503" max="10754" width="9.296875" style="4"/>
    <col min="10755" max="10755" width="13.69921875" style="4" customWidth="1"/>
    <col min="10756" max="10756" width="9.296875" style="4"/>
    <col min="10757" max="10757" width="17.09765625" style="4" customWidth="1"/>
    <col min="10758" max="10758" width="12.3984375" style="4" customWidth="1"/>
    <col min="10759" max="11010" width="9.296875" style="4"/>
    <col min="11011" max="11011" width="13.69921875" style="4" customWidth="1"/>
    <col min="11012" max="11012" width="9.296875" style="4"/>
    <col min="11013" max="11013" width="17.09765625" style="4" customWidth="1"/>
    <col min="11014" max="11014" width="12.3984375" style="4" customWidth="1"/>
    <col min="11015" max="11266" width="9.296875" style="4"/>
    <col min="11267" max="11267" width="13.69921875" style="4" customWidth="1"/>
    <col min="11268" max="11268" width="9.296875" style="4"/>
    <col min="11269" max="11269" width="17.09765625" style="4" customWidth="1"/>
    <col min="11270" max="11270" width="12.3984375" style="4" customWidth="1"/>
    <col min="11271" max="11522" width="9.296875" style="4"/>
    <col min="11523" max="11523" width="13.69921875" style="4" customWidth="1"/>
    <col min="11524" max="11524" width="9.296875" style="4"/>
    <col min="11525" max="11525" width="17.09765625" style="4" customWidth="1"/>
    <col min="11526" max="11526" width="12.3984375" style="4" customWidth="1"/>
    <col min="11527" max="11778" width="9.296875" style="4"/>
    <col min="11779" max="11779" width="13.69921875" style="4" customWidth="1"/>
    <col min="11780" max="11780" width="9.296875" style="4"/>
    <col min="11781" max="11781" width="17.09765625" style="4" customWidth="1"/>
    <col min="11782" max="11782" width="12.3984375" style="4" customWidth="1"/>
    <col min="11783" max="12034" width="9.296875" style="4"/>
    <col min="12035" max="12035" width="13.69921875" style="4" customWidth="1"/>
    <col min="12036" max="12036" width="9.296875" style="4"/>
    <col min="12037" max="12037" width="17.09765625" style="4" customWidth="1"/>
    <col min="12038" max="12038" width="12.3984375" style="4" customWidth="1"/>
    <col min="12039" max="12290" width="9.296875" style="4"/>
    <col min="12291" max="12291" width="13.69921875" style="4" customWidth="1"/>
    <col min="12292" max="12292" width="9.296875" style="4"/>
    <col min="12293" max="12293" width="17.09765625" style="4" customWidth="1"/>
    <col min="12294" max="12294" width="12.3984375" style="4" customWidth="1"/>
    <col min="12295" max="12546" width="9.296875" style="4"/>
    <col min="12547" max="12547" width="13.69921875" style="4" customWidth="1"/>
    <col min="12548" max="12548" width="9.296875" style="4"/>
    <col min="12549" max="12549" width="17.09765625" style="4" customWidth="1"/>
    <col min="12550" max="12550" width="12.3984375" style="4" customWidth="1"/>
    <col min="12551" max="12802" width="9.296875" style="4"/>
    <col min="12803" max="12803" width="13.69921875" style="4" customWidth="1"/>
    <col min="12804" max="12804" width="9.296875" style="4"/>
    <col min="12805" max="12805" width="17.09765625" style="4" customWidth="1"/>
    <col min="12806" max="12806" width="12.3984375" style="4" customWidth="1"/>
    <col min="12807" max="13058" width="9.296875" style="4"/>
    <col min="13059" max="13059" width="13.69921875" style="4" customWidth="1"/>
    <col min="13060" max="13060" width="9.296875" style="4"/>
    <col min="13061" max="13061" width="17.09765625" style="4" customWidth="1"/>
    <col min="13062" max="13062" width="12.3984375" style="4" customWidth="1"/>
    <col min="13063" max="13314" width="9.296875" style="4"/>
    <col min="13315" max="13315" width="13.69921875" style="4" customWidth="1"/>
    <col min="13316" max="13316" width="9.296875" style="4"/>
    <col min="13317" max="13317" width="17.09765625" style="4" customWidth="1"/>
    <col min="13318" max="13318" width="12.3984375" style="4" customWidth="1"/>
    <col min="13319" max="13570" width="9.296875" style="4"/>
    <col min="13571" max="13571" width="13.69921875" style="4" customWidth="1"/>
    <col min="13572" max="13572" width="9.296875" style="4"/>
    <col min="13573" max="13573" width="17.09765625" style="4" customWidth="1"/>
    <col min="13574" max="13574" width="12.3984375" style="4" customWidth="1"/>
    <col min="13575" max="13826" width="9.296875" style="4"/>
    <col min="13827" max="13827" width="13.69921875" style="4" customWidth="1"/>
    <col min="13828" max="13828" width="9.296875" style="4"/>
    <col min="13829" max="13829" width="17.09765625" style="4" customWidth="1"/>
    <col min="13830" max="13830" width="12.3984375" style="4" customWidth="1"/>
    <col min="13831" max="14082" width="9.296875" style="4"/>
    <col min="14083" max="14083" width="13.69921875" style="4" customWidth="1"/>
    <col min="14084" max="14084" width="9.296875" style="4"/>
    <col min="14085" max="14085" width="17.09765625" style="4" customWidth="1"/>
    <col min="14086" max="14086" width="12.3984375" style="4" customWidth="1"/>
    <col min="14087" max="14338" width="9.296875" style="4"/>
    <col min="14339" max="14339" width="13.69921875" style="4" customWidth="1"/>
    <col min="14340" max="14340" width="9.296875" style="4"/>
    <col min="14341" max="14341" width="17.09765625" style="4" customWidth="1"/>
    <col min="14342" max="14342" width="12.3984375" style="4" customWidth="1"/>
    <col min="14343" max="14594" width="9.296875" style="4"/>
    <col min="14595" max="14595" width="13.69921875" style="4" customWidth="1"/>
    <col min="14596" max="14596" width="9.296875" style="4"/>
    <col min="14597" max="14597" width="17.09765625" style="4" customWidth="1"/>
    <col min="14598" max="14598" width="12.3984375" style="4" customWidth="1"/>
    <col min="14599" max="14850" width="9.296875" style="4"/>
    <col min="14851" max="14851" width="13.69921875" style="4" customWidth="1"/>
    <col min="14852" max="14852" width="9.296875" style="4"/>
    <col min="14853" max="14853" width="17.09765625" style="4" customWidth="1"/>
    <col min="14854" max="14854" width="12.3984375" style="4" customWidth="1"/>
    <col min="14855" max="15106" width="9.296875" style="4"/>
    <col min="15107" max="15107" width="13.69921875" style="4" customWidth="1"/>
    <col min="15108" max="15108" width="9.296875" style="4"/>
    <col min="15109" max="15109" width="17.09765625" style="4" customWidth="1"/>
    <col min="15110" max="15110" width="12.3984375" style="4" customWidth="1"/>
    <col min="15111" max="15362" width="9.296875" style="4"/>
    <col min="15363" max="15363" width="13.69921875" style="4" customWidth="1"/>
    <col min="15364" max="15364" width="9.296875" style="4"/>
    <col min="15365" max="15365" width="17.09765625" style="4" customWidth="1"/>
    <col min="15366" max="15366" width="12.3984375" style="4" customWidth="1"/>
    <col min="15367" max="15618" width="9.296875" style="4"/>
    <col min="15619" max="15619" width="13.69921875" style="4" customWidth="1"/>
    <col min="15620" max="15620" width="9.296875" style="4"/>
    <col min="15621" max="15621" width="17.09765625" style="4" customWidth="1"/>
    <col min="15622" max="15622" width="12.3984375" style="4" customWidth="1"/>
    <col min="15623" max="15874" width="9.296875" style="4"/>
    <col min="15875" max="15875" width="13.69921875" style="4" customWidth="1"/>
    <col min="15876" max="15876" width="9.296875" style="4"/>
    <col min="15877" max="15877" width="17.09765625" style="4" customWidth="1"/>
    <col min="15878" max="15878" width="12.3984375" style="4" customWidth="1"/>
    <col min="15879" max="16130" width="9.296875" style="4"/>
    <col min="16131" max="16131" width="13.69921875" style="4" customWidth="1"/>
    <col min="16132" max="16132" width="9.296875" style="4"/>
    <col min="16133" max="16133" width="17.09765625" style="4" customWidth="1"/>
    <col min="16134" max="16134" width="12.3984375" style="4" customWidth="1"/>
    <col min="16135" max="16384" width="9.296875" style="4"/>
  </cols>
  <sheetData>
    <row r="2" spans="1:13" x14ac:dyDescent="0.3">
      <c r="A2" s="3" t="s">
        <v>76</v>
      </c>
      <c r="B2" s="3" t="s">
        <v>77</v>
      </c>
      <c r="C2" s="3" t="s">
        <v>78</v>
      </c>
      <c r="D2" s="211" t="s">
        <v>79</v>
      </c>
      <c r="E2" s="211"/>
    </row>
    <row r="3" spans="1:13" x14ac:dyDescent="0.3">
      <c r="A3" s="5">
        <v>2</v>
      </c>
      <c r="B3" s="5">
        <v>4</v>
      </c>
      <c r="C3" s="5">
        <v>1</v>
      </c>
      <c r="D3" s="212">
        <v>50</v>
      </c>
      <c r="E3" s="212"/>
      <c r="F3" s="4" t="s">
        <v>123</v>
      </c>
    </row>
    <row r="5" spans="1:13" x14ac:dyDescent="0.3">
      <c r="A5" s="4" t="s">
        <v>80</v>
      </c>
      <c r="B5" s="6" t="s">
        <v>81</v>
      </c>
      <c r="C5" s="6">
        <f>D3</f>
        <v>50</v>
      </c>
      <c r="D5" s="7"/>
    </row>
    <row r="6" spans="1:13" x14ac:dyDescent="0.3">
      <c r="A6" s="4" t="s">
        <v>82</v>
      </c>
      <c r="B6" s="8">
        <v>10</v>
      </c>
      <c r="C6" s="9">
        <v>10</v>
      </c>
      <c r="D6" s="10">
        <f>((100/B6)*C6)/100</f>
        <v>1</v>
      </c>
    </row>
    <row r="7" spans="1:13" x14ac:dyDescent="0.3">
      <c r="A7" s="4" t="s">
        <v>83</v>
      </c>
      <c r="B7" s="8">
        <f>A3+B3+C3+D3</f>
        <v>57</v>
      </c>
      <c r="C7" s="9">
        <f>A3+B3+C3+43</f>
        <v>50</v>
      </c>
      <c r="D7" s="10">
        <f t="shared" ref="D7:D12" si="0">((100/B7)*C7)/100</f>
        <v>0.8771929824561403</v>
      </c>
      <c r="F7" s="213" t="s">
        <v>84</v>
      </c>
      <c r="G7" s="213"/>
      <c r="H7" s="11" t="s">
        <v>85</v>
      </c>
      <c r="J7" s="12"/>
    </row>
    <row r="8" spans="1:13" x14ac:dyDescent="0.3">
      <c r="A8" s="4" t="s">
        <v>86</v>
      </c>
      <c r="B8" s="8">
        <f>C5</f>
        <v>50</v>
      </c>
      <c r="C8" s="9">
        <f>42</f>
        <v>42</v>
      </c>
      <c r="D8" s="10">
        <f t="shared" si="0"/>
        <v>0.84</v>
      </c>
      <c r="F8" s="210" t="s">
        <v>87</v>
      </c>
      <c r="G8" s="210"/>
      <c r="H8" s="8" t="s">
        <v>88</v>
      </c>
    </row>
    <row r="9" spans="1:13" x14ac:dyDescent="0.3">
      <c r="A9" s="4" t="s">
        <v>89</v>
      </c>
      <c r="B9" s="8">
        <f>C5</f>
        <v>50</v>
      </c>
      <c r="C9" s="9">
        <f>C8/2</f>
        <v>21</v>
      </c>
      <c r="D9" s="10">
        <f t="shared" si="0"/>
        <v>0.42</v>
      </c>
      <c r="F9" s="210" t="s">
        <v>90</v>
      </c>
      <c r="G9" s="210"/>
      <c r="H9" s="8" t="s">
        <v>91</v>
      </c>
    </row>
    <row r="10" spans="1:13" x14ac:dyDescent="0.3">
      <c r="A10" s="4" t="s">
        <v>92</v>
      </c>
      <c r="B10" s="8">
        <f>C5</f>
        <v>50</v>
      </c>
      <c r="C10" s="9">
        <v>0</v>
      </c>
      <c r="D10" s="10">
        <f t="shared" si="0"/>
        <v>0</v>
      </c>
      <c r="F10" s="210" t="s">
        <v>93</v>
      </c>
      <c r="G10" s="210"/>
      <c r="H10" s="8" t="s">
        <v>94</v>
      </c>
    </row>
    <row r="11" spans="1:13" x14ac:dyDescent="0.3">
      <c r="A11" s="13" t="s">
        <v>95</v>
      </c>
      <c r="B11" s="8">
        <f>C5</f>
        <v>50</v>
      </c>
      <c r="C11" s="9">
        <v>0</v>
      </c>
      <c r="D11" s="10">
        <f t="shared" si="0"/>
        <v>0</v>
      </c>
      <c r="F11" s="210" t="s">
        <v>96</v>
      </c>
      <c r="G11" s="210"/>
      <c r="H11" s="8" t="s">
        <v>97</v>
      </c>
    </row>
    <row r="12" spans="1:13" x14ac:dyDescent="0.3">
      <c r="A12" s="4" t="s">
        <v>98</v>
      </c>
      <c r="B12" s="8">
        <f>C5</f>
        <v>50</v>
      </c>
      <c r="C12" s="9">
        <v>0</v>
      </c>
      <c r="D12" s="10">
        <f t="shared" si="0"/>
        <v>0</v>
      </c>
      <c r="F12" s="210" t="s">
        <v>99</v>
      </c>
      <c r="G12" s="210"/>
      <c r="H12" s="8" t="s">
        <v>100</v>
      </c>
    </row>
    <row r="13" spans="1:13" x14ac:dyDescent="0.3">
      <c r="F13" s="210" t="s">
        <v>101</v>
      </c>
      <c r="G13" s="210"/>
      <c r="H13" s="8" t="s">
        <v>102</v>
      </c>
    </row>
    <row r="14" spans="1:13" hidden="1" x14ac:dyDescent="0.3">
      <c r="A14" s="3"/>
      <c r="B14" s="3" t="s">
        <v>103</v>
      </c>
      <c r="C14" s="3" t="s">
        <v>104</v>
      </c>
      <c r="G14" s="3" t="s">
        <v>82</v>
      </c>
      <c r="H14" s="3" t="s">
        <v>105</v>
      </c>
      <c r="I14" s="3" t="s">
        <v>106</v>
      </c>
      <c r="J14" s="3" t="s">
        <v>107</v>
      </c>
      <c r="K14" s="3" t="s">
        <v>92</v>
      </c>
      <c r="L14" s="3" t="s">
        <v>95</v>
      </c>
      <c r="M14" s="3" t="s">
        <v>98</v>
      </c>
    </row>
    <row r="15" spans="1:13" hidden="1" x14ac:dyDescent="0.3">
      <c r="A15" s="3" t="s">
        <v>108</v>
      </c>
      <c r="B15" s="3">
        <f>G15</f>
        <v>10</v>
      </c>
      <c r="C15" s="3">
        <f>G16</f>
        <v>30</v>
      </c>
      <c r="E15" s="211" t="s">
        <v>103</v>
      </c>
      <c r="F15" s="211"/>
      <c r="G15" s="14">
        <f>C6</f>
        <v>10</v>
      </c>
      <c r="H15" s="14">
        <f>40/B7*C7</f>
        <v>35.087719298245609</v>
      </c>
      <c r="I15" s="14">
        <f>15/B8*C8</f>
        <v>12.6</v>
      </c>
      <c r="J15" s="14">
        <f>10/B9*C9</f>
        <v>4.2</v>
      </c>
      <c r="K15" s="14">
        <f>10/B10*C10</f>
        <v>0</v>
      </c>
      <c r="L15" s="14">
        <f>5/B11*C11</f>
        <v>0</v>
      </c>
      <c r="M15" s="14">
        <f>5/B12*C12</f>
        <v>0</v>
      </c>
    </row>
    <row r="16" spans="1:13" hidden="1" x14ac:dyDescent="0.3">
      <c r="A16" s="3" t="s">
        <v>109</v>
      </c>
      <c r="B16" s="3">
        <f>H15</f>
        <v>35.087719298245609</v>
      </c>
      <c r="C16" s="3">
        <f>H16</f>
        <v>26.315789473684209</v>
      </c>
      <c r="E16" s="211" t="s">
        <v>110</v>
      </c>
      <c r="F16" s="211"/>
      <c r="G16" s="3">
        <f>G15+20</f>
        <v>30</v>
      </c>
      <c r="H16" s="3">
        <f>30/B7*C7</f>
        <v>26.315789473684209</v>
      </c>
      <c r="I16" s="3">
        <f>15/B8*C8</f>
        <v>12.6</v>
      </c>
      <c r="J16" s="3">
        <f>10/B9*C9</f>
        <v>4.2</v>
      </c>
      <c r="K16" s="3">
        <f>5/B10*C10</f>
        <v>0</v>
      </c>
      <c r="L16" s="3">
        <f>5/B11*C11</f>
        <v>0</v>
      </c>
      <c r="M16" s="3">
        <f>5/B12*C12</f>
        <v>0</v>
      </c>
    </row>
    <row r="17" spans="1:8" hidden="1" x14ac:dyDescent="0.3">
      <c r="A17" s="3" t="s">
        <v>106</v>
      </c>
      <c r="B17" s="3">
        <f>I15</f>
        <v>12.6</v>
      </c>
      <c r="C17" s="3">
        <f>I16</f>
        <v>12.6</v>
      </c>
    </row>
    <row r="18" spans="1:8" hidden="1" x14ac:dyDescent="0.3">
      <c r="A18" s="3" t="s">
        <v>107</v>
      </c>
      <c r="B18" s="3">
        <f>J15</f>
        <v>4.2</v>
      </c>
      <c r="C18" s="3">
        <f>J16</f>
        <v>4.2</v>
      </c>
    </row>
    <row r="19" spans="1:8" hidden="1" x14ac:dyDescent="0.3">
      <c r="A19" s="3" t="s">
        <v>92</v>
      </c>
      <c r="B19" s="3">
        <f>K15</f>
        <v>0</v>
      </c>
      <c r="C19" s="3">
        <f>K16</f>
        <v>0</v>
      </c>
    </row>
    <row r="20" spans="1:8" hidden="1" x14ac:dyDescent="0.3">
      <c r="A20" s="15" t="s">
        <v>95</v>
      </c>
      <c r="B20" s="3">
        <f>L15</f>
        <v>0</v>
      </c>
      <c r="C20" s="3">
        <f>L16</f>
        <v>0</v>
      </c>
    </row>
    <row r="21" spans="1:8" hidden="1" x14ac:dyDescent="0.3">
      <c r="A21" s="3" t="s">
        <v>98</v>
      </c>
      <c r="B21" s="3">
        <f>M15</f>
        <v>0</v>
      </c>
      <c r="C21" s="3">
        <f>M16</f>
        <v>0</v>
      </c>
    </row>
    <row r="22" spans="1:8" x14ac:dyDescent="0.3">
      <c r="A22" s="3" t="s">
        <v>111</v>
      </c>
      <c r="B22" s="16">
        <f>(B15+B16+B17+B18+B19+B20+B21)/100</f>
        <v>0.61887719298245614</v>
      </c>
      <c r="C22" s="16">
        <f>(C15+C16+C17+C18+C19+C20+C21)/100</f>
        <v>0.73115789473684201</v>
      </c>
      <c r="F22" s="210" t="s">
        <v>112</v>
      </c>
      <c r="G22" s="210"/>
      <c r="H22" s="8" t="s">
        <v>91</v>
      </c>
    </row>
    <row r="23" spans="1:8" x14ac:dyDescent="0.3">
      <c r="F23" s="210" t="s">
        <v>113</v>
      </c>
      <c r="G23" s="210"/>
      <c r="H23" s="8" t="s">
        <v>114</v>
      </c>
    </row>
    <row r="24" spans="1:8" x14ac:dyDescent="0.3">
      <c r="A24" s="4" t="s">
        <v>115</v>
      </c>
      <c r="B24" s="17">
        <v>0.01</v>
      </c>
      <c r="C24" s="17">
        <v>0.02</v>
      </c>
      <c r="F24" s="210" t="s">
        <v>116</v>
      </c>
      <c r="G24" s="210"/>
      <c r="H24" s="8" t="s">
        <v>117</v>
      </c>
    </row>
    <row r="25" spans="1:8" x14ac:dyDescent="0.3">
      <c r="A25" s="4" t="s">
        <v>118</v>
      </c>
      <c r="B25" s="17">
        <v>0.01</v>
      </c>
      <c r="C25" s="17">
        <v>0.03</v>
      </c>
    </row>
    <row r="26" spans="1:8" x14ac:dyDescent="0.3">
      <c r="A26" s="4" t="s">
        <v>119</v>
      </c>
      <c r="B26" s="17">
        <v>0.03</v>
      </c>
      <c r="C26" s="17">
        <v>0.08</v>
      </c>
    </row>
    <row r="27" spans="1:8" x14ac:dyDescent="0.3">
      <c r="A27" s="4" t="s">
        <v>120</v>
      </c>
      <c r="B27" s="17">
        <v>0.05</v>
      </c>
      <c r="C27" s="17">
        <v>0.15</v>
      </c>
    </row>
    <row r="28" spans="1:8" x14ac:dyDescent="0.3">
      <c r="A28" s="4" t="s">
        <v>121</v>
      </c>
      <c r="B28" s="17">
        <v>7.0000000000000007E-2</v>
      </c>
      <c r="C28" s="17">
        <v>0.2</v>
      </c>
    </row>
    <row r="29" spans="1:8" x14ac:dyDescent="0.3">
      <c r="A29" s="4" t="s">
        <v>122</v>
      </c>
      <c r="B29" s="17">
        <v>0.1</v>
      </c>
      <c r="C29" s="17">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RowHeight="14" x14ac:dyDescent="0.3"/>
  <cols>
    <col min="1" max="1" width="24" style="4" customWidth="1"/>
    <col min="2" max="2" width="13.69921875" style="4" customWidth="1"/>
    <col min="3" max="4" width="9.296875" style="4"/>
    <col min="5" max="5" width="11.796875" style="4" customWidth="1"/>
    <col min="6" max="6" width="12.3984375" style="4" customWidth="1"/>
    <col min="7" max="7" width="9.296875" style="4"/>
    <col min="8" max="8" width="12.09765625" style="4" customWidth="1"/>
    <col min="9" max="9" width="18" style="4" customWidth="1"/>
    <col min="10" max="258" width="9.296875" style="4"/>
    <col min="259" max="259" width="13.69921875" style="4" customWidth="1"/>
    <col min="260" max="260" width="9.296875" style="4"/>
    <col min="261" max="261" width="17.09765625" style="4" customWidth="1"/>
    <col min="262" max="262" width="12.3984375" style="4" customWidth="1"/>
    <col min="263" max="514" width="9.296875" style="4"/>
    <col min="515" max="515" width="13.69921875" style="4" customWidth="1"/>
    <col min="516" max="516" width="9.296875" style="4"/>
    <col min="517" max="517" width="17.09765625" style="4" customWidth="1"/>
    <col min="518" max="518" width="12.3984375" style="4" customWidth="1"/>
    <col min="519" max="770" width="9.296875" style="4"/>
    <col min="771" max="771" width="13.69921875" style="4" customWidth="1"/>
    <col min="772" max="772" width="9.296875" style="4"/>
    <col min="773" max="773" width="17.09765625" style="4" customWidth="1"/>
    <col min="774" max="774" width="12.3984375" style="4" customWidth="1"/>
    <col min="775" max="1026" width="9.296875" style="4"/>
    <col min="1027" max="1027" width="13.69921875" style="4" customWidth="1"/>
    <col min="1028" max="1028" width="9.296875" style="4"/>
    <col min="1029" max="1029" width="17.09765625" style="4" customWidth="1"/>
    <col min="1030" max="1030" width="12.3984375" style="4" customWidth="1"/>
    <col min="1031" max="1282" width="9.296875" style="4"/>
    <col min="1283" max="1283" width="13.69921875" style="4" customWidth="1"/>
    <col min="1284" max="1284" width="9.296875" style="4"/>
    <col min="1285" max="1285" width="17.09765625" style="4" customWidth="1"/>
    <col min="1286" max="1286" width="12.3984375" style="4" customWidth="1"/>
    <col min="1287" max="1538" width="9.296875" style="4"/>
    <col min="1539" max="1539" width="13.69921875" style="4" customWidth="1"/>
    <col min="1540" max="1540" width="9.296875" style="4"/>
    <col min="1541" max="1541" width="17.09765625" style="4" customWidth="1"/>
    <col min="1542" max="1542" width="12.3984375" style="4" customWidth="1"/>
    <col min="1543" max="1794" width="9.296875" style="4"/>
    <col min="1795" max="1795" width="13.69921875" style="4" customWidth="1"/>
    <col min="1796" max="1796" width="9.296875" style="4"/>
    <col min="1797" max="1797" width="17.09765625" style="4" customWidth="1"/>
    <col min="1798" max="1798" width="12.3984375" style="4" customWidth="1"/>
    <col min="1799" max="2050" width="9.296875" style="4"/>
    <col min="2051" max="2051" width="13.69921875" style="4" customWidth="1"/>
    <col min="2052" max="2052" width="9.296875" style="4"/>
    <col min="2053" max="2053" width="17.09765625" style="4" customWidth="1"/>
    <col min="2054" max="2054" width="12.3984375" style="4" customWidth="1"/>
    <col min="2055" max="2306" width="9.296875" style="4"/>
    <col min="2307" max="2307" width="13.69921875" style="4" customWidth="1"/>
    <col min="2308" max="2308" width="9.296875" style="4"/>
    <col min="2309" max="2309" width="17.09765625" style="4" customWidth="1"/>
    <col min="2310" max="2310" width="12.3984375" style="4" customWidth="1"/>
    <col min="2311" max="2562" width="9.296875" style="4"/>
    <col min="2563" max="2563" width="13.69921875" style="4" customWidth="1"/>
    <col min="2564" max="2564" width="9.296875" style="4"/>
    <col min="2565" max="2565" width="17.09765625" style="4" customWidth="1"/>
    <col min="2566" max="2566" width="12.3984375" style="4" customWidth="1"/>
    <col min="2567" max="2818" width="9.296875" style="4"/>
    <col min="2819" max="2819" width="13.69921875" style="4" customWidth="1"/>
    <col min="2820" max="2820" width="9.296875" style="4"/>
    <col min="2821" max="2821" width="17.09765625" style="4" customWidth="1"/>
    <col min="2822" max="2822" width="12.3984375" style="4" customWidth="1"/>
    <col min="2823" max="3074" width="9.296875" style="4"/>
    <col min="3075" max="3075" width="13.69921875" style="4" customWidth="1"/>
    <col min="3076" max="3076" width="9.296875" style="4"/>
    <col min="3077" max="3077" width="17.09765625" style="4" customWidth="1"/>
    <col min="3078" max="3078" width="12.3984375" style="4" customWidth="1"/>
    <col min="3079" max="3330" width="9.296875" style="4"/>
    <col min="3331" max="3331" width="13.69921875" style="4" customWidth="1"/>
    <col min="3332" max="3332" width="9.296875" style="4"/>
    <col min="3333" max="3333" width="17.09765625" style="4" customWidth="1"/>
    <col min="3334" max="3334" width="12.3984375" style="4" customWidth="1"/>
    <col min="3335" max="3586" width="9.296875" style="4"/>
    <col min="3587" max="3587" width="13.69921875" style="4" customWidth="1"/>
    <col min="3588" max="3588" width="9.296875" style="4"/>
    <col min="3589" max="3589" width="17.09765625" style="4" customWidth="1"/>
    <col min="3590" max="3590" width="12.3984375" style="4" customWidth="1"/>
    <col min="3591" max="3842" width="9.296875" style="4"/>
    <col min="3843" max="3843" width="13.69921875" style="4" customWidth="1"/>
    <col min="3844" max="3844" width="9.296875" style="4"/>
    <col min="3845" max="3845" width="17.09765625" style="4" customWidth="1"/>
    <col min="3846" max="3846" width="12.3984375" style="4" customWidth="1"/>
    <col min="3847" max="4098" width="9.296875" style="4"/>
    <col min="4099" max="4099" width="13.69921875" style="4" customWidth="1"/>
    <col min="4100" max="4100" width="9.296875" style="4"/>
    <col min="4101" max="4101" width="17.09765625" style="4" customWidth="1"/>
    <col min="4102" max="4102" width="12.3984375" style="4" customWidth="1"/>
    <col min="4103" max="4354" width="9.296875" style="4"/>
    <col min="4355" max="4355" width="13.69921875" style="4" customWidth="1"/>
    <col min="4356" max="4356" width="9.296875" style="4"/>
    <col min="4357" max="4357" width="17.09765625" style="4" customWidth="1"/>
    <col min="4358" max="4358" width="12.3984375" style="4" customWidth="1"/>
    <col min="4359" max="4610" width="9.296875" style="4"/>
    <col min="4611" max="4611" width="13.69921875" style="4" customWidth="1"/>
    <col min="4612" max="4612" width="9.296875" style="4"/>
    <col min="4613" max="4613" width="17.09765625" style="4" customWidth="1"/>
    <col min="4614" max="4614" width="12.3984375" style="4" customWidth="1"/>
    <col min="4615" max="4866" width="9.296875" style="4"/>
    <col min="4867" max="4867" width="13.69921875" style="4" customWidth="1"/>
    <col min="4868" max="4868" width="9.296875" style="4"/>
    <col min="4869" max="4869" width="17.09765625" style="4" customWidth="1"/>
    <col min="4870" max="4870" width="12.3984375" style="4" customWidth="1"/>
    <col min="4871" max="5122" width="9.296875" style="4"/>
    <col min="5123" max="5123" width="13.69921875" style="4" customWidth="1"/>
    <col min="5124" max="5124" width="9.296875" style="4"/>
    <col min="5125" max="5125" width="17.09765625" style="4" customWidth="1"/>
    <col min="5126" max="5126" width="12.3984375" style="4" customWidth="1"/>
    <col min="5127" max="5378" width="9.296875" style="4"/>
    <col min="5379" max="5379" width="13.69921875" style="4" customWidth="1"/>
    <col min="5380" max="5380" width="9.296875" style="4"/>
    <col min="5381" max="5381" width="17.09765625" style="4" customWidth="1"/>
    <col min="5382" max="5382" width="12.3984375" style="4" customWidth="1"/>
    <col min="5383" max="5634" width="9.296875" style="4"/>
    <col min="5635" max="5635" width="13.69921875" style="4" customWidth="1"/>
    <col min="5636" max="5636" width="9.296875" style="4"/>
    <col min="5637" max="5637" width="17.09765625" style="4" customWidth="1"/>
    <col min="5638" max="5638" width="12.3984375" style="4" customWidth="1"/>
    <col min="5639" max="5890" width="9.296875" style="4"/>
    <col min="5891" max="5891" width="13.69921875" style="4" customWidth="1"/>
    <col min="5892" max="5892" width="9.296875" style="4"/>
    <col min="5893" max="5893" width="17.09765625" style="4" customWidth="1"/>
    <col min="5894" max="5894" width="12.3984375" style="4" customWidth="1"/>
    <col min="5895" max="6146" width="9.296875" style="4"/>
    <col min="6147" max="6147" width="13.69921875" style="4" customWidth="1"/>
    <col min="6148" max="6148" width="9.296875" style="4"/>
    <col min="6149" max="6149" width="17.09765625" style="4" customWidth="1"/>
    <col min="6150" max="6150" width="12.3984375" style="4" customWidth="1"/>
    <col min="6151" max="6402" width="9.296875" style="4"/>
    <col min="6403" max="6403" width="13.69921875" style="4" customWidth="1"/>
    <col min="6404" max="6404" width="9.296875" style="4"/>
    <col min="6405" max="6405" width="17.09765625" style="4" customWidth="1"/>
    <col min="6406" max="6406" width="12.3984375" style="4" customWidth="1"/>
    <col min="6407" max="6658" width="9.296875" style="4"/>
    <col min="6659" max="6659" width="13.69921875" style="4" customWidth="1"/>
    <col min="6660" max="6660" width="9.296875" style="4"/>
    <col min="6661" max="6661" width="17.09765625" style="4" customWidth="1"/>
    <col min="6662" max="6662" width="12.3984375" style="4" customWidth="1"/>
    <col min="6663" max="6914" width="9.296875" style="4"/>
    <col min="6915" max="6915" width="13.69921875" style="4" customWidth="1"/>
    <col min="6916" max="6916" width="9.296875" style="4"/>
    <col min="6917" max="6917" width="17.09765625" style="4" customWidth="1"/>
    <col min="6918" max="6918" width="12.3984375" style="4" customWidth="1"/>
    <col min="6919" max="7170" width="9.296875" style="4"/>
    <col min="7171" max="7171" width="13.69921875" style="4" customWidth="1"/>
    <col min="7172" max="7172" width="9.296875" style="4"/>
    <col min="7173" max="7173" width="17.09765625" style="4" customWidth="1"/>
    <col min="7174" max="7174" width="12.3984375" style="4" customWidth="1"/>
    <col min="7175" max="7426" width="9.296875" style="4"/>
    <col min="7427" max="7427" width="13.69921875" style="4" customWidth="1"/>
    <col min="7428" max="7428" width="9.296875" style="4"/>
    <col min="7429" max="7429" width="17.09765625" style="4" customWidth="1"/>
    <col min="7430" max="7430" width="12.3984375" style="4" customWidth="1"/>
    <col min="7431" max="7682" width="9.296875" style="4"/>
    <col min="7683" max="7683" width="13.69921875" style="4" customWidth="1"/>
    <col min="7684" max="7684" width="9.296875" style="4"/>
    <col min="7685" max="7685" width="17.09765625" style="4" customWidth="1"/>
    <col min="7686" max="7686" width="12.3984375" style="4" customWidth="1"/>
    <col min="7687" max="7938" width="9.296875" style="4"/>
    <col min="7939" max="7939" width="13.69921875" style="4" customWidth="1"/>
    <col min="7940" max="7940" width="9.296875" style="4"/>
    <col min="7941" max="7941" width="17.09765625" style="4" customWidth="1"/>
    <col min="7942" max="7942" width="12.3984375" style="4" customWidth="1"/>
    <col min="7943" max="8194" width="9.296875" style="4"/>
    <col min="8195" max="8195" width="13.69921875" style="4" customWidth="1"/>
    <col min="8196" max="8196" width="9.296875" style="4"/>
    <col min="8197" max="8197" width="17.09765625" style="4" customWidth="1"/>
    <col min="8198" max="8198" width="12.3984375" style="4" customWidth="1"/>
    <col min="8199" max="8450" width="9.296875" style="4"/>
    <col min="8451" max="8451" width="13.69921875" style="4" customWidth="1"/>
    <col min="8452" max="8452" width="9.296875" style="4"/>
    <col min="8453" max="8453" width="17.09765625" style="4" customWidth="1"/>
    <col min="8454" max="8454" width="12.3984375" style="4" customWidth="1"/>
    <col min="8455" max="8706" width="9.296875" style="4"/>
    <col min="8707" max="8707" width="13.69921875" style="4" customWidth="1"/>
    <col min="8708" max="8708" width="9.296875" style="4"/>
    <col min="8709" max="8709" width="17.09765625" style="4" customWidth="1"/>
    <col min="8710" max="8710" width="12.3984375" style="4" customWidth="1"/>
    <col min="8711" max="8962" width="9.296875" style="4"/>
    <col min="8963" max="8963" width="13.69921875" style="4" customWidth="1"/>
    <col min="8964" max="8964" width="9.296875" style="4"/>
    <col min="8965" max="8965" width="17.09765625" style="4" customWidth="1"/>
    <col min="8966" max="8966" width="12.3984375" style="4" customWidth="1"/>
    <col min="8967" max="9218" width="9.296875" style="4"/>
    <col min="9219" max="9219" width="13.69921875" style="4" customWidth="1"/>
    <col min="9220" max="9220" width="9.296875" style="4"/>
    <col min="9221" max="9221" width="17.09765625" style="4" customWidth="1"/>
    <col min="9222" max="9222" width="12.3984375" style="4" customWidth="1"/>
    <col min="9223" max="9474" width="9.296875" style="4"/>
    <col min="9475" max="9475" width="13.69921875" style="4" customWidth="1"/>
    <col min="9476" max="9476" width="9.296875" style="4"/>
    <col min="9477" max="9477" width="17.09765625" style="4" customWidth="1"/>
    <col min="9478" max="9478" width="12.3984375" style="4" customWidth="1"/>
    <col min="9479" max="9730" width="9.296875" style="4"/>
    <col min="9731" max="9731" width="13.69921875" style="4" customWidth="1"/>
    <col min="9732" max="9732" width="9.296875" style="4"/>
    <col min="9733" max="9733" width="17.09765625" style="4" customWidth="1"/>
    <col min="9734" max="9734" width="12.3984375" style="4" customWidth="1"/>
    <col min="9735" max="9986" width="9.296875" style="4"/>
    <col min="9987" max="9987" width="13.69921875" style="4" customWidth="1"/>
    <col min="9988" max="9988" width="9.296875" style="4"/>
    <col min="9989" max="9989" width="17.09765625" style="4" customWidth="1"/>
    <col min="9990" max="9990" width="12.3984375" style="4" customWidth="1"/>
    <col min="9991" max="10242" width="9.296875" style="4"/>
    <col min="10243" max="10243" width="13.69921875" style="4" customWidth="1"/>
    <col min="10244" max="10244" width="9.296875" style="4"/>
    <col min="10245" max="10245" width="17.09765625" style="4" customWidth="1"/>
    <col min="10246" max="10246" width="12.3984375" style="4" customWidth="1"/>
    <col min="10247" max="10498" width="9.296875" style="4"/>
    <col min="10499" max="10499" width="13.69921875" style="4" customWidth="1"/>
    <col min="10500" max="10500" width="9.296875" style="4"/>
    <col min="10501" max="10501" width="17.09765625" style="4" customWidth="1"/>
    <col min="10502" max="10502" width="12.3984375" style="4" customWidth="1"/>
    <col min="10503" max="10754" width="9.296875" style="4"/>
    <col min="10755" max="10755" width="13.69921875" style="4" customWidth="1"/>
    <col min="10756" max="10756" width="9.296875" style="4"/>
    <col min="10757" max="10757" width="17.09765625" style="4" customWidth="1"/>
    <col min="10758" max="10758" width="12.3984375" style="4" customWidth="1"/>
    <col min="10759" max="11010" width="9.296875" style="4"/>
    <col min="11011" max="11011" width="13.69921875" style="4" customWidth="1"/>
    <col min="11012" max="11012" width="9.296875" style="4"/>
    <col min="11013" max="11013" width="17.09765625" style="4" customWidth="1"/>
    <col min="11014" max="11014" width="12.3984375" style="4" customWidth="1"/>
    <col min="11015" max="11266" width="9.296875" style="4"/>
    <col min="11267" max="11267" width="13.69921875" style="4" customWidth="1"/>
    <col min="11268" max="11268" width="9.296875" style="4"/>
    <col min="11269" max="11269" width="17.09765625" style="4" customWidth="1"/>
    <col min="11270" max="11270" width="12.3984375" style="4" customWidth="1"/>
    <col min="11271" max="11522" width="9.296875" style="4"/>
    <col min="11523" max="11523" width="13.69921875" style="4" customWidth="1"/>
    <col min="11524" max="11524" width="9.296875" style="4"/>
    <col min="11525" max="11525" width="17.09765625" style="4" customWidth="1"/>
    <col min="11526" max="11526" width="12.3984375" style="4" customWidth="1"/>
    <col min="11527" max="11778" width="9.296875" style="4"/>
    <col min="11779" max="11779" width="13.69921875" style="4" customWidth="1"/>
    <col min="11780" max="11780" width="9.296875" style="4"/>
    <col min="11781" max="11781" width="17.09765625" style="4" customWidth="1"/>
    <col min="11782" max="11782" width="12.3984375" style="4" customWidth="1"/>
    <col min="11783" max="12034" width="9.296875" style="4"/>
    <col min="12035" max="12035" width="13.69921875" style="4" customWidth="1"/>
    <col min="12036" max="12036" width="9.296875" style="4"/>
    <col min="12037" max="12037" width="17.09765625" style="4" customWidth="1"/>
    <col min="12038" max="12038" width="12.3984375" style="4" customWidth="1"/>
    <col min="12039" max="12290" width="9.296875" style="4"/>
    <col min="12291" max="12291" width="13.69921875" style="4" customWidth="1"/>
    <col min="12292" max="12292" width="9.296875" style="4"/>
    <col min="12293" max="12293" width="17.09765625" style="4" customWidth="1"/>
    <col min="12294" max="12294" width="12.3984375" style="4" customWidth="1"/>
    <col min="12295" max="12546" width="9.296875" style="4"/>
    <col min="12547" max="12547" width="13.69921875" style="4" customWidth="1"/>
    <col min="12548" max="12548" width="9.296875" style="4"/>
    <col min="12549" max="12549" width="17.09765625" style="4" customWidth="1"/>
    <col min="12550" max="12550" width="12.3984375" style="4" customWidth="1"/>
    <col min="12551" max="12802" width="9.296875" style="4"/>
    <col min="12803" max="12803" width="13.69921875" style="4" customWidth="1"/>
    <col min="12804" max="12804" width="9.296875" style="4"/>
    <col min="12805" max="12805" width="17.09765625" style="4" customWidth="1"/>
    <col min="12806" max="12806" width="12.3984375" style="4" customWidth="1"/>
    <col min="12807" max="13058" width="9.296875" style="4"/>
    <col min="13059" max="13059" width="13.69921875" style="4" customWidth="1"/>
    <col min="13060" max="13060" width="9.296875" style="4"/>
    <col min="13061" max="13061" width="17.09765625" style="4" customWidth="1"/>
    <col min="13062" max="13062" width="12.3984375" style="4" customWidth="1"/>
    <col min="13063" max="13314" width="9.296875" style="4"/>
    <col min="13315" max="13315" width="13.69921875" style="4" customWidth="1"/>
    <col min="13316" max="13316" width="9.296875" style="4"/>
    <col min="13317" max="13317" width="17.09765625" style="4" customWidth="1"/>
    <col min="13318" max="13318" width="12.3984375" style="4" customWidth="1"/>
    <col min="13319" max="13570" width="9.296875" style="4"/>
    <col min="13571" max="13571" width="13.69921875" style="4" customWidth="1"/>
    <col min="13572" max="13572" width="9.296875" style="4"/>
    <col min="13573" max="13573" width="17.09765625" style="4" customWidth="1"/>
    <col min="13574" max="13574" width="12.3984375" style="4" customWidth="1"/>
    <col min="13575" max="13826" width="9.296875" style="4"/>
    <col min="13827" max="13827" width="13.69921875" style="4" customWidth="1"/>
    <col min="13828" max="13828" width="9.296875" style="4"/>
    <col min="13829" max="13829" width="17.09765625" style="4" customWidth="1"/>
    <col min="13830" max="13830" width="12.3984375" style="4" customWidth="1"/>
    <col min="13831" max="14082" width="9.296875" style="4"/>
    <col min="14083" max="14083" width="13.69921875" style="4" customWidth="1"/>
    <col min="14084" max="14084" width="9.296875" style="4"/>
    <col min="14085" max="14085" width="17.09765625" style="4" customWidth="1"/>
    <col min="14086" max="14086" width="12.3984375" style="4" customWidth="1"/>
    <col min="14087" max="14338" width="9.296875" style="4"/>
    <col min="14339" max="14339" width="13.69921875" style="4" customWidth="1"/>
    <col min="14340" max="14340" width="9.296875" style="4"/>
    <col min="14341" max="14341" width="17.09765625" style="4" customWidth="1"/>
    <col min="14342" max="14342" width="12.3984375" style="4" customWidth="1"/>
    <col min="14343" max="14594" width="9.296875" style="4"/>
    <col min="14595" max="14595" width="13.69921875" style="4" customWidth="1"/>
    <col min="14596" max="14596" width="9.296875" style="4"/>
    <col min="14597" max="14597" width="17.09765625" style="4" customWidth="1"/>
    <col min="14598" max="14598" width="12.3984375" style="4" customWidth="1"/>
    <col min="14599" max="14850" width="9.296875" style="4"/>
    <col min="14851" max="14851" width="13.69921875" style="4" customWidth="1"/>
    <col min="14852" max="14852" width="9.296875" style="4"/>
    <col min="14853" max="14853" width="17.09765625" style="4" customWidth="1"/>
    <col min="14854" max="14854" width="12.3984375" style="4" customWidth="1"/>
    <col min="14855" max="15106" width="9.296875" style="4"/>
    <col min="15107" max="15107" width="13.69921875" style="4" customWidth="1"/>
    <col min="15108" max="15108" width="9.296875" style="4"/>
    <col min="15109" max="15109" width="17.09765625" style="4" customWidth="1"/>
    <col min="15110" max="15110" width="12.3984375" style="4" customWidth="1"/>
    <col min="15111" max="15362" width="9.296875" style="4"/>
    <col min="15363" max="15363" width="13.69921875" style="4" customWidth="1"/>
    <col min="15364" max="15364" width="9.296875" style="4"/>
    <col min="15365" max="15365" width="17.09765625" style="4" customWidth="1"/>
    <col min="15366" max="15366" width="12.3984375" style="4" customWidth="1"/>
    <col min="15367" max="15618" width="9.296875" style="4"/>
    <col min="15619" max="15619" width="13.69921875" style="4" customWidth="1"/>
    <col min="15620" max="15620" width="9.296875" style="4"/>
    <col min="15621" max="15621" width="17.09765625" style="4" customWidth="1"/>
    <col min="15622" max="15622" width="12.3984375" style="4" customWidth="1"/>
    <col min="15623" max="15874" width="9.296875" style="4"/>
    <col min="15875" max="15875" width="13.69921875" style="4" customWidth="1"/>
    <col min="15876" max="15876" width="9.296875" style="4"/>
    <col min="15877" max="15877" width="17.09765625" style="4" customWidth="1"/>
    <col min="15878" max="15878" width="12.3984375" style="4" customWidth="1"/>
    <col min="15879" max="16130" width="9.296875" style="4"/>
    <col min="16131" max="16131" width="13.69921875" style="4" customWidth="1"/>
    <col min="16132" max="16132" width="9.296875" style="4"/>
    <col min="16133" max="16133" width="17.09765625" style="4" customWidth="1"/>
    <col min="16134" max="16134" width="12.3984375" style="4" customWidth="1"/>
    <col min="16135" max="16384" width="9.296875" style="4"/>
  </cols>
  <sheetData>
    <row r="2" spans="1:13" x14ac:dyDescent="0.3">
      <c r="A2" s="3" t="s">
        <v>76</v>
      </c>
      <c r="B2" s="3" t="s">
        <v>77</v>
      </c>
      <c r="C2" s="3" t="s">
        <v>78</v>
      </c>
      <c r="D2" s="211" t="s">
        <v>79</v>
      </c>
      <c r="E2" s="211"/>
    </row>
    <row r="3" spans="1:13" x14ac:dyDescent="0.3">
      <c r="A3" s="5">
        <v>2</v>
      </c>
      <c r="B3" s="5">
        <v>4</v>
      </c>
      <c r="C3" s="5">
        <v>1</v>
      </c>
      <c r="D3" s="212">
        <v>50</v>
      </c>
      <c r="E3" s="212"/>
      <c r="F3" s="4" t="s">
        <v>123</v>
      </c>
    </row>
    <row r="5" spans="1:13" x14ac:dyDescent="0.3">
      <c r="A5" s="4" t="s">
        <v>80</v>
      </c>
      <c r="B5" s="6" t="s">
        <v>81</v>
      </c>
      <c r="C5" s="6">
        <f>D3</f>
        <v>50</v>
      </c>
      <c r="D5" s="7"/>
    </row>
    <row r="6" spans="1:13" x14ac:dyDescent="0.3">
      <c r="A6" s="4" t="s">
        <v>82</v>
      </c>
      <c r="B6" s="8">
        <v>10</v>
      </c>
      <c r="C6" s="9">
        <v>10</v>
      </c>
      <c r="D6" s="10">
        <f>((100/B6)*C6)/100</f>
        <v>1</v>
      </c>
    </row>
    <row r="7" spans="1:13" x14ac:dyDescent="0.3">
      <c r="A7" s="4" t="s">
        <v>83</v>
      </c>
      <c r="B7" s="8">
        <f>A3+B3+C3+D3</f>
        <v>57</v>
      </c>
      <c r="C7" s="9">
        <f>A3+B3+C3+40</f>
        <v>47</v>
      </c>
      <c r="D7" s="10">
        <f t="shared" ref="D7:D12" si="0">((100/B7)*C7)/100</f>
        <v>0.82456140350877194</v>
      </c>
      <c r="F7" s="213" t="s">
        <v>84</v>
      </c>
      <c r="G7" s="213"/>
      <c r="H7" s="11" t="s">
        <v>85</v>
      </c>
      <c r="J7" s="12"/>
    </row>
    <row r="8" spans="1:13" x14ac:dyDescent="0.3">
      <c r="A8" s="4" t="s">
        <v>86</v>
      </c>
      <c r="B8" s="8">
        <f>C5</f>
        <v>50</v>
      </c>
      <c r="C8" s="9">
        <v>39</v>
      </c>
      <c r="D8" s="10">
        <f t="shared" si="0"/>
        <v>0.78</v>
      </c>
      <c r="F8" s="210" t="s">
        <v>87</v>
      </c>
      <c r="G8" s="210"/>
      <c r="H8" s="8" t="s">
        <v>88</v>
      </c>
    </row>
    <row r="9" spans="1:13" x14ac:dyDescent="0.3">
      <c r="A9" s="4" t="s">
        <v>89</v>
      </c>
      <c r="B9" s="8">
        <f>C5</f>
        <v>50</v>
      </c>
      <c r="C9" s="9">
        <f>C8/2</f>
        <v>19.5</v>
      </c>
      <c r="D9" s="10">
        <f t="shared" si="0"/>
        <v>0.39</v>
      </c>
      <c r="F9" s="210" t="s">
        <v>90</v>
      </c>
      <c r="G9" s="210"/>
      <c r="H9" s="8" t="s">
        <v>91</v>
      </c>
    </row>
    <row r="10" spans="1:13" x14ac:dyDescent="0.3">
      <c r="A10" s="4" t="s">
        <v>92</v>
      </c>
      <c r="B10" s="8">
        <f>C5</f>
        <v>50</v>
      </c>
      <c r="C10" s="9">
        <v>0</v>
      </c>
      <c r="D10" s="10">
        <f t="shared" si="0"/>
        <v>0</v>
      </c>
      <c r="F10" s="210" t="s">
        <v>93</v>
      </c>
      <c r="G10" s="210"/>
      <c r="H10" s="8" t="s">
        <v>94</v>
      </c>
    </row>
    <row r="11" spans="1:13" x14ac:dyDescent="0.3">
      <c r="A11" s="13" t="s">
        <v>95</v>
      </c>
      <c r="B11" s="8">
        <f>C5</f>
        <v>50</v>
      </c>
      <c r="C11" s="9">
        <v>0</v>
      </c>
      <c r="D11" s="10">
        <f t="shared" si="0"/>
        <v>0</v>
      </c>
      <c r="F11" s="210" t="s">
        <v>96</v>
      </c>
      <c r="G11" s="210"/>
      <c r="H11" s="8" t="s">
        <v>97</v>
      </c>
    </row>
    <row r="12" spans="1:13" x14ac:dyDescent="0.3">
      <c r="A12" s="4" t="s">
        <v>98</v>
      </c>
      <c r="B12" s="8">
        <f>C5</f>
        <v>50</v>
      </c>
      <c r="C12" s="9">
        <v>0</v>
      </c>
      <c r="D12" s="10">
        <f t="shared" si="0"/>
        <v>0</v>
      </c>
      <c r="F12" s="210" t="s">
        <v>99</v>
      </c>
      <c r="G12" s="210"/>
      <c r="H12" s="8" t="s">
        <v>100</v>
      </c>
    </row>
    <row r="13" spans="1:13" x14ac:dyDescent="0.3">
      <c r="F13" s="210" t="s">
        <v>101</v>
      </c>
      <c r="G13" s="210"/>
      <c r="H13" s="8" t="s">
        <v>102</v>
      </c>
    </row>
    <row r="14" spans="1:13" hidden="1" x14ac:dyDescent="0.3">
      <c r="A14" s="3"/>
      <c r="B14" s="3" t="s">
        <v>103</v>
      </c>
      <c r="C14" s="3" t="s">
        <v>104</v>
      </c>
      <c r="G14" s="3" t="s">
        <v>82</v>
      </c>
      <c r="H14" s="3" t="s">
        <v>105</v>
      </c>
      <c r="I14" s="3" t="s">
        <v>106</v>
      </c>
      <c r="J14" s="3" t="s">
        <v>107</v>
      </c>
      <c r="K14" s="3" t="s">
        <v>92</v>
      </c>
      <c r="L14" s="3" t="s">
        <v>95</v>
      </c>
      <c r="M14" s="3" t="s">
        <v>98</v>
      </c>
    </row>
    <row r="15" spans="1:13" hidden="1" x14ac:dyDescent="0.3">
      <c r="A15" s="3" t="s">
        <v>108</v>
      </c>
      <c r="B15" s="3">
        <f>G15</f>
        <v>10</v>
      </c>
      <c r="C15" s="3">
        <f>G16</f>
        <v>30</v>
      </c>
      <c r="E15" s="211" t="s">
        <v>103</v>
      </c>
      <c r="F15" s="211"/>
      <c r="G15" s="14">
        <f>C6</f>
        <v>10</v>
      </c>
      <c r="H15" s="14">
        <f>40/B7*C7</f>
        <v>32.982456140350877</v>
      </c>
      <c r="I15" s="14">
        <f>15/B8*C8</f>
        <v>11.7</v>
      </c>
      <c r="J15" s="14">
        <f>10/B9*C9</f>
        <v>3.9000000000000004</v>
      </c>
      <c r="K15" s="14">
        <f>10/B10*C10</f>
        <v>0</v>
      </c>
      <c r="L15" s="14">
        <f>5/B11*C11</f>
        <v>0</v>
      </c>
      <c r="M15" s="14">
        <f>5/B12*C12</f>
        <v>0</v>
      </c>
    </row>
    <row r="16" spans="1:13" hidden="1" x14ac:dyDescent="0.3">
      <c r="A16" s="3" t="s">
        <v>109</v>
      </c>
      <c r="B16" s="3">
        <f>H15</f>
        <v>32.982456140350877</v>
      </c>
      <c r="C16" s="3">
        <f>H16</f>
        <v>24.736842105263158</v>
      </c>
      <c r="E16" s="211" t="s">
        <v>110</v>
      </c>
      <c r="F16" s="211"/>
      <c r="G16" s="3">
        <f>G15+20</f>
        <v>30</v>
      </c>
      <c r="H16" s="3">
        <f>30/B7*C7</f>
        <v>24.736842105263158</v>
      </c>
      <c r="I16" s="3">
        <f>15/B8*C8</f>
        <v>11.7</v>
      </c>
      <c r="J16" s="3">
        <f>10/B9*C9</f>
        <v>3.9000000000000004</v>
      </c>
      <c r="K16" s="3">
        <f>5/B10*C10</f>
        <v>0</v>
      </c>
      <c r="L16" s="3">
        <f>5/B11*C11</f>
        <v>0</v>
      </c>
      <c r="M16" s="3">
        <f>5/B12*C12</f>
        <v>0</v>
      </c>
    </row>
    <row r="17" spans="1:8" hidden="1" x14ac:dyDescent="0.3">
      <c r="A17" s="3" t="s">
        <v>106</v>
      </c>
      <c r="B17" s="3">
        <f>I15</f>
        <v>11.7</v>
      </c>
      <c r="C17" s="3">
        <f>I16</f>
        <v>11.7</v>
      </c>
    </row>
    <row r="18" spans="1:8" hidden="1" x14ac:dyDescent="0.3">
      <c r="A18" s="3" t="s">
        <v>107</v>
      </c>
      <c r="B18" s="3">
        <f>J15</f>
        <v>3.9000000000000004</v>
      </c>
      <c r="C18" s="3">
        <f>J16</f>
        <v>3.9000000000000004</v>
      </c>
    </row>
    <row r="19" spans="1:8" hidden="1" x14ac:dyDescent="0.3">
      <c r="A19" s="3" t="s">
        <v>92</v>
      </c>
      <c r="B19" s="3">
        <f>K15</f>
        <v>0</v>
      </c>
      <c r="C19" s="3">
        <f>K16</f>
        <v>0</v>
      </c>
    </row>
    <row r="20" spans="1:8" hidden="1" x14ac:dyDescent="0.3">
      <c r="A20" s="15" t="s">
        <v>95</v>
      </c>
      <c r="B20" s="3">
        <f>L15</f>
        <v>0</v>
      </c>
      <c r="C20" s="3">
        <f>L16</f>
        <v>0</v>
      </c>
    </row>
    <row r="21" spans="1:8" hidden="1" x14ac:dyDescent="0.3">
      <c r="A21" s="3" t="s">
        <v>98</v>
      </c>
      <c r="B21" s="3">
        <f>M15</f>
        <v>0</v>
      </c>
      <c r="C21" s="3">
        <f>M16</f>
        <v>0</v>
      </c>
    </row>
    <row r="22" spans="1:8" x14ac:dyDescent="0.3">
      <c r="A22" s="3" t="s">
        <v>111</v>
      </c>
      <c r="B22" s="16">
        <f>(B15+B16+B17+B18+B19+B20+B21)/100</f>
        <v>0.5858245614035088</v>
      </c>
      <c r="C22" s="16">
        <f>(C15+C16+C17+C18+C19+C20+C21)/100</f>
        <v>0.70336842105263164</v>
      </c>
      <c r="F22" s="210" t="s">
        <v>112</v>
      </c>
      <c r="G22" s="210"/>
      <c r="H22" s="8" t="s">
        <v>91</v>
      </c>
    </row>
    <row r="23" spans="1:8" x14ac:dyDescent="0.3">
      <c r="F23" s="210" t="s">
        <v>113</v>
      </c>
      <c r="G23" s="210"/>
      <c r="H23" s="8" t="s">
        <v>114</v>
      </c>
    </row>
    <row r="24" spans="1:8" x14ac:dyDescent="0.3">
      <c r="A24" s="4" t="s">
        <v>115</v>
      </c>
      <c r="B24" s="17">
        <v>0.01</v>
      </c>
      <c r="C24" s="17">
        <v>0.02</v>
      </c>
      <c r="F24" s="210" t="s">
        <v>116</v>
      </c>
      <c r="G24" s="210"/>
      <c r="H24" s="8" t="s">
        <v>117</v>
      </c>
    </row>
    <row r="25" spans="1:8" x14ac:dyDescent="0.3">
      <c r="A25" s="4" t="s">
        <v>118</v>
      </c>
      <c r="B25" s="17">
        <v>0.01</v>
      </c>
      <c r="C25" s="17">
        <v>0.03</v>
      </c>
    </row>
    <row r="26" spans="1:8" x14ac:dyDescent="0.3">
      <c r="A26" s="4" t="s">
        <v>119</v>
      </c>
      <c r="B26" s="17">
        <v>0.03</v>
      </c>
      <c r="C26" s="17">
        <v>0.08</v>
      </c>
    </row>
    <row r="27" spans="1:8" x14ac:dyDescent="0.3">
      <c r="A27" s="4" t="s">
        <v>120</v>
      </c>
      <c r="B27" s="17">
        <v>0.05</v>
      </c>
      <c r="C27" s="17">
        <v>0.15</v>
      </c>
    </row>
    <row r="28" spans="1:8" x14ac:dyDescent="0.3">
      <c r="A28" s="4" t="s">
        <v>121</v>
      </c>
      <c r="B28" s="17">
        <v>7.0000000000000007E-2</v>
      </c>
      <c r="C28" s="17">
        <v>0.2</v>
      </c>
    </row>
    <row r="29" spans="1:8" x14ac:dyDescent="0.3">
      <c r="A29" s="4" t="s">
        <v>122</v>
      </c>
      <c r="B29" s="17">
        <v>0.1</v>
      </c>
      <c r="C29" s="1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E30" sqref="E30"/>
    </sheetView>
  </sheetViews>
  <sheetFormatPr defaultRowHeight="14" x14ac:dyDescent="0.3"/>
  <cols>
    <col min="1" max="1" width="24" style="4" customWidth="1"/>
    <col min="2" max="2" width="13.69921875" style="4" customWidth="1"/>
    <col min="3" max="4" width="9.296875" style="4"/>
    <col min="5" max="5" width="11.796875" style="4" customWidth="1"/>
    <col min="6" max="6" width="12.3984375" style="4" customWidth="1"/>
    <col min="7" max="7" width="9.296875" style="4"/>
    <col min="8" max="8" width="12.09765625" style="4" customWidth="1"/>
    <col min="9" max="9" width="18" style="4" customWidth="1"/>
    <col min="10" max="258" width="9.296875" style="4"/>
    <col min="259" max="259" width="13.69921875" style="4" customWidth="1"/>
    <col min="260" max="260" width="9.296875" style="4"/>
    <col min="261" max="261" width="17.09765625" style="4" customWidth="1"/>
    <col min="262" max="262" width="12.3984375" style="4" customWidth="1"/>
    <col min="263" max="514" width="9.296875" style="4"/>
    <col min="515" max="515" width="13.69921875" style="4" customWidth="1"/>
    <col min="516" max="516" width="9.296875" style="4"/>
    <col min="517" max="517" width="17.09765625" style="4" customWidth="1"/>
    <col min="518" max="518" width="12.3984375" style="4" customWidth="1"/>
    <col min="519" max="770" width="9.296875" style="4"/>
    <col min="771" max="771" width="13.69921875" style="4" customWidth="1"/>
    <col min="772" max="772" width="9.296875" style="4"/>
    <col min="773" max="773" width="17.09765625" style="4" customWidth="1"/>
    <col min="774" max="774" width="12.3984375" style="4" customWidth="1"/>
    <col min="775" max="1026" width="9.296875" style="4"/>
    <col min="1027" max="1027" width="13.69921875" style="4" customWidth="1"/>
    <col min="1028" max="1028" width="9.296875" style="4"/>
    <col min="1029" max="1029" width="17.09765625" style="4" customWidth="1"/>
    <col min="1030" max="1030" width="12.3984375" style="4" customWidth="1"/>
    <col min="1031" max="1282" width="9.296875" style="4"/>
    <col min="1283" max="1283" width="13.69921875" style="4" customWidth="1"/>
    <col min="1284" max="1284" width="9.296875" style="4"/>
    <col min="1285" max="1285" width="17.09765625" style="4" customWidth="1"/>
    <col min="1286" max="1286" width="12.3984375" style="4" customWidth="1"/>
    <col min="1287" max="1538" width="9.296875" style="4"/>
    <col min="1539" max="1539" width="13.69921875" style="4" customWidth="1"/>
    <col min="1540" max="1540" width="9.296875" style="4"/>
    <col min="1541" max="1541" width="17.09765625" style="4" customWidth="1"/>
    <col min="1542" max="1542" width="12.3984375" style="4" customWidth="1"/>
    <col min="1543" max="1794" width="9.296875" style="4"/>
    <col min="1795" max="1795" width="13.69921875" style="4" customWidth="1"/>
    <col min="1796" max="1796" width="9.296875" style="4"/>
    <col min="1797" max="1797" width="17.09765625" style="4" customWidth="1"/>
    <col min="1798" max="1798" width="12.3984375" style="4" customWidth="1"/>
    <col min="1799" max="2050" width="9.296875" style="4"/>
    <col min="2051" max="2051" width="13.69921875" style="4" customWidth="1"/>
    <col min="2052" max="2052" width="9.296875" style="4"/>
    <col min="2053" max="2053" width="17.09765625" style="4" customWidth="1"/>
    <col min="2054" max="2054" width="12.3984375" style="4" customWidth="1"/>
    <col min="2055" max="2306" width="9.296875" style="4"/>
    <col min="2307" max="2307" width="13.69921875" style="4" customWidth="1"/>
    <col min="2308" max="2308" width="9.296875" style="4"/>
    <col min="2309" max="2309" width="17.09765625" style="4" customWidth="1"/>
    <col min="2310" max="2310" width="12.3984375" style="4" customWidth="1"/>
    <col min="2311" max="2562" width="9.296875" style="4"/>
    <col min="2563" max="2563" width="13.69921875" style="4" customWidth="1"/>
    <col min="2564" max="2564" width="9.296875" style="4"/>
    <col min="2565" max="2565" width="17.09765625" style="4" customWidth="1"/>
    <col min="2566" max="2566" width="12.3984375" style="4" customWidth="1"/>
    <col min="2567" max="2818" width="9.296875" style="4"/>
    <col min="2819" max="2819" width="13.69921875" style="4" customWidth="1"/>
    <col min="2820" max="2820" width="9.296875" style="4"/>
    <col min="2821" max="2821" width="17.09765625" style="4" customWidth="1"/>
    <col min="2822" max="2822" width="12.3984375" style="4" customWidth="1"/>
    <col min="2823" max="3074" width="9.296875" style="4"/>
    <col min="3075" max="3075" width="13.69921875" style="4" customWidth="1"/>
    <col min="3076" max="3076" width="9.296875" style="4"/>
    <col min="3077" max="3077" width="17.09765625" style="4" customWidth="1"/>
    <col min="3078" max="3078" width="12.3984375" style="4" customWidth="1"/>
    <col min="3079" max="3330" width="9.296875" style="4"/>
    <col min="3331" max="3331" width="13.69921875" style="4" customWidth="1"/>
    <col min="3332" max="3332" width="9.296875" style="4"/>
    <col min="3333" max="3333" width="17.09765625" style="4" customWidth="1"/>
    <col min="3334" max="3334" width="12.3984375" style="4" customWidth="1"/>
    <col min="3335" max="3586" width="9.296875" style="4"/>
    <col min="3587" max="3587" width="13.69921875" style="4" customWidth="1"/>
    <col min="3588" max="3588" width="9.296875" style="4"/>
    <col min="3589" max="3589" width="17.09765625" style="4" customWidth="1"/>
    <col min="3590" max="3590" width="12.3984375" style="4" customWidth="1"/>
    <col min="3591" max="3842" width="9.296875" style="4"/>
    <col min="3843" max="3843" width="13.69921875" style="4" customWidth="1"/>
    <col min="3844" max="3844" width="9.296875" style="4"/>
    <col min="3845" max="3845" width="17.09765625" style="4" customWidth="1"/>
    <col min="3846" max="3846" width="12.3984375" style="4" customWidth="1"/>
    <col min="3847" max="4098" width="9.296875" style="4"/>
    <col min="4099" max="4099" width="13.69921875" style="4" customWidth="1"/>
    <col min="4100" max="4100" width="9.296875" style="4"/>
    <col min="4101" max="4101" width="17.09765625" style="4" customWidth="1"/>
    <col min="4102" max="4102" width="12.3984375" style="4" customWidth="1"/>
    <col min="4103" max="4354" width="9.296875" style="4"/>
    <col min="4355" max="4355" width="13.69921875" style="4" customWidth="1"/>
    <col min="4356" max="4356" width="9.296875" style="4"/>
    <col min="4357" max="4357" width="17.09765625" style="4" customWidth="1"/>
    <col min="4358" max="4358" width="12.3984375" style="4" customWidth="1"/>
    <col min="4359" max="4610" width="9.296875" style="4"/>
    <col min="4611" max="4611" width="13.69921875" style="4" customWidth="1"/>
    <col min="4612" max="4612" width="9.296875" style="4"/>
    <col min="4613" max="4613" width="17.09765625" style="4" customWidth="1"/>
    <col min="4614" max="4614" width="12.3984375" style="4" customWidth="1"/>
    <col min="4615" max="4866" width="9.296875" style="4"/>
    <col min="4867" max="4867" width="13.69921875" style="4" customWidth="1"/>
    <col min="4868" max="4868" width="9.296875" style="4"/>
    <col min="4869" max="4869" width="17.09765625" style="4" customWidth="1"/>
    <col min="4870" max="4870" width="12.3984375" style="4" customWidth="1"/>
    <col min="4871" max="5122" width="9.296875" style="4"/>
    <col min="5123" max="5123" width="13.69921875" style="4" customWidth="1"/>
    <col min="5124" max="5124" width="9.296875" style="4"/>
    <col min="5125" max="5125" width="17.09765625" style="4" customWidth="1"/>
    <col min="5126" max="5126" width="12.3984375" style="4" customWidth="1"/>
    <col min="5127" max="5378" width="9.296875" style="4"/>
    <col min="5379" max="5379" width="13.69921875" style="4" customWidth="1"/>
    <col min="5380" max="5380" width="9.296875" style="4"/>
    <col min="5381" max="5381" width="17.09765625" style="4" customWidth="1"/>
    <col min="5382" max="5382" width="12.3984375" style="4" customWidth="1"/>
    <col min="5383" max="5634" width="9.296875" style="4"/>
    <col min="5635" max="5635" width="13.69921875" style="4" customWidth="1"/>
    <col min="5636" max="5636" width="9.296875" style="4"/>
    <col min="5637" max="5637" width="17.09765625" style="4" customWidth="1"/>
    <col min="5638" max="5638" width="12.3984375" style="4" customWidth="1"/>
    <col min="5639" max="5890" width="9.296875" style="4"/>
    <col min="5891" max="5891" width="13.69921875" style="4" customWidth="1"/>
    <col min="5892" max="5892" width="9.296875" style="4"/>
    <col min="5893" max="5893" width="17.09765625" style="4" customWidth="1"/>
    <col min="5894" max="5894" width="12.3984375" style="4" customWidth="1"/>
    <col min="5895" max="6146" width="9.296875" style="4"/>
    <col min="6147" max="6147" width="13.69921875" style="4" customWidth="1"/>
    <col min="6148" max="6148" width="9.296875" style="4"/>
    <col min="6149" max="6149" width="17.09765625" style="4" customWidth="1"/>
    <col min="6150" max="6150" width="12.3984375" style="4" customWidth="1"/>
    <col min="6151" max="6402" width="9.296875" style="4"/>
    <col min="6403" max="6403" width="13.69921875" style="4" customWidth="1"/>
    <col min="6404" max="6404" width="9.296875" style="4"/>
    <col min="6405" max="6405" width="17.09765625" style="4" customWidth="1"/>
    <col min="6406" max="6406" width="12.3984375" style="4" customWidth="1"/>
    <col min="6407" max="6658" width="9.296875" style="4"/>
    <col min="6659" max="6659" width="13.69921875" style="4" customWidth="1"/>
    <col min="6660" max="6660" width="9.296875" style="4"/>
    <col min="6661" max="6661" width="17.09765625" style="4" customWidth="1"/>
    <col min="6662" max="6662" width="12.3984375" style="4" customWidth="1"/>
    <col min="6663" max="6914" width="9.296875" style="4"/>
    <col min="6915" max="6915" width="13.69921875" style="4" customWidth="1"/>
    <col min="6916" max="6916" width="9.296875" style="4"/>
    <col min="6917" max="6917" width="17.09765625" style="4" customWidth="1"/>
    <col min="6918" max="6918" width="12.3984375" style="4" customWidth="1"/>
    <col min="6919" max="7170" width="9.296875" style="4"/>
    <col min="7171" max="7171" width="13.69921875" style="4" customWidth="1"/>
    <col min="7172" max="7172" width="9.296875" style="4"/>
    <col min="7173" max="7173" width="17.09765625" style="4" customWidth="1"/>
    <col min="7174" max="7174" width="12.3984375" style="4" customWidth="1"/>
    <col min="7175" max="7426" width="9.296875" style="4"/>
    <col min="7427" max="7427" width="13.69921875" style="4" customWidth="1"/>
    <col min="7428" max="7428" width="9.296875" style="4"/>
    <col min="7429" max="7429" width="17.09765625" style="4" customWidth="1"/>
    <col min="7430" max="7430" width="12.3984375" style="4" customWidth="1"/>
    <col min="7431" max="7682" width="9.296875" style="4"/>
    <col min="7683" max="7683" width="13.69921875" style="4" customWidth="1"/>
    <col min="7684" max="7684" width="9.296875" style="4"/>
    <col min="7685" max="7685" width="17.09765625" style="4" customWidth="1"/>
    <col min="7686" max="7686" width="12.3984375" style="4" customWidth="1"/>
    <col min="7687" max="7938" width="9.296875" style="4"/>
    <col min="7939" max="7939" width="13.69921875" style="4" customWidth="1"/>
    <col min="7940" max="7940" width="9.296875" style="4"/>
    <col min="7941" max="7941" width="17.09765625" style="4" customWidth="1"/>
    <col min="7942" max="7942" width="12.3984375" style="4" customWidth="1"/>
    <col min="7943" max="8194" width="9.296875" style="4"/>
    <col min="8195" max="8195" width="13.69921875" style="4" customWidth="1"/>
    <col min="8196" max="8196" width="9.296875" style="4"/>
    <col min="8197" max="8197" width="17.09765625" style="4" customWidth="1"/>
    <col min="8198" max="8198" width="12.3984375" style="4" customWidth="1"/>
    <col min="8199" max="8450" width="9.296875" style="4"/>
    <col min="8451" max="8451" width="13.69921875" style="4" customWidth="1"/>
    <col min="8452" max="8452" width="9.296875" style="4"/>
    <col min="8453" max="8453" width="17.09765625" style="4" customWidth="1"/>
    <col min="8454" max="8454" width="12.3984375" style="4" customWidth="1"/>
    <col min="8455" max="8706" width="9.296875" style="4"/>
    <col min="8707" max="8707" width="13.69921875" style="4" customWidth="1"/>
    <col min="8708" max="8708" width="9.296875" style="4"/>
    <col min="8709" max="8709" width="17.09765625" style="4" customWidth="1"/>
    <col min="8710" max="8710" width="12.3984375" style="4" customWidth="1"/>
    <col min="8711" max="8962" width="9.296875" style="4"/>
    <col min="8963" max="8963" width="13.69921875" style="4" customWidth="1"/>
    <col min="8964" max="8964" width="9.296875" style="4"/>
    <col min="8965" max="8965" width="17.09765625" style="4" customWidth="1"/>
    <col min="8966" max="8966" width="12.3984375" style="4" customWidth="1"/>
    <col min="8967" max="9218" width="9.296875" style="4"/>
    <col min="9219" max="9219" width="13.69921875" style="4" customWidth="1"/>
    <col min="9220" max="9220" width="9.296875" style="4"/>
    <col min="9221" max="9221" width="17.09765625" style="4" customWidth="1"/>
    <col min="9222" max="9222" width="12.3984375" style="4" customWidth="1"/>
    <col min="9223" max="9474" width="9.296875" style="4"/>
    <col min="9475" max="9475" width="13.69921875" style="4" customWidth="1"/>
    <col min="9476" max="9476" width="9.296875" style="4"/>
    <col min="9477" max="9477" width="17.09765625" style="4" customWidth="1"/>
    <col min="9478" max="9478" width="12.3984375" style="4" customWidth="1"/>
    <col min="9479" max="9730" width="9.296875" style="4"/>
    <col min="9731" max="9731" width="13.69921875" style="4" customWidth="1"/>
    <col min="9732" max="9732" width="9.296875" style="4"/>
    <col min="9733" max="9733" width="17.09765625" style="4" customWidth="1"/>
    <col min="9734" max="9734" width="12.3984375" style="4" customWidth="1"/>
    <col min="9735" max="9986" width="9.296875" style="4"/>
    <col min="9987" max="9987" width="13.69921875" style="4" customWidth="1"/>
    <col min="9988" max="9988" width="9.296875" style="4"/>
    <col min="9989" max="9989" width="17.09765625" style="4" customWidth="1"/>
    <col min="9990" max="9990" width="12.3984375" style="4" customWidth="1"/>
    <col min="9991" max="10242" width="9.296875" style="4"/>
    <col min="10243" max="10243" width="13.69921875" style="4" customWidth="1"/>
    <col min="10244" max="10244" width="9.296875" style="4"/>
    <col min="10245" max="10245" width="17.09765625" style="4" customWidth="1"/>
    <col min="10246" max="10246" width="12.3984375" style="4" customWidth="1"/>
    <col min="10247" max="10498" width="9.296875" style="4"/>
    <col min="10499" max="10499" width="13.69921875" style="4" customWidth="1"/>
    <col min="10500" max="10500" width="9.296875" style="4"/>
    <col min="10501" max="10501" width="17.09765625" style="4" customWidth="1"/>
    <col min="10502" max="10502" width="12.3984375" style="4" customWidth="1"/>
    <col min="10503" max="10754" width="9.296875" style="4"/>
    <col min="10755" max="10755" width="13.69921875" style="4" customWidth="1"/>
    <col min="10756" max="10756" width="9.296875" style="4"/>
    <col min="10757" max="10757" width="17.09765625" style="4" customWidth="1"/>
    <col min="10758" max="10758" width="12.3984375" style="4" customWidth="1"/>
    <col min="10759" max="11010" width="9.296875" style="4"/>
    <col min="11011" max="11011" width="13.69921875" style="4" customWidth="1"/>
    <col min="11012" max="11012" width="9.296875" style="4"/>
    <col min="11013" max="11013" width="17.09765625" style="4" customWidth="1"/>
    <col min="11014" max="11014" width="12.3984375" style="4" customWidth="1"/>
    <col min="11015" max="11266" width="9.296875" style="4"/>
    <col min="11267" max="11267" width="13.69921875" style="4" customWidth="1"/>
    <col min="11268" max="11268" width="9.296875" style="4"/>
    <col min="11269" max="11269" width="17.09765625" style="4" customWidth="1"/>
    <col min="11270" max="11270" width="12.3984375" style="4" customWidth="1"/>
    <col min="11271" max="11522" width="9.296875" style="4"/>
    <col min="11523" max="11523" width="13.69921875" style="4" customWidth="1"/>
    <col min="11524" max="11524" width="9.296875" style="4"/>
    <col min="11525" max="11525" width="17.09765625" style="4" customWidth="1"/>
    <col min="11526" max="11526" width="12.3984375" style="4" customWidth="1"/>
    <col min="11527" max="11778" width="9.296875" style="4"/>
    <col min="11779" max="11779" width="13.69921875" style="4" customWidth="1"/>
    <col min="11780" max="11780" width="9.296875" style="4"/>
    <col min="11781" max="11781" width="17.09765625" style="4" customWidth="1"/>
    <col min="11782" max="11782" width="12.3984375" style="4" customWidth="1"/>
    <col min="11783" max="12034" width="9.296875" style="4"/>
    <col min="12035" max="12035" width="13.69921875" style="4" customWidth="1"/>
    <col min="12036" max="12036" width="9.296875" style="4"/>
    <col min="12037" max="12037" width="17.09765625" style="4" customWidth="1"/>
    <col min="12038" max="12038" width="12.3984375" style="4" customWidth="1"/>
    <col min="12039" max="12290" width="9.296875" style="4"/>
    <col min="12291" max="12291" width="13.69921875" style="4" customWidth="1"/>
    <col min="12292" max="12292" width="9.296875" style="4"/>
    <col min="12293" max="12293" width="17.09765625" style="4" customWidth="1"/>
    <col min="12294" max="12294" width="12.3984375" style="4" customWidth="1"/>
    <col min="12295" max="12546" width="9.296875" style="4"/>
    <col min="12547" max="12547" width="13.69921875" style="4" customWidth="1"/>
    <col min="12548" max="12548" width="9.296875" style="4"/>
    <col min="12549" max="12549" width="17.09765625" style="4" customWidth="1"/>
    <col min="12550" max="12550" width="12.3984375" style="4" customWidth="1"/>
    <col min="12551" max="12802" width="9.296875" style="4"/>
    <col min="12803" max="12803" width="13.69921875" style="4" customWidth="1"/>
    <col min="12804" max="12804" width="9.296875" style="4"/>
    <col min="12805" max="12805" width="17.09765625" style="4" customWidth="1"/>
    <col min="12806" max="12806" width="12.3984375" style="4" customWidth="1"/>
    <col min="12807" max="13058" width="9.296875" style="4"/>
    <col min="13059" max="13059" width="13.69921875" style="4" customWidth="1"/>
    <col min="13060" max="13060" width="9.296875" style="4"/>
    <col min="13061" max="13061" width="17.09765625" style="4" customWidth="1"/>
    <col min="13062" max="13062" width="12.3984375" style="4" customWidth="1"/>
    <col min="13063" max="13314" width="9.296875" style="4"/>
    <col min="13315" max="13315" width="13.69921875" style="4" customWidth="1"/>
    <col min="13316" max="13316" width="9.296875" style="4"/>
    <col min="13317" max="13317" width="17.09765625" style="4" customWidth="1"/>
    <col min="13318" max="13318" width="12.3984375" style="4" customWidth="1"/>
    <col min="13319" max="13570" width="9.296875" style="4"/>
    <col min="13571" max="13571" width="13.69921875" style="4" customWidth="1"/>
    <col min="13572" max="13572" width="9.296875" style="4"/>
    <col min="13573" max="13573" width="17.09765625" style="4" customWidth="1"/>
    <col min="13574" max="13574" width="12.3984375" style="4" customWidth="1"/>
    <col min="13575" max="13826" width="9.296875" style="4"/>
    <col min="13827" max="13827" width="13.69921875" style="4" customWidth="1"/>
    <col min="13828" max="13828" width="9.296875" style="4"/>
    <col min="13829" max="13829" width="17.09765625" style="4" customWidth="1"/>
    <col min="13830" max="13830" width="12.3984375" style="4" customWidth="1"/>
    <col min="13831" max="14082" width="9.296875" style="4"/>
    <col min="14083" max="14083" width="13.69921875" style="4" customWidth="1"/>
    <col min="14084" max="14084" width="9.296875" style="4"/>
    <col min="14085" max="14085" width="17.09765625" style="4" customWidth="1"/>
    <col min="14086" max="14086" width="12.3984375" style="4" customWidth="1"/>
    <col min="14087" max="14338" width="9.296875" style="4"/>
    <col min="14339" max="14339" width="13.69921875" style="4" customWidth="1"/>
    <col min="14340" max="14340" width="9.296875" style="4"/>
    <col min="14341" max="14341" width="17.09765625" style="4" customWidth="1"/>
    <col min="14342" max="14342" width="12.3984375" style="4" customWidth="1"/>
    <col min="14343" max="14594" width="9.296875" style="4"/>
    <col min="14595" max="14595" width="13.69921875" style="4" customWidth="1"/>
    <col min="14596" max="14596" width="9.296875" style="4"/>
    <col min="14597" max="14597" width="17.09765625" style="4" customWidth="1"/>
    <col min="14598" max="14598" width="12.3984375" style="4" customWidth="1"/>
    <col min="14599" max="14850" width="9.296875" style="4"/>
    <col min="14851" max="14851" width="13.69921875" style="4" customWidth="1"/>
    <col min="14852" max="14852" width="9.296875" style="4"/>
    <col min="14853" max="14853" width="17.09765625" style="4" customWidth="1"/>
    <col min="14854" max="14854" width="12.3984375" style="4" customWidth="1"/>
    <col min="14855" max="15106" width="9.296875" style="4"/>
    <col min="15107" max="15107" width="13.69921875" style="4" customWidth="1"/>
    <col min="15108" max="15108" width="9.296875" style="4"/>
    <col min="15109" max="15109" width="17.09765625" style="4" customWidth="1"/>
    <col min="15110" max="15110" width="12.3984375" style="4" customWidth="1"/>
    <col min="15111" max="15362" width="9.296875" style="4"/>
    <col min="15363" max="15363" width="13.69921875" style="4" customWidth="1"/>
    <col min="15364" max="15364" width="9.296875" style="4"/>
    <col min="15365" max="15365" width="17.09765625" style="4" customWidth="1"/>
    <col min="15366" max="15366" width="12.3984375" style="4" customWidth="1"/>
    <col min="15367" max="15618" width="9.296875" style="4"/>
    <col min="15619" max="15619" width="13.69921875" style="4" customWidth="1"/>
    <col min="15620" max="15620" width="9.296875" style="4"/>
    <col min="15621" max="15621" width="17.09765625" style="4" customWidth="1"/>
    <col min="15622" max="15622" width="12.3984375" style="4" customWidth="1"/>
    <col min="15623" max="15874" width="9.296875" style="4"/>
    <col min="15875" max="15875" width="13.69921875" style="4" customWidth="1"/>
    <col min="15876" max="15876" width="9.296875" style="4"/>
    <col min="15877" max="15877" width="17.09765625" style="4" customWidth="1"/>
    <col min="15878" max="15878" width="12.3984375" style="4" customWidth="1"/>
    <col min="15879" max="16130" width="9.296875" style="4"/>
    <col min="16131" max="16131" width="13.69921875" style="4" customWidth="1"/>
    <col min="16132" max="16132" width="9.296875" style="4"/>
    <col min="16133" max="16133" width="17.09765625" style="4" customWidth="1"/>
    <col min="16134" max="16134" width="12.3984375" style="4" customWidth="1"/>
    <col min="16135" max="16384" width="9.296875" style="4"/>
  </cols>
  <sheetData>
    <row r="2" spans="1:13" x14ac:dyDescent="0.3">
      <c r="A2" s="3" t="s">
        <v>76</v>
      </c>
      <c r="B2" s="3" t="s">
        <v>77</v>
      </c>
      <c r="C2" s="3" t="s">
        <v>78</v>
      </c>
      <c r="D2" s="211" t="s">
        <v>79</v>
      </c>
      <c r="E2" s="211"/>
    </row>
    <row r="3" spans="1:13" x14ac:dyDescent="0.3">
      <c r="A3" s="5">
        <v>2</v>
      </c>
      <c r="B3" s="5">
        <v>4</v>
      </c>
      <c r="C3" s="5">
        <v>1</v>
      </c>
      <c r="D3" s="212">
        <v>50</v>
      </c>
      <c r="E3" s="212"/>
      <c r="F3" s="4" t="s">
        <v>123</v>
      </c>
    </row>
    <row r="5" spans="1:13" x14ac:dyDescent="0.3">
      <c r="A5" s="4" t="s">
        <v>80</v>
      </c>
      <c r="B5" s="6" t="s">
        <v>81</v>
      </c>
      <c r="C5" s="6">
        <f>D3</f>
        <v>50</v>
      </c>
      <c r="D5" s="7"/>
    </row>
    <row r="6" spans="1:13" x14ac:dyDescent="0.3">
      <c r="A6" s="4" t="s">
        <v>82</v>
      </c>
      <c r="B6" s="8">
        <v>10</v>
      </c>
      <c r="C6" s="9">
        <v>10</v>
      </c>
      <c r="D6" s="10">
        <f>((100/B6)*C6)/100</f>
        <v>1</v>
      </c>
    </row>
    <row r="7" spans="1:13" x14ac:dyDescent="0.3">
      <c r="A7" s="4" t="s">
        <v>83</v>
      </c>
      <c r="B7" s="8">
        <f>A3+B3+C3+D3</f>
        <v>57</v>
      </c>
      <c r="C7" s="9">
        <f>A3+B3+C3+46</f>
        <v>53</v>
      </c>
      <c r="D7" s="10">
        <f t="shared" ref="D7:D12" si="0">((100/B7)*C7)/100</f>
        <v>0.92982456140350878</v>
      </c>
      <c r="F7" s="213" t="s">
        <v>84</v>
      </c>
      <c r="G7" s="213"/>
      <c r="H7" s="11" t="s">
        <v>85</v>
      </c>
      <c r="J7" s="12"/>
    </row>
    <row r="8" spans="1:13" x14ac:dyDescent="0.3">
      <c r="A8" s="4" t="s">
        <v>86</v>
      </c>
      <c r="B8" s="8">
        <f>C5</f>
        <v>50</v>
      </c>
      <c r="C8" s="9">
        <v>45</v>
      </c>
      <c r="D8" s="10">
        <f t="shared" si="0"/>
        <v>0.9</v>
      </c>
      <c r="F8" s="210" t="s">
        <v>87</v>
      </c>
      <c r="G8" s="210"/>
      <c r="H8" s="8" t="s">
        <v>88</v>
      </c>
    </row>
    <row r="9" spans="1:13" x14ac:dyDescent="0.3">
      <c r="A9" s="4" t="s">
        <v>89</v>
      </c>
      <c r="B9" s="8">
        <f>C5</f>
        <v>50</v>
      </c>
      <c r="C9" s="9">
        <f>C8/2</f>
        <v>22.5</v>
      </c>
      <c r="D9" s="10">
        <f t="shared" si="0"/>
        <v>0.45</v>
      </c>
      <c r="F9" s="210" t="s">
        <v>90</v>
      </c>
      <c r="G9" s="210"/>
      <c r="H9" s="8" t="s">
        <v>91</v>
      </c>
    </row>
    <row r="10" spans="1:13" x14ac:dyDescent="0.3">
      <c r="A10" s="4" t="s">
        <v>92</v>
      </c>
      <c r="B10" s="8">
        <f>C5</f>
        <v>50</v>
      </c>
      <c r="C10" s="9">
        <v>0</v>
      </c>
      <c r="D10" s="10">
        <f t="shared" si="0"/>
        <v>0</v>
      </c>
      <c r="F10" s="210" t="s">
        <v>93</v>
      </c>
      <c r="G10" s="210"/>
      <c r="H10" s="8" t="s">
        <v>94</v>
      </c>
    </row>
    <row r="11" spans="1:13" x14ac:dyDescent="0.3">
      <c r="A11" s="13" t="s">
        <v>95</v>
      </c>
      <c r="B11" s="8">
        <f>C5</f>
        <v>50</v>
      </c>
      <c r="C11" s="9">
        <v>0</v>
      </c>
      <c r="D11" s="10">
        <f t="shared" si="0"/>
        <v>0</v>
      </c>
      <c r="F11" s="210" t="s">
        <v>96</v>
      </c>
      <c r="G11" s="210"/>
      <c r="H11" s="8" t="s">
        <v>97</v>
      </c>
    </row>
    <row r="12" spans="1:13" x14ac:dyDescent="0.3">
      <c r="A12" s="4" t="s">
        <v>98</v>
      </c>
      <c r="B12" s="8">
        <f>C5</f>
        <v>50</v>
      </c>
      <c r="C12" s="9">
        <v>0</v>
      </c>
      <c r="D12" s="10">
        <f t="shared" si="0"/>
        <v>0</v>
      </c>
      <c r="F12" s="210" t="s">
        <v>99</v>
      </c>
      <c r="G12" s="210"/>
      <c r="H12" s="8" t="s">
        <v>100</v>
      </c>
    </row>
    <row r="13" spans="1:13" x14ac:dyDescent="0.3">
      <c r="F13" s="210" t="s">
        <v>101</v>
      </c>
      <c r="G13" s="210"/>
      <c r="H13" s="8" t="s">
        <v>102</v>
      </c>
    </row>
    <row r="14" spans="1:13" hidden="1" x14ac:dyDescent="0.3">
      <c r="A14" s="3"/>
      <c r="B14" s="3" t="s">
        <v>103</v>
      </c>
      <c r="C14" s="3" t="s">
        <v>104</v>
      </c>
      <c r="G14" s="3" t="s">
        <v>82</v>
      </c>
      <c r="H14" s="3" t="s">
        <v>105</v>
      </c>
      <c r="I14" s="3" t="s">
        <v>106</v>
      </c>
      <c r="J14" s="3" t="s">
        <v>107</v>
      </c>
      <c r="K14" s="3" t="s">
        <v>92</v>
      </c>
      <c r="L14" s="3" t="s">
        <v>95</v>
      </c>
      <c r="M14" s="3" t="s">
        <v>98</v>
      </c>
    </row>
    <row r="15" spans="1:13" hidden="1" x14ac:dyDescent="0.3">
      <c r="A15" s="3" t="s">
        <v>108</v>
      </c>
      <c r="B15" s="3">
        <f>G15</f>
        <v>10</v>
      </c>
      <c r="C15" s="3">
        <f>G16</f>
        <v>30</v>
      </c>
      <c r="E15" s="211" t="s">
        <v>103</v>
      </c>
      <c r="F15" s="211"/>
      <c r="G15" s="14">
        <f>C6</f>
        <v>10</v>
      </c>
      <c r="H15" s="14">
        <f>40/B7*C7</f>
        <v>37.192982456140349</v>
      </c>
      <c r="I15" s="14">
        <f>15/B8*C8</f>
        <v>13.5</v>
      </c>
      <c r="J15" s="14">
        <f>10/B9*C9</f>
        <v>4.5</v>
      </c>
      <c r="K15" s="14">
        <f>10/B10*C10</f>
        <v>0</v>
      </c>
      <c r="L15" s="14">
        <f>5/B11*C11</f>
        <v>0</v>
      </c>
      <c r="M15" s="14">
        <f>5/B12*C12</f>
        <v>0</v>
      </c>
    </row>
    <row r="16" spans="1:13" hidden="1" x14ac:dyDescent="0.3">
      <c r="A16" s="3" t="s">
        <v>109</v>
      </c>
      <c r="B16" s="3">
        <f>H15</f>
        <v>37.192982456140349</v>
      </c>
      <c r="C16" s="3">
        <f>H16</f>
        <v>27.89473684210526</v>
      </c>
      <c r="E16" s="211" t="s">
        <v>110</v>
      </c>
      <c r="F16" s="211"/>
      <c r="G16" s="3">
        <f>G15+20</f>
        <v>30</v>
      </c>
      <c r="H16" s="3">
        <f>30/B7*C7</f>
        <v>27.89473684210526</v>
      </c>
      <c r="I16" s="3">
        <f>15/B8*C8</f>
        <v>13.5</v>
      </c>
      <c r="J16" s="3">
        <f>10/B9*C9</f>
        <v>4.5</v>
      </c>
      <c r="K16" s="3">
        <f>5/B10*C10</f>
        <v>0</v>
      </c>
      <c r="L16" s="3">
        <f>5/B11*C11</f>
        <v>0</v>
      </c>
      <c r="M16" s="3">
        <f>5/B12*C12</f>
        <v>0</v>
      </c>
    </row>
    <row r="17" spans="1:8" hidden="1" x14ac:dyDescent="0.3">
      <c r="A17" s="3" t="s">
        <v>106</v>
      </c>
      <c r="B17" s="3">
        <f>I15</f>
        <v>13.5</v>
      </c>
      <c r="C17" s="3">
        <f>I16</f>
        <v>13.5</v>
      </c>
    </row>
    <row r="18" spans="1:8" hidden="1" x14ac:dyDescent="0.3">
      <c r="A18" s="3" t="s">
        <v>107</v>
      </c>
      <c r="B18" s="3">
        <f>J15</f>
        <v>4.5</v>
      </c>
      <c r="C18" s="3">
        <f>J16</f>
        <v>4.5</v>
      </c>
    </row>
    <row r="19" spans="1:8" hidden="1" x14ac:dyDescent="0.3">
      <c r="A19" s="3" t="s">
        <v>92</v>
      </c>
      <c r="B19" s="3">
        <f>K15</f>
        <v>0</v>
      </c>
      <c r="C19" s="3">
        <f>K16</f>
        <v>0</v>
      </c>
    </row>
    <row r="20" spans="1:8" hidden="1" x14ac:dyDescent="0.3">
      <c r="A20" s="15" t="s">
        <v>95</v>
      </c>
      <c r="B20" s="3">
        <f>L15</f>
        <v>0</v>
      </c>
      <c r="C20" s="3">
        <f>L16</f>
        <v>0</v>
      </c>
    </row>
    <row r="21" spans="1:8" hidden="1" x14ac:dyDescent="0.3">
      <c r="A21" s="3" t="s">
        <v>98</v>
      </c>
      <c r="B21" s="3">
        <f>M15</f>
        <v>0</v>
      </c>
      <c r="C21" s="3">
        <f>M16</f>
        <v>0</v>
      </c>
    </row>
    <row r="22" spans="1:8" x14ac:dyDescent="0.3">
      <c r="A22" s="3" t="s">
        <v>111</v>
      </c>
      <c r="B22" s="16">
        <f>(B15+B16+B17+B18+B19+B20+B21)/100</f>
        <v>0.65192982456140358</v>
      </c>
      <c r="C22" s="16">
        <f>(C15+C16+C17+C18+C19+C20+C21)/100</f>
        <v>0.75894736842105259</v>
      </c>
      <c r="F22" s="210" t="s">
        <v>112</v>
      </c>
      <c r="G22" s="210"/>
      <c r="H22" s="8" t="s">
        <v>91</v>
      </c>
    </row>
    <row r="23" spans="1:8" x14ac:dyDescent="0.3">
      <c r="F23" s="210" t="s">
        <v>113</v>
      </c>
      <c r="G23" s="210"/>
      <c r="H23" s="8" t="s">
        <v>114</v>
      </c>
    </row>
    <row r="24" spans="1:8" x14ac:dyDescent="0.3">
      <c r="A24" s="4" t="s">
        <v>115</v>
      </c>
      <c r="B24" s="17">
        <v>0.01</v>
      </c>
      <c r="C24" s="17">
        <v>0.02</v>
      </c>
      <c r="F24" s="210" t="s">
        <v>116</v>
      </c>
      <c r="G24" s="210"/>
      <c r="H24" s="8" t="s">
        <v>117</v>
      </c>
    </row>
    <row r="25" spans="1:8" x14ac:dyDescent="0.3">
      <c r="A25" s="4" t="s">
        <v>118</v>
      </c>
      <c r="B25" s="17">
        <v>0.01</v>
      </c>
      <c r="C25" s="17">
        <v>0.03</v>
      </c>
    </row>
    <row r="26" spans="1:8" x14ac:dyDescent="0.3">
      <c r="A26" s="4" t="s">
        <v>119</v>
      </c>
      <c r="B26" s="17">
        <v>0.03</v>
      </c>
      <c r="C26" s="17">
        <v>0.08</v>
      </c>
    </row>
    <row r="27" spans="1:8" x14ac:dyDescent="0.3">
      <c r="A27" s="4" t="s">
        <v>120</v>
      </c>
      <c r="B27" s="17">
        <v>0.05</v>
      </c>
      <c r="C27" s="17">
        <v>0.15</v>
      </c>
    </row>
    <row r="28" spans="1:8" x14ac:dyDescent="0.3">
      <c r="A28" s="4" t="s">
        <v>121</v>
      </c>
      <c r="B28" s="17">
        <v>7.0000000000000007E-2</v>
      </c>
      <c r="C28" s="17">
        <v>0.2</v>
      </c>
    </row>
    <row r="29" spans="1:8" x14ac:dyDescent="0.3">
      <c r="A29" s="4" t="s">
        <v>122</v>
      </c>
      <c r="B29" s="17">
        <v>0.1</v>
      </c>
      <c r="C29" s="17">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E27" sqref="E27"/>
    </sheetView>
  </sheetViews>
  <sheetFormatPr defaultRowHeight="14" x14ac:dyDescent="0.3"/>
  <cols>
    <col min="1" max="1" width="24" style="4" customWidth="1"/>
    <col min="2" max="2" width="13.69921875" style="4" customWidth="1"/>
    <col min="3" max="4" width="9.296875" style="4"/>
    <col min="5" max="5" width="11.796875" style="4" customWidth="1"/>
    <col min="6" max="6" width="12.3984375" style="4" customWidth="1"/>
    <col min="7" max="7" width="9.296875" style="4"/>
    <col min="8" max="8" width="12.09765625" style="4" customWidth="1"/>
    <col min="9" max="9" width="18" style="4" customWidth="1"/>
    <col min="10" max="258" width="9.296875" style="4"/>
    <col min="259" max="259" width="13.69921875" style="4" customWidth="1"/>
    <col min="260" max="260" width="9.296875" style="4"/>
    <col min="261" max="261" width="17.09765625" style="4" customWidth="1"/>
    <col min="262" max="262" width="12.3984375" style="4" customWidth="1"/>
    <col min="263" max="514" width="9.296875" style="4"/>
    <col min="515" max="515" width="13.69921875" style="4" customWidth="1"/>
    <col min="516" max="516" width="9.296875" style="4"/>
    <col min="517" max="517" width="17.09765625" style="4" customWidth="1"/>
    <col min="518" max="518" width="12.3984375" style="4" customWidth="1"/>
    <col min="519" max="770" width="9.296875" style="4"/>
    <col min="771" max="771" width="13.69921875" style="4" customWidth="1"/>
    <col min="772" max="772" width="9.296875" style="4"/>
    <col min="773" max="773" width="17.09765625" style="4" customWidth="1"/>
    <col min="774" max="774" width="12.3984375" style="4" customWidth="1"/>
    <col min="775" max="1026" width="9.296875" style="4"/>
    <col min="1027" max="1027" width="13.69921875" style="4" customWidth="1"/>
    <col min="1028" max="1028" width="9.296875" style="4"/>
    <col min="1029" max="1029" width="17.09765625" style="4" customWidth="1"/>
    <col min="1030" max="1030" width="12.3984375" style="4" customWidth="1"/>
    <col min="1031" max="1282" width="9.296875" style="4"/>
    <col min="1283" max="1283" width="13.69921875" style="4" customWidth="1"/>
    <col min="1284" max="1284" width="9.296875" style="4"/>
    <col min="1285" max="1285" width="17.09765625" style="4" customWidth="1"/>
    <col min="1286" max="1286" width="12.3984375" style="4" customWidth="1"/>
    <col min="1287" max="1538" width="9.296875" style="4"/>
    <col min="1539" max="1539" width="13.69921875" style="4" customWidth="1"/>
    <col min="1540" max="1540" width="9.296875" style="4"/>
    <col min="1541" max="1541" width="17.09765625" style="4" customWidth="1"/>
    <col min="1542" max="1542" width="12.3984375" style="4" customWidth="1"/>
    <col min="1543" max="1794" width="9.296875" style="4"/>
    <col min="1795" max="1795" width="13.69921875" style="4" customWidth="1"/>
    <col min="1796" max="1796" width="9.296875" style="4"/>
    <col min="1797" max="1797" width="17.09765625" style="4" customWidth="1"/>
    <col min="1798" max="1798" width="12.3984375" style="4" customWidth="1"/>
    <col min="1799" max="2050" width="9.296875" style="4"/>
    <col min="2051" max="2051" width="13.69921875" style="4" customWidth="1"/>
    <col min="2052" max="2052" width="9.296875" style="4"/>
    <col min="2053" max="2053" width="17.09765625" style="4" customWidth="1"/>
    <col min="2054" max="2054" width="12.3984375" style="4" customWidth="1"/>
    <col min="2055" max="2306" width="9.296875" style="4"/>
    <col min="2307" max="2307" width="13.69921875" style="4" customWidth="1"/>
    <col min="2308" max="2308" width="9.296875" style="4"/>
    <col min="2309" max="2309" width="17.09765625" style="4" customWidth="1"/>
    <col min="2310" max="2310" width="12.3984375" style="4" customWidth="1"/>
    <col min="2311" max="2562" width="9.296875" style="4"/>
    <col min="2563" max="2563" width="13.69921875" style="4" customWidth="1"/>
    <col min="2564" max="2564" width="9.296875" style="4"/>
    <col min="2565" max="2565" width="17.09765625" style="4" customWidth="1"/>
    <col min="2566" max="2566" width="12.3984375" style="4" customWidth="1"/>
    <col min="2567" max="2818" width="9.296875" style="4"/>
    <col min="2819" max="2819" width="13.69921875" style="4" customWidth="1"/>
    <col min="2820" max="2820" width="9.296875" style="4"/>
    <col min="2821" max="2821" width="17.09765625" style="4" customWidth="1"/>
    <col min="2822" max="2822" width="12.3984375" style="4" customWidth="1"/>
    <col min="2823" max="3074" width="9.296875" style="4"/>
    <col min="3075" max="3075" width="13.69921875" style="4" customWidth="1"/>
    <col min="3076" max="3076" width="9.296875" style="4"/>
    <col min="3077" max="3077" width="17.09765625" style="4" customWidth="1"/>
    <col min="3078" max="3078" width="12.3984375" style="4" customWidth="1"/>
    <col min="3079" max="3330" width="9.296875" style="4"/>
    <col min="3331" max="3331" width="13.69921875" style="4" customWidth="1"/>
    <col min="3332" max="3332" width="9.296875" style="4"/>
    <col min="3333" max="3333" width="17.09765625" style="4" customWidth="1"/>
    <col min="3334" max="3334" width="12.3984375" style="4" customWidth="1"/>
    <col min="3335" max="3586" width="9.296875" style="4"/>
    <col min="3587" max="3587" width="13.69921875" style="4" customWidth="1"/>
    <col min="3588" max="3588" width="9.296875" style="4"/>
    <col min="3589" max="3589" width="17.09765625" style="4" customWidth="1"/>
    <col min="3590" max="3590" width="12.3984375" style="4" customWidth="1"/>
    <col min="3591" max="3842" width="9.296875" style="4"/>
    <col min="3843" max="3843" width="13.69921875" style="4" customWidth="1"/>
    <col min="3844" max="3844" width="9.296875" style="4"/>
    <col min="3845" max="3845" width="17.09765625" style="4" customWidth="1"/>
    <col min="3846" max="3846" width="12.3984375" style="4" customWidth="1"/>
    <col min="3847" max="4098" width="9.296875" style="4"/>
    <col min="4099" max="4099" width="13.69921875" style="4" customWidth="1"/>
    <col min="4100" max="4100" width="9.296875" style="4"/>
    <col min="4101" max="4101" width="17.09765625" style="4" customWidth="1"/>
    <col min="4102" max="4102" width="12.3984375" style="4" customWidth="1"/>
    <col min="4103" max="4354" width="9.296875" style="4"/>
    <col min="4355" max="4355" width="13.69921875" style="4" customWidth="1"/>
    <col min="4356" max="4356" width="9.296875" style="4"/>
    <col min="4357" max="4357" width="17.09765625" style="4" customWidth="1"/>
    <col min="4358" max="4358" width="12.3984375" style="4" customWidth="1"/>
    <col min="4359" max="4610" width="9.296875" style="4"/>
    <col min="4611" max="4611" width="13.69921875" style="4" customWidth="1"/>
    <col min="4612" max="4612" width="9.296875" style="4"/>
    <col min="4613" max="4613" width="17.09765625" style="4" customWidth="1"/>
    <col min="4614" max="4614" width="12.3984375" style="4" customWidth="1"/>
    <col min="4615" max="4866" width="9.296875" style="4"/>
    <col min="4867" max="4867" width="13.69921875" style="4" customWidth="1"/>
    <col min="4868" max="4868" width="9.296875" style="4"/>
    <col min="4869" max="4869" width="17.09765625" style="4" customWidth="1"/>
    <col min="4870" max="4870" width="12.3984375" style="4" customWidth="1"/>
    <col min="4871" max="5122" width="9.296875" style="4"/>
    <col min="5123" max="5123" width="13.69921875" style="4" customWidth="1"/>
    <col min="5124" max="5124" width="9.296875" style="4"/>
    <col min="5125" max="5125" width="17.09765625" style="4" customWidth="1"/>
    <col min="5126" max="5126" width="12.3984375" style="4" customWidth="1"/>
    <col min="5127" max="5378" width="9.296875" style="4"/>
    <col min="5379" max="5379" width="13.69921875" style="4" customWidth="1"/>
    <col min="5380" max="5380" width="9.296875" style="4"/>
    <col min="5381" max="5381" width="17.09765625" style="4" customWidth="1"/>
    <col min="5382" max="5382" width="12.3984375" style="4" customWidth="1"/>
    <col min="5383" max="5634" width="9.296875" style="4"/>
    <col min="5635" max="5635" width="13.69921875" style="4" customWidth="1"/>
    <col min="5636" max="5636" width="9.296875" style="4"/>
    <col min="5637" max="5637" width="17.09765625" style="4" customWidth="1"/>
    <col min="5638" max="5638" width="12.3984375" style="4" customWidth="1"/>
    <col min="5639" max="5890" width="9.296875" style="4"/>
    <col min="5891" max="5891" width="13.69921875" style="4" customWidth="1"/>
    <col min="5892" max="5892" width="9.296875" style="4"/>
    <col min="5893" max="5893" width="17.09765625" style="4" customWidth="1"/>
    <col min="5894" max="5894" width="12.3984375" style="4" customWidth="1"/>
    <col min="5895" max="6146" width="9.296875" style="4"/>
    <col min="6147" max="6147" width="13.69921875" style="4" customWidth="1"/>
    <col min="6148" max="6148" width="9.296875" style="4"/>
    <col min="6149" max="6149" width="17.09765625" style="4" customWidth="1"/>
    <col min="6150" max="6150" width="12.3984375" style="4" customWidth="1"/>
    <col min="6151" max="6402" width="9.296875" style="4"/>
    <col min="6403" max="6403" width="13.69921875" style="4" customWidth="1"/>
    <col min="6404" max="6404" width="9.296875" style="4"/>
    <col min="6405" max="6405" width="17.09765625" style="4" customWidth="1"/>
    <col min="6406" max="6406" width="12.3984375" style="4" customWidth="1"/>
    <col min="6407" max="6658" width="9.296875" style="4"/>
    <col min="6659" max="6659" width="13.69921875" style="4" customWidth="1"/>
    <col min="6660" max="6660" width="9.296875" style="4"/>
    <col min="6661" max="6661" width="17.09765625" style="4" customWidth="1"/>
    <col min="6662" max="6662" width="12.3984375" style="4" customWidth="1"/>
    <col min="6663" max="6914" width="9.296875" style="4"/>
    <col min="6915" max="6915" width="13.69921875" style="4" customWidth="1"/>
    <col min="6916" max="6916" width="9.296875" style="4"/>
    <col min="6917" max="6917" width="17.09765625" style="4" customWidth="1"/>
    <col min="6918" max="6918" width="12.3984375" style="4" customWidth="1"/>
    <col min="6919" max="7170" width="9.296875" style="4"/>
    <col min="7171" max="7171" width="13.69921875" style="4" customWidth="1"/>
    <col min="7172" max="7172" width="9.296875" style="4"/>
    <col min="7173" max="7173" width="17.09765625" style="4" customWidth="1"/>
    <col min="7174" max="7174" width="12.3984375" style="4" customWidth="1"/>
    <col min="7175" max="7426" width="9.296875" style="4"/>
    <col min="7427" max="7427" width="13.69921875" style="4" customWidth="1"/>
    <col min="7428" max="7428" width="9.296875" style="4"/>
    <col min="7429" max="7429" width="17.09765625" style="4" customWidth="1"/>
    <col min="7430" max="7430" width="12.3984375" style="4" customWidth="1"/>
    <col min="7431" max="7682" width="9.296875" style="4"/>
    <col min="7683" max="7683" width="13.69921875" style="4" customWidth="1"/>
    <col min="7684" max="7684" width="9.296875" style="4"/>
    <col min="7685" max="7685" width="17.09765625" style="4" customWidth="1"/>
    <col min="7686" max="7686" width="12.3984375" style="4" customWidth="1"/>
    <col min="7687" max="7938" width="9.296875" style="4"/>
    <col min="7939" max="7939" width="13.69921875" style="4" customWidth="1"/>
    <col min="7940" max="7940" width="9.296875" style="4"/>
    <col min="7941" max="7941" width="17.09765625" style="4" customWidth="1"/>
    <col min="7942" max="7942" width="12.3984375" style="4" customWidth="1"/>
    <col min="7943" max="8194" width="9.296875" style="4"/>
    <col min="8195" max="8195" width="13.69921875" style="4" customWidth="1"/>
    <col min="8196" max="8196" width="9.296875" style="4"/>
    <col min="8197" max="8197" width="17.09765625" style="4" customWidth="1"/>
    <col min="8198" max="8198" width="12.3984375" style="4" customWidth="1"/>
    <col min="8199" max="8450" width="9.296875" style="4"/>
    <col min="8451" max="8451" width="13.69921875" style="4" customWidth="1"/>
    <col min="8452" max="8452" width="9.296875" style="4"/>
    <col min="8453" max="8453" width="17.09765625" style="4" customWidth="1"/>
    <col min="8454" max="8454" width="12.3984375" style="4" customWidth="1"/>
    <col min="8455" max="8706" width="9.296875" style="4"/>
    <col min="8707" max="8707" width="13.69921875" style="4" customWidth="1"/>
    <col min="8708" max="8708" width="9.296875" style="4"/>
    <col min="8709" max="8709" width="17.09765625" style="4" customWidth="1"/>
    <col min="8710" max="8710" width="12.3984375" style="4" customWidth="1"/>
    <col min="8711" max="8962" width="9.296875" style="4"/>
    <col min="8963" max="8963" width="13.69921875" style="4" customWidth="1"/>
    <col min="8964" max="8964" width="9.296875" style="4"/>
    <col min="8965" max="8965" width="17.09765625" style="4" customWidth="1"/>
    <col min="8966" max="8966" width="12.3984375" style="4" customWidth="1"/>
    <col min="8967" max="9218" width="9.296875" style="4"/>
    <col min="9219" max="9219" width="13.69921875" style="4" customWidth="1"/>
    <col min="9220" max="9220" width="9.296875" style="4"/>
    <col min="9221" max="9221" width="17.09765625" style="4" customWidth="1"/>
    <col min="9222" max="9222" width="12.3984375" style="4" customWidth="1"/>
    <col min="9223" max="9474" width="9.296875" style="4"/>
    <col min="9475" max="9475" width="13.69921875" style="4" customWidth="1"/>
    <col min="9476" max="9476" width="9.296875" style="4"/>
    <col min="9477" max="9477" width="17.09765625" style="4" customWidth="1"/>
    <col min="9478" max="9478" width="12.3984375" style="4" customWidth="1"/>
    <col min="9479" max="9730" width="9.296875" style="4"/>
    <col min="9731" max="9731" width="13.69921875" style="4" customWidth="1"/>
    <col min="9732" max="9732" width="9.296875" style="4"/>
    <col min="9733" max="9733" width="17.09765625" style="4" customWidth="1"/>
    <col min="9734" max="9734" width="12.3984375" style="4" customWidth="1"/>
    <col min="9735" max="9986" width="9.296875" style="4"/>
    <col min="9987" max="9987" width="13.69921875" style="4" customWidth="1"/>
    <col min="9988" max="9988" width="9.296875" style="4"/>
    <col min="9989" max="9989" width="17.09765625" style="4" customWidth="1"/>
    <col min="9990" max="9990" width="12.3984375" style="4" customWidth="1"/>
    <col min="9991" max="10242" width="9.296875" style="4"/>
    <col min="10243" max="10243" width="13.69921875" style="4" customWidth="1"/>
    <col min="10244" max="10244" width="9.296875" style="4"/>
    <col min="10245" max="10245" width="17.09765625" style="4" customWidth="1"/>
    <col min="10246" max="10246" width="12.3984375" style="4" customWidth="1"/>
    <col min="10247" max="10498" width="9.296875" style="4"/>
    <col min="10499" max="10499" width="13.69921875" style="4" customWidth="1"/>
    <col min="10500" max="10500" width="9.296875" style="4"/>
    <col min="10501" max="10501" width="17.09765625" style="4" customWidth="1"/>
    <col min="10502" max="10502" width="12.3984375" style="4" customWidth="1"/>
    <col min="10503" max="10754" width="9.296875" style="4"/>
    <col min="10755" max="10755" width="13.69921875" style="4" customWidth="1"/>
    <col min="10756" max="10756" width="9.296875" style="4"/>
    <col min="10757" max="10757" width="17.09765625" style="4" customWidth="1"/>
    <col min="10758" max="10758" width="12.3984375" style="4" customWidth="1"/>
    <col min="10759" max="11010" width="9.296875" style="4"/>
    <col min="11011" max="11011" width="13.69921875" style="4" customWidth="1"/>
    <col min="11012" max="11012" width="9.296875" style="4"/>
    <col min="11013" max="11013" width="17.09765625" style="4" customWidth="1"/>
    <col min="11014" max="11014" width="12.3984375" style="4" customWidth="1"/>
    <col min="11015" max="11266" width="9.296875" style="4"/>
    <col min="11267" max="11267" width="13.69921875" style="4" customWidth="1"/>
    <col min="11268" max="11268" width="9.296875" style="4"/>
    <col min="11269" max="11269" width="17.09765625" style="4" customWidth="1"/>
    <col min="11270" max="11270" width="12.3984375" style="4" customWidth="1"/>
    <col min="11271" max="11522" width="9.296875" style="4"/>
    <col min="11523" max="11523" width="13.69921875" style="4" customWidth="1"/>
    <col min="11524" max="11524" width="9.296875" style="4"/>
    <col min="11525" max="11525" width="17.09765625" style="4" customWidth="1"/>
    <col min="11526" max="11526" width="12.3984375" style="4" customWidth="1"/>
    <col min="11527" max="11778" width="9.296875" style="4"/>
    <col min="11779" max="11779" width="13.69921875" style="4" customWidth="1"/>
    <col min="11780" max="11780" width="9.296875" style="4"/>
    <col min="11781" max="11781" width="17.09765625" style="4" customWidth="1"/>
    <col min="11782" max="11782" width="12.3984375" style="4" customWidth="1"/>
    <col min="11783" max="12034" width="9.296875" style="4"/>
    <col min="12035" max="12035" width="13.69921875" style="4" customWidth="1"/>
    <col min="12036" max="12036" width="9.296875" style="4"/>
    <col min="12037" max="12037" width="17.09765625" style="4" customWidth="1"/>
    <col min="12038" max="12038" width="12.3984375" style="4" customWidth="1"/>
    <col min="12039" max="12290" width="9.296875" style="4"/>
    <col min="12291" max="12291" width="13.69921875" style="4" customWidth="1"/>
    <col min="12292" max="12292" width="9.296875" style="4"/>
    <col min="12293" max="12293" width="17.09765625" style="4" customWidth="1"/>
    <col min="12294" max="12294" width="12.3984375" style="4" customWidth="1"/>
    <col min="12295" max="12546" width="9.296875" style="4"/>
    <col min="12547" max="12547" width="13.69921875" style="4" customWidth="1"/>
    <col min="12548" max="12548" width="9.296875" style="4"/>
    <col min="12549" max="12549" width="17.09765625" style="4" customWidth="1"/>
    <col min="12550" max="12550" width="12.3984375" style="4" customWidth="1"/>
    <col min="12551" max="12802" width="9.296875" style="4"/>
    <col min="12803" max="12803" width="13.69921875" style="4" customWidth="1"/>
    <col min="12804" max="12804" width="9.296875" style="4"/>
    <col min="12805" max="12805" width="17.09765625" style="4" customWidth="1"/>
    <col min="12806" max="12806" width="12.3984375" style="4" customWidth="1"/>
    <col min="12807" max="13058" width="9.296875" style="4"/>
    <col min="13059" max="13059" width="13.69921875" style="4" customWidth="1"/>
    <col min="13060" max="13060" width="9.296875" style="4"/>
    <col min="13061" max="13061" width="17.09765625" style="4" customWidth="1"/>
    <col min="13062" max="13062" width="12.3984375" style="4" customWidth="1"/>
    <col min="13063" max="13314" width="9.296875" style="4"/>
    <col min="13315" max="13315" width="13.69921875" style="4" customWidth="1"/>
    <col min="13316" max="13316" width="9.296875" style="4"/>
    <col min="13317" max="13317" width="17.09765625" style="4" customWidth="1"/>
    <col min="13318" max="13318" width="12.3984375" style="4" customWidth="1"/>
    <col min="13319" max="13570" width="9.296875" style="4"/>
    <col min="13571" max="13571" width="13.69921875" style="4" customWidth="1"/>
    <col min="13572" max="13572" width="9.296875" style="4"/>
    <col min="13573" max="13573" width="17.09765625" style="4" customWidth="1"/>
    <col min="13574" max="13574" width="12.3984375" style="4" customWidth="1"/>
    <col min="13575" max="13826" width="9.296875" style="4"/>
    <col min="13827" max="13827" width="13.69921875" style="4" customWidth="1"/>
    <col min="13828" max="13828" width="9.296875" style="4"/>
    <col min="13829" max="13829" width="17.09765625" style="4" customWidth="1"/>
    <col min="13830" max="13830" width="12.3984375" style="4" customWidth="1"/>
    <col min="13831" max="14082" width="9.296875" style="4"/>
    <col min="14083" max="14083" width="13.69921875" style="4" customWidth="1"/>
    <col min="14084" max="14084" width="9.296875" style="4"/>
    <col min="14085" max="14085" width="17.09765625" style="4" customWidth="1"/>
    <col min="14086" max="14086" width="12.3984375" style="4" customWidth="1"/>
    <col min="14087" max="14338" width="9.296875" style="4"/>
    <col min="14339" max="14339" width="13.69921875" style="4" customWidth="1"/>
    <col min="14340" max="14340" width="9.296875" style="4"/>
    <col min="14341" max="14341" width="17.09765625" style="4" customWidth="1"/>
    <col min="14342" max="14342" width="12.3984375" style="4" customWidth="1"/>
    <col min="14343" max="14594" width="9.296875" style="4"/>
    <col min="14595" max="14595" width="13.69921875" style="4" customWidth="1"/>
    <col min="14596" max="14596" width="9.296875" style="4"/>
    <col min="14597" max="14597" width="17.09765625" style="4" customWidth="1"/>
    <col min="14598" max="14598" width="12.3984375" style="4" customWidth="1"/>
    <col min="14599" max="14850" width="9.296875" style="4"/>
    <col min="14851" max="14851" width="13.69921875" style="4" customWidth="1"/>
    <col min="14852" max="14852" width="9.296875" style="4"/>
    <col min="14853" max="14853" width="17.09765625" style="4" customWidth="1"/>
    <col min="14854" max="14854" width="12.3984375" style="4" customWidth="1"/>
    <col min="14855" max="15106" width="9.296875" style="4"/>
    <col min="15107" max="15107" width="13.69921875" style="4" customWidth="1"/>
    <col min="15108" max="15108" width="9.296875" style="4"/>
    <col min="15109" max="15109" width="17.09765625" style="4" customWidth="1"/>
    <col min="15110" max="15110" width="12.3984375" style="4" customWidth="1"/>
    <col min="15111" max="15362" width="9.296875" style="4"/>
    <col min="15363" max="15363" width="13.69921875" style="4" customWidth="1"/>
    <col min="15364" max="15364" width="9.296875" style="4"/>
    <col min="15365" max="15365" width="17.09765625" style="4" customWidth="1"/>
    <col min="15366" max="15366" width="12.3984375" style="4" customWidth="1"/>
    <col min="15367" max="15618" width="9.296875" style="4"/>
    <col min="15619" max="15619" width="13.69921875" style="4" customWidth="1"/>
    <col min="15620" max="15620" width="9.296875" style="4"/>
    <col min="15621" max="15621" width="17.09765625" style="4" customWidth="1"/>
    <col min="15622" max="15622" width="12.3984375" style="4" customWidth="1"/>
    <col min="15623" max="15874" width="9.296875" style="4"/>
    <col min="15875" max="15875" width="13.69921875" style="4" customWidth="1"/>
    <col min="15876" max="15876" width="9.296875" style="4"/>
    <col min="15877" max="15877" width="17.09765625" style="4" customWidth="1"/>
    <col min="15878" max="15878" width="12.3984375" style="4" customWidth="1"/>
    <col min="15879" max="16130" width="9.296875" style="4"/>
    <col min="16131" max="16131" width="13.69921875" style="4" customWidth="1"/>
    <col min="16132" max="16132" width="9.296875" style="4"/>
    <col min="16133" max="16133" width="17.09765625" style="4" customWidth="1"/>
    <col min="16134" max="16134" width="12.3984375" style="4" customWidth="1"/>
    <col min="16135" max="16384" width="9.296875" style="4"/>
  </cols>
  <sheetData>
    <row r="2" spans="1:13" x14ac:dyDescent="0.3">
      <c r="A2" s="3" t="s">
        <v>76</v>
      </c>
      <c r="B2" s="3" t="s">
        <v>77</v>
      </c>
      <c r="C2" s="3" t="s">
        <v>78</v>
      </c>
      <c r="D2" s="211" t="s">
        <v>79</v>
      </c>
      <c r="E2" s="211"/>
    </row>
    <row r="3" spans="1:13" x14ac:dyDescent="0.3">
      <c r="A3" s="5">
        <v>2</v>
      </c>
      <c r="B3" s="5">
        <v>4</v>
      </c>
      <c r="C3" s="5">
        <v>1</v>
      </c>
      <c r="D3" s="212">
        <v>50</v>
      </c>
      <c r="E3" s="212"/>
      <c r="F3" s="4" t="s">
        <v>123</v>
      </c>
    </row>
    <row r="5" spans="1:13" x14ac:dyDescent="0.3">
      <c r="A5" s="4" t="s">
        <v>80</v>
      </c>
      <c r="B5" s="6" t="s">
        <v>81</v>
      </c>
      <c r="C5" s="6">
        <f>D3</f>
        <v>50</v>
      </c>
      <c r="D5" s="7"/>
    </row>
    <row r="6" spans="1:13" x14ac:dyDescent="0.3">
      <c r="A6" s="4" t="s">
        <v>82</v>
      </c>
      <c r="B6" s="8">
        <v>10</v>
      </c>
      <c r="C6" s="9">
        <v>10</v>
      </c>
      <c r="D6" s="10">
        <f>((100/B6)*C6)/100</f>
        <v>1</v>
      </c>
    </row>
    <row r="7" spans="1:13" x14ac:dyDescent="0.3">
      <c r="A7" s="4" t="s">
        <v>83</v>
      </c>
      <c r="B7" s="8">
        <f>A3+B3+C3+D3</f>
        <v>57</v>
      </c>
      <c r="C7" s="9">
        <f>A3+B3+C3+44</f>
        <v>51</v>
      </c>
      <c r="D7" s="10">
        <f t="shared" ref="D7:D12" si="0">((100/B7)*C7)/100</f>
        <v>0.89473684210526316</v>
      </c>
      <c r="F7" s="213" t="s">
        <v>84</v>
      </c>
      <c r="G7" s="213"/>
      <c r="H7" s="11" t="s">
        <v>85</v>
      </c>
      <c r="J7" s="12"/>
    </row>
    <row r="8" spans="1:13" x14ac:dyDescent="0.3">
      <c r="A8" s="4" t="s">
        <v>86</v>
      </c>
      <c r="B8" s="8">
        <f>C5</f>
        <v>50</v>
      </c>
      <c r="C8" s="9">
        <f>43</f>
        <v>43</v>
      </c>
      <c r="D8" s="10">
        <f t="shared" si="0"/>
        <v>0.86</v>
      </c>
      <c r="F8" s="210" t="s">
        <v>87</v>
      </c>
      <c r="G8" s="210"/>
      <c r="H8" s="8" t="s">
        <v>88</v>
      </c>
    </row>
    <row r="9" spans="1:13" x14ac:dyDescent="0.3">
      <c r="A9" s="4" t="s">
        <v>89</v>
      </c>
      <c r="B9" s="8">
        <f>C5</f>
        <v>50</v>
      </c>
      <c r="C9" s="9">
        <f>C8/2</f>
        <v>21.5</v>
      </c>
      <c r="D9" s="10">
        <f t="shared" si="0"/>
        <v>0.43</v>
      </c>
      <c r="F9" s="210" t="s">
        <v>90</v>
      </c>
      <c r="G9" s="210"/>
      <c r="H9" s="8" t="s">
        <v>91</v>
      </c>
    </row>
    <row r="10" spans="1:13" x14ac:dyDescent="0.3">
      <c r="A10" s="4" t="s">
        <v>92</v>
      </c>
      <c r="B10" s="8">
        <f>C5</f>
        <v>50</v>
      </c>
      <c r="C10" s="9">
        <v>0</v>
      </c>
      <c r="D10" s="10">
        <f t="shared" si="0"/>
        <v>0</v>
      </c>
      <c r="F10" s="210" t="s">
        <v>93</v>
      </c>
      <c r="G10" s="210"/>
      <c r="H10" s="8" t="s">
        <v>94</v>
      </c>
    </row>
    <row r="11" spans="1:13" x14ac:dyDescent="0.3">
      <c r="A11" s="13" t="s">
        <v>95</v>
      </c>
      <c r="B11" s="8">
        <f>C5</f>
        <v>50</v>
      </c>
      <c r="C11" s="9">
        <v>0</v>
      </c>
      <c r="D11" s="10">
        <f t="shared" si="0"/>
        <v>0</v>
      </c>
      <c r="F11" s="210" t="s">
        <v>96</v>
      </c>
      <c r="G11" s="210"/>
      <c r="H11" s="8" t="s">
        <v>97</v>
      </c>
    </row>
    <row r="12" spans="1:13" x14ac:dyDescent="0.3">
      <c r="A12" s="4" t="s">
        <v>98</v>
      </c>
      <c r="B12" s="8">
        <f>C5</f>
        <v>50</v>
      </c>
      <c r="C12" s="9">
        <v>0</v>
      </c>
      <c r="D12" s="10">
        <f t="shared" si="0"/>
        <v>0</v>
      </c>
      <c r="F12" s="210" t="s">
        <v>99</v>
      </c>
      <c r="G12" s="210"/>
      <c r="H12" s="8" t="s">
        <v>100</v>
      </c>
    </row>
    <row r="13" spans="1:13" x14ac:dyDescent="0.3">
      <c r="F13" s="210" t="s">
        <v>101</v>
      </c>
      <c r="G13" s="210"/>
      <c r="H13" s="8" t="s">
        <v>102</v>
      </c>
    </row>
    <row r="14" spans="1:13" hidden="1" x14ac:dyDescent="0.3">
      <c r="A14" s="3"/>
      <c r="B14" s="3" t="s">
        <v>103</v>
      </c>
      <c r="C14" s="3" t="s">
        <v>104</v>
      </c>
      <c r="G14" s="3" t="s">
        <v>82</v>
      </c>
      <c r="H14" s="3" t="s">
        <v>105</v>
      </c>
      <c r="I14" s="3" t="s">
        <v>106</v>
      </c>
      <c r="J14" s="3" t="s">
        <v>107</v>
      </c>
      <c r="K14" s="3" t="s">
        <v>92</v>
      </c>
      <c r="L14" s="3" t="s">
        <v>95</v>
      </c>
      <c r="M14" s="3" t="s">
        <v>98</v>
      </c>
    </row>
    <row r="15" spans="1:13" hidden="1" x14ac:dyDescent="0.3">
      <c r="A15" s="3" t="s">
        <v>108</v>
      </c>
      <c r="B15" s="3">
        <f>G15</f>
        <v>10</v>
      </c>
      <c r="C15" s="3">
        <f>G16</f>
        <v>30</v>
      </c>
      <c r="E15" s="211" t="s">
        <v>103</v>
      </c>
      <c r="F15" s="211"/>
      <c r="G15" s="14">
        <f>C6</f>
        <v>10</v>
      </c>
      <c r="H15" s="14">
        <f>40/B7*C7</f>
        <v>35.789473684210527</v>
      </c>
      <c r="I15" s="14">
        <f>15/B8*C8</f>
        <v>12.9</v>
      </c>
      <c r="J15" s="14">
        <f>10/B9*C9</f>
        <v>4.3</v>
      </c>
      <c r="K15" s="14">
        <f>10/B10*C10</f>
        <v>0</v>
      </c>
      <c r="L15" s="14">
        <f>5/B11*C11</f>
        <v>0</v>
      </c>
      <c r="M15" s="14">
        <f>5/B12*C12</f>
        <v>0</v>
      </c>
    </row>
    <row r="16" spans="1:13" hidden="1" x14ac:dyDescent="0.3">
      <c r="A16" s="3" t="s">
        <v>109</v>
      </c>
      <c r="B16" s="3">
        <f>H15</f>
        <v>35.789473684210527</v>
      </c>
      <c r="C16" s="3">
        <f>H16</f>
        <v>26.842105263157894</v>
      </c>
      <c r="E16" s="211" t="s">
        <v>110</v>
      </c>
      <c r="F16" s="211"/>
      <c r="G16" s="3">
        <f>G15+20</f>
        <v>30</v>
      </c>
      <c r="H16" s="3">
        <f>30/B7*C7</f>
        <v>26.842105263157894</v>
      </c>
      <c r="I16" s="3">
        <f>15/B8*C8</f>
        <v>12.9</v>
      </c>
      <c r="J16" s="3">
        <f>10/B9*C9</f>
        <v>4.3</v>
      </c>
      <c r="K16" s="3">
        <f>5/B10*C10</f>
        <v>0</v>
      </c>
      <c r="L16" s="3">
        <f>5/B11*C11</f>
        <v>0</v>
      </c>
      <c r="M16" s="3">
        <f>5/B12*C12</f>
        <v>0</v>
      </c>
    </row>
    <row r="17" spans="1:8" hidden="1" x14ac:dyDescent="0.3">
      <c r="A17" s="3" t="s">
        <v>106</v>
      </c>
      <c r="B17" s="3">
        <f>I15</f>
        <v>12.9</v>
      </c>
      <c r="C17" s="3">
        <f>I16</f>
        <v>12.9</v>
      </c>
    </row>
    <row r="18" spans="1:8" hidden="1" x14ac:dyDescent="0.3">
      <c r="A18" s="3" t="s">
        <v>107</v>
      </c>
      <c r="B18" s="3">
        <f>J15</f>
        <v>4.3</v>
      </c>
      <c r="C18" s="3">
        <f>J16</f>
        <v>4.3</v>
      </c>
    </row>
    <row r="19" spans="1:8" hidden="1" x14ac:dyDescent="0.3">
      <c r="A19" s="3" t="s">
        <v>92</v>
      </c>
      <c r="B19" s="3">
        <f>K15</f>
        <v>0</v>
      </c>
      <c r="C19" s="3">
        <f>K16</f>
        <v>0</v>
      </c>
    </row>
    <row r="20" spans="1:8" hidden="1" x14ac:dyDescent="0.3">
      <c r="A20" s="15" t="s">
        <v>95</v>
      </c>
      <c r="B20" s="3">
        <f>L15</f>
        <v>0</v>
      </c>
      <c r="C20" s="3">
        <f>L16</f>
        <v>0</v>
      </c>
    </row>
    <row r="21" spans="1:8" hidden="1" x14ac:dyDescent="0.3">
      <c r="A21" s="3" t="s">
        <v>98</v>
      </c>
      <c r="B21" s="3">
        <f>M15</f>
        <v>0</v>
      </c>
      <c r="C21" s="3">
        <f>M16</f>
        <v>0</v>
      </c>
    </row>
    <row r="22" spans="1:8" x14ac:dyDescent="0.3">
      <c r="A22" s="3" t="s">
        <v>111</v>
      </c>
      <c r="B22" s="16">
        <f>(B15+B16+B17+B18+B19+B20+B21)/100</f>
        <v>0.62989473684210529</v>
      </c>
      <c r="C22" s="16">
        <f>(C15+C16+C17+C18+C19+C20+C21)/100</f>
        <v>0.74042105263157898</v>
      </c>
      <c r="F22" s="210" t="s">
        <v>112</v>
      </c>
      <c r="G22" s="210"/>
      <c r="H22" s="8" t="s">
        <v>91</v>
      </c>
    </row>
    <row r="23" spans="1:8" x14ac:dyDescent="0.3">
      <c r="F23" s="210" t="s">
        <v>113</v>
      </c>
      <c r="G23" s="210"/>
      <c r="H23" s="8" t="s">
        <v>114</v>
      </c>
    </row>
    <row r="24" spans="1:8" x14ac:dyDescent="0.3">
      <c r="A24" s="4" t="s">
        <v>115</v>
      </c>
      <c r="B24" s="17">
        <v>0.01</v>
      </c>
      <c r="C24" s="17">
        <v>0.02</v>
      </c>
      <c r="F24" s="210" t="s">
        <v>116</v>
      </c>
      <c r="G24" s="210"/>
      <c r="H24" s="8" t="s">
        <v>117</v>
      </c>
    </row>
    <row r="25" spans="1:8" x14ac:dyDescent="0.3">
      <c r="A25" s="4" t="s">
        <v>118</v>
      </c>
      <c r="B25" s="17">
        <v>0.01</v>
      </c>
      <c r="C25" s="17">
        <v>0.03</v>
      </c>
    </row>
    <row r="26" spans="1:8" x14ac:dyDescent="0.3">
      <c r="A26" s="4" t="s">
        <v>119</v>
      </c>
      <c r="B26" s="17">
        <v>0.03</v>
      </c>
      <c r="C26" s="17">
        <v>0.08</v>
      </c>
    </row>
    <row r="27" spans="1:8" x14ac:dyDescent="0.3">
      <c r="A27" s="4" t="s">
        <v>120</v>
      </c>
      <c r="B27" s="17">
        <v>0.05</v>
      </c>
      <c r="C27" s="17">
        <v>0.15</v>
      </c>
    </row>
    <row r="28" spans="1:8" x14ac:dyDescent="0.3">
      <c r="A28" s="4" t="s">
        <v>121</v>
      </c>
      <c r="B28" s="17">
        <v>7.0000000000000007E-2</v>
      </c>
      <c r="C28" s="17">
        <v>0.2</v>
      </c>
    </row>
    <row r="29" spans="1:8" x14ac:dyDescent="0.3">
      <c r="A29" s="4" t="s">
        <v>122</v>
      </c>
      <c r="B29" s="17">
        <v>0.1</v>
      </c>
      <c r="C29" s="1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Report</vt:lpstr>
      <vt:lpstr>Note.</vt:lpstr>
      <vt:lpstr>Valuation</vt:lpstr>
      <vt:lpstr>A</vt:lpstr>
      <vt:lpstr>B</vt:lpstr>
      <vt:lpstr>C</vt:lpstr>
      <vt:lpstr>D</vt:lpstr>
      <vt:lpstr> 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Old - May 20 - 00129.xls</dc:title>
  <dc:creator>VSJ</dc:creator>
  <cp:lastModifiedBy>Hp Elitebook 840 G6</cp:lastModifiedBy>
  <cp:lastPrinted>2025-08-25T12:39:58Z</cp:lastPrinted>
  <dcterms:created xsi:type="dcterms:W3CDTF">2020-09-15T13:01:38Z</dcterms:created>
  <dcterms:modified xsi:type="dcterms:W3CDTF">2025-09-22T11:07:54Z</dcterms:modified>
</cp:coreProperties>
</file>