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3-09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J114" i="1" l="1"/>
  <c r="J113" i="1"/>
  <c r="J112" i="1"/>
  <c r="J111" i="1"/>
  <c r="E3" i="1" l="1"/>
  <c r="C75" i="1" l="1"/>
  <c r="J86" i="1"/>
  <c r="J85" i="1"/>
  <c r="J84" i="1"/>
  <c r="J83" i="1"/>
  <c r="I184" i="1" l="1"/>
  <c r="I169" i="1"/>
  <c r="I165" i="1"/>
  <c r="G137" i="1" l="1"/>
  <c r="G136" i="1"/>
  <c r="G135" i="1"/>
  <c r="G134" i="1"/>
  <c r="D212" i="1"/>
  <c r="D211" i="1"/>
  <c r="D209" i="1"/>
  <c r="D210" i="1"/>
  <c r="G209" i="1"/>
  <c r="D202" i="1"/>
  <c r="D203" i="1"/>
  <c r="I203" i="1" s="1"/>
  <c r="D201" i="1"/>
  <c r="D200" i="1"/>
  <c r="D192" i="1"/>
  <c r="D191" i="1"/>
  <c r="I191" i="1" s="1"/>
  <c r="D205" i="1"/>
  <c r="D204" i="1"/>
  <c r="G200" i="1"/>
  <c r="D193" i="1"/>
  <c r="D194" i="1"/>
  <c r="D196" i="1"/>
  <c r="D195" i="1"/>
  <c r="G191" i="1"/>
  <c r="D179" i="1"/>
  <c r="D178" i="1"/>
  <c r="D171" i="1"/>
  <c r="J171" i="1" s="1"/>
  <c r="D177" i="1"/>
  <c r="D170" i="1"/>
  <c r="J170" i="1" s="1"/>
  <c r="D175" i="1"/>
  <c r="D176" i="1"/>
  <c r="D174" i="1"/>
  <c r="D167" i="1"/>
  <c r="J167" i="1" s="1"/>
  <c r="D188" i="1"/>
  <c r="D168" i="1"/>
  <c r="J168" i="1" s="1"/>
  <c r="E188" i="1"/>
  <c r="E187" i="1"/>
  <c r="D186" i="1"/>
  <c r="D187" i="1"/>
  <c r="D185" i="1"/>
  <c r="D184" i="1"/>
  <c r="D189" i="1"/>
  <c r="G184" i="1"/>
  <c r="G185" i="1" s="1"/>
  <c r="G186" i="1" s="1"/>
  <c r="G187" i="1" s="1"/>
  <c r="G188" i="1" s="1"/>
  <c r="G189" i="1" s="1"/>
  <c r="A184" i="1"/>
  <c r="A185" i="1" s="1"/>
  <c r="A186" i="1" s="1"/>
  <c r="A187" i="1" s="1"/>
  <c r="A188" i="1" s="1"/>
  <c r="A189" i="1" s="1"/>
  <c r="E169" i="1"/>
  <c r="D169" i="1"/>
  <c r="J169" i="1" s="1"/>
  <c r="E168" i="1"/>
  <c r="D172" i="1"/>
  <c r="J172" i="1" s="1"/>
  <c r="I167" i="1"/>
  <c r="I182" i="1"/>
  <c r="G182" i="1"/>
  <c r="D182" i="1"/>
  <c r="D165" i="1"/>
  <c r="J165" i="1" s="1"/>
  <c r="G165" i="1"/>
  <c r="D156" i="1"/>
  <c r="F156" i="1" s="1"/>
  <c r="D149" i="1"/>
  <c r="D155" i="1"/>
  <c r="F155" i="1" s="1"/>
  <c r="D150" i="1"/>
  <c r="D154" i="1"/>
  <c r="F154" i="1" s="1"/>
  <c r="D151" i="1"/>
  <c r="D157" i="1"/>
  <c r="F157" i="1" s="1"/>
  <c r="D148" i="1"/>
  <c r="D158" i="1"/>
  <c r="F158" i="1" s="1"/>
  <c r="D147" i="1"/>
  <c r="D159" i="1"/>
  <c r="F159" i="1" s="1"/>
  <c r="D146" i="1"/>
  <c r="D160" i="1"/>
  <c r="F160" i="1" s="1"/>
  <c r="D145" i="1"/>
  <c r="A155" i="1"/>
  <c r="A156" i="1" s="1"/>
  <c r="A157" i="1" s="1"/>
  <c r="A158" i="1" s="1"/>
  <c r="A159" i="1" s="1"/>
  <c r="A160" i="1" s="1"/>
  <c r="G154" i="1"/>
  <c r="G155" i="1" s="1"/>
  <c r="G156" i="1" s="1"/>
  <c r="G157" i="1" s="1"/>
  <c r="G158" i="1" s="1"/>
  <c r="G159" i="1" s="1"/>
  <c r="G160" i="1" s="1"/>
  <c r="O200" i="1"/>
  <c r="P191" i="1"/>
  <c r="O191" i="1"/>
  <c r="P200" i="1"/>
  <c r="P209" i="1"/>
  <c r="O209" i="1"/>
  <c r="G138" i="1" l="1"/>
  <c r="E129" i="1"/>
  <c r="C135" i="1"/>
  <c r="E137" i="1"/>
  <c r="G130" i="1"/>
  <c r="E134" i="1"/>
  <c r="E136" i="1"/>
  <c r="C134" i="1"/>
  <c r="C136" i="1"/>
  <c r="C137" i="1"/>
  <c r="C129" i="1"/>
  <c r="C130" i="1"/>
  <c r="E135" i="1"/>
  <c r="E130" i="1"/>
  <c r="P210" i="1"/>
  <c r="P211" i="1" s="1"/>
  <c r="P212" i="1" s="1"/>
  <c r="O210" i="1"/>
  <c r="N209" i="1"/>
  <c r="A209" i="1" s="1"/>
  <c r="P201" i="1"/>
  <c r="P202" i="1" s="1"/>
  <c r="P203" i="1" s="1"/>
  <c r="P204" i="1" s="1"/>
  <c r="P205" i="1" s="1"/>
  <c r="O201" i="1"/>
  <c r="N200" i="1"/>
  <c r="A200" i="1" s="1"/>
  <c r="P192" i="1"/>
  <c r="P193" i="1" s="1"/>
  <c r="P194" i="1" s="1"/>
  <c r="P195" i="1" s="1"/>
  <c r="P196" i="1" s="1"/>
  <c r="O192" i="1"/>
  <c r="N191" i="1"/>
  <c r="A191" i="1" s="1"/>
  <c r="D58" i="1"/>
  <c r="E131" i="1" l="1"/>
  <c r="C138" i="1"/>
  <c r="E138" i="1"/>
  <c r="K131" i="1" s="1"/>
  <c r="C131" i="1"/>
  <c r="O211" i="1"/>
  <c r="N210" i="1"/>
  <c r="A210" i="1" s="1"/>
  <c r="O202" i="1"/>
  <c r="N201" i="1"/>
  <c r="A201" i="1" s="1"/>
  <c r="O193" i="1"/>
  <c r="N192" i="1"/>
  <c r="A192" i="1" s="1"/>
  <c r="J100" i="1"/>
  <c r="J99" i="1"/>
  <c r="J72" i="1"/>
  <c r="J71" i="1"/>
  <c r="H62" i="1"/>
  <c r="H90" i="1"/>
  <c r="O212" i="1" l="1"/>
  <c r="N211" i="1"/>
  <c r="A211" i="1" s="1"/>
  <c r="O203" i="1"/>
  <c r="N202" i="1"/>
  <c r="A202" i="1" s="1"/>
  <c r="O194" i="1"/>
  <c r="N193" i="1"/>
  <c r="A193" i="1" s="1"/>
  <c r="D102" i="1"/>
  <c r="D98" i="1"/>
  <c r="J94" i="1"/>
  <c r="C93" i="1" s="1"/>
  <c r="J92" i="1"/>
  <c r="D97" i="1"/>
  <c r="D101" i="1"/>
  <c r="J95" i="1"/>
  <c r="J96" i="1" s="1"/>
  <c r="J101" i="1" s="1"/>
  <c r="J93" i="1"/>
  <c r="D96" i="1"/>
  <c r="D100" i="1"/>
  <c r="D99" i="1"/>
  <c r="D95" i="1"/>
  <c r="D67" i="1"/>
  <c r="D73" i="1"/>
  <c r="J65" i="1"/>
  <c r="D74" i="1"/>
  <c r="D70" i="1"/>
  <c r="J66" i="1"/>
  <c r="D65" i="1" s="1"/>
  <c r="J64" i="1"/>
  <c r="D69" i="1"/>
  <c r="D72" i="1"/>
  <c r="D68" i="1"/>
  <c r="J67" i="1"/>
  <c r="J68" i="1" s="1"/>
  <c r="D71" i="1"/>
  <c r="G46" i="1"/>
  <c r="G47" i="1" s="1"/>
  <c r="A167" i="1"/>
  <c r="H76" i="1"/>
  <c r="H104" i="1"/>
  <c r="O174" i="1"/>
  <c r="D114" i="1" l="1"/>
  <c r="D110" i="1"/>
  <c r="J109" i="1"/>
  <c r="J110" i="1" s="1"/>
  <c r="J115" i="1" s="1"/>
  <c r="J116" i="1" s="1"/>
  <c r="C108" i="1" s="1"/>
  <c r="D111" i="1"/>
  <c r="D113" i="1"/>
  <c r="D109" i="1"/>
  <c r="J108" i="1"/>
  <c r="C107" i="1" s="1"/>
  <c r="D107" i="1" s="1"/>
  <c r="J106" i="1"/>
  <c r="D116" i="1"/>
  <c r="D112" i="1"/>
  <c r="D115" i="1"/>
  <c r="J107" i="1"/>
  <c r="J81" i="1"/>
  <c r="J82" i="1" s="1"/>
  <c r="J87" i="1" s="1"/>
  <c r="J88" i="1" s="1"/>
  <c r="J80" i="1"/>
  <c r="J79" i="1"/>
  <c r="E79" i="1"/>
  <c r="J78" i="1"/>
  <c r="D88" i="1"/>
  <c r="D87" i="1"/>
  <c r="D86" i="1"/>
  <c r="D85" i="1"/>
  <c r="D84" i="1"/>
  <c r="D83" i="1"/>
  <c r="D82" i="1"/>
  <c r="D81" i="1"/>
  <c r="D80" i="1"/>
  <c r="G79" i="1"/>
  <c r="D79" i="1"/>
  <c r="J73" i="1"/>
  <c r="N212" i="1"/>
  <c r="A212" i="1" s="1"/>
  <c r="O204" i="1"/>
  <c r="N203" i="1"/>
  <c r="A203" i="1" s="1"/>
  <c r="O195" i="1"/>
  <c r="N194" i="1"/>
  <c r="A194" i="1" s="1"/>
  <c r="J97" i="1"/>
  <c r="J98" i="1" s="1"/>
  <c r="D93" i="1"/>
  <c r="J69" i="1"/>
  <c r="J70" i="1" s="1"/>
  <c r="A215" i="1"/>
  <c r="A216" i="1" s="1"/>
  <c r="A217" i="1" s="1"/>
  <c r="E107" i="1" l="1"/>
  <c r="I103" i="1" s="1"/>
  <c r="C105" i="1" s="1"/>
  <c r="D108" i="1"/>
  <c r="G107" i="1"/>
  <c r="I75" i="1"/>
  <c r="C77" i="1" s="1"/>
  <c r="A220" i="1"/>
  <c r="A221" i="1" s="1"/>
  <c r="A218" i="1"/>
  <c r="O205" i="1"/>
  <c r="N205" i="1" s="1"/>
  <c r="A205" i="1" s="1"/>
  <c r="N204" i="1"/>
  <c r="A204" i="1" s="1"/>
  <c r="O196" i="1"/>
  <c r="N196" i="1" s="1"/>
  <c r="A196" i="1" s="1"/>
  <c r="N195" i="1"/>
  <c r="A195" i="1" s="1"/>
  <c r="J102" i="1"/>
  <c r="C94" i="1" s="1"/>
  <c r="J74" i="1"/>
  <c r="A168" i="1"/>
  <c r="A169" i="1" s="1"/>
  <c r="A170" i="1" s="1"/>
  <c r="A171" i="1" s="1"/>
  <c r="A172" i="1" s="1"/>
  <c r="P174" i="1"/>
  <c r="E93" i="1" l="1"/>
  <c r="I89" i="1" s="1"/>
  <c r="C91" i="1" s="1"/>
  <c r="D94" i="1"/>
  <c r="G93" i="1"/>
  <c r="E65" i="1"/>
  <c r="I61" i="1" s="1"/>
  <c r="C63" i="1" s="1"/>
  <c r="D66" i="1"/>
  <c r="G65" i="1"/>
  <c r="N174" i="1"/>
  <c r="D60" i="1" l="1"/>
  <c r="F117" i="1" s="1"/>
  <c r="C13" i="1" l="1"/>
  <c r="E40" i="1" l="1"/>
  <c r="E41" i="1" s="1"/>
  <c r="F145" i="1" l="1"/>
  <c r="G145" i="1"/>
  <c r="G146" i="1" s="1"/>
  <c r="G147" i="1" s="1"/>
  <c r="G148" i="1" s="1"/>
  <c r="G149" i="1" s="1"/>
  <c r="G150" i="1" s="1"/>
  <c r="G151" i="1" s="1"/>
  <c r="A146" i="1"/>
  <c r="A147" i="1" s="1"/>
  <c r="A148" i="1" s="1"/>
  <c r="A149" i="1" s="1"/>
  <c r="A150" i="1" s="1"/>
  <c r="A151" i="1" s="1"/>
  <c r="F146" i="1"/>
  <c r="F147" i="1"/>
  <c r="F148" i="1"/>
  <c r="F149" i="1"/>
  <c r="F150" i="1"/>
  <c r="F151" i="1"/>
  <c r="G129" i="1" l="1"/>
  <c r="G131" i="1" s="1"/>
  <c r="J131" i="1" s="1"/>
  <c r="O175" i="1"/>
  <c r="A174" i="1" l="1"/>
  <c r="P175" i="1"/>
  <c r="P176" i="1" s="1"/>
  <c r="P177" i="1" s="1"/>
  <c r="P178" i="1" s="1"/>
  <c r="P179" i="1" s="1"/>
  <c r="O176" i="1"/>
  <c r="G174" i="1"/>
  <c r="G167" i="1"/>
  <c r="G168" i="1" s="1"/>
  <c r="G169" i="1" s="1"/>
  <c r="G170" i="1" s="1"/>
  <c r="G171" i="1" s="1"/>
  <c r="G172" i="1" s="1"/>
  <c r="E24" i="1"/>
  <c r="E22" i="1"/>
  <c r="N175" i="1" l="1"/>
  <c r="A175" i="1" s="1"/>
  <c r="N176" i="1"/>
  <c r="A176" i="1" s="1"/>
  <c r="O177" i="1"/>
  <c r="N177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A177" i="1" l="1"/>
  <c r="O178" i="1"/>
  <c r="N178" i="1" s="1"/>
  <c r="G12" i="5"/>
  <c r="A178" i="1" l="1"/>
  <c r="O179" i="1"/>
  <c r="N179" i="1" s="1"/>
  <c r="A179" i="1" l="1"/>
  <c r="E7" i="1" l="1"/>
  <c r="D234" i="1" l="1"/>
  <c r="F126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<sst xmlns="http://schemas.openxmlformats.org/spreadsheetml/2006/main" count="470" uniqueCount="252">
  <si>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</si>
  <si>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</si>
  <si>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</si>
  <si>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</si>
  <si>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</si>
  <si>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</si>
  <si>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</si>
  <si>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</si>
  <si>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</si>
  <si>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</si>
  <si>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</si>
  <si>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</si>
  <si>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</si>
  <si>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</si>
  <si>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</si>
  <si>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</si>
  <si>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</si>
  <si>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</si>
  <si>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</si>
  <si>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</si>
  <si>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</si>
  <si>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</si>
  <si>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</si>
  <si>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</si>
  <si>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</si>
  <si>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</si>
  <si>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</si>
  <si>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</si>
  <si>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</si>
  <si>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</si>
  <si>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</si>
  <si>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</si>
  <si>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</si>
  <si>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</si>
  <si>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</si>
  <si>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</si>
  <si>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</si>
  <si>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</si>
  <si>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</si>
  <si>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</si>
  <si>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</si>
  <si>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</si>
  <si>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</si>
  <si>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</si>
  <si>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</si>
  <si>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</si>
  <si>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</si>
  <si>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</si>
  <si>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</si>
  <si>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</si>
  <si>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</si>
  <si>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</si>
  <si>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</si>
  <si>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</si>
  <si>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</si>
  <si>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</si>
  <si>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</si>
  <si>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</si>
  <si>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</si>
  <si>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</si>
  <si>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</si>
  <si>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</si>
  <si>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</si>
  <si>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</si>
  <si>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</si>
  <si>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</si>
  <si>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</si>
  <si>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</si>
  <si>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</si>
  <si>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</si>
  <si>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</si>
  <si>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</si>
  <si>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</si>
  <si>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</si>
  <si>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</si>
  <si>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</si>
  <si>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</si>
  <si>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</si>
  <si>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</si>
  <si>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</si>
  <si>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</si>
  <si>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</si>
  <si>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</si>
  <si>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</si>
  <si>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</si>
  <si>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</si>
  <si>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</si>
  <si>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</si>
  <si>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</si>
  <si>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</si>
  <si>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</si>
  <si>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</si>
  <si>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</si>
  <si>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</si>
  <si>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</si>
  <si>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</si>
  <si>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</si>
  <si>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</si>
  <si>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</si>
  <si>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</si>
  <si>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</si>
  <si>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</si>
  <si>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</si>
  <si>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</si>
  <si>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</si>
  <si>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</si>
  <si>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</si>
  <si>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</si>
  <si>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</si>
  <si>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</si>
  <si>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</si>
  <si>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</si>
  <si>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</si>
  <si>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</si>
  <si>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</si>
  <si>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</si>
  <si>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</si>
  <si>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</si>
  <si>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</si>
  <si>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</si>
  <si>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</si>
  <si>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</si>
  <si>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</si>
  <si>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</si>
  <si>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</si>
  <si>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</si>
  <si>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</si>
  <si>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</si>
  <si>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</si>
  <si>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</si>
  <si>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</si>
  <si>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</si>
  <si>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</si>
  <si>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</si>
  <si>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</si>
  <si>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</si>
  <si>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</si>
  <si>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</si>
  <si>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</si>
  <si>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</si>
  <si>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</si>
  <si>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</si>
  <si>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</si>
  <si>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</si>
  <si>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</si>
  <si>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</si>
  <si>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</si>
  <si>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</si>
  <si>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</si>
  <si>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</si>
  <si>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</si>
  <si>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</si>
  <si>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</si>
  <si>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</si>
  <si>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</si>
  <si>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</si>
  <si>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</si>
  <si>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</si>
  <si>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</si>
  <si>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</si>
  <si>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</si>
  <si>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</si>
  <si>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</si>
  <si>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</si>
  <si>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</si>
  <si>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</si>
  <si>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</si>
  <si>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</si>
  <si>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</si>
  <si>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</si>
  <si>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</si>
  <si>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</si>
  <si>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</si>
  <si>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</si>
  <si>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</si>
  <si>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</si>
  <si>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</si>
  <si>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</si>
  <si>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</si>
  <si>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</si>
  <si>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</si>
  <si>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</si>
  <si>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</si>
  <si>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</si>
  <si>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</si>
  <si>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</si>
  <si>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</si>
  <si>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M/s.Nine Home Creators</t>
  </si>
  <si>
    <t>Ninestar Prestige</t>
  </si>
  <si>
    <t>Mande</t>
  </si>
  <si>
    <t>Palghar</t>
  </si>
  <si>
    <t>Gut No</t>
  </si>
  <si>
    <t>199PT,Gut No.200 &amp; Gut No.205, Gut No.206/PT</t>
  </si>
  <si>
    <t>MHASUL/K-1/MJ1/B.S.P/S.R./C.R/55/20</t>
  </si>
  <si>
    <t>MHASUL/KS-1/T.1/NAP/S.R-55/20</t>
  </si>
  <si>
    <t>02 Building (4 Wing)</t>
  </si>
  <si>
    <t>2.2 KM from Saphale Railway Station</t>
  </si>
  <si>
    <t>Tembhikhodave Road</t>
  </si>
  <si>
    <t>Nine Star Landmark</t>
  </si>
  <si>
    <t xml:space="preserve">Internal Road </t>
  </si>
  <si>
    <t xml:space="preserve">Open Plot </t>
  </si>
  <si>
    <t>As per RERA - 31/12/2026</t>
  </si>
  <si>
    <t>Shop</t>
  </si>
  <si>
    <t xml:space="preserve">Ground Floor For Commercial </t>
  </si>
  <si>
    <t>1BHK</t>
  </si>
  <si>
    <t>Ground Floor For Residential</t>
  </si>
  <si>
    <t>1st Floor</t>
  </si>
  <si>
    <t>2BHK</t>
  </si>
  <si>
    <t>1RK</t>
  </si>
  <si>
    <t>2nd, 3rd, 4th, 5th, 6th &amp; 7th Floor</t>
  </si>
  <si>
    <t>1st, 2nd, 3rd, 4th, 5th, 6th &amp; 7th Floor For Residential</t>
  </si>
  <si>
    <t>Ground Floor For Parking &amp; Amenities</t>
  </si>
  <si>
    <t>We considered  Saleable area  as per Builder area sheet.</t>
  </si>
  <si>
    <t>We considered Gross carpet area = Net carpet + Enclose balcony + A.P Area +Terrace Area.</t>
  </si>
  <si>
    <t>Society Formation &amp; Maintenance Charges</t>
  </si>
  <si>
    <t>Builder Saleable area</t>
  </si>
  <si>
    <t>Saphale West</t>
  </si>
  <si>
    <t>Building No.1(A Wing) Flats</t>
  </si>
  <si>
    <t>Building No.1(B Wing) Flats</t>
  </si>
  <si>
    <t>Building No.1 Wing A</t>
  </si>
  <si>
    <t>Building No.1 Wing B</t>
  </si>
  <si>
    <t>Building No.1 (A Wing &amp; B Wing)
Building No.2 (A Wing &amp; B Wing)</t>
  </si>
  <si>
    <t>Building No.2(A Wing) Flats</t>
  </si>
  <si>
    <t>Building No.2(B Wing) Flats</t>
  </si>
  <si>
    <t>Building No.1 = A Wing = Flats - 43, Shops - 07
Building No.1 = B Wing = Flats - 43, Shops - 07
Building No.2 = A Wing = Flats - 42 
Building No.2 = B Wing = Flats - 28</t>
  </si>
  <si>
    <t>Building No.1 = A &amp; B Wing = G + 1st to 7th Floor
Building No.2 = A &amp; B Wing = G + 1st to 7th Floor</t>
  </si>
  <si>
    <t>Building No.1 - Wing A</t>
  </si>
  <si>
    <t>Building No.1 - Wing B</t>
  </si>
  <si>
    <t>Building No.2 - Wing A</t>
  </si>
  <si>
    <t>Building No.2 - Wing B</t>
  </si>
  <si>
    <t>1,00,000/-</t>
  </si>
  <si>
    <t>s</t>
  </si>
  <si>
    <t>60,000/-</t>
  </si>
  <si>
    <t>2,00,000/-</t>
  </si>
  <si>
    <t>7000/-</t>
  </si>
  <si>
    <t xml:space="preserve">Recommended rate should be considered as all inclusive rate if other charges are not mentioned. (Excluding GST &amp; other government Taxes)
</t>
  </si>
  <si>
    <t xml:space="preserve">Building No.1 - P99000030830
Building No.2 - P99000030824
</t>
  </si>
  <si>
    <t>On Site, we meet Mr.Vrushabh (Site Supervisor) - 9028478363.</t>
  </si>
  <si>
    <t>Building No.1(A Wing)</t>
  </si>
  <si>
    <t>Building No.1(B Wing)</t>
  </si>
  <si>
    <t>Building No.2 - A &amp; B Wing = G + 1st to 7th Floor</t>
  </si>
  <si>
    <t>Building No.1 - B Wing = G + 1st to 7th Floor</t>
  </si>
  <si>
    <t>Location Link</t>
  </si>
  <si>
    <t>https://goo.gl/maps/Kh9M9CXhmxB4CNZy7</t>
  </si>
  <si>
    <t>Office No. 1031, Wing J, Akshar Business Park, Plot No. 03 Sector 25, Near APMC Market, 
Vashi, Navi Mumbai, Maharashtra 400703 TEL: 022-46090378/79/8
E mail : vsjcapf@gmail.com. Web site : www.vsjadon.com</t>
  </si>
  <si>
    <t>Valid Up to:  Building No.1 = G + 1st to 7th Floor
                     Building No.2 = G + 1st to 7th Floor</t>
  </si>
  <si>
    <t>Building No.1 - A &amp; B Wing = G + 1st to 7th Floor</t>
  </si>
  <si>
    <t>Building No.2 - B Wing = G + 1st to 7th Floor</t>
  </si>
  <si>
    <t>Building No.1 (Wing A &amp; B) - Construction work is in process at the time of visit.
Building No.2 (Wing A &amp; B) - Construction work is in process at the time of visit.</t>
  </si>
  <si>
    <t>Pooja Kawale</t>
  </si>
  <si>
    <t>Building No.1 - A Wing = G + 1st to 7th Floor</t>
  </si>
  <si>
    <t>Harshad Pawade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</si>
</sst>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"/>
    <numFmt numFmtId="169" formatCode="0.00000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8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4" fontId="7" fillId="0" borderId="0" xfId="1" applyNumberFormat="1" applyFont="1"/>
    <xf numFmtId="1" fontId="7" fillId="0" borderId="0" xfId="1" applyNumberFormat="1" applyFont="1"/>
    <xf numFmtId="0" fontId="7" fillId="0" borderId="11" xfId="1" applyFont="1" applyBorder="1" applyProtection="1">
      <protection hidden="1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0" fontId="16" fillId="0" borderId="0" xfId="0" applyFont="1" applyProtection="1">
      <protection hidden="1"/>
    </xf>
    <xf numFmtId="0" fontId="7" fillId="0" borderId="1" xfId="1" applyFont="1" applyBorder="1" applyAlignment="1" applyProtection="1">
      <alignment horizontal="center" wrapText="1"/>
      <protection locked="0"/>
    </xf>
    <xf numFmtId="0" fontId="16" fillId="0" borderId="13" xfId="0" applyFont="1" applyBorder="1" applyProtection="1">
      <protection hidden="1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1" fontId="22" fillId="0" borderId="13" xfId="0" applyNumberFormat="1" applyFont="1" applyBorder="1"/>
    <xf numFmtId="1" fontId="22" fillId="0" borderId="13" xfId="0" applyNumberFormat="1" applyFont="1" applyBorder="1" applyAlignment="1">
      <alignment horizontal="right"/>
    </xf>
    <xf numFmtId="0" fontId="7" fillId="0" borderId="7" xfId="1" applyFont="1" applyBorder="1" applyAlignment="1" applyProtection="1">
      <alignment horizontal="center" wrapText="1"/>
      <protection locked="0"/>
    </xf>
    <xf numFmtId="0" fontId="16" fillId="0" borderId="14" xfId="0" applyFont="1" applyBorder="1" applyProtection="1">
      <protection hidden="1"/>
    </xf>
    <xf numFmtId="1" fontId="22" fillId="0" borderId="15" xfId="0" applyNumberFormat="1" applyFont="1" applyBorder="1"/>
    <xf numFmtId="168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Alignment="1">
      <alignment horizontal="center" vertical="center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0" fillId="0" borderId="25" xfId="1" applyFont="1" applyBorder="1" applyAlignment="1" applyProtection="1">
      <alignment horizontal="left" vertical="top" wrapText="1"/>
      <protection locked="0"/>
    </xf>
    <xf numFmtId="0" fontId="10" fillId="0" borderId="18" xfId="1" applyFont="1" applyBorder="1" applyAlignment="1" applyProtection="1">
      <alignment horizontal="left" vertical="top" wrapText="1"/>
      <protection locked="0"/>
    </xf>
    <xf numFmtId="0" fontId="10" fillId="0" borderId="16" xfId="1" applyFont="1" applyBorder="1" applyAlignment="1" applyProtection="1">
      <alignment horizontal="left" vertical="top" wrapText="1"/>
      <protection locked="0"/>
    </xf>
    <xf numFmtId="0" fontId="10" fillId="0" borderId="17" xfId="1" applyFont="1" applyBorder="1" applyAlignment="1" applyProtection="1">
      <alignment horizontal="left" vertical="top" wrapText="1"/>
      <protection locked="0"/>
    </xf>
    <xf numFmtId="0" fontId="10" fillId="0" borderId="26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0" fillId="0" borderId="24" xfId="0" applyNumberFormat="1" applyFont="1" applyBorder="1" applyAlignment="1" applyProtection="1">
      <alignment vertical="top" wrapText="1"/>
      <protection locked="0"/>
    </xf>
    <xf numFmtId="1" fontId="10" fillId="0" borderId="10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3" fillId="0" borderId="1" xfId="9" applyBorder="1" applyAlignment="1" applyProtection="1">
      <alignment horizontal="left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7" fillId="0" borderId="22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2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654852</xdr:colOff>
      <xdr:row>295</xdr:row>
      <xdr:rowOff>16713</xdr:rowOff>
    </xdr:from>
    <xdr:to>
      <xdr:col>7</xdr:col>
      <xdr:colOff>177321</xdr:colOff>
      <xdr:row>310</xdr:row>
      <xdr:rowOff>145661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4852" y="56561595"/>
          <a:ext cx="5652087" cy="31545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654852</xdr:colOff>
      <xdr:row>278</xdr:row>
      <xdr:rowOff>0</xdr:rowOff>
    </xdr:from>
    <xdr:to>
      <xdr:col>7</xdr:col>
      <xdr:colOff>177321</xdr:colOff>
      <xdr:row>293</xdr:row>
      <xdr:rowOff>163453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4852" y="59729688"/>
          <a:ext cx="5624422" cy="31400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436008</xdr:colOff>
      <xdr:row>263</xdr:row>
      <xdr:rowOff>184416</xdr:rowOff>
    </xdr:from>
    <xdr:to>
      <xdr:col>3</xdr:col>
      <xdr:colOff>257969</xdr:colOff>
      <xdr:row>266</xdr:row>
      <xdr:rowOff>93335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1D772282-4C51-4116-B1E8-DF9215A706B1}"/>
            </a:ext>
          </a:extLst>
        </xdr:cNvPr>
        <xdr:cNvSpPr/>
      </xdr:nvSpPr>
      <xdr:spPr>
        <a:xfrm>
          <a:off x="1217886" y="53928607"/>
          <a:ext cx="1511613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Building No.2 (Wing</a:t>
          </a:r>
          <a:r>
            <a:rPr lang="en-IN" sz="14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A)</a:t>
          </a:r>
          <a:endParaRPr lang="en-IN" sz="14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103940</xdr:colOff>
      <xdr:row>234</xdr:row>
      <xdr:rowOff>94946</xdr:rowOff>
    </xdr:from>
    <xdr:to>
      <xdr:col>19</xdr:col>
      <xdr:colOff>351065</xdr:colOff>
      <xdr:row>275</xdr:row>
      <xdr:rowOff>119317</xdr:rowOff>
    </xdr:to>
    <xdr:grpSp>
      <xdr:nvGrpSpPr>
        <xdr:cNvPr id="2" name="Group 1"/>
        <xdr:cNvGrpSpPr/>
      </xdr:nvGrpSpPr>
      <xdr:grpSpPr>
        <a:xfrm>
          <a:off x="6949240" y="48272396"/>
          <a:ext cx="6489175" cy="8088871"/>
          <a:chOff x="7532450" y="49117399"/>
          <a:chExt cx="6202105" cy="8383239"/>
        </a:xfrm>
      </xdr:grpSpPr>
      <xdr:pic>
        <xdr:nvPicPr>
          <xdr:cNvPr id="37" name="Picture 36" descr="https://vsjcllp.vsjadon.com/upload/insp-203946-846.jpg">
            <a:extLst>
              <a:ext uri="{FF2B5EF4-FFF2-40B4-BE49-F238E27FC236}">
                <a16:creationId xmlns:a16="http://schemas.microsoft.com/office/drawing/2014/main" id="{8C36E44F-084E-4378-8990-981FC0EF0B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42227" y="55801157"/>
            <a:ext cx="2136931" cy="16944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03946-845.jpg">
            <a:extLst>
              <a:ext uri="{FF2B5EF4-FFF2-40B4-BE49-F238E27FC236}">
                <a16:creationId xmlns:a16="http://schemas.microsoft.com/office/drawing/2014/main" id="{95A6742D-D26B-4691-814F-DA486A604C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57331" y="55806158"/>
            <a:ext cx="1206004" cy="16944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968B4474-4069-447A-BB6B-C3506477C8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2102848" y="49125019"/>
            <a:ext cx="1567114" cy="221987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45428BEA-6108-4EA8-B35F-14A570F548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971259" y="51467268"/>
            <a:ext cx="1571174" cy="223572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852C4A47-D68F-4D73-AC1E-F8BB048A4D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7532450" y="49117399"/>
            <a:ext cx="2793978" cy="221987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F52603E-D1ED-43C5-86E7-0CDBB228D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9649393" y="51480438"/>
            <a:ext cx="1564771" cy="223572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F28C016C-0401-4971-9E6F-AD82D38D5F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8102395" y="53821338"/>
            <a:ext cx="2358752" cy="18763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8259884" y="50715386"/>
            <a:ext cx="1493462" cy="515254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No.1 (Wing</a:t>
            </a:r>
            <a:r>
              <a:rPr lang="en-IN" sz="1400" b="1" baseline="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A)</a:t>
            </a:r>
            <a:endParaRPr lang="en-IN" sz="14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3F10ACA7-6CC9-4793-AE25-4F6E7318D3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558415" y="53829762"/>
            <a:ext cx="2337373" cy="187915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9982595A-0C78-446E-898A-EB3AB698AB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11321124" y="51491155"/>
            <a:ext cx="1575497" cy="223131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40CB1274-AB4F-4127-99BF-1C8D94C1A060}"/>
              </a:ext>
            </a:extLst>
          </xdr:cNvPr>
          <xdr:cNvSpPr/>
        </xdr:nvSpPr>
        <xdr:spPr>
          <a:xfrm>
            <a:off x="12250747" y="50845488"/>
            <a:ext cx="1483808" cy="52124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No.1 (Wing</a:t>
            </a:r>
            <a:r>
              <a:rPr lang="en-IN" sz="1400" b="1" baseline="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B)</a:t>
            </a:r>
            <a:endParaRPr lang="en-IN" sz="14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1A23D62A-C9C0-4A11-B30F-857AA38CE729}"/>
              </a:ext>
            </a:extLst>
          </xdr:cNvPr>
          <xdr:cNvSpPr/>
        </xdr:nvSpPr>
        <xdr:spPr>
          <a:xfrm>
            <a:off x="11071587" y="55150292"/>
            <a:ext cx="1459314" cy="52124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No.2 (Wing</a:t>
            </a:r>
            <a:r>
              <a:rPr lang="en-IN" sz="1400" b="1" baseline="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B)</a:t>
            </a:r>
            <a:endParaRPr lang="en-IN" sz="14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5D53526C-A3BA-456D-ADD3-F8F19398DD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10426880" y="49122329"/>
            <a:ext cx="1566660" cy="2219871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0</xdr:colOff>
      <xdr:row>231</xdr:row>
      <xdr:rowOff>6350</xdr:rowOff>
    </xdr:from>
    <xdr:to>
      <xdr:col>9</xdr:col>
      <xdr:colOff>120650</xdr:colOff>
      <xdr:row>233</xdr:row>
      <xdr:rowOff>109811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845300" y="47802800"/>
          <a:ext cx="1339850" cy="49716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Building No.1 (Wing</a:t>
          </a:r>
          <a:r>
            <a:rPr lang="en-IN" sz="1400" b="1" baseline="0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A)</a:t>
          </a:r>
          <a:endParaRPr lang="en-IN" sz="1400" b="1">
            <a:solidFill>
              <a:srgbClr val="FFFF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287056</xdr:colOff>
      <xdr:row>233</xdr:row>
      <xdr:rowOff>6350</xdr:rowOff>
    </xdr:from>
    <xdr:to>
      <xdr:col>11</xdr:col>
      <xdr:colOff>90206</xdr:colOff>
      <xdr:row>235</xdr:row>
      <xdr:rowOff>109811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8351556" y="48196500"/>
          <a:ext cx="1339850" cy="49716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Building No.1 (Wing</a:t>
          </a:r>
          <a:r>
            <a:rPr lang="en-IN" sz="1400" b="1" baseline="0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B)</a:t>
          </a:r>
          <a:endParaRPr lang="en-IN" sz="1400" b="1">
            <a:solidFill>
              <a:srgbClr val="FFFF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357328</xdr:colOff>
      <xdr:row>232</xdr:row>
      <xdr:rowOff>50800</xdr:rowOff>
    </xdr:from>
    <xdr:to>
      <xdr:col>16</xdr:col>
      <xdr:colOff>135078</xdr:colOff>
      <xdr:row>234</xdr:row>
      <xdr:rowOff>154261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9958528" y="48044100"/>
          <a:ext cx="1339850" cy="49716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Building No.2 (Wing</a:t>
          </a:r>
          <a:r>
            <a:rPr lang="en-IN" sz="1400" b="1" baseline="0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A)</a:t>
          </a:r>
          <a:endParaRPr lang="en-IN" sz="1400" b="1">
            <a:solidFill>
              <a:srgbClr val="FFFF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326000</xdr:colOff>
      <xdr:row>229</xdr:row>
      <xdr:rowOff>0</xdr:rowOff>
    </xdr:from>
    <xdr:to>
      <xdr:col>18</xdr:col>
      <xdr:colOff>383150</xdr:colOff>
      <xdr:row>231</xdr:row>
      <xdr:rowOff>103461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1489300" y="47402750"/>
          <a:ext cx="1339850" cy="497161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4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Building No.2 (Wing</a:t>
          </a:r>
          <a:r>
            <a:rPr lang="en-IN" sz="1400" b="1" baseline="0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B)</a:t>
          </a:r>
          <a:endParaRPr lang="en-IN" sz="1400" b="1">
            <a:solidFill>
              <a:srgbClr val="FFFF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101600</xdr:colOff>
      <xdr:row>234</xdr:row>
      <xdr:rowOff>63500</xdr:rowOff>
    </xdr:from>
    <xdr:to>
      <xdr:col>7</xdr:col>
      <xdr:colOff>782992</xdr:colOff>
      <xdr:row>274</xdr:row>
      <xdr:rowOff>177800</xdr:rowOff>
    </xdr:to>
    <xdr:grpSp>
      <xdr:nvGrpSpPr>
        <xdr:cNvPr id="3" name="Group 2"/>
        <xdr:cNvGrpSpPr/>
      </xdr:nvGrpSpPr>
      <xdr:grpSpPr>
        <a:xfrm>
          <a:off x="101600" y="48240950"/>
          <a:ext cx="6656742" cy="7981950"/>
          <a:chOff x="101600" y="48240950"/>
          <a:chExt cx="6656742" cy="7981950"/>
        </a:xfrm>
      </xdr:grpSpPr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81075" y="54693231"/>
            <a:ext cx="1348594" cy="152966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4824095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4976" y="482409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88707" y="50507007"/>
            <a:ext cx="1369635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924" y="52783294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6338" y="5050700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64629" y="52783294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3969" y="5050700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6773" y="482409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5050700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2518" y="52783294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1" name="Rectangle 60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5392326" y="50114201"/>
            <a:ext cx="1339850" cy="33655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No.2</a:t>
            </a:r>
          </a:p>
        </xdr:txBody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768350" y="49695100"/>
            <a:ext cx="1339850" cy="33655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No.1</a:t>
            </a:r>
          </a:p>
        </xdr:txBody>
      </xdr:sp>
      <xdr:sp macro="" textlink="">
        <xdr:nvSpPr>
          <xdr:cNvPr id="63" name="Rectangle 62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184150" y="52278657"/>
            <a:ext cx="1339850" cy="33655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 No.2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h9M9CXhmxB4CNZy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77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6" customWidth="1"/>
    <col min="2" max="2" width="12" style="16" customWidth="1"/>
    <col min="3" max="3" width="12.7265625" style="16" customWidth="1"/>
    <col min="4" max="4" width="14.1796875" style="16" customWidth="1"/>
    <col min="5" max="7" width="11.7265625" style="16" customWidth="1"/>
    <col min="8" max="8" width="12.453125" style="16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57" t="s">
        <v>244</v>
      </c>
      <c r="B1" s="157"/>
      <c r="C1" s="157"/>
      <c r="D1" s="157"/>
      <c r="E1" s="157"/>
      <c r="F1" s="157"/>
      <c r="G1" s="157"/>
      <c r="H1" s="157"/>
    </row>
    <row r="2" spans="1:8" ht="16.5" customHeight="1" x14ac:dyDescent="0.35">
      <c r="A2" s="148" t="s">
        <v>0</v>
      </c>
      <c r="B2" s="148"/>
      <c r="C2" s="148"/>
      <c r="D2" s="148"/>
      <c r="E2" s="148"/>
      <c r="F2" s="148"/>
      <c r="G2" s="148"/>
      <c r="H2" s="148"/>
    </row>
    <row r="3" spans="1:8" x14ac:dyDescent="0.35">
      <c r="A3" s="76" t="s">
        <v>1</v>
      </c>
      <c r="B3" s="76"/>
      <c r="C3" s="76"/>
      <c r="D3" s="76"/>
      <c r="E3" s="158" t="str">
        <f ca="1">TEXT(TODAY(),"DD/MM/YYYY")</f>
        <v>23/09/2025</v>
      </c>
      <c r="F3" s="158"/>
      <c r="G3" s="158"/>
      <c r="H3" s="158"/>
    </row>
    <row r="4" spans="1:8" ht="15" customHeight="1" x14ac:dyDescent="0.35">
      <c r="A4" s="156" t="s">
        <v>2</v>
      </c>
      <c r="B4" s="156"/>
      <c r="C4" s="156"/>
      <c r="D4" s="156"/>
      <c r="E4" s="159" t="s">
        <v>186</v>
      </c>
      <c r="F4" s="159"/>
      <c r="G4" s="159"/>
      <c r="H4" s="159"/>
    </row>
    <row r="5" spans="1:8" x14ac:dyDescent="0.35">
      <c r="A5" s="156" t="s">
        <v>3</v>
      </c>
      <c r="B5" s="156"/>
      <c r="C5" s="156"/>
      <c r="D5" s="156"/>
      <c r="E5" s="161">
        <v>45923</v>
      </c>
      <c r="F5" s="161"/>
      <c r="G5" s="161"/>
      <c r="H5" s="161"/>
    </row>
    <row r="6" spans="1:8" ht="16.5" customHeight="1" x14ac:dyDescent="0.35">
      <c r="A6" s="156" t="s">
        <v>4</v>
      </c>
      <c r="B6" s="156"/>
      <c r="C6" s="156"/>
      <c r="D6" s="156"/>
      <c r="E6" s="160" t="s">
        <v>187</v>
      </c>
      <c r="F6" s="160"/>
      <c r="G6" s="160"/>
      <c r="H6" s="160"/>
    </row>
    <row r="7" spans="1:8" ht="15" customHeight="1" x14ac:dyDescent="0.35">
      <c r="A7" s="156" t="s">
        <v>5</v>
      </c>
      <c r="B7" s="156"/>
      <c r="C7" s="156"/>
      <c r="D7" s="156"/>
      <c r="E7" s="160" t="str">
        <f>E6</f>
        <v>M/s.Nine Home Creators</v>
      </c>
      <c r="F7" s="160"/>
      <c r="G7" s="160"/>
      <c r="H7" s="160"/>
    </row>
    <row r="8" spans="1:8" x14ac:dyDescent="0.35">
      <c r="A8" s="156" t="s">
        <v>6</v>
      </c>
      <c r="B8" s="156"/>
      <c r="C8" s="156"/>
      <c r="D8" s="156"/>
      <c r="E8" s="84" t="s">
        <v>188</v>
      </c>
      <c r="F8" s="84"/>
      <c r="G8" s="84"/>
      <c r="H8" s="84"/>
    </row>
    <row r="9" spans="1:8" x14ac:dyDescent="0.35">
      <c r="A9" s="156" t="s">
        <v>159</v>
      </c>
      <c r="B9" s="156"/>
      <c r="C9" s="156"/>
      <c r="D9" s="156"/>
      <c r="E9" s="156">
        <v>9860281916</v>
      </c>
      <c r="F9" s="156"/>
      <c r="G9" s="156"/>
      <c r="H9" s="156"/>
    </row>
    <row r="10" spans="1:8" ht="32.25" customHeight="1" x14ac:dyDescent="0.35">
      <c r="A10" s="156" t="s">
        <v>7</v>
      </c>
      <c r="B10" s="156"/>
      <c r="C10" s="156"/>
      <c r="D10" s="156"/>
      <c r="E10" s="160" t="s">
        <v>221</v>
      </c>
      <c r="F10" s="156"/>
      <c r="G10" s="156"/>
      <c r="H10" s="156"/>
    </row>
    <row r="11" spans="1:8" ht="32.25" customHeight="1" x14ac:dyDescent="0.35">
      <c r="A11" s="156" t="s">
        <v>8</v>
      </c>
      <c r="B11" s="156"/>
      <c r="C11" s="156"/>
      <c r="D11" s="156"/>
      <c r="E11" s="160" t="s">
        <v>138</v>
      </c>
      <c r="F11" s="160"/>
      <c r="G11" s="160"/>
      <c r="H11" s="160"/>
    </row>
    <row r="12" spans="1:8" ht="30.75" customHeight="1" x14ac:dyDescent="0.35">
      <c r="A12" s="156" t="s">
        <v>9</v>
      </c>
      <c r="B12" s="156"/>
      <c r="C12" s="156"/>
      <c r="D12" s="156"/>
      <c r="E12" s="160" t="s">
        <v>236</v>
      </c>
      <c r="F12" s="156"/>
      <c r="G12" s="156"/>
      <c r="H12" s="156"/>
    </row>
    <row r="13" spans="1:8" ht="49.5" customHeight="1" x14ac:dyDescent="0.35">
      <c r="A13" s="160" t="s">
        <v>10</v>
      </c>
      <c r="B13" s="160"/>
      <c r="C13" s="160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Ninestar Prestige, Gut No.199PT,Gut No.200 &amp; Gut No.205, Gut No.206/PT, near Nine Star Landmark, Tembhikhodave Road, Mande, Saphale West, Palghar, Palghar.</v>
      </c>
      <c r="D13" s="160"/>
      <c r="E13" s="160"/>
      <c r="F13" s="160"/>
      <c r="G13" s="160"/>
      <c r="H13" s="160"/>
    </row>
    <row r="14" spans="1:8" x14ac:dyDescent="0.35">
      <c r="A14" s="160" t="s">
        <v>191</v>
      </c>
      <c r="B14" s="160"/>
      <c r="C14" s="160" t="s">
        <v>192</v>
      </c>
      <c r="D14" s="160"/>
      <c r="E14" s="160"/>
      <c r="F14" s="160"/>
      <c r="G14" s="160"/>
      <c r="H14" s="160"/>
    </row>
    <row r="15" spans="1:8" ht="15.75" customHeight="1" x14ac:dyDescent="0.35">
      <c r="A15" s="77" t="s">
        <v>11</v>
      </c>
      <c r="B15" s="77"/>
      <c r="C15" s="139" t="s">
        <v>197</v>
      </c>
      <c r="D15" s="139"/>
      <c r="E15" s="77" t="s">
        <v>104</v>
      </c>
      <c r="F15" s="77"/>
      <c r="G15" s="138" t="s">
        <v>189</v>
      </c>
      <c r="H15" s="138"/>
    </row>
    <row r="16" spans="1:8" x14ac:dyDescent="0.35">
      <c r="A16" s="76" t="s">
        <v>13</v>
      </c>
      <c r="B16" s="76"/>
      <c r="C16" s="138" t="s">
        <v>216</v>
      </c>
      <c r="D16" s="138"/>
      <c r="E16" s="77" t="s">
        <v>12</v>
      </c>
      <c r="F16" s="77"/>
      <c r="G16" s="162" t="s">
        <v>190</v>
      </c>
      <c r="H16" s="162"/>
    </row>
    <row r="17" spans="1:8" x14ac:dyDescent="0.35">
      <c r="A17" s="76" t="s">
        <v>105</v>
      </c>
      <c r="B17" s="76"/>
      <c r="C17" s="138" t="s">
        <v>190</v>
      </c>
      <c r="D17" s="138"/>
      <c r="E17" s="77" t="s">
        <v>14</v>
      </c>
      <c r="F17" s="77"/>
      <c r="G17" s="138">
        <v>40112</v>
      </c>
      <c r="H17" s="138"/>
    </row>
    <row r="18" spans="1:8" ht="32.25" customHeight="1" x14ac:dyDescent="0.35">
      <c r="A18" s="156" t="s">
        <v>160</v>
      </c>
      <c r="B18" s="156"/>
      <c r="C18" s="163" t="s">
        <v>198</v>
      </c>
      <c r="D18" s="163"/>
      <c r="E18" s="160" t="s">
        <v>15</v>
      </c>
      <c r="F18" s="160"/>
      <c r="G18" s="160" t="s">
        <v>196</v>
      </c>
      <c r="H18" s="160"/>
    </row>
    <row r="19" spans="1:8" ht="15" customHeight="1" x14ac:dyDescent="0.35">
      <c r="A19" s="77" t="s">
        <v>110</v>
      </c>
      <c r="B19" s="77"/>
      <c r="C19" s="77"/>
      <c r="D19" s="77"/>
      <c r="E19" s="139" t="s">
        <v>16</v>
      </c>
      <c r="F19" s="139"/>
      <c r="G19" s="139"/>
      <c r="H19" s="139"/>
    </row>
    <row r="20" spans="1:8" ht="17.25" customHeight="1" x14ac:dyDescent="0.35">
      <c r="A20" s="77"/>
      <c r="B20" s="77"/>
      <c r="C20" s="77"/>
      <c r="D20" s="77"/>
      <c r="E20" s="139"/>
      <c r="F20" s="139"/>
      <c r="G20" s="139"/>
      <c r="H20" s="139"/>
    </row>
    <row r="21" spans="1:8" ht="15" customHeight="1" x14ac:dyDescent="0.35">
      <c r="A21" s="77" t="s">
        <v>17</v>
      </c>
      <c r="B21" s="77"/>
      <c r="C21" s="77"/>
      <c r="D21" s="77"/>
      <c r="E21" s="138" t="s">
        <v>18</v>
      </c>
      <c r="F21" s="138"/>
      <c r="G21" s="138"/>
      <c r="H21" s="138"/>
    </row>
    <row r="22" spans="1:8" ht="15" customHeight="1" x14ac:dyDescent="0.35">
      <c r="A22" s="76" t="s">
        <v>19</v>
      </c>
      <c r="B22" s="76"/>
      <c r="C22" s="76"/>
      <c r="D22" s="76"/>
      <c r="E22" s="138" t="str">
        <f>IF(AND(G16="Mumbai"),"Upper Class","Middle Class")</f>
        <v>Middle Class</v>
      </c>
      <c r="F22" s="138"/>
      <c r="G22" s="138"/>
      <c r="H22" s="138"/>
    </row>
    <row r="23" spans="1:8" x14ac:dyDescent="0.35">
      <c r="A23" s="76" t="s">
        <v>20</v>
      </c>
      <c r="B23" s="76"/>
      <c r="C23" s="76"/>
      <c r="D23" s="76"/>
      <c r="E23" s="138" t="s">
        <v>21</v>
      </c>
      <c r="F23" s="138"/>
      <c r="G23" s="138"/>
      <c r="H23" s="138"/>
    </row>
    <row r="24" spans="1:8" ht="15.75" customHeight="1" x14ac:dyDescent="0.35">
      <c r="A24" s="76" t="s">
        <v>22</v>
      </c>
      <c r="B24" s="76"/>
      <c r="C24" s="76"/>
      <c r="D24" s="76"/>
      <c r="E24" s="138" t="str">
        <f>IF(AND(G16="Mumbai"),"Developed","Developing")</f>
        <v>Developing</v>
      </c>
      <c r="F24" s="138"/>
      <c r="G24" s="138"/>
      <c r="H24" s="138"/>
    </row>
    <row r="25" spans="1:8" x14ac:dyDescent="0.35">
      <c r="A25" s="76" t="s">
        <v>23</v>
      </c>
      <c r="B25" s="76"/>
      <c r="C25" s="76"/>
      <c r="D25" s="76"/>
      <c r="E25" s="138" t="s">
        <v>24</v>
      </c>
      <c r="F25" s="138"/>
      <c r="G25" s="138"/>
      <c r="H25" s="138"/>
    </row>
    <row r="26" spans="1:8" x14ac:dyDescent="0.35">
      <c r="A26" s="76" t="s">
        <v>117</v>
      </c>
      <c r="B26" s="76"/>
      <c r="C26" s="76"/>
      <c r="D26" s="76"/>
      <c r="E26" s="138" t="s">
        <v>118</v>
      </c>
      <c r="F26" s="138"/>
      <c r="G26" s="138"/>
      <c r="H26" s="138"/>
    </row>
    <row r="27" spans="1:8" ht="15" customHeight="1" x14ac:dyDescent="0.35">
      <c r="A27" s="160" t="s">
        <v>35</v>
      </c>
      <c r="B27" s="160"/>
      <c r="C27" s="160"/>
      <c r="D27" s="160"/>
      <c r="E27" s="159" t="s">
        <v>114</v>
      </c>
      <c r="F27" s="159"/>
      <c r="G27" s="159"/>
      <c r="H27" s="159"/>
    </row>
    <row r="28" spans="1:8" x14ac:dyDescent="0.35">
      <c r="A28" s="77" t="s">
        <v>129</v>
      </c>
      <c r="B28" s="77"/>
      <c r="C28" s="77"/>
      <c r="D28" s="77"/>
      <c r="E28" s="77" t="s">
        <v>36</v>
      </c>
      <c r="F28" s="77"/>
      <c r="G28" s="77"/>
      <c r="H28" s="77"/>
    </row>
    <row r="29" spans="1:8" s="11" customFormat="1" x14ac:dyDescent="0.35">
      <c r="A29" s="169" t="s">
        <v>130</v>
      </c>
      <c r="B29" s="169"/>
      <c r="C29" s="167" t="s">
        <v>29</v>
      </c>
      <c r="D29" s="167"/>
      <c r="E29" s="167"/>
      <c r="F29" s="167" t="s">
        <v>31</v>
      </c>
      <c r="G29" s="167"/>
      <c r="H29" s="167"/>
    </row>
    <row r="30" spans="1:8" s="11" customFormat="1" x14ac:dyDescent="0.35">
      <c r="A30" s="164" t="s">
        <v>25</v>
      </c>
      <c r="B30" s="164" t="s">
        <v>30</v>
      </c>
      <c r="C30" s="165" t="s">
        <v>30</v>
      </c>
      <c r="D30" s="165"/>
      <c r="E30" s="165"/>
      <c r="F30" s="165" t="s">
        <v>199</v>
      </c>
      <c r="G30" s="165"/>
      <c r="H30" s="165"/>
    </row>
    <row r="31" spans="1:8" x14ac:dyDescent="0.35">
      <c r="A31" s="164" t="s">
        <v>26</v>
      </c>
      <c r="B31" s="164" t="s">
        <v>30</v>
      </c>
      <c r="C31" s="165" t="s">
        <v>30</v>
      </c>
      <c r="D31" s="165"/>
      <c r="E31" s="165"/>
      <c r="F31" s="165" t="s">
        <v>200</v>
      </c>
      <c r="G31" s="165"/>
      <c r="H31" s="165"/>
    </row>
    <row r="32" spans="1:8" s="11" customFormat="1" x14ac:dyDescent="0.35">
      <c r="A32" s="164" t="s">
        <v>28</v>
      </c>
      <c r="B32" s="164" t="s">
        <v>30</v>
      </c>
      <c r="C32" s="165" t="s">
        <v>30</v>
      </c>
      <c r="D32" s="165"/>
      <c r="E32" s="165"/>
      <c r="F32" s="165" t="s">
        <v>200</v>
      </c>
      <c r="G32" s="165"/>
      <c r="H32" s="165"/>
    </row>
    <row r="33" spans="1:8" x14ac:dyDescent="0.35">
      <c r="A33" s="164" t="s">
        <v>27</v>
      </c>
      <c r="B33" s="164" t="s">
        <v>30</v>
      </c>
      <c r="C33" s="165" t="s">
        <v>30</v>
      </c>
      <c r="D33" s="165"/>
      <c r="E33" s="165"/>
      <c r="F33" s="165" t="s">
        <v>200</v>
      </c>
      <c r="G33" s="165"/>
      <c r="H33" s="165"/>
    </row>
    <row r="34" spans="1:8" x14ac:dyDescent="0.35">
      <c r="A34" s="76" t="s">
        <v>32</v>
      </c>
      <c r="B34" s="76"/>
      <c r="C34" s="76"/>
      <c r="D34" s="76"/>
      <c r="E34" s="76"/>
      <c r="F34" s="76"/>
      <c r="G34" s="76"/>
      <c r="H34" s="76"/>
    </row>
    <row r="35" spans="1:8" x14ac:dyDescent="0.35">
      <c r="A35" s="135" t="s">
        <v>33</v>
      </c>
      <c r="B35" s="135"/>
      <c r="C35" s="168">
        <v>19.570062</v>
      </c>
      <c r="D35" s="168"/>
      <c r="E35" s="135" t="s">
        <v>34</v>
      </c>
      <c r="F35" s="135"/>
      <c r="G35" s="76">
        <v>72.802622999999997</v>
      </c>
      <c r="H35" s="76"/>
    </row>
    <row r="36" spans="1:8" x14ac:dyDescent="0.35">
      <c r="A36" s="135" t="s">
        <v>242</v>
      </c>
      <c r="B36" s="135"/>
      <c r="C36" s="170" t="s">
        <v>243</v>
      </c>
      <c r="D36" s="168"/>
      <c r="E36" s="168"/>
      <c r="F36" s="168"/>
      <c r="G36" s="168"/>
      <c r="H36" s="168"/>
    </row>
    <row r="37" spans="1:8" x14ac:dyDescent="0.35">
      <c r="A37" s="135" t="s">
        <v>37</v>
      </c>
      <c r="B37" s="135"/>
      <c r="C37" s="135"/>
      <c r="D37" s="135"/>
      <c r="E37" s="135"/>
      <c r="F37" s="135"/>
      <c r="G37" s="135"/>
      <c r="H37" s="135"/>
    </row>
    <row r="38" spans="1:8" x14ac:dyDescent="0.35">
      <c r="A38" s="76" t="s">
        <v>38</v>
      </c>
      <c r="B38" s="76"/>
      <c r="C38" s="76"/>
      <c r="D38" s="76"/>
      <c r="E38" s="166">
        <v>5404.37</v>
      </c>
      <c r="F38" s="166"/>
      <c r="G38" s="166"/>
      <c r="H38" s="166"/>
    </row>
    <row r="39" spans="1:8" x14ac:dyDescent="0.35">
      <c r="A39" s="76" t="s">
        <v>39</v>
      </c>
      <c r="B39" s="76"/>
      <c r="C39" s="76"/>
      <c r="D39" s="76"/>
      <c r="E39" s="75">
        <v>1.1000000000000001</v>
      </c>
      <c r="F39" s="75"/>
      <c r="G39" s="75"/>
      <c r="H39" s="75"/>
    </row>
    <row r="40" spans="1:8" x14ac:dyDescent="0.35">
      <c r="A40" s="76" t="s">
        <v>40</v>
      </c>
      <c r="B40" s="76"/>
      <c r="C40" s="76"/>
      <c r="D40" s="76"/>
      <c r="E40" s="75">
        <f>E42/E38-E39</f>
        <v>0.25472219703684229</v>
      </c>
      <c r="F40" s="75"/>
      <c r="G40" s="75"/>
      <c r="H40" s="75"/>
    </row>
    <row r="41" spans="1:8" x14ac:dyDescent="0.35">
      <c r="A41" s="76" t="s">
        <v>41</v>
      </c>
      <c r="B41" s="76"/>
      <c r="C41" s="76"/>
      <c r="D41" s="76"/>
      <c r="E41" s="75">
        <f>E39+E40</f>
        <v>1.3547221970368424</v>
      </c>
      <c r="F41" s="75"/>
      <c r="G41" s="75"/>
      <c r="H41" s="75"/>
    </row>
    <row r="42" spans="1:8" x14ac:dyDescent="0.35">
      <c r="A42" s="76" t="s">
        <v>128</v>
      </c>
      <c r="B42" s="76"/>
      <c r="C42" s="76"/>
      <c r="D42" s="76"/>
      <c r="E42" s="155">
        <v>7321.42</v>
      </c>
      <c r="F42" s="155"/>
      <c r="G42" s="155"/>
      <c r="H42" s="155"/>
    </row>
    <row r="43" spans="1:8" x14ac:dyDescent="0.35">
      <c r="A43" s="156" t="s">
        <v>42</v>
      </c>
      <c r="B43" s="156"/>
      <c r="C43" s="156"/>
      <c r="D43" s="156"/>
      <c r="E43" s="156" t="s">
        <v>195</v>
      </c>
      <c r="F43" s="156"/>
      <c r="G43" s="156"/>
      <c r="H43" s="156"/>
    </row>
    <row r="44" spans="1:8" x14ac:dyDescent="0.35">
      <c r="A44" s="135" t="s">
        <v>43</v>
      </c>
      <c r="B44" s="135"/>
      <c r="C44" s="135"/>
      <c r="D44" s="135"/>
      <c r="E44" s="135"/>
      <c r="F44" s="135"/>
      <c r="G44" s="135"/>
      <c r="H44" s="135"/>
    </row>
    <row r="45" spans="1:8" ht="30.75" customHeight="1" x14ac:dyDescent="0.35">
      <c r="A45" s="77" t="s">
        <v>44</v>
      </c>
      <c r="B45" s="77"/>
      <c r="C45" s="78" t="s">
        <v>193</v>
      </c>
      <c r="D45" s="78"/>
      <c r="E45" s="78"/>
      <c r="F45" s="44" t="s">
        <v>45</v>
      </c>
      <c r="G45" s="136">
        <v>44371</v>
      </c>
      <c r="H45" s="136"/>
    </row>
    <row r="46" spans="1:8" ht="33" customHeight="1" x14ac:dyDescent="0.35">
      <c r="A46" s="76" t="s">
        <v>46</v>
      </c>
      <c r="B46" s="76"/>
      <c r="C46" s="78" t="str">
        <f>C45</f>
        <v>MHASUL/K-1/MJ1/B.S.P/S.R./C.R/55/20</v>
      </c>
      <c r="D46" s="78"/>
      <c r="E46" s="78"/>
      <c r="F46" s="44" t="s">
        <v>45</v>
      </c>
      <c r="G46" s="136">
        <f>G45</f>
        <v>44371</v>
      </c>
      <c r="H46" s="136"/>
    </row>
    <row r="47" spans="1:8" s="10" customFormat="1" x14ac:dyDescent="0.35">
      <c r="A47" s="138" t="s">
        <v>47</v>
      </c>
      <c r="B47" s="138"/>
      <c r="C47" s="78" t="s">
        <v>194</v>
      </c>
      <c r="D47" s="137"/>
      <c r="E47" s="137"/>
      <c r="F47" s="13" t="s">
        <v>45</v>
      </c>
      <c r="G47" s="136">
        <f>G46</f>
        <v>44371</v>
      </c>
      <c r="H47" s="136"/>
    </row>
    <row r="48" spans="1:8" s="10" customFormat="1" ht="32.25" customHeight="1" x14ac:dyDescent="0.35">
      <c r="A48" s="138"/>
      <c r="B48" s="138"/>
      <c r="C48" s="143" t="s">
        <v>245</v>
      </c>
      <c r="D48" s="144"/>
      <c r="E48" s="144"/>
      <c r="F48" s="144"/>
      <c r="G48" s="144"/>
      <c r="H48" s="145"/>
    </row>
    <row r="49" spans="1:14" x14ac:dyDescent="0.35">
      <c r="A49" s="85" t="s">
        <v>48</v>
      </c>
      <c r="B49" s="85"/>
      <c r="C49" s="140" t="s">
        <v>139</v>
      </c>
      <c r="D49" s="133"/>
      <c r="E49" s="133" t="s">
        <v>49</v>
      </c>
      <c r="F49" s="64" t="s">
        <v>45</v>
      </c>
      <c r="G49" s="142" t="s">
        <v>30</v>
      </c>
      <c r="H49" s="142"/>
    </row>
    <row r="50" spans="1:14" x14ac:dyDescent="0.35">
      <c r="A50" s="141" t="s">
        <v>51</v>
      </c>
      <c r="B50" s="141"/>
      <c r="C50" s="141"/>
      <c r="D50" s="141"/>
      <c r="E50" s="141"/>
      <c r="F50" s="141"/>
      <c r="G50" s="141"/>
      <c r="H50" s="141"/>
    </row>
    <row r="51" spans="1:14" x14ac:dyDescent="0.35">
      <c r="A51" s="77" t="s">
        <v>127</v>
      </c>
      <c r="B51" s="77"/>
      <c r="C51" s="77"/>
      <c r="D51" s="76">
        <f>E42</f>
        <v>7321.42</v>
      </c>
      <c r="E51" s="76"/>
      <c r="F51" s="76"/>
      <c r="G51" s="76"/>
      <c r="H51" s="76"/>
      <c r="J51" s="8" t="s">
        <v>231</v>
      </c>
    </row>
    <row r="52" spans="1:14" ht="66" customHeight="1" x14ac:dyDescent="0.35">
      <c r="A52" s="138" t="s">
        <v>52</v>
      </c>
      <c r="B52" s="139"/>
      <c r="C52" s="139"/>
      <c r="D52" s="138" t="s">
        <v>224</v>
      </c>
      <c r="E52" s="139"/>
      <c r="F52" s="139"/>
      <c r="G52" s="139"/>
      <c r="H52" s="139"/>
      <c r="I52" s="39"/>
      <c r="M52" s="8" t="s">
        <v>231</v>
      </c>
    </row>
    <row r="53" spans="1:14" ht="31.5" customHeight="1" x14ac:dyDescent="0.35">
      <c r="A53" s="138" t="s">
        <v>53</v>
      </c>
      <c r="B53" s="138"/>
      <c r="C53" s="138"/>
      <c r="D53" s="138" t="s">
        <v>225</v>
      </c>
      <c r="E53" s="139"/>
      <c r="F53" s="139"/>
      <c r="G53" s="139"/>
      <c r="H53" s="139"/>
    </row>
    <row r="54" spans="1:14" ht="15.75" customHeight="1" x14ac:dyDescent="0.35">
      <c r="A54" s="138" t="s">
        <v>125</v>
      </c>
      <c r="B54" s="138"/>
      <c r="C54" s="138"/>
      <c r="D54" s="139" t="s">
        <v>246</v>
      </c>
      <c r="E54" s="139"/>
      <c r="F54" s="139"/>
      <c r="G54" s="139"/>
      <c r="H54" s="139"/>
    </row>
    <row r="55" spans="1:14" ht="14.25" hidden="1" customHeight="1" x14ac:dyDescent="0.35">
      <c r="A55" s="138"/>
      <c r="B55" s="138"/>
      <c r="C55" s="138"/>
      <c r="D55" s="139" t="s">
        <v>241</v>
      </c>
      <c r="E55" s="139"/>
      <c r="F55" s="139"/>
      <c r="G55" s="139"/>
      <c r="H55" s="139"/>
    </row>
    <row r="56" spans="1:14" ht="15.75" customHeight="1" x14ac:dyDescent="0.35">
      <c r="A56" s="138"/>
      <c r="B56" s="138"/>
      <c r="C56" s="138"/>
      <c r="D56" s="139" t="s">
        <v>240</v>
      </c>
      <c r="E56" s="139"/>
      <c r="F56" s="139"/>
      <c r="G56" s="139"/>
      <c r="H56" s="139"/>
    </row>
    <row r="57" spans="1:14" ht="15.75" customHeight="1" x14ac:dyDescent="0.35">
      <c r="A57" s="76" t="s">
        <v>50</v>
      </c>
      <c r="B57" s="76"/>
      <c r="C57" s="76"/>
      <c r="D57" s="77" t="s">
        <v>201</v>
      </c>
      <c r="E57" s="77"/>
      <c r="F57" s="77"/>
      <c r="G57" s="77"/>
      <c r="H57" s="77"/>
      <c r="J57" s="38"/>
      <c r="K57" s="39"/>
      <c r="N57" s="39"/>
    </row>
    <row r="58" spans="1:14" ht="15.75" customHeight="1" x14ac:dyDescent="0.35">
      <c r="A58" s="76" t="s">
        <v>123</v>
      </c>
      <c r="B58" s="76"/>
      <c r="C58" s="76"/>
      <c r="D58" s="154" t="str">
        <f>(IF(G49="NA","60 Years After Completion",IF(G49&lt;&gt;"NA",""&amp;60-ROUNDDOWN((E3-G49)/360,0)&amp;" Years"," ")))</f>
        <v>60 Years After Completion</v>
      </c>
      <c r="E58" s="154"/>
      <c r="F58" s="154"/>
      <c r="G58" s="154"/>
      <c r="H58" s="154"/>
      <c r="N58" s="39"/>
    </row>
    <row r="59" spans="1:14" ht="15.75" customHeight="1" x14ac:dyDescent="0.35">
      <c r="A59" s="76" t="s">
        <v>124</v>
      </c>
      <c r="B59" s="76"/>
      <c r="C59" s="76"/>
      <c r="D59" s="77" t="s">
        <v>24</v>
      </c>
      <c r="E59" s="77"/>
      <c r="F59" s="77"/>
      <c r="G59" s="77"/>
      <c r="H59" s="77"/>
      <c r="J59" s="18"/>
      <c r="K59" s="18"/>
    </row>
    <row r="60" spans="1:14" ht="15.75" customHeight="1" thickBot="1" x14ac:dyDescent="0.4">
      <c r="A60" s="76" t="s">
        <v>122</v>
      </c>
      <c r="B60" s="76"/>
      <c r="C60" s="76"/>
      <c r="D60" s="138" t="str">
        <f ca="1">(IF(G65&gt;95%,"Nothing",IF(G65&gt;0%,"Cement, Aggregate, Steel, etc",IF(G65=0%,"Work not yet Started"))))</f>
        <v>Cement, Aggregate, Steel, etc</v>
      </c>
      <c r="E60" s="138"/>
      <c r="F60" s="138"/>
      <c r="G60" s="138"/>
      <c r="H60" s="138"/>
      <c r="J60" s="18"/>
    </row>
    <row r="61" spans="1:14" x14ac:dyDescent="0.35">
      <c r="A61" s="153" t="s">
        <v>178</v>
      </c>
      <c r="B61" s="153"/>
      <c r="C61" s="153" t="s">
        <v>250</v>
      </c>
      <c r="D61" s="153"/>
      <c r="E61" s="153"/>
      <c r="F61" s="153"/>
      <c r="G61" s="153"/>
      <c r="H61" s="153"/>
      <c r="I61" s="40" t="str">
        <f ca="1">(IF(E65&gt;99%,"All work completed. Please provide OC.",IF(E65&gt;89.8%,"Plinth, RCC, Brick, Plaster, Flooring, Painting work Completed. Finishing work is in process.",IF(E65&lt;94%,(IF(C65=0,"Work not yet Started.",IF(D65=25%,"Piling work in process",IF(D65=50%,"Excavation work in process",IF(D65=100%,"Excavation work Completed. ","0")))&amp;(IF(C66=0%,"",IF(C66=J67,"Footing work is process",IF(C66=J68,"Footing work Completed",IF(C66=J69,"1st Basement Completed",IF(C66=J70,"1st &amp; 2nd Basement Completed",IF(C66=J71,"1st to 3rd Basement Completed",IF(C66=J72,"1st to 4th Basement Completed",IF(C66=J73,"Plinth work is process",IF(C66=J74,"Plinth work completed","0")))))))))))&amp;(IF(C67=(D62+F62+H62),", RCC Slab",IF(C67&gt;0,", RCC upto "&amp;C67&amp;" Slab",""))&amp;(IF(C68=H62,", Brickwork",IF(C68&gt;0,", Brickwork upto "&amp;C68&amp;" Floor",""))&amp;(IF(C69=H62,", Internal Plaster",IF(C69&gt;0,", Internal Plaster upto "&amp;C69&amp;" Floor",""))&amp;(IF(C70=H62,", External Plaster",IF(C70&gt;0,", External Plaster upto "&amp;C70&amp;" Floor",""))&amp;(IF(C71=H62,", Flooring",IF(C71&gt;0,", Flooring upto "&amp;C71&amp;" Floor",""))&amp;(IF(C72=H62,", Painting",IF(C72&gt;0,", Painting upto "&amp;C72&amp;" Floor",""))&amp;(IF(C73&gt;0,", Finishing upto "&amp;C73&amp;" Floor","")&amp;(IF(C67&gt;0.5," Completed",""))))))))))))))</f>
        <v>Excavation work Completed. Plinth work completed, RCC Slab, Brickwork, Internal Plaster, External Plaster, Flooring upto 5 Floor, Painting upto 5 Floor Completed</v>
      </c>
      <c r="J61" s="20"/>
    </row>
    <row r="62" spans="1:14" x14ac:dyDescent="0.35">
      <c r="A62" s="71" t="s">
        <v>180</v>
      </c>
      <c r="B62" s="71">
        <v>0</v>
      </c>
      <c r="C62" s="71" t="s">
        <v>103</v>
      </c>
      <c r="D62" s="71">
        <v>1</v>
      </c>
      <c r="E62" s="71" t="s">
        <v>102</v>
      </c>
      <c r="F62" s="71">
        <v>0</v>
      </c>
      <c r="G62" s="71" t="s">
        <v>116</v>
      </c>
      <c r="H62" s="71">
        <f ca="1">--TRIM(RIGHT(SUBSTITUTE(LEFT(C61,_xlfn.AGGREGATE(16,6,FIND({0,1,2,3,4,5,6,7,8,9},C61,ROW(INDIRECT("1:"&amp;LEN(C61)))),1))," ",REPT(" ",LEN(C61))),LEN(C61)))</f>
        <v>7</v>
      </c>
      <c r="I62" s="18"/>
      <c r="J62" s="21"/>
    </row>
    <row r="63" spans="1:14" ht="46.5" customHeight="1" x14ac:dyDescent="0.35">
      <c r="A63" s="84" t="s">
        <v>126</v>
      </c>
      <c r="B63" s="84"/>
      <c r="C63" s="85" t="str">
        <f ca="1">I61</f>
        <v>Excavation work Completed. Plinth work completed, RCC Slab, Brickwork, Internal Plaster, External Plaster, Flooring upto 5 Floor, Painting upto 5 Floor Completed</v>
      </c>
      <c r="D63" s="85"/>
      <c r="E63" s="85"/>
      <c r="F63" s="85"/>
      <c r="G63" s="85"/>
      <c r="H63" s="85"/>
      <c r="I63" s="18" t="s">
        <v>137</v>
      </c>
      <c r="J63" s="21"/>
    </row>
    <row r="64" spans="1:14" ht="15.75" customHeight="1" x14ac:dyDescent="0.35">
      <c r="A64" s="93" t="s">
        <v>54</v>
      </c>
      <c r="B64" s="73"/>
      <c r="C64" s="41" t="s">
        <v>177</v>
      </c>
      <c r="D64" s="41" t="s">
        <v>119</v>
      </c>
      <c r="E64" s="73" t="s">
        <v>121</v>
      </c>
      <c r="F64" s="73"/>
      <c r="G64" s="73" t="s">
        <v>120</v>
      </c>
      <c r="H64" s="94"/>
      <c r="I64" s="50" t="s">
        <v>179</v>
      </c>
      <c r="J64" s="22">
        <f ca="1">H62*25%</f>
        <v>1.75</v>
      </c>
    </row>
    <row r="65" spans="1:10" x14ac:dyDescent="0.35">
      <c r="A65" s="93" t="s">
        <v>166</v>
      </c>
      <c r="B65" s="73"/>
      <c r="C65" s="51">
        <v>7</v>
      </c>
      <c r="D65" s="42">
        <f ca="1">((100/H62)*C65)/100</f>
        <v>1</v>
      </c>
      <c r="E65" s="74">
        <f ca="1">(((C66/H62*10)+(40/(D62+F62+H62)*C67)+(7.5/(H62)*C68)+(7.5/(H62)*C69)+(10/H62*C70)+(10/H62*C71)+(5/H62*C72)+(5/H62*C73)+(5/H62*C74))/100)</f>
        <v>0.8571428571428571</v>
      </c>
      <c r="F65" s="74"/>
      <c r="G65" s="74">
        <f ca="1">((((C65/H62)*20)+((C66/H62)*25)+(30/(H62+F62+D62)*C67)+(5/H62*C68)+(5/H62*C69)+(5/H62*C70)+(5/H62*C71)+(0/H62*C72)+(0/H62*C73)+(5/H62*C74))/100)</f>
        <v>0.93571428571428572</v>
      </c>
      <c r="H65" s="96"/>
      <c r="I65" s="50" t="s">
        <v>132</v>
      </c>
      <c r="J65" s="52">
        <f ca="1">H62*50%</f>
        <v>3.5</v>
      </c>
    </row>
    <row r="66" spans="1:10" x14ac:dyDescent="0.35">
      <c r="A66" s="93" t="s">
        <v>55</v>
      </c>
      <c r="B66" s="73"/>
      <c r="C66" s="53">
        <v>7</v>
      </c>
      <c r="D66" s="42">
        <f ca="1">((100/H62)*C66)/100</f>
        <v>1</v>
      </c>
      <c r="E66" s="74"/>
      <c r="F66" s="74"/>
      <c r="G66" s="74"/>
      <c r="H66" s="96"/>
      <c r="I66" s="50" t="s">
        <v>133</v>
      </c>
      <c r="J66" s="52">
        <f ca="1">H62</f>
        <v>7</v>
      </c>
    </row>
    <row r="67" spans="1:10" ht="15.75" customHeight="1" x14ac:dyDescent="0.35">
      <c r="A67" s="98" t="s">
        <v>167</v>
      </c>
      <c r="B67" s="99"/>
      <c r="C67" s="53">
        <v>8</v>
      </c>
      <c r="D67" s="42">
        <f ca="1">((100/(D62+F62+H62))*C67)/100</f>
        <v>1</v>
      </c>
      <c r="E67" s="74"/>
      <c r="F67" s="74"/>
      <c r="G67" s="74"/>
      <c r="H67" s="96"/>
      <c r="I67" s="50" t="s">
        <v>134</v>
      </c>
      <c r="J67" s="54">
        <f ca="1">(IF(B62&gt;1,(H62/(B62+2)),H62/4))</f>
        <v>1.75</v>
      </c>
    </row>
    <row r="68" spans="1:10" ht="15.75" customHeight="1" x14ac:dyDescent="0.35">
      <c r="A68" s="93" t="s">
        <v>174</v>
      </c>
      <c r="B68" s="73" t="s">
        <v>168</v>
      </c>
      <c r="C68" s="51">
        <v>7</v>
      </c>
      <c r="D68" s="42">
        <f ca="1">((100/H62)*C68)/100</f>
        <v>1</v>
      </c>
      <c r="E68" s="74"/>
      <c r="F68" s="74"/>
      <c r="G68" s="74"/>
      <c r="H68" s="96"/>
      <c r="I68" s="50" t="s">
        <v>135</v>
      </c>
      <c r="J68" s="54">
        <f ca="1">(IF(B62&gt;1,(H62/(B62+2)+J67),H62/4+J67))</f>
        <v>3.5</v>
      </c>
    </row>
    <row r="69" spans="1:10" ht="15.75" customHeight="1" x14ac:dyDescent="0.35">
      <c r="A69" s="93" t="s">
        <v>175</v>
      </c>
      <c r="B69" s="73" t="s">
        <v>168</v>
      </c>
      <c r="C69" s="51">
        <v>7</v>
      </c>
      <c r="D69" s="42">
        <f ca="1">((100/H62)*C69)/100</f>
        <v>1</v>
      </c>
      <c r="E69" s="74"/>
      <c r="F69" s="74"/>
      <c r="G69" s="74"/>
      <c r="H69" s="96"/>
      <c r="I69" s="50" t="s">
        <v>184</v>
      </c>
      <c r="J69" s="54">
        <f>(IF(B62&gt;1,(H62/(B62+2)+J68),0))</f>
        <v>0</v>
      </c>
    </row>
    <row r="70" spans="1:10" ht="15" customHeight="1" x14ac:dyDescent="0.35">
      <c r="A70" s="93" t="s">
        <v>173</v>
      </c>
      <c r="B70" s="73" t="s">
        <v>170</v>
      </c>
      <c r="C70" s="51">
        <v>7</v>
      </c>
      <c r="D70" s="42">
        <f ca="1">((100/(H62))*C70)/100</f>
        <v>1</v>
      </c>
      <c r="E70" s="74"/>
      <c r="F70" s="74"/>
      <c r="G70" s="74"/>
      <c r="H70" s="96"/>
      <c r="I70" s="50" t="s">
        <v>181</v>
      </c>
      <c r="J70" s="54">
        <f>(IF(B62&gt;2,(H62/(B62+2)+J69),0))</f>
        <v>0</v>
      </c>
    </row>
    <row r="71" spans="1:10" ht="15.75" customHeight="1" x14ac:dyDescent="0.35">
      <c r="A71" s="93" t="s">
        <v>169</v>
      </c>
      <c r="B71" s="73" t="s">
        <v>169</v>
      </c>
      <c r="C71" s="51">
        <v>5</v>
      </c>
      <c r="D71" s="42">
        <f ca="1">((100/H62)*C71)/100</f>
        <v>0.7142857142857143</v>
      </c>
      <c r="E71" s="74"/>
      <c r="F71" s="74"/>
      <c r="G71" s="74"/>
      <c r="H71" s="96"/>
      <c r="I71" s="50" t="s">
        <v>182</v>
      </c>
      <c r="J71" s="55">
        <f>(IF(B62&gt;3,(H62/(B62+2)+J70),0))</f>
        <v>0</v>
      </c>
    </row>
    <row r="72" spans="1:10" ht="15.75" customHeight="1" x14ac:dyDescent="0.35">
      <c r="A72" s="93" t="s">
        <v>176</v>
      </c>
      <c r="B72" s="73"/>
      <c r="C72" s="51">
        <v>5</v>
      </c>
      <c r="D72" s="42">
        <f ca="1">((100/H62)*C72)/100</f>
        <v>0.7142857142857143</v>
      </c>
      <c r="E72" s="74"/>
      <c r="F72" s="74"/>
      <c r="G72" s="74"/>
      <c r="H72" s="96"/>
      <c r="I72" s="50" t="s">
        <v>183</v>
      </c>
      <c r="J72" s="54">
        <f>(IF(B62&gt;4,(H62/(B62+2)+J71),0))</f>
        <v>0</v>
      </c>
    </row>
    <row r="73" spans="1:10" ht="15.75" customHeight="1" x14ac:dyDescent="0.35">
      <c r="A73" s="93" t="s">
        <v>171</v>
      </c>
      <c r="B73" s="73" t="s">
        <v>171</v>
      </c>
      <c r="C73" s="51">
        <v>0</v>
      </c>
      <c r="D73" s="42">
        <f ca="1">((100/(H62))*C73)/100</f>
        <v>0</v>
      </c>
      <c r="E73" s="74"/>
      <c r="F73" s="74"/>
      <c r="G73" s="74"/>
      <c r="H73" s="96"/>
      <c r="I73" s="50" t="s">
        <v>185</v>
      </c>
      <c r="J73" s="54">
        <f ca="1">(IF(B62=1,(H62/(B62+3)+J68),IF(B62=0,(H62/4+J68),IF(B62&gt;1,0))))</f>
        <v>5.25</v>
      </c>
    </row>
    <row r="74" spans="1:10" ht="16" thickBot="1" x14ac:dyDescent="0.4">
      <c r="A74" s="100" t="s">
        <v>172</v>
      </c>
      <c r="B74" s="101"/>
      <c r="C74" s="56">
        <v>0</v>
      </c>
      <c r="D74" s="43">
        <f ca="1">((100/(H62))*C74)/100</f>
        <v>0</v>
      </c>
      <c r="E74" s="95"/>
      <c r="F74" s="95"/>
      <c r="G74" s="95"/>
      <c r="H74" s="97"/>
      <c r="I74" s="57" t="s">
        <v>136</v>
      </c>
      <c r="J74" s="58">
        <f ca="1">(IF(B62&gt;1.5,(H62/(B62+2)+J68+MAX(0,J69-J68)+MAX(0,J70-J69)+MAX(0,J71-J70)+MAX(0,J72-J71)+MAX(0,J73-J72)),IF(B62=1,(H62/(B62+3)+J73),IF(B62=0,H62/4+J73))))</f>
        <v>7</v>
      </c>
    </row>
    <row r="75" spans="1:10" ht="18" customHeight="1" x14ac:dyDescent="0.35">
      <c r="A75" s="86" t="s">
        <v>178</v>
      </c>
      <c r="B75" s="87"/>
      <c r="C75" s="88" t="str">
        <f>D55</f>
        <v>Building No.1 - B Wing = G + 1st to 7th Floor</v>
      </c>
      <c r="D75" s="89"/>
      <c r="E75" s="89"/>
      <c r="F75" s="89"/>
      <c r="G75" s="89"/>
      <c r="H75" s="90"/>
      <c r="I75" s="40" t="str">
        <f ca="1">(IF(E79&gt;99%,"All work completed. Please provide OC.",IF(E79&gt;89.8%,"Plinth, RCC, Brick, Plaster, Flooring, Painting work Completed. Finishing work is in process.",IF(E79&lt;94%,(IF(C79=0,"Work not yet Started.",IF(D79=25%,"Piling work in process",IF(D79=50%,"Excavation work in process",IF(D79=100%,"Excavation work Completed. ","0")))&amp;(IF(C80=0%,"",IF(C80=J81,"Footing work is process",IF(C80=J82,"Footing work Completed",IF(C80=J83,"1st Basement Completed",IF(C80=J84,"1st &amp; 2nd Basement Completed",IF(C80=J85,"1st to 3rd Basement Completed",IF(C80=J86,"1st to 4th Basement Completed",IF(C80=J87,"Plinth work is process",IF(C80=J88,"Plinth work completed","0")))))))))))&amp;(IF(C81=(D76+F76+H76),", RCC Slab",IF(C81&gt;0,", RCC upto "&amp;C81&amp;" Slab",""))&amp;(IF(C82=H76,", Brickwork",IF(C82&gt;0,", Brickwork upto "&amp;C82&amp;" Floor",""))&amp;(IF(C83=H76,", Internal Plaster",IF(C83&gt;0,", Internal Plaster upto "&amp;C83&amp;" Floor",""))&amp;(IF(C84=H76,", External Plaster",IF(C84&gt;0,", External Plaster upto "&amp;C84&amp;" Floor",""))&amp;(IF(C85=H76,", Flooring",IF(C85&gt;0,", Flooring upto "&amp;C85&amp;" Floor",""))&amp;(IF(C86=H76,", Painting",IF(C86&gt;0,", Painting upto "&amp;C86&amp;" Floor",""))&amp;(IF(C87&gt;0,", Finishing upto "&amp;C87&amp;" Floor","")&amp;(IF(C81&gt;0.5," Completed",""))))))))))))))</f>
        <v>Excavation work Completed. Plinth work completed, RCC Slab, Brickwork, Internal Plaster, External Plaster, Flooring upto 5 Floor, Painting upto 5 Floor Completed</v>
      </c>
      <c r="J75" s="20"/>
    </row>
    <row r="76" spans="1:10" x14ac:dyDescent="0.35">
      <c r="A76" s="47" t="s">
        <v>180</v>
      </c>
      <c r="B76" s="48">
        <v>0</v>
      </c>
      <c r="C76" s="48" t="s">
        <v>103</v>
      </c>
      <c r="D76" s="48">
        <v>1</v>
      </c>
      <c r="E76" s="48" t="s">
        <v>102</v>
      </c>
      <c r="F76" s="48">
        <v>0</v>
      </c>
      <c r="G76" s="48" t="s">
        <v>116</v>
      </c>
      <c r="H76" s="49">
        <f ca="1">--TRIM(RIGHT(SUBSTITUTE(LEFT(C75,_xlfn.AGGREGATE(16,6,FIND({0,1,2,3,4,5,6,7,8,9},C75,ROW(INDIRECT("1:"&amp;LEN(C75)))),1))," ",REPT(" ",LEN(C75))),LEN(C75)))</f>
        <v>7</v>
      </c>
      <c r="I76" s="18"/>
      <c r="J76" s="21"/>
    </row>
    <row r="77" spans="1:10" ht="48" customHeight="1" x14ac:dyDescent="0.35">
      <c r="A77" s="91" t="s">
        <v>126</v>
      </c>
      <c r="B77" s="84"/>
      <c r="C77" s="85" t="str">
        <f ca="1">I75</f>
        <v>Excavation work Completed. Plinth work completed, RCC Slab, Brickwork, Internal Plaster, External Plaster, Flooring upto 5 Floor, Painting upto 5 Floor Completed</v>
      </c>
      <c r="D77" s="85"/>
      <c r="E77" s="85"/>
      <c r="F77" s="85"/>
      <c r="G77" s="85"/>
      <c r="H77" s="92"/>
      <c r="I77" s="18" t="s">
        <v>137</v>
      </c>
      <c r="J77" s="21"/>
    </row>
    <row r="78" spans="1:10" ht="15.75" customHeight="1" x14ac:dyDescent="0.35">
      <c r="A78" s="93" t="s">
        <v>54</v>
      </c>
      <c r="B78" s="73"/>
      <c r="C78" s="41" t="s">
        <v>177</v>
      </c>
      <c r="D78" s="41" t="s">
        <v>119</v>
      </c>
      <c r="E78" s="73" t="s">
        <v>121</v>
      </c>
      <c r="F78" s="73"/>
      <c r="G78" s="73" t="s">
        <v>120</v>
      </c>
      <c r="H78" s="94"/>
      <c r="I78" s="50" t="s">
        <v>179</v>
      </c>
      <c r="J78" s="22">
        <f ca="1">H76*25%</f>
        <v>1.75</v>
      </c>
    </row>
    <row r="79" spans="1:10" x14ac:dyDescent="0.35">
      <c r="A79" s="93" t="s">
        <v>166</v>
      </c>
      <c r="B79" s="73"/>
      <c r="C79" s="51">
        <v>7</v>
      </c>
      <c r="D79" s="42">
        <f ca="1">((100/H76)*C79)/100</f>
        <v>1</v>
      </c>
      <c r="E79" s="74">
        <f ca="1">(((C80/H76*10)+(40/(D76+F76+H76)*C81)+(7.5/(H76)*C82)+(7.5/(H76)*C83)+(10/H76*C84)+(10/H76*C85)+(5/H76*C86)+(5/H76*C87)+(5/H76*C88))/100)</f>
        <v>0.8571428571428571</v>
      </c>
      <c r="F79" s="74"/>
      <c r="G79" s="74">
        <f ca="1">((((C79/H76)*20)+((C80/H76)*25)+(30/(H76+F76+D76)*C81)+(5/H76*C82)+(5/H76*C83)+(5/H76*C84)+(5/H76*C85)+(0/H76*C86)+(0/H76*C87)+(5/H76*C88))/100)</f>
        <v>0.93571428571428572</v>
      </c>
      <c r="H79" s="96"/>
      <c r="I79" s="50" t="s">
        <v>132</v>
      </c>
      <c r="J79" s="52">
        <f ca="1">H76*50%</f>
        <v>3.5</v>
      </c>
    </row>
    <row r="80" spans="1:10" x14ac:dyDescent="0.35">
      <c r="A80" s="93" t="s">
        <v>55</v>
      </c>
      <c r="B80" s="73"/>
      <c r="C80" s="53">
        <v>7</v>
      </c>
      <c r="D80" s="42">
        <f ca="1">((100/H76)*C80)/100</f>
        <v>1</v>
      </c>
      <c r="E80" s="74"/>
      <c r="F80" s="74"/>
      <c r="G80" s="74"/>
      <c r="H80" s="96"/>
      <c r="I80" s="50" t="s">
        <v>133</v>
      </c>
      <c r="J80" s="52">
        <f ca="1">H76</f>
        <v>7</v>
      </c>
    </row>
    <row r="81" spans="1:10" ht="15.75" customHeight="1" x14ac:dyDescent="0.35">
      <c r="A81" s="98" t="s">
        <v>167</v>
      </c>
      <c r="B81" s="99"/>
      <c r="C81" s="53">
        <v>8</v>
      </c>
      <c r="D81" s="42">
        <f ca="1">((100/(D76+F76+H76))*C81)/100</f>
        <v>1</v>
      </c>
      <c r="E81" s="74"/>
      <c r="F81" s="74"/>
      <c r="G81" s="74"/>
      <c r="H81" s="96"/>
      <c r="I81" s="50" t="s">
        <v>134</v>
      </c>
      <c r="J81" s="54">
        <f ca="1">(IF(B76&gt;1,(H76/(B76+2)),H76/4))</f>
        <v>1.75</v>
      </c>
    </row>
    <row r="82" spans="1:10" ht="15.75" customHeight="1" x14ac:dyDescent="0.35">
      <c r="A82" s="93" t="s">
        <v>174</v>
      </c>
      <c r="B82" s="73" t="s">
        <v>168</v>
      </c>
      <c r="C82" s="51">
        <v>7</v>
      </c>
      <c r="D82" s="42">
        <f ca="1">((100/H76)*C82)/100</f>
        <v>1</v>
      </c>
      <c r="E82" s="74"/>
      <c r="F82" s="74"/>
      <c r="G82" s="74"/>
      <c r="H82" s="96"/>
      <c r="I82" s="50" t="s">
        <v>135</v>
      </c>
      <c r="J82" s="54">
        <f ca="1">(IF(B76&gt;1,(H76/(B76+2)+J81),H76/4+J81))</f>
        <v>3.5</v>
      </c>
    </row>
    <row r="83" spans="1:10" ht="15.75" customHeight="1" x14ac:dyDescent="0.35">
      <c r="A83" s="93" t="s">
        <v>175</v>
      </c>
      <c r="B83" s="73" t="s">
        <v>168</v>
      </c>
      <c r="C83" s="51">
        <v>7</v>
      </c>
      <c r="D83" s="42">
        <f ca="1">((100/H76)*C83)/100</f>
        <v>1</v>
      </c>
      <c r="E83" s="74"/>
      <c r="F83" s="74"/>
      <c r="G83" s="74"/>
      <c r="H83" s="96"/>
      <c r="I83" s="50" t="s">
        <v>184</v>
      </c>
      <c r="J83" s="54">
        <f>(IF(B76&gt;1,(H76/(B76+2)+J82),0))</f>
        <v>0</v>
      </c>
    </row>
    <row r="84" spans="1:10" ht="15" customHeight="1" x14ac:dyDescent="0.35">
      <c r="A84" s="93" t="s">
        <v>173</v>
      </c>
      <c r="B84" s="73" t="s">
        <v>170</v>
      </c>
      <c r="C84" s="51">
        <v>7</v>
      </c>
      <c r="D84" s="42">
        <f ca="1">((100/(H76))*C84)/100</f>
        <v>1</v>
      </c>
      <c r="E84" s="74"/>
      <c r="F84" s="74"/>
      <c r="G84" s="74"/>
      <c r="H84" s="96"/>
      <c r="I84" s="50" t="s">
        <v>181</v>
      </c>
      <c r="J84" s="54">
        <f>(IF(B76&gt;2,(H76/(B76+2)+J83),0))</f>
        <v>0</v>
      </c>
    </row>
    <row r="85" spans="1:10" ht="15.75" customHeight="1" x14ac:dyDescent="0.35">
      <c r="A85" s="93" t="s">
        <v>169</v>
      </c>
      <c r="B85" s="73" t="s">
        <v>169</v>
      </c>
      <c r="C85" s="51">
        <v>5</v>
      </c>
      <c r="D85" s="42">
        <f ca="1">((100/H76)*C85)/100</f>
        <v>0.7142857142857143</v>
      </c>
      <c r="E85" s="74"/>
      <c r="F85" s="74"/>
      <c r="G85" s="74"/>
      <c r="H85" s="96"/>
      <c r="I85" s="50" t="s">
        <v>182</v>
      </c>
      <c r="J85" s="55">
        <f>(IF(B76&gt;3,(H76/(B76+2)+J84),0))</f>
        <v>0</v>
      </c>
    </row>
    <row r="86" spans="1:10" ht="15.75" customHeight="1" x14ac:dyDescent="0.35">
      <c r="A86" s="93" t="s">
        <v>176</v>
      </c>
      <c r="B86" s="73"/>
      <c r="C86" s="51">
        <v>5</v>
      </c>
      <c r="D86" s="42">
        <f ca="1">((100/H76)*C86)/100</f>
        <v>0.7142857142857143</v>
      </c>
      <c r="E86" s="74"/>
      <c r="F86" s="74"/>
      <c r="G86" s="74"/>
      <c r="H86" s="96"/>
      <c r="I86" s="50" t="s">
        <v>183</v>
      </c>
      <c r="J86" s="54">
        <f>(IF(B76&gt;4,(H76/(B76+2)+J85),0))</f>
        <v>0</v>
      </c>
    </row>
    <row r="87" spans="1:10" ht="15.75" customHeight="1" x14ac:dyDescent="0.35">
      <c r="A87" s="93" t="s">
        <v>171</v>
      </c>
      <c r="B87" s="73" t="s">
        <v>171</v>
      </c>
      <c r="C87" s="51">
        <v>0</v>
      </c>
      <c r="D87" s="42">
        <f ca="1">((100/(H76))*C87)/100</f>
        <v>0</v>
      </c>
      <c r="E87" s="74"/>
      <c r="F87" s="74"/>
      <c r="G87" s="74"/>
      <c r="H87" s="96"/>
      <c r="I87" s="50" t="s">
        <v>185</v>
      </c>
      <c r="J87" s="54">
        <f ca="1">(IF(B76=1,(H76/(B76+3)+J82),IF(B76=0,(H76/4+J82),IF(B76&gt;1,0))))</f>
        <v>5.25</v>
      </c>
    </row>
    <row r="88" spans="1:10" ht="16" thickBot="1" x14ac:dyDescent="0.4">
      <c r="A88" s="100" t="s">
        <v>172</v>
      </c>
      <c r="B88" s="101"/>
      <c r="C88" s="56">
        <v>0</v>
      </c>
      <c r="D88" s="43">
        <f ca="1">((100/(H76))*C88)/100</f>
        <v>0</v>
      </c>
      <c r="E88" s="95"/>
      <c r="F88" s="95"/>
      <c r="G88" s="95"/>
      <c r="H88" s="97"/>
      <c r="I88" s="57" t="s">
        <v>136</v>
      </c>
      <c r="J88" s="58">
        <f ca="1">(IF(B76&gt;1.5,(H76/(B76+2)+J82+MAX(0,J83-J82)+MAX(0,J84-J83)+MAX(0,J85-J84)+MAX(0,J86-J85)+MAX(0,J87-J86)),IF(B76=1,(H76/(B76+3)+J87),IF(B76=0,H76/4+J87))))</f>
        <v>7</v>
      </c>
    </row>
    <row r="89" spans="1:10" ht="15.75" customHeight="1" x14ac:dyDescent="0.35">
      <c r="A89" s="79" t="s">
        <v>178</v>
      </c>
      <c r="B89" s="80"/>
      <c r="C89" s="81" t="str">
        <f>D56</f>
        <v>Building No.2 - A &amp; B Wing = G + 1st to 7th Floor</v>
      </c>
      <c r="D89" s="82"/>
      <c r="E89" s="82"/>
      <c r="F89" s="82"/>
      <c r="G89" s="82"/>
      <c r="H89" s="83"/>
      <c r="I89" s="40" t="str">
        <f ca="1">(IF(E93&gt;99%,"All work completed. Please provide OC.",IF(E93&gt;89.8%,"Plinth, RCC, Brick, Plaster, Flooring, Painting work Completed. Finishing work is in process.",IF(E93&lt;94%,(IF(C93=0,"Work not yet Started.",IF(D93=25%,"Piling work in process",IF(D93=50%,"Excavation work in process",IF(D93=100%,"Excavation work Completed. ","0")))&amp;(IF(C94=0%,"",IF(C94=J95,"Footing work is process",IF(C94=J96,"Footing work Completed",IF(C94=J97,"1st Basement Completed",IF(C94=J98,"1st &amp; 2nd Basement Completed",IF(C94=J99,"1st to 3rd Basement Completed",IF(C94=J100,"1st to 4th Basement Completed",IF(C94=J101,"Plinth work is process",IF(C94=J102,"Plinth work completed","0")))))))))))&amp;(IF(C95=(D90+F90+H90),", RCC Slab",IF(C95&gt;0,", RCC upto "&amp;C95&amp;" Slab",""))&amp;(IF(C96=H90,", Brickwork",IF(C96&gt;0,", Brickwork upto "&amp;C96&amp;" Floor",""))&amp;(IF(C97=H90,", Internal Plaster",IF(C97&gt;0,", Internal Plaster upto "&amp;C97&amp;" Floor",""))&amp;(IF(C98=H90,", External Plaster",IF(C98&gt;0,", External Plaster upto "&amp;C98&amp;" Floor",""))&amp;(IF(C99=H90,", Flooring",IF(C99&gt;0,", Flooring upto "&amp;C99&amp;" Floor",""))&amp;(IF(C100=H90,", Painting",IF(C100&gt;0,", Painting upto "&amp;C100&amp;" Floor",""))&amp;(IF(C101&gt;0,", Finishing upto "&amp;C101&amp;" Floor","")&amp;(IF(C95&gt;0.5," Completed",""))))))))))))))</f>
        <v>Excavation work Completed. Plinth work completed, RCC upto 6 Slab, Brickwork upto 3 Floor Completed</v>
      </c>
      <c r="J89" s="20"/>
    </row>
    <row r="90" spans="1:10" x14ac:dyDescent="0.35">
      <c r="A90" s="47" t="s">
        <v>180</v>
      </c>
      <c r="B90" s="48">
        <v>0</v>
      </c>
      <c r="C90" s="48" t="s">
        <v>103</v>
      </c>
      <c r="D90" s="48">
        <v>1</v>
      </c>
      <c r="E90" s="48" t="s">
        <v>102</v>
      </c>
      <c r="F90" s="48">
        <v>0</v>
      </c>
      <c r="G90" s="48" t="s">
        <v>116</v>
      </c>
      <c r="H90" s="49">
        <f ca="1">--TRIM(RIGHT(SUBSTITUTE(LEFT(C89,_xlfn.AGGREGATE(16,6,FIND({0,1,2,3,4,5,6,7,8,9},C89,ROW(INDIRECT("1:"&amp;LEN(C89)))),1))," ",REPT(" ",LEN(C89))),LEN(C89)))</f>
        <v>7</v>
      </c>
      <c r="I90" s="18"/>
      <c r="J90" s="21"/>
    </row>
    <row r="91" spans="1:10" ht="31.5" customHeight="1" x14ac:dyDescent="0.35">
      <c r="A91" s="91" t="s">
        <v>126</v>
      </c>
      <c r="B91" s="84"/>
      <c r="C91" s="85" t="str">
        <f ca="1">I89</f>
        <v>Excavation work Completed. Plinth work completed, RCC upto 6 Slab, Brickwork upto 3 Floor Completed</v>
      </c>
      <c r="D91" s="85"/>
      <c r="E91" s="85"/>
      <c r="F91" s="85"/>
      <c r="G91" s="85"/>
      <c r="H91" s="92"/>
      <c r="I91" s="18" t="s">
        <v>137</v>
      </c>
      <c r="J91" s="21"/>
    </row>
    <row r="92" spans="1:10" ht="15.75" customHeight="1" x14ac:dyDescent="0.35">
      <c r="A92" s="93" t="s">
        <v>54</v>
      </c>
      <c r="B92" s="73"/>
      <c r="C92" s="41" t="s">
        <v>177</v>
      </c>
      <c r="D92" s="41" t="s">
        <v>119</v>
      </c>
      <c r="E92" s="73" t="s">
        <v>121</v>
      </c>
      <c r="F92" s="73"/>
      <c r="G92" s="73" t="s">
        <v>120</v>
      </c>
      <c r="H92" s="94"/>
      <c r="I92" s="50" t="s">
        <v>179</v>
      </c>
      <c r="J92" s="22">
        <f ca="1">H90*25%</f>
        <v>1.75</v>
      </c>
    </row>
    <row r="93" spans="1:10" x14ac:dyDescent="0.35">
      <c r="A93" s="93" t="s">
        <v>166</v>
      </c>
      <c r="B93" s="73"/>
      <c r="C93" s="51">
        <f ca="1">J94</f>
        <v>7</v>
      </c>
      <c r="D93" s="42">
        <f ca="1">((100/H90)*C93)/100</f>
        <v>1</v>
      </c>
      <c r="E93" s="74">
        <f ca="1">(((C94/H90*10)+(40/(D90+F90+H90)*C95)+(7.5/(H90)*C96)+(7.5/(H90)*C97)+(10/H90*C98)+(10/H90*C99)+(5/H90*C100)+(5/H90*C101)+(5/H90*C102))/100)</f>
        <v>0.43214285714285716</v>
      </c>
      <c r="F93" s="74"/>
      <c r="G93" s="74">
        <f ca="1">((((C93/H90)*20)+((C94/H90)*25)+(30/(H90+F90+D90)*C95)+(5/H90*C96)+(5/H90*C97)+(5/H90*C98)+(5/H90*C99)+(0/H90*C100)+(0/H90*C101)+(5/H90*C102))/100)</f>
        <v>0.6964285714285714</v>
      </c>
      <c r="H93" s="96"/>
      <c r="I93" s="50" t="s">
        <v>132</v>
      </c>
      <c r="J93" s="52">
        <f ca="1">H90*50%</f>
        <v>3.5</v>
      </c>
    </row>
    <row r="94" spans="1:10" x14ac:dyDescent="0.35">
      <c r="A94" s="93" t="s">
        <v>55</v>
      </c>
      <c r="B94" s="73"/>
      <c r="C94" s="53">
        <f ca="1">J102</f>
        <v>7</v>
      </c>
      <c r="D94" s="42">
        <f ca="1">((100/H90)*C94)/100</f>
        <v>1</v>
      </c>
      <c r="E94" s="74"/>
      <c r="F94" s="74"/>
      <c r="G94" s="74"/>
      <c r="H94" s="96"/>
      <c r="I94" s="50" t="s">
        <v>133</v>
      </c>
      <c r="J94" s="52">
        <f ca="1">H90</f>
        <v>7</v>
      </c>
    </row>
    <row r="95" spans="1:10" ht="15.75" customHeight="1" x14ac:dyDescent="0.35">
      <c r="A95" s="93" t="s">
        <v>167</v>
      </c>
      <c r="B95" s="73"/>
      <c r="C95" s="53">
        <v>6</v>
      </c>
      <c r="D95" s="42">
        <f ca="1">((100/(D90+F90+H90))*C95)/100</f>
        <v>0.75</v>
      </c>
      <c r="E95" s="74"/>
      <c r="F95" s="74"/>
      <c r="G95" s="74"/>
      <c r="H95" s="96"/>
      <c r="I95" s="50" t="s">
        <v>134</v>
      </c>
      <c r="J95" s="54">
        <f ca="1">(IF(B90&gt;1,(H90/(B90+2)),H90/4))</f>
        <v>1.75</v>
      </c>
    </row>
    <row r="96" spans="1:10" ht="15.75" customHeight="1" x14ac:dyDescent="0.35">
      <c r="A96" s="93" t="s">
        <v>174</v>
      </c>
      <c r="B96" s="73" t="s">
        <v>168</v>
      </c>
      <c r="C96" s="51">
        <v>3</v>
      </c>
      <c r="D96" s="42">
        <f ca="1">((100/H90)*C96)/100</f>
        <v>0.4285714285714286</v>
      </c>
      <c r="E96" s="74"/>
      <c r="F96" s="74"/>
      <c r="G96" s="74"/>
      <c r="H96" s="96"/>
      <c r="I96" s="50" t="s">
        <v>135</v>
      </c>
      <c r="J96" s="54">
        <f ca="1">(IF(B90&gt;1,(H90/(B90+2)+J95),H90/4+J95))</f>
        <v>3.5</v>
      </c>
    </row>
    <row r="97" spans="1:10" ht="15.75" customHeight="1" x14ac:dyDescent="0.35">
      <c r="A97" s="93" t="s">
        <v>175</v>
      </c>
      <c r="B97" s="73" t="s">
        <v>168</v>
      </c>
      <c r="C97" s="51">
        <v>0</v>
      </c>
      <c r="D97" s="42">
        <f ca="1">((100/H90)*C97)/100</f>
        <v>0</v>
      </c>
      <c r="E97" s="74"/>
      <c r="F97" s="74"/>
      <c r="G97" s="74"/>
      <c r="H97" s="96"/>
      <c r="I97" s="50" t="s">
        <v>184</v>
      </c>
      <c r="J97" s="54">
        <f>(IF(B90&gt;1,(H90/(B90+2)+J96),0))</f>
        <v>0</v>
      </c>
    </row>
    <row r="98" spans="1:10" ht="15" customHeight="1" x14ac:dyDescent="0.35">
      <c r="A98" s="93" t="s">
        <v>173</v>
      </c>
      <c r="B98" s="73" t="s">
        <v>170</v>
      </c>
      <c r="C98" s="51">
        <v>0</v>
      </c>
      <c r="D98" s="42">
        <f ca="1">((100/(H90))*C98)/100</f>
        <v>0</v>
      </c>
      <c r="E98" s="74"/>
      <c r="F98" s="74"/>
      <c r="G98" s="74"/>
      <c r="H98" s="96"/>
      <c r="I98" s="50" t="s">
        <v>181</v>
      </c>
      <c r="J98" s="54">
        <f>(IF(B90&gt;2,(H90/(B90+2)+J97),0))</f>
        <v>0</v>
      </c>
    </row>
    <row r="99" spans="1:10" ht="15.75" customHeight="1" x14ac:dyDescent="0.35">
      <c r="A99" s="93" t="s">
        <v>169</v>
      </c>
      <c r="B99" s="73" t="s">
        <v>169</v>
      </c>
      <c r="C99" s="51">
        <v>0</v>
      </c>
      <c r="D99" s="42">
        <f ca="1">((100/H90)*C99)/100</f>
        <v>0</v>
      </c>
      <c r="E99" s="74"/>
      <c r="F99" s="74"/>
      <c r="G99" s="74"/>
      <c r="H99" s="96"/>
      <c r="I99" s="50" t="s">
        <v>182</v>
      </c>
      <c r="J99" s="55">
        <f>(IF(B90&gt;3,(H90/(B90+2)+J98),0))</f>
        <v>0</v>
      </c>
    </row>
    <row r="100" spans="1:10" ht="15.75" customHeight="1" x14ac:dyDescent="0.35">
      <c r="A100" s="93" t="s">
        <v>176</v>
      </c>
      <c r="B100" s="73"/>
      <c r="C100" s="51">
        <v>0</v>
      </c>
      <c r="D100" s="42">
        <f ca="1">((100/H90)*C100)/100</f>
        <v>0</v>
      </c>
      <c r="E100" s="74"/>
      <c r="F100" s="74"/>
      <c r="G100" s="74"/>
      <c r="H100" s="96"/>
      <c r="I100" s="50" t="s">
        <v>183</v>
      </c>
      <c r="J100" s="54">
        <f>(IF(B90&gt;4,(H90/(B90+2)+J99),0))</f>
        <v>0</v>
      </c>
    </row>
    <row r="101" spans="1:10" ht="15.75" customHeight="1" x14ac:dyDescent="0.35">
      <c r="A101" s="93" t="s">
        <v>171</v>
      </c>
      <c r="B101" s="73" t="s">
        <v>171</v>
      </c>
      <c r="C101" s="51">
        <v>0</v>
      </c>
      <c r="D101" s="42">
        <f ca="1">((100/(H90))*C101)/100</f>
        <v>0</v>
      </c>
      <c r="E101" s="74"/>
      <c r="F101" s="74"/>
      <c r="G101" s="74"/>
      <c r="H101" s="96"/>
      <c r="I101" s="50" t="s">
        <v>185</v>
      </c>
      <c r="J101" s="54">
        <f ca="1">(IF(B90=1,(H90/(B90+3)+J96),IF(B90=0,(H90/4+J96),IF(B90&gt;1,0))))</f>
        <v>5.25</v>
      </c>
    </row>
    <row r="102" spans="1:10" ht="16" thickBot="1" x14ac:dyDescent="0.4">
      <c r="A102" s="100" t="s">
        <v>172</v>
      </c>
      <c r="B102" s="101"/>
      <c r="C102" s="56">
        <v>0</v>
      </c>
      <c r="D102" s="43">
        <f ca="1">((100/(H90))*C102)/100</f>
        <v>0</v>
      </c>
      <c r="E102" s="95"/>
      <c r="F102" s="95"/>
      <c r="G102" s="95"/>
      <c r="H102" s="97"/>
      <c r="I102" s="57" t="s">
        <v>136</v>
      </c>
      <c r="J102" s="58">
        <f ca="1">(IF(B90&gt;1.5,(H90/(B90+2)+J96+MAX(0,J97-J96)+MAX(0,J98-J97)+MAX(0,J99-J98)+MAX(0,J100-J99)+MAX(0,J101-J100)),IF(B90=1,(H90/(B90+3)+J101),IF(B90=0,H90/4+J101))))</f>
        <v>7</v>
      </c>
    </row>
    <row r="103" spans="1:10" ht="15.75" hidden="1" customHeight="1" x14ac:dyDescent="0.35">
      <c r="A103" s="79" t="s">
        <v>178</v>
      </c>
      <c r="B103" s="80"/>
      <c r="C103" s="81" t="s">
        <v>247</v>
      </c>
      <c r="D103" s="82"/>
      <c r="E103" s="82"/>
      <c r="F103" s="82"/>
      <c r="G103" s="82"/>
      <c r="H103" s="83"/>
      <c r="I103" s="40" t="str">
        <f ca="1">(IF(E107&gt;99%,"All work completed. Please provide OC.",IF(E107&gt;89.8%,"Plinth, RCC, Brick, Plaster, Flooring, Painting work Completed. Finishing work is in process.",IF(E107&lt;94%,(IF(C107=0,"Work not yet Started.",IF(D107=25%,"Piling work in process",IF(D107=50%,"Excavation work in process",IF(D107=100%,"Excavation work Completed. ","0")))&amp;(IF(C108=0%,"",IF(C108=J109,"Footing work is process",IF(C108=J110,"Footing work Completed",IF(C108=J111,"1st Basement Completed",IF(C108=J112,"1st &amp; 2nd Basement Completed",IF(C108=J113,"1st to 3rd Basement Completed",IF(C108=J114,"1st to 4th Basement Completed",IF(C108=J115,"Plinth work is process",IF(C108=J116,"Plinth work completed","0")))))))))))&amp;(IF(C109=(D104+F104+H104),", RCC Slab",IF(C109&gt;0,", RCC upto "&amp;C109&amp;" Slab",""))&amp;(IF(C110=H104,", Brickwork",IF(C110&gt;0,", Brickwork upto "&amp;C110&amp;" Floor",""))&amp;(IF(C111=H104,", Internal Plaster",IF(C111&gt;0,", Internal Plaster upto "&amp;C111&amp;" Floor",""))&amp;(IF(C112=H104,", External Plaster",IF(C112&gt;0,", External Plaster upto "&amp;C112&amp;" Floor",""))&amp;(IF(C113=H104,", Flooring",IF(C113&gt;0,", Flooring upto "&amp;C113&amp;" Floor",""))&amp;(IF(C114=H104,", Painting",IF(C114&gt;0,", Painting upto "&amp;C114&amp;" Floor",""))&amp;(IF(C115&gt;0,", Finishing upto "&amp;C115&amp;" Floor","")&amp;(IF(C109&gt;0.5," Completed",""))))))))))))))</f>
        <v>Excavation work Completed. Plinth work completed, RCC upto 4 Slab Completed</v>
      </c>
      <c r="J103" s="20"/>
    </row>
    <row r="104" spans="1:10" hidden="1" x14ac:dyDescent="0.35">
      <c r="A104" s="66" t="s">
        <v>180</v>
      </c>
      <c r="B104" s="67">
        <v>0</v>
      </c>
      <c r="C104" s="67" t="s">
        <v>103</v>
      </c>
      <c r="D104" s="67">
        <v>1</v>
      </c>
      <c r="E104" s="67" t="s">
        <v>102</v>
      </c>
      <c r="F104" s="67">
        <v>0</v>
      </c>
      <c r="G104" s="67" t="s">
        <v>116</v>
      </c>
      <c r="H104" s="49">
        <f ca="1">--TRIM(RIGHT(SUBSTITUTE(LEFT(C103,_xlfn.AGGREGATE(16,6,FIND({0,1,2,3,4,5,6,7,8,9},C103,ROW(INDIRECT("1:"&amp;LEN(C103)))),1))," ",REPT(" ",LEN(C103))),LEN(C103)))</f>
        <v>7</v>
      </c>
      <c r="I104" s="18"/>
      <c r="J104" s="21"/>
    </row>
    <row r="105" spans="1:10" ht="33.75" hidden="1" customHeight="1" x14ac:dyDescent="0.35">
      <c r="A105" s="84" t="s">
        <v>126</v>
      </c>
      <c r="B105" s="84"/>
      <c r="C105" s="85" t="str">
        <f ca="1">I103</f>
        <v>Excavation work Completed. Plinth work completed, RCC upto 4 Slab Completed</v>
      </c>
      <c r="D105" s="85"/>
      <c r="E105" s="85"/>
      <c r="F105" s="85"/>
      <c r="G105" s="85"/>
      <c r="H105" s="85"/>
      <c r="I105" s="18" t="s">
        <v>137</v>
      </c>
      <c r="J105" s="21"/>
    </row>
    <row r="106" spans="1:10" ht="15.75" hidden="1" customHeight="1" x14ac:dyDescent="0.35">
      <c r="A106" s="73" t="s">
        <v>54</v>
      </c>
      <c r="B106" s="73"/>
      <c r="C106" s="68" t="s">
        <v>177</v>
      </c>
      <c r="D106" s="68" t="s">
        <v>119</v>
      </c>
      <c r="E106" s="73" t="s">
        <v>121</v>
      </c>
      <c r="F106" s="73"/>
      <c r="G106" s="73" t="s">
        <v>120</v>
      </c>
      <c r="H106" s="73"/>
      <c r="I106" s="50" t="s">
        <v>179</v>
      </c>
      <c r="J106" s="22">
        <f ca="1">H104*25%</f>
        <v>1.75</v>
      </c>
    </row>
    <row r="107" spans="1:10" hidden="1" x14ac:dyDescent="0.35">
      <c r="A107" s="73" t="s">
        <v>166</v>
      </c>
      <c r="B107" s="73"/>
      <c r="C107" s="51">
        <f ca="1">J108</f>
        <v>7</v>
      </c>
      <c r="D107" s="69">
        <f ca="1">((100/H104)*C107)/100</f>
        <v>1</v>
      </c>
      <c r="E107" s="74">
        <f ca="1">(((C108/H104*10)+(40/(D104+F104+H104)*C109)+(7.5/(H104)*C110)+(7.5/(H104)*C111)+(10/H104*C112)+(10/H104*C113)+(5/H104*C114)+(5/H104*C115)+(5/H104*C116))/100)</f>
        <v>0.3</v>
      </c>
      <c r="F107" s="74"/>
      <c r="G107" s="74">
        <f ca="1">((((C107/H104)*20)+((C108/H104)*25)+(30/(H104+F104+D104)*C109)+(5/H104*C110)+(5/H104*C111)+(5/H104*C112)+(5/H104*C113)+(0/H104*C114)+(0/H104*C115)+(5/H104*C116))/100)</f>
        <v>0.6</v>
      </c>
      <c r="H107" s="74"/>
      <c r="I107" s="50" t="s">
        <v>132</v>
      </c>
      <c r="J107" s="52">
        <f ca="1">H104*50%</f>
        <v>3.5</v>
      </c>
    </row>
    <row r="108" spans="1:10" hidden="1" x14ac:dyDescent="0.35">
      <c r="A108" s="73" t="s">
        <v>55</v>
      </c>
      <c r="B108" s="73"/>
      <c r="C108" s="53">
        <f ca="1">J116</f>
        <v>7</v>
      </c>
      <c r="D108" s="69">
        <f ca="1">((100/H104)*C108)/100</f>
        <v>1</v>
      </c>
      <c r="E108" s="74"/>
      <c r="F108" s="74"/>
      <c r="G108" s="74"/>
      <c r="H108" s="74"/>
      <c r="I108" s="50" t="s">
        <v>133</v>
      </c>
      <c r="J108" s="52">
        <f ca="1">H104</f>
        <v>7</v>
      </c>
    </row>
    <row r="109" spans="1:10" ht="15.75" hidden="1" customHeight="1" x14ac:dyDescent="0.35">
      <c r="A109" s="73" t="s">
        <v>167</v>
      </c>
      <c r="B109" s="73"/>
      <c r="C109" s="53">
        <v>4</v>
      </c>
      <c r="D109" s="69">
        <f ca="1">((100/(D104+F104+H104))*C109)/100</f>
        <v>0.5</v>
      </c>
      <c r="E109" s="74"/>
      <c r="F109" s="74"/>
      <c r="G109" s="74"/>
      <c r="H109" s="74"/>
      <c r="I109" s="50" t="s">
        <v>134</v>
      </c>
      <c r="J109" s="54">
        <f ca="1">(IF(B104&gt;1,(H104/(B104+2)),H104/4))</f>
        <v>1.75</v>
      </c>
    </row>
    <row r="110" spans="1:10" ht="15.75" hidden="1" customHeight="1" x14ac:dyDescent="0.35">
      <c r="A110" s="73" t="s">
        <v>174</v>
      </c>
      <c r="B110" s="73" t="s">
        <v>168</v>
      </c>
      <c r="C110" s="51">
        <v>0</v>
      </c>
      <c r="D110" s="69">
        <f ca="1">((100/H104)*C110)/100</f>
        <v>0</v>
      </c>
      <c r="E110" s="74"/>
      <c r="F110" s="74"/>
      <c r="G110" s="74"/>
      <c r="H110" s="74"/>
      <c r="I110" s="50" t="s">
        <v>135</v>
      </c>
      <c r="J110" s="54">
        <f ca="1">(IF(B104&gt;1,(H104/(B104+2)+J109),H104/4+J109))</f>
        <v>3.5</v>
      </c>
    </row>
    <row r="111" spans="1:10" ht="15.75" hidden="1" customHeight="1" x14ac:dyDescent="0.35">
      <c r="A111" s="73" t="s">
        <v>175</v>
      </c>
      <c r="B111" s="73" t="s">
        <v>168</v>
      </c>
      <c r="C111" s="51">
        <v>0</v>
      </c>
      <c r="D111" s="69">
        <f ca="1">((100/H104)*C111)/100</f>
        <v>0</v>
      </c>
      <c r="E111" s="74"/>
      <c r="F111" s="74"/>
      <c r="G111" s="74"/>
      <c r="H111" s="74"/>
      <c r="I111" s="50" t="s">
        <v>184</v>
      </c>
      <c r="J111" s="54">
        <f>(IF(B104&gt;1,(H104/(B104+2)+J110),0))</f>
        <v>0</v>
      </c>
    </row>
    <row r="112" spans="1:10" ht="15" hidden="1" customHeight="1" x14ac:dyDescent="0.35">
      <c r="A112" s="73" t="s">
        <v>173</v>
      </c>
      <c r="B112" s="73" t="s">
        <v>170</v>
      </c>
      <c r="C112" s="51">
        <v>0</v>
      </c>
      <c r="D112" s="69">
        <f ca="1">((100/(H104))*C112)/100</f>
        <v>0</v>
      </c>
      <c r="E112" s="74"/>
      <c r="F112" s="74"/>
      <c r="G112" s="74"/>
      <c r="H112" s="74"/>
      <c r="I112" s="50" t="s">
        <v>181</v>
      </c>
      <c r="J112" s="54">
        <f>(IF(B104&gt;2,(H104/(B104+2)+J111),0))</f>
        <v>0</v>
      </c>
    </row>
    <row r="113" spans="1:10" ht="15.75" hidden="1" customHeight="1" x14ac:dyDescent="0.35">
      <c r="A113" s="73" t="s">
        <v>169</v>
      </c>
      <c r="B113" s="73" t="s">
        <v>169</v>
      </c>
      <c r="C113" s="51">
        <v>0</v>
      </c>
      <c r="D113" s="69">
        <f ca="1">((100/H104)*C113)/100</f>
        <v>0</v>
      </c>
      <c r="E113" s="74"/>
      <c r="F113" s="74"/>
      <c r="G113" s="74"/>
      <c r="H113" s="74"/>
      <c r="I113" s="50" t="s">
        <v>182</v>
      </c>
      <c r="J113" s="55">
        <f>(IF(B104&gt;3,(H104/(B104+2)+J112),0))</f>
        <v>0</v>
      </c>
    </row>
    <row r="114" spans="1:10" ht="15.75" hidden="1" customHeight="1" x14ac:dyDescent="0.35">
      <c r="A114" s="73" t="s">
        <v>176</v>
      </c>
      <c r="B114" s="73"/>
      <c r="C114" s="51">
        <v>0</v>
      </c>
      <c r="D114" s="69">
        <f ca="1">((100/H104)*C114)/100</f>
        <v>0</v>
      </c>
      <c r="E114" s="74"/>
      <c r="F114" s="74"/>
      <c r="G114" s="74"/>
      <c r="H114" s="74"/>
      <c r="I114" s="50" t="s">
        <v>183</v>
      </c>
      <c r="J114" s="54">
        <f>(IF(B104&gt;4,(H104/(B104+2)+J113),0))</f>
        <v>0</v>
      </c>
    </row>
    <row r="115" spans="1:10" ht="15.75" hidden="1" customHeight="1" x14ac:dyDescent="0.35">
      <c r="A115" s="73" t="s">
        <v>171</v>
      </c>
      <c r="B115" s="73" t="s">
        <v>171</v>
      </c>
      <c r="C115" s="51">
        <v>0</v>
      </c>
      <c r="D115" s="69">
        <f ca="1">((100/(H104))*C115)/100</f>
        <v>0</v>
      </c>
      <c r="E115" s="74"/>
      <c r="F115" s="74"/>
      <c r="G115" s="74"/>
      <c r="H115" s="74"/>
      <c r="I115" s="50" t="s">
        <v>185</v>
      </c>
      <c r="J115" s="54">
        <f ca="1">(IF(B104=1,(H104/(B104+3)+J110),IF(B104=0,(H104/4+J110),IF(B104&gt;1,0))))</f>
        <v>5.25</v>
      </c>
    </row>
    <row r="116" spans="1:10" ht="16" hidden="1" thickBot="1" x14ac:dyDescent="0.4">
      <c r="A116" s="73" t="s">
        <v>172</v>
      </c>
      <c r="B116" s="73"/>
      <c r="C116" s="51">
        <v>0</v>
      </c>
      <c r="D116" s="69">
        <f ca="1">((100/(H104))*C116)/100</f>
        <v>0</v>
      </c>
      <c r="E116" s="74"/>
      <c r="F116" s="74"/>
      <c r="G116" s="74"/>
      <c r="H116" s="74"/>
      <c r="I116" s="57" t="s">
        <v>136</v>
      </c>
      <c r="J116" s="58">
        <f ca="1">(IF(B104&gt;1.5,(H104/(B104+2)+J110+MAX(0,J111-J110)+MAX(0,J112-J111)+MAX(0,J113-J112)+MAX(0,J114-J113)+MAX(0,J115-J114)),IF(B104=1,(H104/(B104+3)+J115),IF(B104=0,H104/4+J115))))</f>
        <v>7</v>
      </c>
    </row>
    <row r="117" spans="1:10" x14ac:dyDescent="0.35">
      <c r="A117" s="175" t="s">
        <v>153</v>
      </c>
      <c r="B117" s="176"/>
      <c r="C117" s="176"/>
      <c r="D117" s="176"/>
      <c r="E117" s="177"/>
      <c r="F117" s="175" t="str">
        <f ca="1">(IF(D60="Nothing","Yes",IF(D60="Cement, Aggregate, Steel, etc","Under Construction",IF(D60="Work not yet Started","Work not yet Started"))))</f>
        <v>Under Construction</v>
      </c>
      <c r="G117" s="176"/>
      <c r="H117" s="177"/>
    </row>
    <row r="118" spans="1:10" x14ac:dyDescent="0.35">
      <c r="A118" s="76" t="s">
        <v>56</v>
      </c>
      <c r="B118" s="76"/>
      <c r="C118" s="76"/>
      <c r="D118" s="76"/>
      <c r="E118" s="76"/>
      <c r="F118" s="76"/>
      <c r="G118" s="76"/>
      <c r="H118" s="76"/>
    </row>
    <row r="119" spans="1:10" ht="15" customHeight="1" x14ac:dyDescent="0.35">
      <c r="A119" s="134" t="s">
        <v>106</v>
      </c>
      <c r="B119" s="134"/>
      <c r="C119" s="178" t="s">
        <v>107</v>
      </c>
      <c r="D119" s="178"/>
      <c r="E119" s="178"/>
      <c r="F119" s="178"/>
      <c r="G119" s="178"/>
      <c r="H119" s="178"/>
    </row>
    <row r="120" spans="1:10" x14ac:dyDescent="0.35">
      <c r="A120" s="135" t="s">
        <v>57</v>
      </c>
      <c r="B120" s="135"/>
      <c r="C120" s="135"/>
      <c r="D120" s="135"/>
      <c r="E120" s="135"/>
      <c r="F120" s="135"/>
      <c r="G120" s="135"/>
      <c r="H120" s="135"/>
    </row>
    <row r="121" spans="1:10" x14ac:dyDescent="0.35">
      <c r="A121" s="76" t="s">
        <v>108</v>
      </c>
      <c r="B121" s="76"/>
      <c r="C121" s="76"/>
      <c r="D121" s="76"/>
      <c r="E121" s="76"/>
      <c r="F121" s="133">
        <v>3400</v>
      </c>
      <c r="G121" s="133"/>
      <c r="H121" s="133"/>
    </row>
    <row r="122" spans="1:10" x14ac:dyDescent="0.35">
      <c r="A122" s="76" t="s">
        <v>115</v>
      </c>
      <c r="B122" s="76"/>
      <c r="C122" s="76"/>
      <c r="D122" s="76"/>
      <c r="E122" s="76"/>
      <c r="F122" s="137" t="s">
        <v>234</v>
      </c>
      <c r="G122" s="137"/>
      <c r="H122" s="137"/>
    </row>
    <row r="123" spans="1:10" s="12" customFormat="1" x14ac:dyDescent="0.3">
      <c r="A123" s="76" t="s">
        <v>131</v>
      </c>
      <c r="B123" s="76"/>
      <c r="C123" s="76"/>
      <c r="D123" s="76"/>
      <c r="E123" s="76"/>
      <c r="F123" s="78" t="s">
        <v>233</v>
      </c>
      <c r="G123" s="137"/>
      <c r="H123" s="137"/>
    </row>
    <row r="124" spans="1:10" s="12" customFormat="1" x14ac:dyDescent="0.3">
      <c r="A124" s="76" t="s">
        <v>214</v>
      </c>
      <c r="B124" s="76"/>
      <c r="C124" s="76"/>
      <c r="D124" s="76"/>
      <c r="E124" s="76"/>
      <c r="F124" s="78" t="s">
        <v>232</v>
      </c>
      <c r="G124" s="137"/>
      <c r="H124" s="137"/>
    </row>
    <row r="125" spans="1:10" x14ac:dyDescent="0.35">
      <c r="A125" s="76" t="s">
        <v>58</v>
      </c>
      <c r="B125" s="76"/>
      <c r="C125" s="76"/>
      <c r="D125" s="76"/>
      <c r="E125" s="76"/>
      <c r="F125" s="78" t="s">
        <v>230</v>
      </c>
      <c r="G125" s="78"/>
      <c r="H125" s="78"/>
    </row>
    <row r="126" spans="1:10" s="9" customFormat="1" x14ac:dyDescent="0.35">
      <c r="A126" s="135" t="s">
        <v>59</v>
      </c>
      <c r="B126" s="135"/>
      <c r="C126" s="135"/>
      <c r="D126" s="135"/>
      <c r="E126" s="135"/>
      <c r="F126" s="137">
        <f>F121*0.8</f>
        <v>2720</v>
      </c>
      <c r="G126" s="137"/>
      <c r="H126" s="137"/>
    </row>
    <row r="127" spans="1:10" s="1" customFormat="1" ht="15.75" customHeight="1" x14ac:dyDescent="0.35">
      <c r="A127" s="151" t="s">
        <v>109</v>
      </c>
      <c r="B127" s="151"/>
      <c r="C127" s="151"/>
      <c r="D127" s="151"/>
      <c r="E127" s="151"/>
      <c r="F127" s="151"/>
      <c r="G127" s="151"/>
      <c r="H127" s="151"/>
    </row>
    <row r="128" spans="1:10" s="1" customFormat="1" ht="15.75" customHeight="1" x14ac:dyDescent="0.35">
      <c r="A128" s="130" t="s">
        <v>60</v>
      </c>
      <c r="B128" s="130"/>
      <c r="C128" s="112" t="s">
        <v>112</v>
      </c>
      <c r="D128" s="112"/>
      <c r="E128" s="114" t="s">
        <v>61</v>
      </c>
      <c r="F128" s="114"/>
      <c r="G128" s="130" t="s">
        <v>62</v>
      </c>
      <c r="H128" s="130"/>
    </row>
    <row r="129" spans="1:11" s="1" customFormat="1" x14ac:dyDescent="0.35">
      <c r="A129" s="106" t="s">
        <v>238</v>
      </c>
      <c r="B129" s="106"/>
      <c r="C129" s="107">
        <f>COUNT(D145:D151)</f>
        <v>7</v>
      </c>
      <c r="D129" s="107"/>
      <c r="E129" s="108">
        <f>SUM(D145:D151)</f>
        <v>997.3922399999999</v>
      </c>
      <c r="F129" s="108"/>
      <c r="G129" s="109">
        <f>SUM(F145:F151)</f>
        <v>1545.9579719999999</v>
      </c>
      <c r="H129" s="109"/>
    </row>
    <row r="130" spans="1:11" s="1" customFormat="1" x14ac:dyDescent="0.35">
      <c r="A130" s="106" t="s">
        <v>239</v>
      </c>
      <c r="B130" s="106"/>
      <c r="C130" s="107">
        <f>COUNT(D154:D160)</f>
        <v>7</v>
      </c>
      <c r="D130" s="107"/>
      <c r="E130" s="108">
        <f>SUM(D154:D160)</f>
        <v>997.3922399999999</v>
      </c>
      <c r="F130" s="108"/>
      <c r="G130" s="109">
        <f>SUM(F154:F160)</f>
        <v>1545.9579719999997</v>
      </c>
      <c r="H130" s="109"/>
    </row>
    <row r="131" spans="1:11" s="61" customFormat="1" ht="15" x14ac:dyDescent="0.35">
      <c r="A131" s="110" t="s">
        <v>64</v>
      </c>
      <c r="B131" s="110"/>
      <c r="C131" s="111">
        <f>SUM(C129:D130)</f>
        <v>14</v>
      </c>
      <c r="D131" s="112"/>
      <c r="E131" s="113">
        <f>SUM(E129:F130)</f>
        <v>1994.7844799999998</v>
      </c>
      <c r="F131" s="114"/>
      <c r="G131" s="113">
        <f>SUM(G129:H130)</f>
        <v>3091.9159439999994</v>
      </c>
      <c r="H131" s="113"/>
      <c r="J131" s="65">
        <f>SUM(G131,G138)</f>
        <v>107551.91594399999</v>
      </c>
      <c r="K131" s="65">
        <f>SUM(E131,E138)</f>
        <v>73558.861739999993</v>
      </c>
    </row>
    <row r="132" spans="1:11" s="1" customFormat="1" x14ac:dyDescent="0.35">
      <c r="A132" s="151" t="s">
        <v>101</v>
      </c>
      <c r="B132" s="151"/>
      <c r="C132" s="151"/>
      <c r="D132" s="151"/>
      <c r="E132" s="151"/>
      <c r="F132" s="151"/>
      <c r="G132" s="151"/>
      <c r="H132" s="151"/>
    </row>
    <row r="133" spans="1:11" s="1" customFormat="1" ht="15.75" customHeight="1" x14ac:dyDescent="0.35">
      <c r="A133" s="130" t="s">
        <v>60</v>
      </c>
      <c r="B133" s="130"/>
      <c r="C133" s="112" t="s">
        <v>112</v>
      </c>
      <c r="D133" s="112"/>
      <c r="E133" s="114" t="s">
        <v>61</v>
      </c>
      <c r="F133" s="114"/>
      <c r="G133" s="130" t="s">
        <v>62</v>
      </c>
      <c r="H133" s="130"/>
    </row>
    <row r="134" spans="1:11" s="1" customFormat="1" x14ac:dyDescent="0.35">
      <c r="A134" s="106" t="s">
        <v>217</v>
      </c>
      <c r="B134" s="106"/>
      <c r="C134" s="107">
        <f>COUNT(D165)+COUNT(D167:D172)+COUNT(D174:D179)*6</f>
        <v>43</v>
      </c>
      <c r="D134" s="107"/>
      <c r="E134" s="108">
        <f>SUM(D165)+SUM(D167:D172)+SUM(D174:D179)*6</f>
        <v>20781.94716</v>
      </c>
      <c r="F134" s="108"/>
      <c r="G134" s="108">
        <f>SUM(F165)+SUM(F167:F172)+SUM(F174:F179)*6</f>
        <v>30460</v>
      </c>
      <c r="H134" s="108"/>
    </row>
    <row r="135" spans="1:11" s="1" customFormat="1" x14ac:dyDescent="0.35">
      <c r="A135" s="106" t="s">
        <v>218</v>
      </c>
      <c r="B135" s="106"/>
      <c r="C135" s="107">
        <f>COUNT(D182)+COUNT(D184:D189)+COUNT(D191:D196)*6</f>
        <v>43</v>
      </c>
      <c r="D135" s="107"/>
      <c r="E135" s="108">
        <f>SUM(D182)+SUM(D184:D189)+SUM(D191:D196)*6</f>
        <v>18542.227859999999</v>
      </c>
      <c r="F135" s="108"/>
      <c r="G135" s="108">
        <f>SUM(F182)+SUM(F184:F189)+SUM(F191:F196)*6</f>
        <v>27170</v>
      </c>
      <c r="H135" s="108"/>
    </row>
    <row r="136" spans="1:11" s="1" customFormat="1" x14ac:dyDescent="0.35">
      <c r="A136" s="106" t="s">
        <v>222</v>
      </c>
      <c r="B136" s="106"/>
      <c r="C136" s="107">
        <f>COUNT(D200:D205)*7</f>
        <v>42</v>
      </c>
      <c r="D136" s="107"/>
      <c r="E136" s="108">
        <f>SUM(D200:D205)*7</f>
        <v>18281.685239999995</v>
      </c>
      <c r="F136" s="108"/>
      <c r="G136" s="108">
        <f>SUM(F200:F205)*7</f>
        <v>26495</v>
      </c>
      <c r="H136" s="108"/>
    </row>
    <row r="137" spans="1:11" s="1" customFormat="1" x14ac:dyDescent="0.35">
      <c r="A137" s="106" t="s">
        <v>223</v>
      </c>
      <c r="B137" s="106"/>
      <c r="C137" s="107">
        <f>COUNT(D209:D212)*7</f>
        <v>28</v>
      </c>
      <c r="D137" s="107"/>
      <c r="E137" s="108">
        <f>SUM(D209:D212)*7</f>
        <v>13958.217000000001</v>
      </c>
      <c r="F137" s="108"/>
      <c r="G137" s="108">
        <f>SUM(F209:F212)*7</f>
        <v>20335</v>
      </c>
      <c r="H137" s="108"/>
    </row>
    <row r="138" spans="1:11" s="61" customFormat="1" ht="15" x14ac:dyDescent="0.35">
      <c r="A138" s="110" t="s">
        <v>64</v>
      </c>
      <c r="B138" s="110"/>
      <c r="C138" s="111">
        <f>SUM(C134:D137)</f>
        <v>156</v>
      </c>
      <c r="D138" s="112"/>
      <c r="E138" s="113">
        <f>SUM(E134:F137)</f>
        <v>71564.077259999991</v>
      </c>
      <c r="F138" s="114"/>
      <c r="G138" s="113">
        <f>SUM(G134:H137)</f>
        <v>104460</v>
      </c>
      <c r="H138" s="113"/>
    </row>
    <row r="139" spans="1:11" s="9" customFormat="1" x14ac:dyDescent="0.35">
      <c r="A139" s="148" t="s">
        <v>65</v>
      </c>
      <c r="B139" s="148"/>
      <c r="C139" s="148"/>
      <c r="D139" s="148"/>
      <c r="E139" s="148"/>
      <c r="F139" s="148"/>
      <c r="G139" s="148"/>
      <c r="H139" s="148"/>
    </row>
    <row r="140" spans="1:11" x14ac:dyDescent="0.35">
      <c r="A140" s="148" t="s">
        <v>66</v>
      </c>
      <c r="B140" s="148"/>
      <c r="C140" s="148"/>
      <c r="D140" s="148"/>
      <c r="E140" s="148"/>
      <c r="F140" s="148"/>
      <c r="G140" s="148"/>
      <c r="H140" s="148"/>
    </row>
    <row r="141" spans="1:11" ht="47.25" customHeight="1" x14ac:dyDescent="0.35">
      <c r="A141" s="146" t="s">
        <v>156</v>
      </c>
      <c r="B141" s="146" t="s">
        <v>155</v>
      </c>
      <c r="C141" s="146" t="s">
        <v>67</v>
      </c>
      <c r="D141" s="146" t="s">
        <v>68</v>
      </c>
      <c r="E141" s="171" t="s">
        <v>69</v>
      </c>
      <c r="F141" s="35" t="s">
        <v>154</v>
      </c>
      <c r="G141" s="131" t="s">
        <v>70</v>
      </c>
      <c r="H141" s="132"/>
    </row>
    <row r="142" spans="1:11" s="2" customFormat="1" x14ac:dyDescent="0.35">
      <c r="A142" s="147"/>
      <c r="B142" s="147"/>
      <c r="C142" s="147"/>
      <c r="D142" s="147"/>
      <c r="E142" s="172"/>
      <c r="F142" s="36">
        <v>0.55000000000000004</v>
      </c>
      <c r="G142" s="173"/>
      <c r="H142" s="174"/>
    </row>
    <row r="143" spans="1:11" s="2" customFormat="1" x14ac:dyDescent="0.35">
      <c r="A143" s="116" t="s">
        <v>226</v>
      </c>
      <c r="B143" s="117"/>
      <c r="C143" s="117"/>
      <c r="D143" s="117"/>
      <c r="E143" s="117"/>
      <c r="F143" s="117"/>
      <c r="G143" s="117"/>
      <c r="H143" s="118"/>
    </row>
    <row r="144" spans="1:11" s="2" customFormat="1" x14ac:dyDescent="0.35">
      <c r="A144" s="116" t="s">
        <v>203</v>
      </c>
      <c r="B144" s="117"/>
      <c r="C144" s="117"/>
      <c r="D144" s="117"/>
      <c r="E144" s="117"/>
      <c r="F144" s="117"/>
      <c r="G144" s="117"/>
      <c r="H144" s="118"/>
    </row>
    <row r="145" spans="1:14" s="2" customFormat="1" x14ac:dyDescent="0.35">
      <c r="A145" s="119">
        <v>1</v>
      </c>
      <c r="B145" s="120"/>
      <c r="C145" s="19" t="s">
        <v>202</v>
      </c>
      <c r="D145" s="19">
        <f>9.82*10.764</f>
        <v>105.70247999999999</v>
      </c>
      <c r="E145" s="19">
        <v>0</v>
      </c>
      <c r="F145" s="19">
        <f>D145*(($F$142)+1)+E145</f>
        <v>163.83884399999999</v>
      </c>
      <c r="G145" s="119" t="str">
        <f>A144</f>
        <v xml:space="preserve">Ground Floor For Commercial </v>
      </c>
      <c r="H145" s="120"/>
      <c r="I145" s="37"/>
      <c r="L145" s="127"/>
      <c r="M145" s="127"/>
      <c r="N145" s="37"/>
    </row>
    <row r="146" spans="1:14" s="2" customFormat="1" x14ac:dyDescent="0.35">
      <c r="A146" s="119">
        <f>A145+1</f>
        <v>2</v>
      </c>
      <c r="B146" s="120"/>
      <c r="C146" s="19" t="s">
        <v>202</v>
      </c>
      <c r="D146" s="19">
        <f>12.33*10.764</f>
        <v>132.72011999999998</v>
      </c>
      <c r="E146" s="19">
        <v>0</v>
      </c>
      <c r="F146" s="19">
        <f t="shared" ref="F146:F147" si="0">D146*(($F$142)+1)+E146</f>
        <v>205.71618599999996</v>
      </c>
      <c r="G146" s="119" t="str">
        <f t="shared" ref="G146:G151" si="1">G145</f>
        <v xml:space="preserve">Ground Floor For Commercial </v>
      </c>
      <c r="H146" s="120"/>
      <c r="I146" s="37"/>
      <c r="L146" s="127"/>
      <c r="M146" s="127"/>
      <c r="N146" s="37"/>
    </row>
    <row r="147" spans="1:14" s="2" customFormat="1" x14ac:dyDescent="0.35">
      <c r="A147" s="119">
        <f t="shared" ref="A147:A149" si="2">A146+1</f>
        <v>3</v>
      </c>
      <c r="B147" s="120"/>
      <c r="C147" s="19" t="s">
        <v>202</v>
      </c>
      <c r="D147" s="19">
        <f>14.92*10.764</f>
        <v>160.59887999999998</v>
      </c>
      <c r="E147" s="19">
        <v>0</v>
      </c>
      <c r="F147" s="19">
        <f t="shared" si="0"/>
        <v>248.92826399999998</v>
      </c>
      <c r="G147" s="119" t="str">
        <f t="shared" si="1"/>
        <v xml:space="preserve">Ground Floor For Commercial </v>
      </c>
      <c r="H147" s="120"/>
      <c r="I147" s="37"/>
      <c r="L147" s="127"/>
      <c r="M147" s="127"/>
      <c r="N147" s="37"/>
    </row>
    <row r="148" spans="1:14" s="2" customFormat="1" x14ac:dyDescent="0.35">
      <c r="A148" s="119">
        <f t="shared" si="2"/>
        <v>4</v>
      </c>
      <c r="B148" s="120"/>
      <c r="C148" s="19" t="s">
        <v>202</v>
      </c>
      <c r="D148" s="19">
        <f>14.1*10.764</f>
        <v>151.77239999999998</v>
      </c>
      <c r="E148" s="19">
        <v>0</v>
      </c>
      <c r="F148" s="19">
        <f t="shared" ref="F148:F149" si="3">D148*(($F$142)+1)+E148</f>
        <v>235.24721999999997</v>
      </c>
      <c r="G148" s="119" t="str">
        <f t="shared" si="1"/>
        <v xml:space="preserve">Ground Floor For Commercial </v>
      </c>
      <c r="H148" s="120"/>
      <c r="I148" s="37"/>
      <c r="L148" s="127"/>
      <c r="M148" s="127"/>
      <c r="N148" s="37"/>
    </row>
    <row r="149" spans="1:14" s="2" customFormat="1" x14ac:dyDescent="0.35">
      <c r="A149" s="119">
        <f t="shared" si="2"/>
        <v>5</v>
      </c>
      <c r="B149" s="120"/>
      <c r="C149" s="19" t="s">
        <v>202</v>
      </c>
      <c r="D149" s="19">
        <f>14.92*10.764</f>
        <v>160.59887999999998</v>
      </c>
      <c r="E149" s="19">
        <v>0</v>
      </c>
      <c r="F149" s="19">
        <f t="shared" si="3"/>
        <v>248.92826399999998</v>
      </c>
      <c r="G149" s="119" t="str">
        <f t="shared" si="1"/>
        <v xml:space="preserve">Ground Floor For Commercial </v>
      </c>
      <c r="H149" s="120"/>
      <c r="I149" s="37"/>
      <c r="L149" s="127"/>
      <c r="M149" s="127"/>
      <c r="N149" s="37"/>
    </row>
    <row r="150" spans="1:14" s="2" customFormat="1" x14ac:dyDescent="0.35">
      <c r="A150" s="119">
        <f t="shared" ref="A150:A151" si="4">A149+1</f>
        <v>6</v>
      </c>
      <c r="B150" s="120"/>
      <c r="C150" s="19" t="s">
        <v>202</v>
      </c>
      <c r="D150" s="19">
        <f>11.65*10.764</f>
        <v>125.4006</v>
      </c>
      <c r="E150" s="19">
        <v>0</v>
      </c>
      <c r="F150" s="19">
        <f t="shared" ref="F150:F151" si="5">D150*(($F$142)+1)+E150</f>
        <v>194.37092999999999</v>
      </c>
      <c r="G150" s="119" t="str">
        <f t="shared" si="1"/>
        <v xml:space="preserve">Ground Floor For Commercial </v>
      </c>
      <c r="H150" s="120"/>
      <c r="I150" s="37"/>
      <c r="L150" s="127"/>
      <c r="M150" s="127"/>
      <c r="N150" s="37"/>
    </row>
    <row r="151" spans="1:14" s="2" customFormat="1" x14ac:dyDescent="0.35">
      <c r="A151" s="119">
        <f t="shared" si="4"/>
        <v>7</v>
      </c>
      <c r="B151" s="120"/>
      <c r="C151" s="19" t="s">
        <v>202</v>
      </c>
      <c r="D151" s="19">
        <f>14.92*10.764</f>
        <v>160.59887999999998</v>
      </c>
      <c r="E151" s="19">
        <v>0</v>
      </c>
      <c r="F151" s="19">
        <f t="shared" si="5"/>
        <v>248.92826399999998</v>
      </c>
      <c r="G151" s="119" t="str">
        <f t="shared" si="1"/>
        <v xml:space="preserve">Ground Floor For Commercial </v>
      </c>
      <c r="H151" s="120"/>
      <c r="I151" s="37"/>
      <c r="L151" s="127"/>
      <c r="M151" s="127"/>
      <c r="N151" s="37"/>
    </row>
    <row r="152" spans="1:14" s="2" customFormat="1" x14ac:dyDescent="0.35">
      <c r="A152" s="115" t="s">
        <v>227</v>
      </c>
      <c r="B152" s="115"/>
      <c r="C152" s="115"/>
      <c r="D152" s="115"/>
      <c r="E152" s="115"/>
      <c r="F152" s="115"/>
      <c r="G152" s="115"/>
      <c r="H152" s="115"/>
    </row>
    <row r="153" spans="1:14" s="2" customFormat="1" x14ac:dyDescent="0.35">
      <c r="A153" s="115" t="s">
        <v>203</v>
      </c>
      <c r="B153" s="115"/>
      <c r="C153" s="115"/>
      <c r="D153" s="115"/>
      <c r="E153" s="115"/>
      <c r="F153" s="115"/>
      <c r="G153" s="115"/>
      <c r="H153" s="115"/>
    </row>
    <row r="154" spans="1:14" s="2" customFormat="1" x14ac:dyDescent="0.35">
      <c r="A154" s="105">
        <v>8</v>
      </c>
      <c r="B154" s="105"/>
      <c r="C154" s="70" t="s">
        <v>202</v>
      </c>
      <c r="D154" s="70">
        <f>14.92*10.764</f>
        <v>160.59887999999998</v>
      </c>
      <c r="E154" s="70">
        <v>0</v>
      </c>
      <c r="F154" s="70">
        <f>D154*(($F$142)+1)+E154</f>
        <v>248.92826399999998</v>
      </c>
      <c r="G154" s="105" t="str">
        <f>A153</f>
        <v xml:space="preserve">Ground Floor For Commercial </v>
      </c>
      <c r="H154" s="105"/>
      <c r="I154" s="37"/>
      <c r="L154" s="127"/>
      <c r="M154" s="127"/>
      <c r="N154" s="37"/>
    </row>
    <row r="155" spans="1:14" s="2" customFormat="1" x14ac:dyDescent="0.35">
      <c r="A155" s="105">
        <f>A154+1</f>
        <v>9</v>
      </c>
      <c r="B155" s="105"/>
      <c r="C155" s="70" t="s">
        <v>202</v>
      </c>
      <c r="D155" s="70">
        <f>11.65*10.764</f>
        <v>125.4006</v>
      </c>
      <c r="E155" s="70">
        <v>0</v>
      </c>
      <c r="F155" s="70">
        <f t="shared" ref="F155:F160" si="6">D155*(($F$142)+1)+E155</f>
        <v>194.37092999999999</v>
      </c>
      <c r="G155" s="105" t="str">
        <f t="shared" ref="G155:G160" si="7">G154</f>
        <v xml:space="preserve">Ground Floor For Commercial </v>
      </c>
      <c r="H155" s="105"/>
      <c r="I155" s="37"/>
      <c r="L155" s="127"/>
      <c r="M155" s="127"/>
      <c r="N155" s="37"/>
    </row>
    <row r="156" spans="1:14" s="2" customFormat="1" x14ac:dyDescent="0.35">
      <c r="A156" s="105">
        <f t="shared" ref="A156:A160" si="8">A155+1</f>
        <v>10</v>
      </c>
      <c r="B156" s="105"/>
      <c r="C156" s="70" t="s">
        <v>202</v>
      </c>
      <c r="D156" s="70">
        <f>14.92*10.764</f>
        <v>160.59887999999998</v>
      </c>
      <c r="E156" s="70">
        <v>0</v>
      </c>
      <c r="F156" s="70">
        <f t="shared" si="6"/>
        <v>248.92826399999998</v>
      </c>
      <c r="G156" s="105" t="str">
        <f t="shared" si="7"/>
        <v xml:space="preserve">Ground Floor For Commercial </v>
      </c>
      <c r="H156" s="105"/>
      <c r="I156" s="37"/>
      <c r="L156" s="127"/>
      <c r="M156" s="127"/>
      <c r="N156" s="37"/>
    </row>
    <row r="157" spans="1:14" s="2" customFormat="1" x14ac:dyDescent="0.35">
      <c r="A157" s="105">
        <f t="shared" si="8"/>
        <v>11</v>
      </c>
      <c r="B157" s="105"/>
      <c r="C157" s="70" t="s">
        <v>202</v>
      </c>
      <c r="D157" s="70">
        <f>14.1*10.764</f>
        <v>151.77239999999998</v>
      </c>
      <c r="E157" s="70">
        <v>0</v>
      </c>
      <c r="F157" s="70">
        <f t="shared" si="6"/>
        <v>235.24721999999997</v>
      </c>
      <c r="G157" s="105" t="str">
        <f t="shared" si="7"/>
        <v xml:space="preserve">Ground Floor For Commercial </v>
      </c>
      <c r="H157" s="105"/>
      <c r="I157" s="37"/>
      <c r="L157" s="127"/>
      <c r="M157" s="127"/>
      <c r="N157" s="37"/>
    </row>
    <row r="158" spans="1:14" s="2" customFormat="1" x14ac:dyDescent="0.35">
      <c r="A158" s="105">
        <f t="shared" si="8"/>
        <v>12</v>
      </c>
      <c r="B158" s="105"/>
      <c r="C158" s="70" t="s">
        <v>202</v>
      </c>
      <c r="D158" s="70">
        <f>14.92*10.764</f>
        <v>160.59887999999998</v>
      </c>
      <c r="E158" s="70">
        <v>0</v>
      </c>
      <c r="F158" s="70">
        <f t="shared" si="6"/>
        <v>248.92826399999998</v>
      </c>
      <c r="G158" s="105" t="str">
        <f t="shared" si="7"/>
        <v xml:space="preserve">Ground Floor For Commercial </v>
      </c>
      <c r="H158" s="105"/>
      <c r="I158" s="37"/>
      <c r="L158" s="127"/>
      <c r="M158" s="127"/>
      <c r="N158" s="37"/>
    </row>
    <row r="159" spans="1:14" s="2" customFormat="1" x14ac:dyDescent="0.35">
      <c r="A159" s="105">
        <f t="shared" si="8"/>
        <v>13</v>
      </c>
      <c r="B159" s="105"/>
      <c r="C159" s="70" t="s">
        <v>202</v>
      </c>
      <c r="D159" s="70">
        <f>12.33*10.764</f>
        <v>132.72011999999998</v>
      </c>
      <c r="E159" s="70">
        <v>0</v>
      </c>
      <c r="F159" s="70">
        <f t="shared" si="6"/>
        <v>205.71618599999996</v>
      </c>
      <c r="G159" s="105" t="str">
        <f t="shared" si="7"/>
        <v xml:space="preserve">Ground Floor For Commercial </v>
      </c>
      <c r="H159" s="105"/>
      <c r="I159" s="37"/>
      <c r="L159" s="127"/>
      <c r="M159" s="127"/>
      <c r="N159" s="37"/>
    </row>
    <row r="160" spans="1:14" s="2" customFormat="1" x14ac:dyDescent="0.35">
      <c r="A160" s="119">
        <f t="shared" si="8"/>
        <v>14</v>
      </c>
      <c r="B160" s="120"/>
      <c r="C160" s="19" t="s">
        <v>202</v>
      </c>
      <c r="D160" s="19">
        <f>9.82*10.764</f>
        <v>105.70247999999999</v>
      </c>
      <c r="E160" s="19">
        <v>0</v>
      </c>
      <c r="F160" s="19">
        <f t="shared" si="6"/>
        <v>163.83884399999999</v>
      </c>
      <c r="G160" s="119" t="str">
        <f t="shared" si="7"/>
        <v xml:space="preserve">Ground Floor For Commercial </v>
      </c>
      <c r="H160" s="120"/>
      <c r="I160" s="37"/>
      <c r="L160" s="127"/>
      <c r="M160" s="127"/>
      <c r="N160" s="37"/>
    </row>
    <row r="161" spans="1:16" s="2" customFormat="1" ht="9" customHeight="1" x14ac:dyDescent="0.35">
      <c r="A161" s="119"/>
      <c r="B161" s="128"/>
      <c r="C161" s="128"/>
      <c r="D161" s="128"/>
      <c r="E161" s="128"/>
      <c r="F161" s="128"/>
      <c r="G161" s="128"/>
      <c r="H161" s="120"/>
      <c r="I161" s="37"/>
      <c r="N161" s="37"/>
    </row>
    <row r="162" spans="1:16" ht="47.25" customHeight="1" x14ac:dyDescent="0.35">
      <c r="A162" s="45" t="s">
        <v>157</v>
      </c>
      <c r="B162" s="45" t="s">
        <v>158</v>
      </c>
      <c r="C162" s="35" t="s">
        <v>67</v>
      </c>
      <c r="D162" s="35" t="s">
        <v>68</v>
      </c>
      <c r="E162" s="46" t="s">
        <v>69</v>
      </c>
      <c r="F162" s="35" t="s">
        <v>215</v>
      </c>
      <c r="G162" s="131" t="s">
        <v>70</v>
      </c>
      <c r="H162" s="132"/>
      <c r="I162" s="37"/>
    </row>
    <row r="163" spans="1:16" s="2" customFormat="1" x14ac:dyDescent="0.35">
      <c r="A163" s="115" t="s">
        <v>219</v>
      </c>
      <c r="B163" s="115"/>
      <c r="C163" s="115"/>
      <c r="D163" s="115"/>
      <c r="E163" s="115"/>
      <c r="F163" s="115"/>
      <c r="G163" s="115"/>
      <c r="H163" s="115"/>
    </row>
    <row r="164" spans="1:16" s="2" customFormat="1" x14ac:dyDescent="0.35">
      <c r="A164" s="115" t="s">
        <v>205</v>
      </c>
      <c r="B164" s="115"/>
      <c r="C164" s="115"/>
      <c r="D164" s="115"/>
      <c r="E164" s="115"/>
      <c r="F164" s="115"/>
      <c r="G164" s="115"/>
      <c r="H164" s="115"/>
    </row>
    <row r="165" spans="1:16" s="2" customFormat="1" x14ac:dyDescent="0.35">
      <c r="A165" s="105">
        <v>1</v>
      </c>
      <c r="B165" s="105"/>
      <c r="C165" s="72" t="s">
        <v>204</v>
      </c>
      <c r="D165" s="72">
        <f>36.43*10.764</f>
        <v>392.13252</v>
      </c>
      <c r="E165" s="72">
        <v>0</v>
      </c>
      <c r="F165" s="72">
        <v>675</v>
      </c>
      <c r="G165" s="105" t="str">
        <f>A164</f>
        <v>Ground Floor For Residential</v>
      </c>
      <c r="H165" s="105"/>
      <c r="I165" s="37">
        <f>2270000/F165</f>
        <v>3362.962962962963</v>
      </c>
      <c r="J165" s="63">
        <f>F165/D165</f>
        <v>1.7213568515052002</v>
      </c>
      <c r="L165" s="127"/>
      <c r="M165" s="127"/>
      <c r="N165" s="37"/>
    </row>
    <row r="166" spans="1:16" s="2" customFormat="1" x14ac:dyDescent="0.35">
      <c r="A166" s="115" t="s">
        <v>206</v>
      </c>
      <c r="B166" s="115"/>
      <c r="C166" s="115"/>
      <c r="D166" s="115"/>
      <c r="E166" s="115"/>
      <c r="F166" s="115"/>
      <c r="G166" s="115"/>
      <c r="H166" s="115"/>
      <c r="I166" s="37"/>
      <c r="J166" s="63"/>
      <c r="L166" s="127"/>
      <c r="M166" s="127"/>
    </row>
    <row r="167" spans="1:16" s="2" customFormat="1" x14ac:dyDescent="0.35">
      <c r="A167" s="105">
        <f>LEFT(A166,SUM(LEN(A166)-LEN(SUBSTITUTE(A166,{"0","1","2","3","4","5","6","7","8","9"},""))))*100+1</f>
        <v>101</v>
      </c>
      <c r="B167" s="105"/>
      <c r="C167" s="72" t="s">
        <v>204</v>
      </c>
      <c r="D167" s="72">
        <f>(36.2+(1*(2.75+2.15))+0.75*2.75)*10.764</f>
        <v>464.60114999999996</v>
      </c>
      <c r="E167" s="72">
        <v>0</v>
      </c>
      <c r="F167" s="72">
        <v>675</v>
      </c>
      <c r="G167" s="105" t="str">
        <f>A166</f>
        <v>1st Floor</v>
      </c>
      <c r="H167" s="105"/>
      <c r="I167" s="37">
        <f>2.75*4.7+2.15*2.55+2.75*3.05+1.2*1.8+1.2+1.8+0.9*2.5+1.75*0.45</f>
        <v>34.9925</v>
      </c>
      <c r="J167" s="63">
        <f t="shared" ref="J167:J172" si="9">F167/D167</f>
        <v>1.4528590813862601</v>
      </c>
      <c r="N167" s="37"/>
    </row>
    <row r="168" spans="1:16" s="2" customFormat="1" x14ac:dyDescent="0.35">
      <c r="A168" s="105">
        <f>A167+1</f>
        <v>102</v>
      </c>
      <c r="B168" s="105"/>
      <c r="C168" s="72" t="s">
        <v>204</v>
      </c>
      <c r="D168" s="72">
        <f>(36.2+1*2.15)*10.764</f>
        <v>412.79939999999999</v>
      </c>
      <c r="E168" s="72">
        <f>(1.8*2.75+2.75*1.4)*10.764</f>
        <v>94.723200000000006</v>
      </c>
      <c r="F168" s="72">
        <v>675</v>
      </c>
      <c r="G168" s="105" t="str">
        <f t="shared" ref="G168:G172" si="10">G167</f>
        <v>1st Floor</v>
      </c>
      <c r="H168" s="105"/>
      <c r="I168" s="37"/>
      <c r="J168" s="63">
        <f t="shared" si="9"/>
        <v>1.6351767953151095</v>
      </c>
      <c r="N168" s="37"/>
    </row>
    <row r="169" spans="1:16" s="2" customFormat="1" x14ac:dyDescent="0.35">
      <c r="A169" s="105">
        <f>A168+1</f>
        <v>103</v>
      </c>
      <c r="B169" s="105"/>
      <c r="C169" s="72" t="s">
        <v>207</v>
      </c>
      <c r="D169" s="72">
        <f>(46.75+1*2.15)*10.764</f>
        <v>526.3596</v>
      </c>
      <c r="E169" s="72">
        <f>(5.5*1.8+1.4*2.75)*10.764</f>
        <v>148.005</v>
      </c>
      <c r="F169" s="72">
        <v>880</v>
      </c>
      <c r="G169" s="105" t="str">
        <f t="shared" si="10"/>
        <v>1st Floor</v>
      </c>
      <c r="H169" s="105"/>
      <c r="I169" s="37">
        <f>2925000/F169</f>
        <v>3323.8636363636365</v>
      </c>
      <c r="J169" s="63">
        <f t="shared" si="9"/>
        <v>1.6718608343041526</v>
      </c>
      <c r="N169" s="37"/>
    </row>
    <row r="170" spans="1:16" s="2" customFormat="1" x14ac:dyDescent="0.35">
      <c r="A170" s="105">
        <f t="shared" ref="A170:A172" si="11">A169+1</f>
        <v>104</v>
      </c>
      <c r="B170" s="105"/>
      <c r="C170" s="19" t="s">
        <v>204</v>
      </c>
      <c r="D170" s="19">
        <f>(36.43+(1*(2.75+2.15))+0.75*2.75)*10.764</f>
        <v>467.07686999999993</v>
      </c>
      <c r="E170" s="19">
        <v>0</v>
      </c>
      <c r="F170" s="19">
        <v>675</v>
      </c>
      <c r="G170" s="105" t="str">
        <f t="shared" si="10"/>
        <v>1st Floor</v>
      </c>
      <c r="H170" s="105"/>
      <c r="I170" s="37"/>
      <c r="J170" s="63">
        <f t="shared" si="9"/>
        <v>1.445158266989329</v>
      </c>
      <c r="N170" s="37"/>
    </row>
    <row r="171" spans="1:16" s="2" customFormat="1" x14ac:dyDescent="0.35">
      <c r="A171" s="105">
        <f t="shared" si="11"/>
        <v>105</v>
      </c>
      <c r="B171" s="105"/>
      <c r="C171" s="19" t="s">
        <v>204</v>
      </c>
      <c r="D171" s="19">
        <f>(36.2+(1*(2.75+2.15))+0.75*2.75)*10.764</f>
        <v>464.60114999999996</v>
      </c>
      <c r="E171" s="19">
        <v>0</v>
      </c>
      <c r="F171" s="19">
        <v>675</v>
      </c>
      <c r="G171" s="105" t="str">
        <f t="shared" si="10"/>
        <v>1st Floor</v>
      </c>
      <c r="H171" s="105"/>
      <c r="I171" s="37"/>
      <c r="J171" s="63">
        <f t="shared" si="9"/>
        <v>1.4528590813862601</v>
      </c>
      <c r="N171" s="37"/>
    </row>
    <row r="172" spans="1:16" s="2" customFormat="1" x14ac:dyDescent="0.35">
      <c r="A172" s="105">
        <f t="shared" si="11"/>
        <v>106</v>
      </c>
      <c r="B172" s="105"/>
      <c r="C172" s="19" t="s">
        <v>204</v>
      </c>
      <c r="D172" s="19">
        <f t="shared" ref="D172" si="12">(36.2+(1*(2.75+2.15))+0.75*2.75)*10.764</f>
        <v>464.60114999999996</v>
      </c>
      <c r="E172" s="19">
        <v>0</v>
      </c>
      <c r="F172" s="19">
        <v>675</v>
      </c>
      <c r="G172" s="105" t="str">
        <f t="shared" si="10"/>
        <v>1st Floor</v>
      </c>
      <c r="H172" s="105"/>
      <c r="I172" s="37"/>
      <c r="J172" s="63">
        <f t="shared" si="9"/>
        <v>1.4528590813862601</v>
      </c>
      <c r="N172" s="37"/>
    </row>
    <row r="173" spans="1:16" s="2" customFormat="1" ht="15.75" customHeight="1" x14ac:dyDescent="0.35">
      <c r="A173" s="116" t="s">
        <v>209</v>
      </c>
      <c r="B173" s="117"/>
      <c r="C173" s="117"/>
      <c r="D173" s="117"/>
      <c r="E173" s="117"/>
      <c r="F173" s="117"/>
      <c r="G173" s="117"/>
      <c r="H173" s="118"/>
      <c r="I173" s="37"/>
    </row>
    <row r="174" spans="1:16" s="2" customFormat="1" ht="15.75" customHeight="1" x14ac:dyDescent="0.35">
      <c r="A174" s="119" t="str">
        <f t="shared" ref="A174:A179" ca="1" si="13">N174</f>
        <v>201,..,701</v>
      </c>
      <c r="B174" s="120"/>
      <c r="C174" s="19" t="s">
        <v>204</v>
      </c>
      <c r="D174" s="19">
        <f>(36.2+(1*(2.75+2.15))+0.75*2.75)*10.764</f>
        <v>464.60114999999996</v>
      </c>
      <c r="E174" s="19">
        <v>0</v>
      </c>
      <c r="F174" s="19">
        <v>675</v>
      </c>
      <c r="G174" s="121" t="str">
        <f>A173</f>
        <v>2nd, 3rd, 4th, 5th, 6th &amp; 7th Floor</v>
      </c>
      <c r="H174" s="122"/>
      <c r="I174" s="37"/>
      <c r="N174" s="2" t="str">
        <f t="shared" ref="N174:N179" ca="1" si="14">O174&amp;""&amp;",..,"&amp;""&amp;P174</f>
        <v>201,..,701</v>
      </c>
      <c r="O174" s="2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10^ROW(INDIRECT("1:"&amp;LEN((LEFT(A173,SUM(LEN(A173)-LEN(SUBSTITUTE(A173,{"0","1","2"},""))))))))/10))*100+1</f>
        <v>201</v>
      </c>
      <c r="P174" s="2">
        <f ca="1">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",LEN(A173))),LEN(A173)))))))/10))*100+1</f>
        <v>701</v>
      </c>
    </row>
    <row r="175" spans="1:16" s="2" customFormat="1" ht="15.75" customHeight="1" x14ac:dyDescent="0.35">
      <c r="A175" s="119" t="str">
        <f t="shared" ca="1" si="13"/>
        <v>202,..,702</v>
      </c>
      <c r="B175" s="120"/>
      <c r="C175" s="19" t="s">
        <v>204</v>
      </c>
      <c r="D175" s="19">
        <f>(36.2+(1*(2.75+2.15))+0.75*2.75)*10.764</f>
        <v>464.60114999999996</v>
      </c>
      <c r="E175" s="19">
        <v>0</v>
      </c>
      <c r="F175" s="19">
        <v>675</v>
      </c>
      <c r="G175" s="123"/>
      <c r="H175" s="124"/>
      <c r="I175" s="37"/>
      <c r="N175" s="2" t="str">
        <f t="shared" ca="1" si="14"/>
        <v>202,..,702</v>
      </c>
      <c r="O175" s="2">
        <f t="shared" ref="O175:P178" ca="1" si="15">O174+1</f>
        <v>202</v>
      </c>
      <c r="P175" s="2">
        <f t="shared" ca="1" si="15"/>
        <v>702</v>
      </c>
    </row>
    <row r="176" spans="1:16" s="2" customFormat="1" ht="15.75" customHeight="1" x14ac:dyDescent="0.35">
      <c r="A176" s="119" t="str">
        <f t="shared" ca="1" si="13"/>
        <v>203,..,703</v>
      </c>
      <c r="B176" s="120"/>
      <c r="C176" s="19" t="s">
        <v>207</v>
      </c>
      <c r="D176" s="19">
        <f>(46.75+(1*(2.75+2.15+2.6))+0.75*2.75)*10.764</f>
        <v>606.14774999999997</v>
      </c>
      <c r="E176" s="19">
        <v>0</v>
      </c>
      <c r="F176" s="19">
        <v>880</v>
      </c>
      <c r="G176" s="123"/>
      <c r="H176" s="124"/>
      <c r="I176" s="37"/>
      <c r="N176" s="2" t="str">
        <f t="shared" ca="1" si="14"/>
        <v>203,..,703</v>
      </c>
      <c r="O176" s="2">
        <f t="shared" ca="1" si="15"/>
        <v>203</v>
      </c>
      <c r="P176" s="2">
        <f t="shared" ca="1" si="15"/>
        <v>703</v>
      </c>
    </row>
    <row r="177" spans="1:16" s="2" customFormat="1" ht="15.75" customHeight="1" x14ac:dyDescent="0.35">
      <c r="A177" s="119" t="str">
        <f t="shared" ca="1" si="13"/>
        <v>204,..,704</v>
      </c>
      <c r="B177" s="120"/>
      <c r="C177" s="19" t="s">
        <v>204</v>
      </c>
      <c r="D177" s="19">
        <f>(36.43+(1*(2.75+2.15))+0.75*2.75)*10.764</f>
        <v>467.07686999999993</v>
      </c>
      <c r="E177" s="19">
        <v>0</v>
      </c>
      <c r="F177" s="19">
        <v>675</v>
      </c>
      <c r="G177" s="123"/>
      <c r="H177" s="124"/>
      <c r="I177" s="37"/>
      <c r="N177" s="2" t="str">
        <f t="shared" ca="1" si="14"/>
        <v>204,..,704</v>
      </c>
      <c r="O177" s="2">
        <f t="shared" ca="1" si="15"/>
        <v>204</v>
      </c>
      <c r="P177" s="2">
        <f t="shared" ca="1" si="15"/>
        <v>704</v>
      </c>
    </row>
    <row r="178" spans="1:16" s="2" customFormat="1" ht="15.75" customHeight="1" x14ac:dyDescent="0.35">
      <c r="A178" s="119" t="str">
        <f t="shared" ca="1" si="13"/>
        <v>205,..,705</v>
      </c>
      <c r="B178" s="120"/>
      <c r="C178" s="19" t="s">
        <v>204</v>
      </c>
      <c r="D178" s="19">
        <f>(36.2+(1*(2.75+2.15))+0.75*2.75)*10.764</f>
        <v>464.60114999999996</v>
      </c>
      <c r="E178" s="19">
        <v>0</v>
      </c>
      <c r="F178" s="19">
        <v>675</v>
      </c>
      <c r="G178" s="123"/>
      <c r="H178" s="124"/>
      <c r="I178" s="37"/>
      <c r="N178" s="2" t="str">
        <f t="shared" ca="1" si="14"/>
        <v>205,..,705</v>
      </c>
      <c r="O178" s="2">
        <f t="shared" ca="1" si="15"/>
        <v>205</v>
      </c>
      <c r="P178" s="2">
        <f t="shared" ca="1" si="15"/>
        <v>705</v>
      </c>
    </row>
    <row r="179" spans="1:16" s="2" customFormat="1" ht="15.75" customHeight="1" x14ac:dyDescent="0.35">
      <c r="A179" s="119" t="str">
        <f t="shared" ca="1" si="13"/>
        <v>206,..,706</v>
      </c>
      <c r="B179" s="120"/>
      <c r="C179" s="19" t="s">
        <v>204</v>
      </c>
      <c r="D179" s="19">
        <f>(36.2+(1*(2.75+2.15))+0.75*2.75)*10.764</f>
        <v>464.60114999999996</v>
      </c>
      <c r="E179" s="19">
        <v>0</v>
      </c>
      <c r="F179" s="19">
        <v>675</v>
      </c>
      <c r="G179" s="125"/>
      <c r="H179" s="126"/>
      <c r="I179" s="37"/>
      <c r="N179" s="2" t="str">
        <f t="shared" ca="1" si="14"/>
        <v>206,..,706</v>
      </c>
      <c r="O179" s="2">
        <f t="shared" ref="O179:P179" ca="1" si="16">O178+1</f>
        <v>206</v>
      </c>
      <c r="P179" s="2">
        <f t="shared" ca="1" si="16"/>
        <v>706</v>
      </c>
    </row>
    <row r="180" spans="1:16" s="2" customFormat="1" x14ac:dyDescent="0.35">
      <c r="A180" s="116" t="s">
        <v>220</v>
      </c>
      <c r="B180" s="117"/>
      <c r="C180" s="117"/>
      <c r="D180" s="117"/>
      <c r="E180" s="117"/>
      <c r="F180" s="117"/>
      <c r="G180" s="117"/>
      <c r="H180" s="118"/>
    </row>
    <row r="181" spans="1:16" s="2" customFormat="1" x14ac:dyDescent="0.35">
      <c r="A181" s="116" t="s">
        <v>205</v>
      </c>
      <c r="B181" s="117"/>
      <c r="C181" s="117"/>
      <c r="D181" s="117"/>
      <c r="E181" s="117"/>
      <c r="F181" s="117"/>
      <c r="G181" s="117"/>
      <c r="H181" s="118"/>
    </row>
    <row r="182" spans="1:16" s="2" customFormat="1" x14ac:dyDescent="0.35">
      <c r="A182" s="119">
        <v>1</v>
      </c>
      <c r="B182" s="120"/>
      <c r="C182" s="19" t="s">
        <v>204</v>
      </c>
      <c r="D182" s="19">
        <f>36.43*10.764</f>
        <v>392.13252</v>
      </c>
      <c r="E182" s="19">
        <v>0</v>
      </c>
      <c r="F182" s="19">
        <v>675</v>
      </c>
      <c r="G182" s="119" t="str">
        <f>A181</f>
        <v>Ground Floor For Residential</v>
      </c>
      <c r="H182" s="120"/>
      <c r="I182" s="59">
        <f>4.7*2.75+2.55*2.15+3.05*2.75+1.8*1.2+1.8*1.2+0.9*2.5+2.35*0.45</f>
        <v>34.422499999999992</v>
      </c>
      <c r="L182" s="127"/>
      <c r="M182" s="127"/>
      <c r="N182" s="37"/>
    </row>
    <row r="183" spans="1:16" s="2" customFormat="1" x14ac:dyDescent="0.35">
      <c r="A183" s="115" t="s">
        <v>206</v>
      </c>
      <c r="B183" s="115"/>
      <c r="C183" s="115"/>
      <c r="D183" s="115"/>
      <c r="E183" s="115"/>
      <c r="F183" s="115"/>
      <c r="G183" s="115"/>
      <c r="H183" s="115"/>
      <c r="I183" s="37"/>
      <c r="L183" s="127"/>
      <c r="M183" s="127"/>
    </row>
    <row r="184" spans="1:16" s="2" customFormat="1" x14ac:dyDescent="0.35">
      <c r="A184" s="105">
        <f>LEFT(A183,SUM(LEN(A183)-LEN(SUBSTITUTE(A183,{"0","1","2","3","4","5","6","7","8","9"},""))))*100+1</f>
        <v>101</v>
      </c>
      <c r="B184" s="105"/>
      <c r="C184" s="19" t="s">
        <v>208</v>
      </c>
      <c r="D184" s="19">
        <f>(23.3+(1*(2.75+2.25)))*10.764</f>
        <v>304.62119999999999</v>
      </c>
      <c r="E184" s="19">
        <v>0</v>
      </c>
      <c r="F184" s="19">
        <v>440</v>
      </c>
      <c r="G184" s="105" t="str">
        <f>A183</f>
        <v>1st Floor</v>
      </c>
      <c r="H184" s="105"/>
      <c r="I184" s="37">
        <f>1521000/F184</f>
        <v>3456.818181818182</v>
      </c>
      <c r="N184" s="37"/>
    </row>
    <row r="185" spans="1:16" s="2" customFormat="1" x14ac:dyDescent="0.35">
      <c r="A185" s="105">
        <f>A184+1</f>
        <v>102</v>
      </c>
      <c r="B185" s="105"/>
      <c r="C185" s="19" t="s">
        <v>208</v>
      </c>
      <c r="D185" s="19">
        <f>(23.3+(1*(2.75+2.25)))*10.764</f>
        <v>304.62119999999999</v>
      </c>
      <c r="E185" s="19">
        <v>0</v>
      </c>
      <c r="F185" s="19">
        <v>440</v>
      </c>
      <c r="G185" s="105" t="str">
        <f t="shared" ref="G185:G189" si="17">G184</f>
        <v>1st Floor</v>
      </c>
      <c r="H185" s="105"/>
      <c r="I185" s="37"/>
      <c r="N185" s="37"/>
    </row>
    <row r="186" spans="1:16" s="2" customFormat="1" x14ac:dyDescent="0.35">
      <c r="A186" s="105">
        <f>A185+1</f>
        <v>103</v>
      </c>
      <c r="B186" s="105"/>
      <c r="C186" s="19" t="s">
        <v>204</v>
      </c>
      <c r="D186" s="19">
        <f>(36.43+(1*(2.75+2.15))+0.75*2.75)*10.764</f>
        <v>467.07686999999993</v>
      </c>
      <c r="E186" s="19">
        <v>0</v>
      </c>
      <c r="F186" s="19">
        <v>675</v>
      </c>
      <c r="G186" s="105" t="str">
        <f t="shared" si="17"/>
        <v>1st Floor</v>
      </c>
      <c r="H186" s="105"/>
      <c r="I186" s="37"/>
      <c r="N186" s="37"/>
    </row>
    <row r="187" spans="1:16" s="2" customFormat="1" x14ac:dyDescent="0.35">
      <c r="A187" s="105">
        <f t="shared" ref="A187:A189" si="18">A186+1</f>
        <v>104</v>
      </c>
      <c r="B187" s="105"/>
      <c r="C187" s="19" t="s">
        <v>207</v>
      </c>
      <c r="D187" s="19">
        <f>(46.75+1*2.15)*10.764</f>
        <v>526.3596</v>
      </c>
      <c r="E187" s="19">
        <f>(5.5*1.8+1.4*2.75)*10.764</f>
        <v>148.005</v>
      </c>
      <c r="F187" s="19">
        <v>880</v>
      </c>
      <c r="G187" s="105" t="str">
        <f t="shared" si="17"/>
        <v>1st Floor</v>
      </c>
      <c r="H187" s="105"/>
      <c r="I187" s="37"/>
      <c r="N187" s="37"/>
    </row>
    <row r="188" spans="1:16" s="2" customFormat="1" x14ac:dyDescent="0.35">
      <c r="A188" s="105">
        <f t="shared" si="18"/>
        <v>105</v>
      </c>
      <c r="B188" s="105"/>
      <c r="C188" s="19" t="s">
        <v>204</v>
      </c>
      <c r="D188" s="19">
        <f>(36.2+1*2.15)*10.764</f>
        <v>412.79939999999999</v>
      </c>
      <c r="E188" s="19">
        <f>(1.8*2.75+2.75*1.4)*10.764</f>
        <v>94.723200000000006</v>
      </c>
      <c r="F188" s="19">
        <v>675</v>
      </c>
      <c r="G188" s="105" t="str">
        <f t="shared" si="17"/>
        <v>1st Floor</v>
      </c>
      <c r="H188" s="105"/>
      <c r="I188" s="37"/>
      <c r="N188" s="37"/>
    </row>
    <row r="189" spans="1:16" s="2" customFormat="1" x14ac:dyDescent="0.35">
      <c r="A189" s="105">
        <f t="shared" si="18"/>
        <v>106</v>
      </c>
      <c r="B189" s="105"/>
      <c r="C189" s="19" t="s">
        <v>204</v>
      </c>
      <c r="D189" s="19">
        <f t="shared" ref="D189" si="19">(36.2+(1*(2.75+2.15))+0.75*2.75)*10.764</f>
        <v>464.60114999999996</v>
      </c>
      <c r="E189" s="19">
        <v>0</v>
      </c>
      <c r="F189" s="19">
        <v>675</v>
      </c>
      <c r="G189" s="105" t="str">
        <f t="shared" si="17"/>
        <v>1st Floor</v>
      </c>
      <c r="H189" s="105"/>
      <c r="I189" s="37"/>
      <c r="N189" s="37"/>
    </row>
    <row r="190" spans="1:16" s="2" customFormat="1" ht="15.75" customHeight="1" x14ac:dyDescent="0.35">
      <c r="A190" s="115" t="s">
        <v>209</v>
      </c>
      <c r="B190" s="115"/>
      <c r="C190" s="115"/>
      <c r="D190" s="115"/>
      <c r="E190" s="115"/>
      <c r="F190" s="115"/>
      <c r="G190" s="115"/>
      <c r="H190" s="115"/>
      <c r="I190" s="37"/>
    </row>
    <row r="191" spans="1:16" s="2" customFormat="1" ht="15.75" customHeight="1" x14ac:dyDescent="0.35">
      <c r="A191" s="105" t="str">
        <f t="shared" ref="A191:A196" ca="1" si="20">N191</f>
        <v>201,..,701</v>
      </c>
      <c r="B191" s="105"/>
      <c r="C191" s="70" t="s">
        <v>208</v>
      </c>
      <c r="D191" s="70">
        <f>(23.3+(1*(2.75+2.25)))*10.764</f>
        <v>304.62119999999999</v>
      </c>
      <c r="E191" s="70">
        <v>0</v>
      </c>
      <c r="F191" s="70">
        <v>440</v>
      </c>
      <c r="G191" s="105" t="str">
        <f>A190</f>
        <v>2nd, 3rd, 4th, 5th, 6th &amp; 7th Floor</v>
      </c>
      <c r="H191" s="105"/>
      <c r="I191" s="60">
        <f>440/D191</f>
        <v>1.444416869213305</v>
      </c>
      <c r="N191" s="2" t="str">
        <f t="shared" ref="N191:N196" ca="1" si="21">O191&amp;""&amp;",..,"&amp;""&amp;P191</f>
        <v>201,..,701</v>
      </c>
      <c r="O191" s="2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10^ROW(INDIRECT("1:"&amp;LEN((LEFT(A190,SUM(LEN(A190)-LEN(SUBSTITUTE(A190,{"0","1","2"},""))))))))/10))*100+1</f>
        <v>201</v>
      </c>
      <c r="P191" s="2">
        <f ca="1">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",LEN(A190))),LEN(A190)))))))/10))*100+1</f>
        <v>701</v>
      </c>
    </row>
    <row r="192" spans="1:16" s="2" customFormat="1" ht="15.75" customHeight="1" x14ac:dyDescent="0.35">
      <c r="A192" s="105" t="str">
        <f t="shared" ca="1" si="20"/>
        <v>202,..,702</v>
      </c>
      <c r="B192" s="105"/>
      <c r="C192" s="70" t="s">
        <v>208</v>
      </c>
      <c r="D192" s="70">
        <f>(23.3+(1*(2.75+2.25)))*10.764</f>
        <v>304.62119999999999</v>
      </c>
      <c r="E192" s="70">
        <v>0</v>
      </c>
      <c r="F192" s="70">
        <v>440</v>
      </c>
      <c r="G192" s="105"/>
      <c r="H192" s="105"/>
      <c r="I192" s="37"/>
      <c r="N192" s="2" t="str">
        <f t="shared" ca="1" si="21"/>
        <v>202,..,702</v>
      </c>
      <c r="O192" s="2">
        <f t="shared" ref="O192:P192" ca="1" si="22">O191+1</f>
        <v>202</v>
      </c>
      <c r="P192" s="2">
        <f t="shared" ca="1" si="22"/>
        <v>702</v>
      </c>
    </row>
    <row r="193" spans="1:16" s="2" customFormat="1" ht="15.75" customHeight="1" x14ac:dyDescent="0.35">
      <c r="A193" s="105" t="str">
        <f t="shared" ca="1" si="20"/>
        <v>203,..,703</v>
      </c>
      <c r="B193" s="105"/>
      <c r="C193" s="70" t="s">
        <v>204</v>
      </c>
      <c r="D193" s="70">
        <f>(36.43+(1*(2.75+2.15))+0.75*2.75)*10.764</f>
        <v>467.07686999999993</v>
      </c>
      <c r="E193" s="70">
        <v>0</v>
      </c>
      <c r="F193" s="70">
        <v>675</v>
      </c>
      <c r="G193" s="105"/>
      <c r="H193" s="105"/>
      <c r="I193" s="37"/>
      <c r="N193" s="2" t="str">
        <f t="shared" ca="1" si="21"/>
        <v>203,..,703</v>
      </c>
      <c r="O193" s="2">
        <f t="shared" ref="O193:P193" ca="1" si="23">O192+1</f>
        <v>203</v>
      </c>
      <c r="P193" s="2">
        <f t="shared" ca="1" si="23"/>
        <v>703</v>
      </c>
    </row>
    <row r="194" spans="1:16" s="2" customFormat="1" ht="15.75" customHeight="1" x14ac:dyDescent="0.35">
      <c r="A194" s="105" t="str">
        <f t="shared" ca="1" si="20"/>
        <v>204,..,704</v>
      </c>
      <c r="B194" s="105"/>
      <c r="C194" s="70" t="s">
        <v>207</v>
      </c>
      <c r="D194" s="70">
        <f>(46.75+(1*(2.75+2.15+2.6))+0.75*2.75)*10.764</f>
        <v>606.14774999999997</v>
      </c>
      <c r="E194" s="70">
        <v>0</v>
      </c>
      <c r="F194" s="70">
        <v>880</v>
      </c>
      <c r="G194" s="105"/>
      <c r="H194" s="105"/>
      <c r="I194" s="37"/>
      <c r="N194" s="2" t="str">
        <f t="shared" ca="1" si="21"/>
        <v>204,..,704</v>
      </c>
      <c r="O194" s="2">
        <f t="shared" ref="O194:P194" ca="1" si="24">O193+1</f>
        <v>204</v>
      </c>
      <c r="P194" s="2">
        <f t="shared" ca="1" si="24"/>
        <v>704</v>
      </c>
    </row>
    <row r="195" spans="1:16" s="2" customFormat="1" ht="15.75" customHeight="1" x14ac:dyDescent="0.35">
      <c r="A195" s="105" t="str">
        <f t="shared" ca="1" si="20"/>
        <v>205,..,705</v>
      </c>
      <c r="B195" s="105"/>
      <c r="C195" s="70" t="s">
        <v>204</v>
      </c>
      <c r="D195" s="70">
        <f>(36.2+(1*(2.75+2.15))+0.75*2.75)*10.764</f>
        <v>464.60114999999996</v>
      </c>
      <c r="E195" s="70">
        <v>0</v>
      </c>
      <c r="F195" s="70">
        <v>675</v>
      </c>
      <c r="G195" s="105"/>
      <c r="H195" s="105"/>
      <c r="I195" s="37"/>
      <c r="N195" s="2" t="str">
        <f t="shared" ca="1" si="21"/>
        <v>205,..,705</v>
      </c>
      <c r="O195" s="2">
        <f t="shared" ref="O195:P195" ca="1" si="25">O194+1</f>
        <v>205</v>
      </c>
      <c r="P195" s="2">
        <f t="shared" ca="1" si="25"/>
        <v>705</v>
      </c>
    </row>
    <row r="196" spans="1:16" s="2" customFormat="1" ht="15.75" customHeight="1" x14ac:dyDescent="0.35">
      <c r="A196" s="105" t="str">
        <f t="shared" ca="1" si="20"/>
        <v>206,..,706</v>
      </c>
      <c r="B196" s="105"/>
      <c r="C196" s="70" t="s">
        <v>204</v>
      </c>
      <c r="D196" s="70">
        <f>(36.2+(1*(2.75+2.15))+0.75*2.75)*10.764</f>
        <v>464.60114999999996</v>
      </c>
      <c r="E196" s="70">
        <v>0</v>
      </c>
      <c r="F196" s="70">
        <v>675</v>
      </c>
      <c r="G196" s="105"/>
      <c r="H196" s="105"/>
      <c r="I196" s="37"/>
      <c r="N196" s="2" t="str">
        <f t="shared" ca="1" si="21"/>
        <v>206,..,706</v>
      </c>
      <c r="O196" s="2">
        <f t="shared" ref="O196:P196" ca="1" si="26">O195+1</f>
        <v>206</v>
      </c>
      <c r="P196" s="2">
        <f t="shared" ca="1" si="26"/>
        <v>706</v>
      </c>
    </row>
    <row r="197" spans="1:16" s="2" customFormat="1" x14ac:dyDescent="0.35">
      <c r="A197" s="115" t="s">
        <v>228</v>
      </c>
      <c r="B197" s="115"/>
      <c r="C197" s="115"/>
      <c r="D197" s="115"/>
      <c r="E197" s="115"/>
      <c r="F197" s="115"/>
      <c r="G197" s="115"/>
      <c r="H197" s="115"/>
    </row>
    <row r="198" spans="1:16" s="2" customFormat="1" x14ac:dyDescent="0.35">
      <c r="A198" s="115" t="s">
        <v>211</v>
      </c>
      <c r="B198" s="115"/>
      <c r="C198" s="115"/>
      <c r="D198" s="115"/>
      <c r="E198" s="115"/>
      <c r="F198" s="115"/>
      <c r="G198" s="115"/>
      <c r="H198" s="115"/>
    </row>
    <row r="199" spans="1:16" s="2" customFormat="1" ht="15.75" customHeight="1" x14ac:dyDescent="0.35">
      <c r="A199" s="116" t="s">
        <v>210</v>
      </c>
      <c r="B199" s="117"/>
      <c r="C199" s="117"/>
      <c r="D199" s="117"/>
      <c r="E199" s="117"/>
      <c r="F199" s="117"/>
      <c r="G199" s="117"/>
      <c r="H199" s="118"/>
      <c r="I199" s="37"/>
    </row>
    <row r="200" spans="1:16" s="2" customFormat="1" ht="15.75" customHeight="1" x14ac:dyDescent="0.35">
      <c r="A200" s="119" t="str">
        <f t="shared" ref="A200:A205" ca="1" si="27">N200</f>
        <v>101,..,701</v>
      </c>
      <c r="B200" s="120"/>
      <c r="C200" s="19" t="s">
        <v>208</v>
      </c>
      <c r="D200" s="19">
        <f>(23.3+(1*(2.75+2.25)))*10.764</f>
        <v>304.62119999999999</v>
      </c>
      <c r="E200" s="19">
        <v>0</v>
      </c>
      <c r="F200" s="19">
        <v>440</v>
      </c>
      <c r="G200" s="121" t="str">
        <f>A199</f>
        <v>1st, 2nd, 3rd, 4th, 5th, 6th &amp; 7th Floor For Residential</v>
      </c>
      <c r="H200" s="122"/>
      <c r="I200" s="37"/>
      <c r="N200" s="2" t="str">
        <f t="shared" ref="N200:N205" ca="1" si="28">O200&amp;""&amp;",..,"&amp;""&amp;P200</f>
        <v>101,..,701</v>
      </c>
      <c r="O200" s="2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10^ROW(INDIRECT("1:"&amp;LEN((LEFT(A199,SUM(LEN(A199)-LEN(SUBSTITUTE(A199,{"0","1","2"},""))))))))/10))*100+1</f>
        <v>101</v>
      </c>
      <c r="P200" s="2">
        <f ca="1">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",LEN(A199))),LEN(A199)))))))/10))*100+1</f>
        <v>701</v>
      </c>
    </row>
    <row r="201" spans="1:16" s="2" customFormat="1" ht="15.75" customHeight="1" x14ac:dyDescent="0.35">
      <c r="A201" s="119" t="str">
        <f t="shared" ca="1" si="27"/>
        <v>102,..,702</v>
      </c>
      <c r="B201" s="120"/>
      <c r="C201" s="19" t="s">
        <v>208</v>
      </c>
      <c r="D201" s="19">
        <f>(23.3+(1*(2.75+2.25)))*10.764</f>
        <v>304.62119999999999</v>
      </c>
      <c r="E201" s="19">
        <v>0</v>
      </c>
      <c r="F201" s="19">
        <v>440</v>
      </c>
      <c r="G201" s="123"/>
      <c r="H201" s="124"/>
      <c r="I201" s="37"/>
      <c r="N201" s="2" t="str">
        <f t="shared" ca="1" si="28"/>
        <v>102,..,702</v>
      </c>
      <c r="O201" s="2">
        <f t="shared" ref="O201:P201" ca="1" si="29">O200+1</f>
        <v>102</v>
      </c>
      <c r="P201" s="2">
        <f t="shared" ca="1" si="29"/>
        <v>702</v>
      </c>
    </row>
    <row r="202" spans="1:16" s="2" customFormat="1" ht="15.75" customHeight="1" x14ac:dyDescent="0.35">
      <c r="A202" s="119" t="str">
        <f t="shared" ca="1" si="27"/>
        <v>103,..,703</v>
      </c>
      <c r="B202" s="120"/>
      <c r="C202" s="19" t="s">
        <v>207</v>
      </c>
      <c r="D202" s="19">
        <f>(46.75+(1*(2.75+2.15+2.6))+0.75*2.75)*10.764</f>
        <v>606.14774999999997</v>
      </c>
      <c r="E202" s="19">
        <v>0</v>
      </c>
      <c r="F202" s="19">
        <v>880</v>
      </c>
      <c r="G202" s="123"/>
      <c r="H202" s="124"/>
      <c r="I202" s="37"/>
      <c r="N202" s="2" t="str">
        <f t="shared" ca="1" si="28"/>
        <v>103,..,703</v>
      </c>
      <c r="O202" s="2">
        <f t="shared" ref="O202:P202" ca="1" si="30">O201+1</f>
        <v>103</v>
      </c>
      <c r="P202" s="2">
        <f t="shared" ca="1" si="30"/>
        <v>703</v>
      </c>
    </row>
    <row r="203" spans="1:16" s="2" customFormat="1" ht="15.75" customHeight="1" x14ac:dyDescent="0.35">
      <c r="A203" s="119" t="str">
        <f t="shared" ca="1" si="27"/>
        <v>104,..,704</v>
      </c>
      <c r="B203" s="120"/>
      <c r="C203" s="19" t="s">
        <v>204</v>
      </c>
      <c r="D203" s="19">
        <f>(36.43+(1*(2.75+2.15))+0.75*2.75)*10.764</f>
        <v>467.07686999999993</v>
      </c>
      <c r="E203" s="19">
        <v>0</v>
      </c>
      <c r="F203" s="19">
        <v>675</v>
      </c>
      <c r="G203" s="123"/>
      <c r="H203" s="124"/>
      <c r="I203" s="37">
        <f>1873000/D203</f>
        <v>4010.0465689940934</v>
      </c>
      <c r="N203" s="2" t="str">
        <f t="shared" ca="1" si="28"/>
        <v>104,..,704</v>
      </c>
      <c r="O203" s="2">
        <f t="shared" ref="O203:P203" ca="1" si="31">O202+1</f>
        <v>104</v>
      </c>
      <c r="P203" s="2">
        <f t="shared" ca="1" si="31"/>
        <v>704</v>
      </c>
    </row>
    <row r="204" spans="1:16" s="2" customFormat="1" ht="15.75" customHeight="1" x14ac:dyDescent="0.35">
      <c r="A204" s="119" t="str">
        <f t="shared" ca="1" si="27"/>
        <v>105,..,705</v>
      </c>
      <c r="B204" s="120"/>
      <c r="C204" s="19" t="s">
        <v>204</v>
      </c>
      <c r="D204" s="19">
        <f>(36.2+(1*(2.75+2.15))+0.75*2.75)*10.764</f>
        <v>464.60114999999996</v>
      </c>
      <c r="E204" s="19">
        <v>0</v>
      </c>
      <c r="F204" s="19">
        <v>675</v>
      </c>
      <c r="G204" s="123"/>
      <c r="H204" s="124"/>
      <c r="I204" s="37"/>
      <c r="N204" s="2" t="str">
        <f t="shared" ca="1" si="28"/>
        <v>105,..,705</v>
      </c>
      <c r="O204" s="2">
        <f t="shared" ref="O204:P204" ca="1" si="32">O203+1</f>
        <v>105</v>
      </c>
      <c r="P204" s="2">
        <f t="shared" ca="1" si="32"/>
        <v>705</v>
      </c>
    </row>
    <row r="205" spans="1:16" s="2" customFormat="1" ht="15.75" customHeight="1" x14ac:dyDescent="0.35">
      <c r="A205" s="119" t="str">
        <f t="shared" ca="1" si="27"/>
        <v>106,..,706</v>
      </c>
      <c r="B205" s="120"/>
      <c r="C205" s="19" t="s">
        <v>204</v>
      </c>
      <c r="D205" s="19">
        <f>(36.2+(1*(2.75+2.15))+0.75*2.75)*10.764</f>
        <v>464.60114999999996</v>
      </c>
      <c r="E205" s="19">
        <v>0</v>
      </c>
      <c r="F205" s="19">
        <v>675</v>
      </c>
      <c r="G205" s="125"/>
      <c r="H205" s="126"/>
      <c r="I205" s="37"/>
      <c r="N205" s="2" t="str">
        <f t="shared" ca="1" si="28"/>
        <v>106,..,706</v>
      </c>
      <c r="O205" s="2">
        <f t="shared" ref="O205:P205" ca="1" si="33">O204+1</f>
        <v>106</v>
      </c>
      <c r="P205" s="2">
        <f t="shared" ca="1" si="33"/>
        <v>706</v>
      </c>
    </row>
    <row r="206" spans="1:16" s="2" customFormat="1" x14ac:dyDescent="0.35">
      <c r="A206" s="115" t="s">
        <v>229</v>
      </c>
      <c r="B206" s="115"/>
      <c r="C206" s="115"/>
      <c r="D206" s="115"/>
      <c r="E206" s="115"/>
      <c r="F206" s="115"/>
      <c r="G206" s="115"/>
      <c r="H206" s="115"/>
    </row>
    <row r="207" spans="1:16" s="2" customFormat="1" x14ac:dyDescent="0.35">
      <c r="A207" s="115" t="s">
        <v>211</v>
      </c>
      <c r="B207" s="115"/>
      <c r="C207" s="115"/>
      <c r="D207" s="115"/>
      <c r="E207" s="115"/>
      <c r="F207" s="115"/>
      <c r="G207" s="115"/>
      <c r="H207" s="115"/>
    </row>
    <row r="208" spans="1:16" s="2" customFormat="1" x14ac:dyDescent="0.35">
      <c r="A208" s="115" t="s">
        <v>210</v>
      </c>
      <c r="B208" s="115"/>
      <c r="C208" s="115"/>
      <c r="D208" s="115"/>
      <c r="E208" s="115"/>
      <c r="F208" s="115"/>
      <c r="G208" s="115"/>
      <c r="H208" s="115"/>
      <c r="I208" s="37"/>
    </row>
    <row r="209" spans="1:16" s="2" customFormat="1" ht="15.75" customHeight="1" x14ac:dyDescent="0.35">
      <c r="A209" s="105" t="str">
        <f t="shared" ref="A209:A212" ca="1" si="34">N209</f>
        <v>101,..,701</v>
      </c>
      <c r="B209" s="105"/>
      <c r="C209" s="72" t="s">
        <v>204</v>
      </c>
      <c r="D209" s="72">
        <f>(36.2+(1*(2.75+2.15))+0.75*2.75)*10.764</f>
        <v>464.60114999999996</v>
      </c>
      <c r="E209" s="72">
        <v>0</v>
      </c>
      <c r="F209" s="72">
        <v>675</v>
      </c>
      <c r="G209" s="105" t="str">
        <f>A208</f>
        <v>1st, 2nd, 3rd, 4th, 5th, 6th &amp; 7th Floor For Residential</v>
      </c>
      <c r="H209" s="105"/>
      <c r="I209" s="37"/>
      <c r="N209" s="2" t="str">
        <f t="shared" ref="N209:N212" ca="1" si="35">O209&amp;""&amp;",..,"&amp;""&amp;P209</f>
        <v>101,..,701</v>
      </c>
      <c r="O209" s="2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10^ROW(INDIRECT("1:"&amp;LEN((LEFT(A208,SUM(LEN(A208)-LEN(SUBSTITUTE(A208,{"0","1","2"},""))))))))/10))*100+1</f>
        <v>101</v>
      </c>
      <c r="P209" s="2">
        <f ca="1">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",LEN(A208))),LEN(A208)))))))/10))*100+1</f>
        <v>701</v>
      </c>
    </row>
    <row r="210" spans="1:16" s="2" customFormat="1" ht="15.75" customHeight="1" x14ac:dyDescent="0.35">
      <c r="A210" s="105" t="str">
        <f t="shared" ca="1" si="34"/>
        <v>102,..,702</v>
      </c>
      <c r="B210" s="105"/>
      <c r="C210" s="72" t="s">
        <v>207</v>
      </c>
      <c r="D210" s="72">
        <f>(46.2+(1*(2.75+2.15+2.6))+0.75*2.75)*10.764</f>
        <v>600.22754999999995</v>
      </c>
      <c r="E210" s="72">
        <v>0</v>
      </c>
      <c r="F210" s="72">
        <v>880</v>
      </c>
      <c r="G210" s="105"/>
      <c r="H210" s="105"/>
      <c r="I210" s="37"/>
      <c r="N210" s="2" t="str">
        <f t="shared" ca="1" si="35"/>
        <v>102,..,702</v>
      </c>
      <c r="O210" s="2">
        <f t="shared" ref="O210:P210" ca="1" si="36">O209+1</f>
        <v>102</v>
      </c>
      <c r="P210" s="2">
        <f t="shared" ca="1" si="36"/>
        <v>702</v>
      </c>
    </row>
    <row r="211" spans="1:16" s="2" customFormat="1" ht="15.75" customHeight="1" x14ac:dyDescent="0.35">
      <c r="A211" s="105" t="str">
        <f t="shared" ca="1" si="34"/>
        <v>103,..,703</v>
      </c>
      <c r="B211" s="105"/>
      <c r="C211" s="72" t="s">
        <v>204</v>
      </c>
      <c r="D211" s="72">
        <f>(36.2+(1*(2.75+2.15))+0.75*2.75)*10.764</f>
        <v>464.60114999999996</v>
      </c>
      <c r="E211" s="72">
        <v>0</v>
      </c>
      <c r="F211" s="72">
        <v>675</v>
      </c>
      <c r="G211" s="105"/>
      <c r="H211" s="105"/>
      <c r="I211" s="37"/>
      <c r="N211" s="2" t="str">
        <f t="shared" ca="1" si="35"/>
        <v>103,..,703</v>
      </c>
      <c r="O211" s="2">
        <f t="shared" ref="O211:P211" ca="1" si="37">O210+1</f>
        <v>103</v>
      </c>
      <c r="P211" s="2">
        <f t="shared" ca="1" si="37"/>
        <v>703</v>
      </c>
    </row>
    <row r="212" spans="1:16" s="2" customFormat="1" ht="15.75" customHeight="1" x14ac:dyDescent="0.35">
      <c r="A212" s="105" t="str">
        <f t="shared" ca="1" si="34"/>
        <v>104,..,704</v>
      </c>
      <c r="B212" s="105"/>
      <c r="C212" s="72" t="s">
        <v>204</v>
      </c>
      <c r="D212" s="72">
        <f>(36.2+(1*(2.75+2.15))+0.75*2.75)*10.764</f>
        <v>464.60114999999996</v>
      </c>
      <c r="E212" s="72">
        <v>0</v>
      </c>
      <c r="F212" s="72">
        <v>675</v>
      </c>
      <c r="G212" s="105"/>
      <c r="H212" s="105"/>
      <c r="I212" s="37"/>
      <c r="N212" s="2" t="str">
        <f t="shared" ca="1" si="35"/>
        <v>104,..,704</v>
      </c>
      <c r="O212" s="2">
        <f t="shared" ref="O212:P212" ca="1" si="38">O211+1</f>
        <v>104</v>
      </c>
      <c r="P212" s="2">
        <f t="shared" ca="1" si="38"/>
        <v>704</v>
      </c>
    </row>
    <row r="213" spans="1:16" s="1" customFormat="1" x14ac:dyDescent="0.35">
      <c r="A213" s="152" t="s">
        <v>78</v>
      </c>
      <c r="B213" s="152"/>
      <c r="C213" s="152"/>
      <c r="D213" s="152"/>
      <c r="E213" s="152"/>
      <c r="F213" s="152"/>
      <c r="G213" s="152"/>
      <c r="H213" s="152"/>
    </row>
    <row r="214" spans="1:16" s="1" customFormat="1" ht="33" customHeight="1" x14ac:dyDescent="0.35">
      <c r="A214" s="62">
        <v>1</v>
      </c>
      <c r="B214" s="102" t="s">
        <v>248</v>
      </c>
      <c r="C214" s="103"/>
      <c r="D214" s="103"/>
      <c r="E214" s="103"/>
      <c r="F214" s="103"/>
      <c r="G214" s="103"/>
      <c r="H214" s="104"/>
    </row>
    <row r="215" spans="1:16" s="1" customFormat="1" x14ac:dyDescent="0.35">
      <c r="A215" s="62">
        <f>A214+1</f>
        <v>2</v>
      </c>
      <c r="B215" s="102" t="s">
        <v>212</v>
      </c>
      <c r="C215" s="103"/>
      <c r="D215" s="103"/>
      <c r="E215" s="103"/>
      <c r="F215" s="103"/>
      <c r="G215" s="103"/>
      <c r="H215" s="104"/>
    </row>
    <row r="216" spans="1:16" s="1" customFormat="1" x14ac:dyDescent="0.35">
      <c r="A216" s="62">
        <f t="shared" ref="A216:A221" si="39">A215+1</f>
        <v>3</v>
      </c>
      <c r="B216" s="102" t="s">
        <v>161</v>
      </c>
      <c r="C216" s="103"/>
      <c r="D216" s="103"/>
      <c r="E216" s="103"/>
      <c r="F216" s="103"/>
      <c r="G216" s="103"/>
      <c r="H216" s="104"/>
    </row>
    <row r="217" spans="1:16" s="1" customFormat="1" x14ac:dyDescent="0.35">
      <c r="A217" s="62">
        <f t="shared" si="39"/>
        <v>4</v>
      </c>
      <c r="B217" s="102" t="s">
        <v>213</v>
      </c>
      <c r="C217" s="103"/>
      <c r="D217" s="103"/>
      <c r="E217" s="103"/>
      <c r="F217" s="103"/>
      <c r="G217" s="103"/>
      <c r="H217" s="104"/>
    </row>
    <row r="218" spans="1:16" s="1" customFormat="1" ht="30" customHeight="1" x14ac:dyDescent="0.35">
      <c r="A218" s="62">
        <f t="shared" si="39"/>
        <v>5</v>
      </c>
      <c r="B218" s="102" t="s">
        <v>235</v>
      </c>
      <c r="C218" s="103"/>
      <c r="D218" s="103"/>
      <c r="E218" s="103"/>
      <c r="F218" s="103"/>
      <c r="G218" s="103"/>
      <c r="H218" s="104"/>
    </row>
    <row r="219" spans="1:16" s="1" customFormat="1" x14ac:dyDescent="0.35">
      <c r="A219" s="62">
        <v>6</v>
      </c>
      <c r="B219" s="102" t="s">
        <v>162</v>
      </c>
      <c r="C219" s="103"/>
      <c r="D219" s="103"/>
      <c r="E219" s="103"/>
      <c r="F219" s="103"/>
      <c r="G219" s="103"/>
      <c r="H219" s="104"/>
    </row>
    <row r="220" spans="1:16" s="1" customFormat="1" x14ac:dyDescent="0.35">
      <c r="A220" s="62">
        <f t="shared" si="39"/>
        <v>7</v>
      </c>
      <c r="B220" s="102" t="s">
        <v>163</v>
      </c>
      <c r="C220" s="103"/>
      <c r="D220" s="103"/>
      <c r="E220" s="103"/>
      <c r="F220" s="103"/>
      <c r="G220" s="103"/>
      <c r="H220" s="104"/>
    </row>
    <row r="221" spans="1:16" s="1" customFormat="1" hidden="1" x14ac:dyDescent="0.35">
      <c r="A221" s="62">
        <f t="shared" si="39"/>
        <v>8</v>
      </c>
      <c r="B221" s="102" t="s">
        <v>237</v>
      </c>
      <c r="C221" s="103"/>
      <c r="D221" s="103"/>
      <c r="E221" s="103"/>
      <c r="F221" s="103"/>
      <c r="G221" s="103"/>
      <c r="H221" s="104"/>
    </row>
    <row r="222" spans="1:16" x14ac:dyDescent="0.35">
      <c r="A222" s="141" t="s">
        <v>71</v>
      </c>
      <c r="B222" s="141"/>
      <c r="C222" s="141"/>
      <c r="D222" s="141"/>
      <c r="E222" s="141"/>
      <c r="F222" s="141"/>
      <c r="G222" s="141"/>
      <c r="H222" s="141"/>
    </row>
    <row r="223" spans="1:16" x14ac:dyDescent="0.35">
      <c r="A223" s="76" t="s">
        <v>72</v>
      </c>
      <c r="B223" s="76"/>
      <c r="C223" s="76"/>
      <c r="D223" s="76"/>
      <c r="E223" s="76"/>
      <c r="F223" s="76"/>
      <c r="G223" s="76"/>
      <c r="H223" s="76"/>
    </row>
    <row r="224" spans="1:16" ht="15.75" customHeight="1" x14ac:dyDescent="0.35">
      <c r="A224" s="129" t="s">
        <v>73</v>
      </c>
      <c r="B224" s="129"/>
      <c r="C224" s="129"/>
      <c r="D224" s="129"/>
      <c r="E224" s="129"/>
      <c r="F224" s="129"/>
      <c r="G224" s="129"/>
      <c r="H224" s="129"/>
    </row>
    <row r="225" spans="1:8" x14ac:dyDescent="0.35">
      <c r="A225" s="76" t="s">
        <v>74</v>
      </c>
      <c r="B225" s="76"/>
      <c r="C225" s="76"/>
      <c r="D225" s="76"/>
      <c r="E225" s="76"/>
      <c r="F225" s="76"/>
      <c r="G225" s="76"/>
      <c r="H225" s="76"/>
    </row>
    <row r="226" spans="1:8" x14ac:dyDescent="0.35">
      <c r="A226" s="76" t="s">
        <v>75</v>
      </c>
      <c r="B226" s="76"/>
      <c r="C226" s="76"/>
      <c r="D226" s="76"/>
      <c r="E226" s="76"/>
      <c r="F226" s="76"/>
      <c r="G226" s="76"/>
      <c r="H226" s="76"/>
    </row>
    <row r="227" spans="1:8" x14ac:dyDescent="0.35">
      <c r="A227" s="76" t="s">
        <v>164</v>
      </c>
      <c r="B227" s="76"/>
      <c r="C227" s="76"/>
      <c r="D227" s="76"/>
      <c r="E227" s="76"/>
      <c r="F227" s="76"/>
      <c r="G227" s="76"/>
      <c r="H227" s="76"/>
    </row>
    <row r="228" spans="1:8" x14ac:dyDescent="0.35">
      <c r="A228" s="77" t="s">
        <v>165</v>
      </c>
      <c r="B228" s="77"/>
      <c r="C228" s="77"/>
      <c r="D228" s="77"/>
      <c r="E228" s="77"/>
      <c r="F228" s="77"/>
      <c r="G228" s="77"/>
      <c r="H228" s="77"/>
    </row>
    <row r="229" spans="1:8" ht="15.75" customHeight="1" x14ac:dyDescent="0.35">
      <c r="A229" s="150" t="s">
        <v>111</v>
      </c>
      <c r="B229" s="150"/>
      <c r="C229" s="150" t="s">
        <v>251</v>
      </c>
      <c r="D229" s="150"/>
      <c r="E229" s="150" t="s">
        <v>140</v>
      </c>
      <c r="F229" s="150"/>
      <c r="G229" s="150" t="s">
        <v>249</v>
      </c>
      <c r="H229" s="150"/>
    </row>
    <row r="230" spans="1:8" x14ac:dyDescent="0.35">
      <c r="A230" s="149" t="s">
        <v>113</v>
      </c>
      <c r="B230" s="149"/>
      <c r="C230" s="149"/>
      <c r="D230" s="149"/>
      <c r="E230" s="149"/>
      <c r="F230" s="149"/>
      <c r="G230" s="149"/>
      <c r="H230" s="149"/>
    </row>
    <row r="231" spans="1:8" x14ac:dyDescent="0.35">
      <c r="A231" s="149"/>
      <c r="B231" s="149"/>
      <c r="C231" s="149"/>
      <c r="D231" s="149"/>
      <c r="E231" s="149"/>
      <c r="F231" s="149"/>
      <c r="G231" s="149"/>
      <c r="H231" s="149"/>
    </row>
    <row r="232" spans="1:8" x14ac:dyDescent="0.35">
      <c r="A232" s="149"/>
      <c r="B232" s="149"/>
      <c r="C232" s="149"/>
      <c r="D232" s="149"/>
      <c r="E232" s="149"/>
      <c r="F232" s="149"/>
      <c r="G232" s="149"/>
      <c r="H232" s="149"/>
    </row>
    <row r="233" spans="1:8" x14ac:dyDescent="0.35">
      <c r="A233" s="149"/>
      <c r="B233" s="149"/>
      <c r="C233" s="149"/>
      <c r="D233" s="149"/>
      <c r="E233" s="149"/>
      <c r="F233" s="149"/>
      <c r="G233" s="149"/>
      <c r="H233" s="149"/>
    </row>
    <row r="234" spans="1:8" x14ac:dyDescent="0.35">
      <c r="A234" s="14" t="s">
        <v>76</v>
      </c>
      <c r="B234" s="15"/>
      <c r="C234" s="15"/>
      <c r="D234" s="14" t="str">
        <f>E8</f>
        <v>Ninestar Prestige</v>
      </c>
      <c r="F234" s="15"/>
      <c r="G234" s="15"/>
      <c r="H234" s="15"/>
    </row>
    <row r="235" spans="1:8" x14ac:dyDescent="0.35">
      <c r="A235" s="15"/>
      <c r="B235" s="15"/>
      <c r="C235" s="15"/>
      <c r="D235" s="15"/>
      <c r="E235" s="15"/>
      <c r="F235" s="15"/>
      <c r="G235" s="15"/>
      <c r="H235" s="15"/>
    </row>
    <row r="236" spans="1:8" x14ac:dyDescent="0.35">
      <c r="A236" s="15"/>
      <c r="B236" s="15"/>
      <c r="C236" s="15"/>
      <c r="D236" s="15"/>
      <c r="E236" s="15"/>
      <c r="F236" s="15"/>
      <c r="G236" s="15"/>
      <c r="H236" s="15"/>
    </row>
    <row r="237" spans="1:8" ht="15" customHeight="1" x14ac:dyDescent="0.35"/>
    <row r="277" spans="1:1" x14ac:dyDescent="0.35">
      <c r="A277" s="17" t="s">
        <v>77</v>
      </c>
    </row>
  </sheetData>
  <mergeCells count="413">
    <mergeCell ref="A93:B93"/>
    <mergeCell ref="E93:F102"/>
    <mergeCell ref="G93:H102"/>
    <mergeCell ref="A94:B94"/>
    <mergeCell ref="A95:B95"/>
    <mergeCell ref="G170:H170"/>
    <mergeCell ref="G167:H167"/>
    <mergeCell ref="D141:D142"/>
    <mergeCell ref="A96:B96"/>
    <mergeCell ref="A97:B97"/>
    <mergeCell ref="A98:B98"/>
    <mergeCell ref="A100:B100"/>
    <mergeCell ref="A101:B101"/>
    <mergeCell ref="F124:H124"/>
    <mergeCell ref="A153:H153"/>
    <mergeCell ref="A154:B154"/>
    <mergeCell ref="G154:H154"/>
    <mergeCell ref="A158:B158"/>
    <mergeCell ref="G158:H158"/>
    <mergeCell ref="A150:B150"/>
    <mergeCell ref="A151:B151"/>
    <mergeCell ref="A145:B145"/>
    <mergeCell ref="G128:H128"/>
    <mergeCell ref="A124:E124"/>
    <mergeCell ref="B220:H220"/>
    <mergeCell ref="B221:H221"/>
    <mergeCell ref="B214:H214"/>
    <mergeCell ref="B215:H215"/>
    <mergeCell ref="B216:H216"/>
    <mergeCell ref="B217:H217"/>
    <mergeCell ref="B219:H219"/>
    <mergeCell ref="A184:B184"/>
    <mergeCell ref="G184:H184"/>
    <mergeCell ref="A185:B185"/>
    <mergeCell ref="G185:H185"/>
    <mergeCell ref="A186:B186"/>
    <mergeCell ref="G186:H186"/>
    <mergeCell ref="A187:B187"/>
    <mergeCell ref="G187:H187"/>
    <mergeCell ref="A188:B188"/>
    <mergeCell ref="G188:H188"/>
    <mergeCell ref="A189:B189"/>
    <mergeCell ref="G189:H189"/>
    <mergeCell ref="A190:H190"/>
    <mergeCell ref="A191:B191"/>
    <mergeCell ref="A192:B192"/>
    <mergeCell ref="G209:H212"/>
    <mergeCell ref="A210:B210"/>
    <mergeCell ref="L151:M151"/>
    <mergeCell ref="L150:M150"/>
    <mergeCell ref="G147:H147"/>
    <mergeCell ref="G145:H145"/>
    <mergeCell ref="G151:H151"/>
    <mergeCell ref="G150:H150"/>
    <mergeCell ref="G146:H146"/>
    <mergeCell ref="G149:H149"/>
    <mergeCell ref="G148:H148"/>
    <mergeCell ref="L149:M149"/>
    <mergeCell ref="L148:M148"/>
    <mergeCell ref="L147:M147"/>
    <mergeCell ref="L146:M146"/>
    <mergeCell ref="L145:M145"/>
    <mergeCell ref="A72:B72"/>
    <mergeCell ref="C134:D134"/>
    <mergeCell ref="E134:F134"/>
    <mergeCell ref="G134:H134"/>
    <mergeCell ref="A121:E121"/>
    <mergeCell ref="A89:B89"/>
    <mergeCell ref="C89:H89"/>
    <mergeCell ref="A144:H144"/>
    <mergeCell ref="E141:E142"/>
    <mergeCell ref="G141:H142"/>
    <mergeCell ref="F123:H123"/>
    <mergeCell ref="E133:F133"/>
    <mergeCell ref="E128:F128"/>
    <mergeCell ref="A117:E117"/>
    <mergeCell ref="F117:H117"/>
    <mergeCell ref="A139:H139"/>
    <mergeCell ref="C119:H119"/>
    <mergeCell ref="F122:H122"/>
    <mergeCell ref="A122:E122"/>
    <mergeCell ref="A91:B91"/>
    <mergeCell ref="C91:H91"/>
    <mergeCell ref="A92:B92"/>
    <mergeCell ref="E92:F92"/>
    <mergeCell ref="G92:H92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7:C57"/>
    <mergeCell ref="A58:C58"/>
    <mergeCell ref="D57:H57"/>
    <mergeCell ref="E65:F74"/>
    <mergeCell ref="G65:H74"/>
    <mergeCell ref="A73:B73"/>
    <mergeCell ref="A74:B74"/>
    <mergeCell ref="D58:H58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71:B71"/>
    <mergeCell ref="A64:B64"/>
    <mergeCell ref="A67:B67"/>
    <mergeCell ref="A60:C60"/>
    <mergeCell ref="D60:H60"/>
    <mergeCell ref="A65:B65"/>
    <mergeCell ref="G64:H64"/>
    <mergeCell ref="A63:B63"/>
    <mergeCell ref="A61:B61"/>
    <mergeCell ref="C61:H61"/>
    <mergeCell ref="A69:B69"/>
    <mergeCell ref="A59:C59"/>
    <mergeCell ref="D59:H59"/>
    <mergeCell ref="C63:H63"/>
    <mergeCell ref="A66:B66"/>
    <mergeCell ref="A68:B68"/>
    <mergeCell ref="E64:F64"/>
    <mergeCell ref="A230:H233"/>
    <mergeCell ref="A229:B229"/>
    <mergeCell ref="E229:F229"/>
    <mergeCell ref="C229:D229"/>
    <mergeCell ref="G229:H229"/>
    <mergeCell ref="A127:H127"/>
    <mergeCell ref="A125:E125"/>
    <mergeCell ref="F125:H125"/>
    <mergeCell ref="A126:E126"/>
    <mergeCell ref="F126:H126"/>
    <mergeCell ref="A166:H166"/>
    <mergeCell ref="A134:B134"/>
    <mergeCell ref="A176:B176"/>
    <mergeCell ref="A129:B129"/>
    <mergeCell ref="A225:H225"/>
    <mergeCell ref="A132:H132"/>
    <mergeCell ref="A228:H228"/>
    <mergeCell ref="A226:H226"/>
    <mergeCell ref="A213:H213"/>
    <mergeCell ref="C141:C142"/>
    <mergeCell ref="A173:H173"/>
    <mergeCell ref="G172:H172"/>
    <mergeCell ref="A222:H222"/>
    <mergeCell ref="A223:H223"/>
    <mergeCell ref="C129:D129"/>
    <mergeCell ref="E129:F129"/>
    <mergeCell ref="G168:H168"/>
    <mergeCell ref="B141:B142"/>
    <mergeCell ref="A141:A142"/>
    <mergeCell ref="C133:D133"/>
    <mergeCell ref="G133:H133"/>
    <mergeCell ref="G138:H138"/>
    <mergeCell ref="A165:B165"/>
    <mergeCell ref="G165:H165"/>
    <mergeCell ref="A146:B146"/>
    <mergeCell ref="A147:B147"/>
    <mergeCell ref="A148:B148"/>
    <mergeCell ref="A149:B149"/>
    <mergeCell ref="A152:H152"/>
    <mergeCell ref="G136:H136"/>
    <mergeCell ref="A137:B137"/>
    <mergeCell ref="C137:D137"/>
    <mergeCell ref="A140:H140"/>
    <mergeCell ref="G45:H45"/>
    <mergeCell ref="G47:H47"/>
    <mergeCell ref="D51:H51"/>
    <mergeCell ref="C47:E47"/>
    <mergeCell ref="A54:C56"/>
    <mergeCell ref="D54:H54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D56:H56"/>
    <mergeCell ref="D55:H55"/>
    <mergeCell ref="A227:H227"/>
    <mergeCell ref="A172:B172"/>
    <mergeCell ref="A224:H224"/>
    <mergeCell ref="A167:B167"/>
    <mergeCell ref="A133:B133"/>
    <mergeCell ref="G162:H162"/>
    <mergeCell ref="A99:B99"/>
    <mergeCell ref="A70:B70"/>
    <mergeCell ref="F121:H121"/>
    <mergeCell ref="A118:H118"/>
    <mergeCell ref="A119:B119"/>
    <mergeCell ref="A120:H120"/>
    <mergeCell ref="G129:H129"/>
    <mergeCell ref="A102:B102"/>
    <mergeCell ref="A143:H143"/>
    <mergeCell ref="E137:F137"/>
    <mergeCell ref="G137:H137"/>
    <mergeCell ref="A123:E123"/>
    <mergeCell ref="A138:B138"/>
    <mergeCell ref="C138:D138"/>
    <mergeCell ref="E138:F138"/>
    <mergeCell ref="A128:B128"/>
    <mergeCell ref="C128:D128"/>
    <mergeCell ref="A175:B175"/>
    <mergeCell ref="L154:M154"/>
    <mergeCell ref="A155:B155"/>
    <mergeCell ref="G155:H155"/>
    <mergeCell ref="L155:M155"/>
    <mergeCell ref="A156:B156"/>
    <mergeCell ref="G156:H156"/>
    <mergeCell ref="L156:M156"/>
    <mergeCell ref="A157:B157"/>
    <mergeCell ref="G157:H157"/>
    <mergeCell ref="L157:M157"/>
    <mergeCell ref="L158:M158"/>
    <mergeCell ref="A159:B159"/>
    <mergeCell ref="G159:H159"/>
    <mergeCell ref="L159:M159"/>
    <mergeCell ref="A160:B160"/>
    <mergeCell ref="G160:H160"/>
    <mergeCell ref="L160:M160"/>
    <mergeCell ref="A163:H163"/>
    <mergeCell ref="A164:H164"/>
    <mergeCell ref="A161:H161"/>
    <mergeCell ref="L165:M165"/>
    <mergeCell ref="A180:H180"/>
    <mergeCell ref="A181:H181"/>
    <mergeCell ref="A182:B182"/>
    <mergeCell ref="G182:H182"/>
    <mergeCell ref="L182:M182"/>
    <mergeCell ref="A183:H183"/>
    <mergeCell ref="L183:M183"/>
    <mergeCell ref="L166:M166"/>
    <mergeCell ref="A171:B171"/>
    <mergeCell ref="A168:B168"/>
    <mergeCell ref="A169:B169"/>
    <mergeCell ref="A170:B170"/>
    <mergeCell ref="A179:B179"/>
    <mergeCell ref="G171:H171"/>
    <mergeCell ref="A178:B178"/>
    <mergeCell ref="A177:B177"/>
    <mergeCell ref="A174:B174"/>
    <mergeCell ref="G169:H169"/>
    <mergeCell ref="G174:H179"/>
    <mergeCell ref="A211:B211"/>
    <mergeCell ref="A201:B201"/>
    <mergeCell ref="A202:B202"/>
    <mergeCell ref="A203:B203"/>
    <mergeCell ref="A204:B204"/>
    <mergeCell ref="A205:B205"/>
    <mergeCell ref="A206:H206"/>
    <mergeCell ref="A207:H207"/>
    <mergeCell ref="A208:H208"/>
    <mergeCell ref="A209:B209"/>
    <mergeCell ref="A199:H199"/>
    <mergeCell ref="A200:B200"/>
    <mergeCell ref="A193:B193"/>
    <mergeCell ref="A194:B194"/>
    <mergeCell ref="A195:B195"/>
    <mergeCell ref="A196:B196"/>
    <mergeCell ref="A197:H197"/>
    <mergeCell ref="G191:H196"/>
    <mergeCell ref="G200:H205"/>
    <mergeCell ref="A83:B83"/>
    <mergeCell ref="A84:B84"/>
    <mergeCell ref="A85:B85"/>
    <mergeCell ref="A86:B86"/>
    <mergeCell ref="A87:B87"/>
    <mergeCell ref="A88:B88"/>
    <mergeCell ref="B218:H218"/>
    <mergeCell ref="A212:B212"/>
    <mergeCell ref="A130:B130"/>
    <mergeCell ref="C130:D130"/>
    <mergeCell ref="E130:F130"/>
    <mergeCell ref="G130:H130"/>
    <mergeCell ref="A131:B131"/>
    <mergeCell ref="C131:D131"/>
    <mergeCell ref="E131:F131"/>
    <mergeCell ref="G131:H131"/>
    <mergeCell ref="A135:B135"/>
    <mergeCell ref="C135:D135"/>
    <mergeCell ref="E135:F135"/>
    <mergeCell ref="G135:H135"/>
    <mergeCell ref="A136:B136"/>
    <mergeCell ref="C136:D136"/>
    <mergeCell ref="E136:F136"/>
    <mergeCell ref="A198:H198"/>
    <mergeCell ref="E39:H39"/>
    <mergeCell ref="A39:D39"/>
    <mergeCell ref="A45:B45"/>
    <mergeCell ref="C45:E45"/>
    <mergeCell ref="A103:B103"/>
    <mergeCell ref="C103:H103"/>
    <mergeCell ref="A105:B105"/>
    <mergeCell ref="C105:H105"/>
    <mergeCell ref="A106:B106"/>
    <mergeCell ref="E106:F106"/>
    <mergeCell ref="G106:H106"/>
    <mergeCell ref="A75:B75"/>
    <mergeCell ref="C75:H75"/>
    <mergeCell ref="A77:B77"/>
    <mergeCell ref="C77:H77"/>
    <mergeCell ref="A78:B78"/>
    <mergeCell ref="E78:F78"/>
    <mergeCell ref="G78:H78"/>
    <mergeCell ref="A79:B79"/>
    <mergeCell ref="E79:F88"/>
    <mergeCell ref="G79:H88"/>
    <mergeCell ref="A80:B80"/>
    <mergeCell ref="A81:B81"/>
    <mergeCell ref="A82:B82"/>
    <mergeCell ref="A107:B107"/>
    <mergeCell ref="E107:F116"/>
    <mergeCell ref="G107:H116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</mergeCells>
  <dataValidations count="1">
    <dataValidation type="list" allowBlank="1" showInputMessage="1" showErrorMessage="1" sqref="G229:H229">
      <formula1>"Kunal Kadam,Pranita Mhatre,Shruti Fule,Pooja Kawale,Gaurav Panchal,Shruti Tathare, Hitakshi Mhatre, Sachin Sawant"</formula1>
    </dataValidation>
  </dataValidation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&amp;P</oddFooter>
  </headerFooter>
  <rowBreaks count="2" manualBreakCount="2">
    <brk id="233" max="16383" man="1"/>
    <brk id="27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79</v>
      </c>
      <c r="C2" s="179"/>
      <c r="D2" s="179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80</v>
      </c>
      <c r="B4" s="5" t="s">
        <v>81</v>
      </c>
      <c r="C4" s="180" t="s">
        <v>82</v>
      </c>
      <c r="D4" s="180"/>
      <c r="E4" s="180"/>
      <c r="F4" s="6"/>
      <c r="G4" s="180" t="s">
        <v>83</v>
      </c>
      <c r="H4" s="180"/>
      <c r="I4" s="180"/>
      <c r="J4" s="180" t="s">
        <v>84</v>
      </c>
      <c r="K4" s="180"/>
      <c r="L4" s="180"/>
    </row>
    <row r="5" spans="1:12" x14ac:dyDescent="0.35">
      <c r="A5" s="3">
        <v>202</v>
      </c>
      <c r="B5" s="5"/>
      <c r="C5" s="5" t="s">
        <v>85</v>
      </c>
      <c r="D5" s="5" t="s">
        <v>86</v>
      </c>
      <c r="E5" s="5" t="s">
        <v>63</v>
      </c>
      <c r="F5" s="5"/>
      <c r="G5" s="5" t="s">
        <v>85</v>
      </c>
      <c r="H5" s="5" t="s">
        <v>86</v>
      </c>
      <c r="I5" s="5" t="s">
        <v>63</v>
      </c>
      <c r="J5" s="5" t="s">
        <v>85</v>
      </c>
      <c r="K5" s="5" t="s">
        <v>86</v>
      </c>
      <c r="L5" s="5" t="s">
        <v>63</v>
      </c>
    </row>
    <row r="6" spans="1:12" x14ac:dyDescent="0.35">
      <c r="B6" s="7" t="s">
        <v>87</v>
      </c>
      <c r="C6" s="7"/>
      <c r="D6" s="7"/>
      <c r="E6" s="7">
        <f>C6*D6</f>
        <v>0</v>
      </c>
      <c r="F6" s="7" t="s">
        <v>88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89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90</v>
      </c>
      <c r="C9" s="7"/>
      <c r="D9" s="7"/>
      <c r="E9" s="7">
        <f t="shared" si="0"/>
        <v>0</v>
      </c>
      <c r="F9" s="7" t="s">
        <v>88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89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91</v>
      </c>
      <c r="C13" s="7"/>
      <c r="D13" s="7"/>
      <c r="E13" s="7">
        <f t="shared" si="0"/>
        <v>0</v>
      </c>
      <c r="F13" s="7" t="s">
        <v>88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89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92</v>
      </c>
      <c r="C17" s="7"/>
      <c r="D17" s="7"/>
      <c r="E17" s="7">
        <f t="shared" si="0"/>
        <v>0</v>
      </c>
      <c r="F17" s="7" t="s">
        <v>88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89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92</v>
      </c>
      <c r="C20" s="7"/>
      <c r="D20" s="7"/>
      <c r="E20" s="7">
        <f t="shared" si="0"/>
        <v>0</v>
      </c>
      <c r="F20" s="7" t="s">
        <v>88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89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93</v>
      </c>
      <c r="C23" s="7"/>
      <c r="D23" s="7"/>
      <c r="E23" s="7">
        <f t="shared" si="0"/>
        <v>0</v>
      </c>
      <c r="F23" s="7" t="s">
        <v>94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95</v>
      </c>
      <c r="C24" s="7"/>
      <c r="D24" s="7"/>
      <c r="E24" s="7">
        <f t="shared" si="0"/>
        <v>0</v>
      </c>
      <c r="F24" s="7" t="s">
        <v>94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96</v>
      </c>
      <c r="C25" s="7"/>
      <c r="D25" s="7"/>
      <c r="E25" s="7">
        <f t="shared" si="0"/>
        <v>0</v>
      </c>
      <c r="F25" s="7" t="s">
        <v>94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97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98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99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100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64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23"/>
    <col min="2" max="2" width="22.1796875" style="23" customWidth="1"/>
    <col min="3" max="3" width="37" style="23" customWidth="1"/>
    <col min="4" max="5" width="11.453125" style="23" customWidth="1"/>
    <col min="6" max="6" width="14" style="23" customWidth="1"/>
    <col min="7" max="7" width="20" style="23" customWidth="1"/>
    <col min="8" max="8" width="16.453125" style="23" customWidth="1"/>
    <col min="9" max="16384" width="8.7265625" style="23"/>
  </cols>
  <sheetData>
    <row r="1" spans="1:9" ht="15" customHeight="1" x14ac:dyDescent="0.35"/>
    <row r="2" spans="1:9" ht="15" customHeight="1" x14ac:dyDescent="0.3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5">
      <c r="A3" s="24"/>
      <c r="B3" s="181" t="s">
        <v>141</v>
      </c>
      <c r="C3" s="181"/>
      <c r="D3" s="181"/>
      <c r="E3" s="181"/>
      <c r="F3" s="181"/>
      <c r="G3" s="181"/>
      <c r="H3" s="181"/>
    </row>
    <row r="4" spans="1:9" x14ac:dyDescent="0.35">
      <c r="A4" s="24"/>
      <c r="B4" s="25" t="s">
        <v>142</v>
      </c>
      <c r="C4" s="25" t="s">
        <v>143</v>
      </c>
      <c r="D4" s="25" t="s">
        <v>80</v>
      </c>
      <c r="E4" s="25" t="s">
        <v>144</v>
      </c>
      <c r="F4" s="25" t="s">
        <v>151</v>
      </c>
      <c r="G4" s="25" t="s">
        <v>152</v>
      </c>
      <c r="H4" s="25" t="s">
        <v>145</v>
      </c>
    </row>
    <row r="5" spans="1:9" ht="15" customHeight="1" x14ac:dyDescent="0.35">
      <c r="A5" s="24"/>
      <c r="B5" s="27" t="s">
        <v>146</v>
      </c>
      <c r="C5" s="28"/>
      <c r="D5" s="27" t="s">
        <v>147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35">
      <c r="A6" s="24"/>
      <c r="B6" s="27" t="s">
        <v>146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35">
      <c r="A7" s="24"/>
      <c r="B7" s="27" t="s">
        <v>146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35">
      <c r="A8" s="24"/>
      <c r="B8" s="27" t="s">
        <v>146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35">
      <c r="A9" s="24"/>
      <c r="B9" s="27" t="s">
        <v>146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35">
      <c r="A10" s="24"/>
      <c r="B10" s="27" t="s">
        <v>148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35">
      <c r="A11" s="24"/>
      <c r="B11" s="27" t="s">
        <v>148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35">
      <c r="A12" s="24"/>
      <c r="B12" s="32" t="s">
        <v>149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35">
      <c r="B13" s="32" t="s">
        <v>150</v>
      </c>
      <c r="C13" s="27"/>
      <c r="D13" s="27"/>
      <c r="E13" s="27"/>
      <c r="F13" s="34"/>
      <c r="G13" s="32"/>
      <c r="H13" s="32"/>
      <c r="I13" s="26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2025-01-18T05:34:02Z</cp:lastPrinted>
  <dcterms:created xsi:type="dcterms:W3CDTF">2019-07-16T09:29:46Z</dcterms:created>
  <dcterms:modified xsi:type="dcterms:W3CDTF">2025-09-23T10:33:49Z</dcterms:modified>
</cp:coreProperties>
</file>