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2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C103" i="1"/>
  <c r="D66" i="1"/>
  <c r="C79" i="1" l="1"/>
  <c r="L79" i="1"/>
  <c r="C81" i="1" l="1"/>
  <c r="C80" i="1"/>
  <c r="C136" i="1"/>
  <c r="C122" i="1" l="1"/>
  <c r="D222" i="1" l="1"/>
  <c r="F222" i="1" s="1"/>
  <c r="D221" i="1"/>
  <c r="F221" i="1" s="1"/>
  <c r="G220" i="1"/>
  <c r="D220" i="1"/>
  <c r="F220" i="1" s="1"/>
  <c r="D217" i="1"/>
  <c r="F217" i="1" s="1"/>
  <c r="D216" i="1"/>
  <c r="F216" i="1" s="1"/>
  <c r="D215" i="1"/>
  <c r="F215" i="1" s="1"/>
  <c r="D213" i="1"/>
  <c r="F213" i="1" s="1"/>
  <c r="D212" i="1"/>
  <c r="F212" i="1" s="1"/>
  <c r="D211" i="1"/>
  <c r="F211" i="1" s="1"/>
  <c r="D210" i="1"/>
  <c r="F210" i="1" s="1"/>
  <c r="D206" i="1"/>
  <c r="D205" i="1"/>
  <c r="D208" i="1"/>
  <c r="D207" i="1"/>
  <c r="D202" i="1"/>
  <c r="G215" i="1"/>
  <c r="G210" i="1"/>
  <c r="D203" i="1"/>
  <c r="C190" i="1" l="1"/>
  <c r="E190" i="1"/>
  <c r="F208" i="1"/>
  <c r="F207" i="1"/>
  <c r="F206" i="1"/>
  <c r="G205" i="1"/>
  <c r="F205" i="1"/>
  <c r="F203" i="1"/>
  <c r="G202" i="1"/>
  <c r="F202" i="1"/>
  <c r="C72" i="1"/>
  <c r="J83" i="1"/>
  <c r="J82" i="1"/>
  <c r="J81" i="1"/>
  <c r="J80" i="1"/>
  <c r="H73" i="1"/>
  <c r="G190" i="1" l="1"/>
  <c r="D80" i="1"/>
  <c r="D85" i="1"/>
  <c r="D83" i="1"/>
  <c r="D81" i="1"/>
  <c r="J78" i="1"/>
  <c r="J76" i="1"/>
  <c r="D79" i="1"/>
  <c r="J77" i="1"/>
  <c r="C76" i="1" s="1"/>
  <c r="D78" i="1"/>
  <c r="J75" i="1"/>
  <c r="D84" i="1"/>
  <c r="D82" i="1"/>
  <c r="J126" i="1"/>
  <c r="J125" i="1"/>
  <c r="J124" i="1"/>
  <c r="J123" i="1"/>
  <c r="H116" i="1"/>
  <c r="J79" i="1" l="1"/>
  <c r="D76" i="1"/>
  <c r="J121" i="1"/>
  <c r="E119" i="1" s="1"/>
  <c r="D127" i="1"/>
  <c r="D125" i="1"/>
  <c r="D123" i="1"/>
  <c r="D121" i="1"/>
  <c r="J119" i="1"/>
  <c r="J120" i="1"/>
  <c r="C119" i="1" s="1"/>
  <c r="D119" i="1" s="1"/>
  <c r="J118" i="1"/>
  <c r="D128" i="1"/>
  <c r="D126" i="1"/>
  <c r="D124" i="1"/>
  <c r="D122" i="1"/>
  <c r="C108" i="1"/>
  <c r="C110" i="1" s="1"/>
  <c r="C93" i="1"/>
  <c r="C100" i="1"/>
  <c r="J112" i="1"/>
  <c r="J111" i="1"/>
  <c r="J110" i="1"/>
  <c r="J109" i="1"/>
  <c r="E3" i="1"/>
  <c r="D283" i="1"/>
  <c r="H101" i="1"/>
  <c r="J84" i="1" l="1"/>
  <c r="J85" i="1" s="1"/>
  <c r="C77" i="1" s="1"/>
  <c r="G76" i="1" s="1"/>
  <c r="G119" i="1"/>
  <c r="J122" i="1"/>
  <c r="J127" i="1" s="1"/>
  <c r="J128" i="1" s="1"/>
  <c r="D120" i="1"/>
  <c r="J106" i="1"/>
  <c r="C105" i="1" s="1"/>
  <c r="D105" i="1" s="1"/>
  <c r="J104" i="1"/>
  <c r="D114" i="1"/>
  <c r="D112" i="1"/>
  <c r="D110" i="1"/>
  <c r="D108" i="1"/>
  <c r="J107" i="1"/>
  <c r="E105" i="1" s="1"/>
  <c r="D113" i="1"/>
  <c r="D111" i="1"/>
  <c r="D109" i="1"/>
  <c r="D107" i="1"/>
  <c r="J105" i="1"/>
  <c r="D303" i="1"/>
  <c r="F303" i="1" s="1"/>
  <c r="D302" i="1"/>
  <c r="F302" i="1" s="1"/>
  <c r="D300" i="1"/>
  <c r="F300" i="1" s="1"/>
  <c r="D298" i="1"/>
  <c r="F298" i="1" s="1"/>
  <c r="D297" i="1"/>
  <c r="F297" i="1" s="1"/>
  <c r="D296" i="1"/>
  <c r="F296" i="1" s="1"/>
  <c r="D295" i="1"/>
  <c r="F295" i="1" s="1"/>
  <c r="D293" i="1"/>
  <c r="F293" i="1" s="1"/>
  <c r="D292" i="1"/>
  <c r="F292" i="1" s="1"/>
  <c r="D290" i="1"/>
  <c r="F290" i="1" s="1"/>
  <c r="G300" i="1"/>
  <c r="F283" i="1"/>
  <c r="G295" i="1"/>
  <c r="G290" i="1"/>
  <c r="D288" i="1"/>
  <c r="F288" i="1" s="1"/>
  <c r="D287" i="1"/>
  <c r="F287" i="1" s="1"/>
  <c r="D286" i="1"/>
  <c r="F286" i="1" s="1"/>
  <c r="D285" i="1"/>
  <c r="F285" i="1" s="1"/>
  <c r="G285" i="1"/>
  <c r="G283" i="1"/>
  <c r="C157" i="1"/>
  <c r="J168" i="1"/>
  <c r="J167" i="1"/>
  <c r="J166" i="1"/>
  <c r="J165" i="1"/>
  <c r="D77" i="1" l="1"/>
  <c r="E76" i="1"/>
  <c r="I72" i="1" s="1"/>
  <c r="C74" i="1" s="1"/>
  <c r="I115" i="1"/>
  <c r="D106" i="1"/>
  <c r="J108" i="1"/>
  <c r="J113" i="1" s="1"/>
  <c r="J114" i="1" s="1"/>
  <c r="G105" i="1"/>
  <c r="C194" i="1"/>
  <c r="G194" i="1"/>
  <c r="E194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3" i="1"/>
  <c r="B306" i="1"/>
  <c r="D280" i="1"/>
  <c r="F280" i="1" s="1"/>
  <c r="D278" i="1"/>
  <c r="F278" i="1" s="1"/>
  <c r="G277" i="1"/>
  <c r="D277" i="1"/>
  <c r="F277" i="1" s="1"/>
  <c r="D275" i="1"/>
  <c r="F275" i="1" s="1"/>
  <c r="D274" i="1"/>
  <c r="F274" i="1" s="1"/>
  <c r="D273" i="1"/>
  <c r="F273" i="1" s="1"/>
  <c r="G272" i="1"/>
  <c r="D272" i="1"/>
  <c r="F272" i="1" s="1"/>
  <c r="D270" i="1"/>
  <c r="F270" i="1" s="1"/>
  <c r="D268" i="1"/>
  <c r="F268" i="1" s="1"/>
  <c r="G267" i="1"/>
  <c r="D267" i="1"/>
  <c r="F267" i="1" s="1"/>
  <c r="D265" i="1"/>
  <c r="F265" i="1" s="1"/>
  <c r="D264" i="1"/>
  <c r="F264" i="1" s="1"/>
  <c r="D263" i="1"/>
  <c r="F263" i="1" s="1"/>
  <c r="G262" i="1"/>
  <c r="D262" i="1"/>
  <c r="F262" i="1" s="1"/>
  <c r="D260" i="1"/>
  <c r="F260" i="1" s="1"/>
  <c r="G259" i="1"/>
  <c r="D259" i="1"/>
  <c r="F259" i="1" s="1"/>
  <c r="D256" i="1"/>
  <c r="F256" i="1" s="1"/>
  <c r="G254" i="1"/>
  <c r="D254" i="1"/>
  <c r="F254" i="1" s="1"/>
  <c r="D252" i="1"/>
  <c r="F252" i="1" s="1"/>
  <c r="D251" i="1"/>
  <c r="F251" i="1" s="1"/>
  <c r="G250" i="1"/>
  <c r="D250" i="1"/>
  <c r="F250" i="1" s="1"/>
  <c r="D248" i="1"/>
  <c r="F248" i="1" s="1"/>
  <c r="G246" i="1"/>
  <c r="D246" i="1"/>
  <c r="F246" i="1" s="1"/>
  <c r="D244" i="1"/>
  <c r="F244" i="1" s="1"/>
  <c r="D243" i="1"/>
  <c r="F243" i="1" s="1"/>
  <c r="I243" i="1" s="1"/>
  <c r="G242" i="1"/>
  <c r="D242" i="1"/>
  <c r="G240" i="1"/>
  <c r="D240" i="1"/>
  <c r="F240" i="1" s="1"/>
  <c r="I240" i="1" s="1"/>
  <c r="D236" i="1"/>
  <c r="F236" i="1" s="1"/>
  <c r="I236" i="1" s="1"/>
  <c r="D235" i="1"/>
  <c r="F235" i="1" s="1"/>
  <c r="I235" i="1" s="1"/>
  <c r="G234" i="1"/>
  <c r="D234" i="1"/>
  <c r="F234" i="1" s="1"/>
  <c r="I234" i="1" s="1"/>
  <c r="D232" i="1"/>
  <c r="F232" i="1" s="1"/>
  <c r="D231" i="1"/>
  <c r="F231" i="1" s="1"/>
  <c r="D230" i="1"/>
  <c r="F230" i="1" s="1"/>
  <c r="G229" i="1"/>
  <c r="D229" i="1"/>
  <c r="F229" i="1" s="1"/>
  <c r="D227" i="1"/>
  <c r="F227" i="1" s="1"/>
  <c r="G226" i="1"/>
  <c r="D226" i="1"/>
  <c r="F182" i="1"/>
  <c r="J154" i="1"/>
  <c r="J153" i="1"/>
  <c r="J152" i="1"/>
  <c r="J151" i="1"/>
  <c r="C143" i="1"/>
  <c r="J140" i="1"/>
  <c r="J139" i="1"/>
  <c r="J138" i="1"/>
  <c r="J137" i="1"/>
  <c r="J97" i="1"/>
  <c r="J96" i="1"/>
  <c r="J95" i="1"/>
  <c r="J94" i="1"/>
  <c r="C86" i="1"/>
  <c r="D57" i="1"/>
  <c r="E41" i="1"/>
  <c r="E42" i="1" s="1"/>
  <c r="E28" i="1"/>
  <c r="E25" i="1"/>
  <c r="E23" i="1"/>
  <c r="C14" i="1"/>
  <c r="E7" i="1"/>
  <c r="H130" i="1"/>
  <c r="H87" i="1"/>
  <c r="H144" i="1"/>
  <c r="I100" i="1" l="1"/>
  <c r="E191" i="1"/>
  <c r="E192" i="1"/>
  <c r="F242" i="1"/>
  <c r="G192" i="1" s="1"/>
  <c r="E193" i="1"/>
  <c r="J134" i="1"/>
  <c r="C133" i="1" s="1"/>
  <c r="D142" i="1"/>
  <c r="D138" i="1"/>
  <c r="J132" i="1"/>
  <c r="J133" i="1"/>
  <c r="D141" i="1"/>
  <c r="D137" i="1"/>
  <c r="D136" i="1"/>
  <c r="J135" i="1"/>
  <c r="D140" i="1"/>
  <c r="D139" i="1"/>
  <c r="D135" i="1"/>
  <c r="D97" i="1"/>
  <c r="D93" i="1"/>
  <c r="J92" i="1"/>
  <c r="J93" i="1" s="1"/>
  <c r="J98" i="1" s="1"/>
  <c r="D98" i="1"/>
  <c r="D96" i="1"/>
  <c r="D92" i="1"/>
  <c r="J91" i="1"/>
  <c r="C90" i="1" s="1"/>
  <c r="D90" i="1" s="1"/>
  <c r="D99" i="1"/>
  <c r="D94" i="1"/>
  <c r="D95" i="1"/>
  <c r="J90" i="1"/>
  <c r="J89" i="1"/>
  <c r="D154" i="1"/>
  <c r="D150" i="1"/>
  <c r="J147" i="1"/>
  <c r="C147" i="1" s="1"/>
  <c r="J149" i="1"/>
  <c r="J150" i="1" s="1"/>
  <c r="J155" i="1" s="1"/>
  <c r="D153" i="1"/>
  <c r="D149" i="1"/>
  <c r="J146" i="1"/>
  <c r="J148" i="1"/>
  <c r="D156" i="1"/>
  <c r="D152" i="1"/>
  <c r="D155" i="1"/>
  <c r="D151" i="1"/>
  <c r="G193" i="1"/>
  <c r="C192" i="1"/>
  <c r="F226" i="1"/>
  <c r="G191" i="1" s="1"/>
  <c r="C193" i="1"/>
  <c r="C191" i="1"/>
  <c r="H158" i="1"/>
  <c r="G195" i="1" l="1"/>
  <c r="C195" i="1"/>
  <c r="E195" i="1"/>
  <c r="J136" i="1"/>
  <c r="J141" i="1" s="1"/>
  <c r="J142" i="1" s="1"/>
  <c r="D133" i="1"/>
  <c r="J99" i="1"/>
  <c r="D91" i="1"/>
  <c r="J156" i="1"/>
  <c r="J162" i="1"/>
  <c r="E161" i="1"/>
  <c r="D166" i="1"/>
  <c r="J163" i="1"/>
  <c r="J164" i="1" s="1"/>
  <c r="J169" i="1" s="1"/>
  <c r="J170" i="1" s="1"/>
  <c r="J161" i="1"/>
  <c r="D169" i="1"/>
  <c r="D167" i="1"/>
  <c r="D165" i="1"/>
  <c r="D163" i="1"/>
  <c r="J160" i="1"/>
  <c r="D170" i="1"/>
  <c r="D168" i="1"/>
  <c r="D164" i="1"/>
  <c r="D162" i="1"/>
  <c r="G147" i="1"/>
  <c r="D70" i="1" s="1"/>
  <c r="D71" i="1" s="1"/>
  <c r="D147" i="1"/>
  <c r="G90" i="1" l="1"/>
  <c r="E90" i="1"/>
  <c r="I86" i="1" s="1"/>
  <c r="C88" i="1" s="1"/>
  <c r="C161" i="1"/>
  <c r="D161" i="1" s="1"/>
  <c r="D148" i="1"/>
  <c r="E147" i="1"/>
  <c r="I143" i="1" s="1"/>
  <c r="C145" i="1" s="1"/>
  <c r="D134" i="1"/>
  <c r="G133" i="1"/>
  <c r="E133" i="1"/>
  <c r="I129" i="1" s="1"/>
  <c r="C131" i="1" s="1"/>
  <c r="F71" i="1"/>
  <c r="I157" i="1" l="1"/>
  <c r="C159" i="1" s="1"/>
  <c r="G161" i="1"/>
</calcChain>
</file>

<file path=xl/sharedStrings.xml><?xml version="1.0" encoding="utf-8"?>
<sst xmlns="http://schemas.openxmlformats.org/spreadsheetml/2006/main" count="623" uniqueCount="254">
  <si>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</si>
  <si>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</si>
  <si>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</si>
  <si>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</si>
  <si>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</si>
  <si>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</si>
  <si>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</si>
  <si>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</si>
  <si>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</si>
  <si>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</si>
  <si>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</si>
  <si>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</si>
  <si>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</si>
  <si>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</si>
  <si>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</si>
  <si>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</si>
  <si>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</si>
  <si>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</si>
  <si>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</si>
  <si>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</si>
  <si>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</si>
  <si>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</si>
  <si>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</si>
  <si>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</si>
  <si>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</si>
  <si>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</si>
  <si>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</si>
  <si>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</si>
  <si>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</si>
  <si>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</si>
  <si>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</si>
  <si>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</si>
  <si>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</si>
  <si>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</si>
  <si>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</si>
  <si>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</si>
  <si>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</si>
  <si>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</si>
  <si>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</si>
  <si>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</si>
  <si>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</si>
  <si>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</si>
  <si>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</si>
  <si>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</si>
  <si>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</si>
  <si>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</si>
  <si>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</si>
  <si>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</si>
  <si>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</si>
  <si>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</si>
  <si>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</si>
  <si>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</si>
  <si>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</si>
  <si>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</si>
  <si>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</si>
  <si>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</si>
  <si>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</si>
  <si>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</si>
  <si>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</si>
  <si>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</si>
  <si>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</si>
  <si>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</si>
  <si>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</si>
  <si>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</si>
  <si>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</si>
  <si>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</si>
  <si>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</si>
  <si>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</si>
  <si>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</si>
  <si>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</si>
  <si>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</si>
  <si>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</si>
  <si>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</si>
  <si>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</si>
  <si>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</si>
  <si>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</si>
  <si>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</si>
  <si>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</si>
  <si>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</si>
  <si>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</si>
  <si>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</si>
  <si>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</si>
  <si>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</si>
  <si>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</si>
  <si>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</si>
  <si>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</si>
  <si>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</si>
  <si>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</si>
  <si>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</si>
  <si>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</si>
  <si>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</si>
  <si>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</si>
  <si>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</si>
  <si>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</si>
  <si>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</si>
  <si>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</si>
  <si>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</si>
  <si>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</si>
  <si>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</si>
  <si>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</si>
  <si>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</si>
  <si>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</si>
  <si>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</si>
  <si>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</si>
  <si>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</si>
  <si>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</si>
  <si>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</si>
  <si>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</si>
  <si>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</si>
  <si>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</si>
  <si>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</si>
  <si>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</si>
  <si>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</si>
  <si>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</si>
  <si>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</si>
  <si>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</si>
  <si>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</si>
  <si>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</si>
  <si>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</si>
  <si>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</si>
  <si>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</si>
  <si>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</si>
  <si>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</si>
  <si>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</si>
  <si>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</si>
  <si>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</si>
  <si>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</si>
  <si>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</si>
  <si>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</si>
  <si>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</si>
  <si>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</si>
  <si>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</si>
  <si>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</si>
  <si>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</si>
  <si>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</si>
  <si>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</si>
  <si>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</si>
  <si>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</si>
  <si>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</si>
  <si>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</si>
  <si>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</si>
  <si>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</si>
  <si>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</si>
  <si>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</si>
  <si>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</si>
  <si>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</si>
  <si>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</si>
  <si>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</si>
  <si>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</si>
  <si>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</si>
  <si>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</si>
  <si>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</si>
  <si>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</si>
  <si>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</si>
  <si>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</si>
  <si>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</si>
  <si>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</si>
  <si>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</si>
  <si>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</si>
  <si>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</si>
  <si>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</si>
  <si>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</si>
  <si>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</si>
  <si>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</si>
  <si>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Axis Sanpada</t>
  </si>
  <si>
    <t>M/s. Macrotech Developers Limited</t>
  </si>
  <si>
    <t>Approved Plans, CC</t>
  </si>
  <si>
    <t>Mumbai</t>
  </si>
  <si>
    <t>Old CTS. No</t>
  </si>
  <si>
    <t>Borivali</t>
  </si>
  <si>
    <t>Akurli</t>
  </si>
  <si>
    <t>White City</t>
  </si>
  <si>
    <t>Akurli Road</t>
  </si>
  <si>
    <t>Open Plot</t>
  </si>
  <si>
    <t>White City Phase- I</t>
  </si>
  <si>
    <t>174C &amp; New CTS No. 174/C1, 174/C/2, 174/C/3 &amp; 174/C/4</t>
  </si>
  <si>
    <t>CHE/A -4300/BP(WS) /AR</t>
  </si>
  <si>
    <t>Tower 4 (Wing 4) = Gr + 1st to 22nd Floor</t>
  </si>
  <si>
    <t>Ground Floor for Residential &amp; Parking</t>
  </si>
  <si>
    <t>1st to 7th, 9th to 14th, 16th to 21st, 23rd to 28th &amp; 30th to 34th Floor</t>
  </si>
  <si>
    <t>8th, 15th, 22nd &amp; 29th Floor (Part Area Refuge)</t>
  </si>
  <si>
    <t>1st to 7th, 10th to 14th, 17th to 21st Floor</t>
  </si>
  <si>
    <t>9th &amp; 16th Floor</t>
  </si>
  <si>
    <t>8th &amp; 15th Floor</t>
  </si>
  <si>
    <t>3BHK</t>
  </si>
  <si>
    <t>2BHK</t>
  </si>
  <si>
    <t>Refuge Area</t>
  </si>
  <si>
    <t>4BHK</t>
  </si>
  <si>
    <t>22nd Floor (Part Terrace)</t>
  </si>
  <si>
    <t>Terrace Area</t>
  </si>
  <si>
    <t>8th &amp; 15th Floor (Part  Reffuge)</t>
  </si>
  <si>
    <t>Tower 2 (Wing 2)</t>
  </si>
  <si>
    <t>Tower 3 (Wing 3)</t>
  </si>
  <si>
    <t>Tower 4 (Wing 4)</t>
  </si>
  <si>
    <t>Kandivali</t>
  </si>
  <si>
    <t>4.3 KM from Kandivali Railway Station</t>
  </si>
  <si>
    <t xml:space="preserve">Municipal Corporation of Greater Mumbai (MCGM) </t>
  </si>
  <si>
    <t>Tower 5 (Wing 5) = Gr + 1st to 22nd Floor</t>
  </si>
  <si>
    <t>Tower 5 (Wing 5)</t>
  </si>
  <si>
    <t>Rajendra Giri - 9820248856</t>
  </si>
  <si>
    <t xml:space="preserve">We have updated approved floor plan of Tower 5 (Wing 5) (on 04/04/2022).
</t>
  </si>
  <si>
    <t>As per RERA - 31/12/2025</t>
  </si>
  <si>
    <t>We considered Gross carpet area = Net carpet.</t>
  </si>
  <si>
    <t xml:space="preserve">1.Vitrified tiles flooring 2. Granite Kitchen Platform  3. Decorative Enternace  etc. 
</t>
  </si>
  <si>
    <t xml:space="preserve">Tower 3 (Wing 3) = Gr + 1st to 22nd Floor
</t>
  </si>
  <si>
    <t>Latitude &amp; Longitude</t>
  </si>
  <si>
    <t>Location Link</t>
  </si>
  <si>
    <t>https://goo.gl/maps/Pkde9rMC5bdWgVLu5</t>
  </si>
  <si>
    <t>Tower 1 (Wing 1)
Tower 2 (Wing 2)
Tower 3 (Wing 3)
Tower 4 (Wing 4)
Tower 5 (Wing 5)</t>
  </si>
  <si>
    <t>Lodha Kandivali Project Tower (1, 2, 3, 4 &amp; 5)</t>
  </si>
  <si>
    <t>P51800045908 (Tower 1)
P51800031351 (Tower 2)
P51800031346 (Tower 3)
P51800031532 (Tower 4)
P51800032605 (Tower 5)</t>
  </si>
  <si>
    <t>Tower 1 (Wing 1) = Gr + 1st to 38th Floor</t>
  </si>
  <si>
    <t>Tower 2 (Wing 2) = Gr + 1st to 38th Floor</t>
  </si>
  <si>
    <t>Approved Floor plan No.  
Tower No. 1</t>
  </si>
  <si>
    <t xml:space="preserve">Approved Floor plan No. 
Tower No. 2 to 5 </t>
  </si>
  <si>
    <t>Tower 1 (Wing 1)</t>
  </si>
  <si>
    <t>1st to 7th, 10th to 14th, 17th to 21st, 24th to 28th, 31st to 35th, 37th &amp; 38th Floor</t>
  </si>
  <si>
    <t>9th, 16th, 23rd &amp; 30th Floor</t>
  </si>
  <si>
    <t>8th, 15th, 22nd &amp; 29th Floor (Part Refuge Area)</t>
  </si>
  <si>
    <t>36th Floor (Part Refuge Area)</t>
  </si>
  <si>
    <t>Flats - 520</t>
  </si>
  <si>
    <t>Tower 1 (Wing 1) = Gr + 1st to 38th Floor
Tower 2 (Wing 2) = Gr + 1st to 34th Floor
Tower 3 (Wing 3) = Gr + 1st to 22nd Floor
Tower 4 (Wing 4) = Gr + 1st to 22nd Floor
Tower 5 (Wing 5) = Gr + 1st to 22nd Floor</t>
  </si>
  <si>
    <t>Layout :</t>
  </si>
  <si>
    <t xml:space="preserve">We have updated approved floor plan of Tower 1 (Wing 1) (on 20/07/2023).
</t>
  </si>
  <si>
    <t>5 Buildings</t>
  </si>
  <si>
    <t xml:space="preserve">16000 to 17500 + OC </t>
  </si>
  <si>
    <t>Sanjay</t>
  </si>
  <si>
    <t>Cost sheet</t>
  </si>
  <si>
    <t>Utility, Infrastructure &amp; Other Charges</t>
  </si>
  <si>
    <t>Tower 1  - 1904</t>
  </si>
  <si>
    <t>3.5cr (2P+)</t>
  </si>
  <si>
    <t>19.2010111,72.8776277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</si>
  <si>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                        Email : vsjcapf@gmail.com. Web site : www.vsjadon.com</t>
  </si>
  <si>
    <t>8th &amp; 15th Floor (Part Refuge)</t>
  </si>
  <si>
    <t>.</t>
  </si>
  <si>
    <t>Site Meet Person Contact Details ( Name &amp; Contact No.)</t>
  </si>
  <si>
    <t>We have updated revised approved CC from MCGM site (on 29/12/2023).</t>
  </si>
  <si>
    <t>We have updated latest CC from MCGM site (On 13/03/2024).</t>
  </si>
  <si>
    <t xml:space="preserve">CHE/A-4300/BP(WS)/AR/FCC/9/Amend
</t>
  </si>
  <si>
    <t>We have updated latest CC from MCGM site (On 12/08/2024).</t>
  </si>
  <si>
    <t>Nov 24 slabs given as per Demand letter tower 1</t>
  </si>
  <si>
    <r>
      <t xml:space="preserve">This C.C. is extended further for work of </t>
    </r>
    <r>
      <rPr>
        <b/>
        <sz val="12"/>
        <rFont val="Times New Roman"/>
        <family val="1"/>
      </rPr>
      <t>Wing 1</t>
    </r>
    <r>
      <rPr>
        <sz val="12"/>
        <rFont val="Times New Roman"/>
        <family val="1"/>
      </rPr>
      <t xml:space="preserve"> comprising of Ground + 1st to 33rd upper floors, Wing 6 comprising of Ground + 1st to 20th upper floors + LMR &amp; OHT and re-endorsed for </t>
    </r>
    <r>
      <rPr>
        <b/>
        <sz val="12"/>
        <rFont val="Times New Roman"/>
        <family val="1"/>
      </rPr>
      <t>Wing 3, 4, 5 &amp; 7</t>
    </r>
    <r>
      <rPr>
        <sz val="12"/>
        <rFont val="Times New Roman"/>
        <family val="1"/>
      </rPr>
      <t xml:space="preserve"> comprising of Ground + 1st to 22nd (Part) upper floors + LMR &amp; OHT, </t>
    </r>
    <r>
      <rPr>
        <b/>
        <sz val="12"/>
        <rFont val="Times New Roman"/>
        <family val="1"/>
      </rPr>
      <t xml:space="preserve">Wing 2 </t>
    </r>
    <r>
      <rPr>
        <sz val="12"/>
        <rFont val="Times New Roman"/>
        <family val="1"/>
      </rPr>
      <t>comprising of Ground + 1st to 38th upper floors + LMR &amp; OHT, Wing 8 up to plinth level and MLCP Wing up to plinth level and Fitness Centre for entire work as per
approved amended plans dt. 19.06.2024</t>
    </r>
  </si>
  <si>
    <t>Validity of CC is expired on 19/12/2024. Please provide latest CC for Tower 1 (Wing 1).</t>
  </si>
  <si>
    <t xml:space="preserve">CHE/A-4300/BP(WS)/AR/FCC/ 11/Amend
</t>
  </si>
  <si>
    <r>
      <t xml:space="preserve">This C.C. is re-endorsed for Wing 8 - comprising of Ground + 1st to 20th (Pt) floors along with staircase, lift lobby core up to 22nd Floor + LMR &amp; OHT, Multi-level car parking (MLCP) Wing - comprising of 2level basements + Lower ground for parking + Upper ground for parking + 1st to 10th floors for parking + LMR &amp; OHT, Fitness Centre - for entire work, </t>
    </r>
    <r>
      <rPr>
        <b/>
        <sz val="12"/>
        <rFont val="Times New Roman"/>
        <family val="1"/>
      </rPr>
      <t>Wing 1</t>
    </r>
    <r>
      <rPr>
        <sz val="12"/>
        <rFont val="Times New Roman"/>
        <family val="1"/>
      </rPr>
      <t xml:space="preserve"> - comprising of Ground + 1st to 33rd floors, Wing 6 comprising of Ground + 1st to 20th floors + LMR &amp; OHT, </t>
    </r>
    <r>
      <rPr>
        <b/>
        <sz val="12"/>
        <rFont val="Times New Roman"/>
        <family val="1"/>
      </rPr>
      <t>Wing 3, 4, 5 &amp; 7</t>
    </r>
    <r>
      <rPr>
        <sz val="12"/>
        <rFont val="Times New Roman"/>
        <family val="1"/>
      </rPr>
      <t xml:space="preserve"> - comprising of Ground + 1st to 22nd (Pt) floors + LMR &amp; OHT and </t>
    </r>
    <r>
      <rPr>
        <b/>
        <sz val="12"/>
        <rFont val="Times New Roman"/>
        <family val="1"/>
      </rPr>
      <t>Wing 2</t>
    </r>
    <r>
      <rPr>
        <sz val="12"/>
        <rFont val="Times New Roman"/>
        <family val="1"/>
      </rPr>
      <t xml:space="preserve"> comprising of Ground + 1st to 38th upper floors + LMR &amp; OHT as per approved amended plans dtd. 07.03.2025.</t>
    </r>
  </si>
  <si>
    <t xml:space="preserve">Part O. Certificate No.: </t>
  </si>
  <si>
    <t>CHE/A-4300/BP(WS)/AR/OCC/1/New
Approved upto : Wing -3 for 1st to 21st + 22nd (part) upper residential floor, and Wing- 4 for 1st to 21st upper residential floors.</t>
  </si>
  <si>
    <t>All work Completed. OC Received upto 21st Floor.</t>
  </si>
  <si>
    <t>We have updated revised CC &amp; OC from MCGM site (On 10/04/2025).</t>
  </si>
  <si>
    <t>Please provide revised approved plan.</t>
  </si>
  <si>
    <t>Sanket Salvi</t>
  </si>
  <si>
    <t>Mr. Sandesh : 8097314102</t>
  </si>
  <si>
    <t>Pooja Kawale</t>
  </si>
  <si>
    <t>Tower 1 = Construction work is in process at the time of Visit. Internal photographs was not allowed.
Tower 2 &amp; 5 = Construction work is in process at the time of Visit.
Tower 3 = All work completed. OC Received.
Tower 4 = All work completed. OC Received upto 21st Floor.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</si>
</sst>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4" fontId="0" fillId="0" borderId="0" xfId="0" applyNumberForma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8" fillId="0" borderId="24" xfId="1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12" fillId="0" borderId="30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center"/>
      <protection locked="0"/>
    </xf>
    <xf numFmtId="0" fontId="7" fillId="0" borderId="24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24" fillId="0" borderId="9" xfId="10" applyBorder="1" applyAlignment="1" applyProtection="1">
      <alignment horizontal="left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center" vertical="top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24" xfId="0" applyNumberFormat="1" applyFont="1" applyBorder="1" applyAlignment="1" applyProtection="1">
      <alignment horizontal="left" vertical="top" wrapText="1"/>
      <protection locked="0"/>
    </xf>
    <xf numFmtId="1" fontId="8" fillId="0" borderId="10" xfId="0" applyNumberFormat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24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  <xf numFmtId="9" fontId="13" fillId="0" borderId="1" xfId="1" applyNumberFormat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436</xdr:row>
      <xdr:rowOff>41063</xdr:rowOff>
    </xdr:from>
    <xdr:to>
      <xdr:col>7</xdr:col>
      <xdr:colOff>457015</xdr:colOff>
      <xdr:row>454</xdr:row>
      <xdr:rowOff>40613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56886263"/>
          <a:ext cx="612439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447675</xdr:colOff>
      <xdr:row>417</xdr:row>
      <xdr:rowOff>0</xdr:rowOff>
    </xdr:from>
    <xdr:to>
      <xdr:col>7</xdr:col>
      <xdr:colOff>457015</xdr:colOff>
      <xdr:row>435</xdr:row>
      <xdr:rowOff>1885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53044725"/>
          <a:ext cx="612439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430696</xdr:colOff>
      <xdr:row>376</xdr:row>
      <xdr:rowOff>49696</xdr:rowOff>
    </xdr:from>
    <xdr:to>
      <xdr:col>7</xdr:col>
      <xdr:colOff>556396</xdr:colOff>
      <xdr:row>403</xdr:row>
      <xdr:rowOff>82565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0696" y="72414848"/>
          <a:ext cx="6238265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510886</xdr:colOff>
      <xdr:row>115</xdr:row>
      <xdr:rowOff>112569</xdr:rowOff>
    </xdr:from>
    <xdr:to>
      <xdr:col>31</xdr:col>
      <xdr:colOff>21116</xdr:colOff>
      <xdr:row>171</xdr:row>
      <xdr:rowOff>91791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1591" y="29778614"/>
          <a:ext cx="8602275" cy="6230219"/>
        </a:xfrm>
        <a:prstGeom prst="rect">
          <a:avLst/>
        </a:prstGeom>
      </xdr:spPr>
    </xdr:pic>
    <xdr:clientData/>
  </xdr:twoCellAnchor>
  <xdr:oneCellAnchor>
    <xdr:from>
      <xdr:col>9</xdr:col>
      <xdr:colOff>352495</xdr:colOff>
      <xdr:row>332</xdr:row>
      <xdr:rowOff>158750</xdr:rowOff>
    </xdr:from>
    <xdr:ext cx="285750" cy="34278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039170" y="66471800"/>
          <a:ext cx="285750" cy="34278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oneCellAnchor>
  <xdr:twoCellAnchor>
    <xdr:from>
      <xdr:col>8</xdr:col>
      <xdr:colOff>600076</xdr:colOff>
      <xdr:row>332</xdr:row>
      <xdr:rowOff>161925</xdr:rowOff>
    </xdr:from>
    <xdr:to>
      <xdr:col>16</xdr:col>
      <xdr:colOff>558189</xdr:colOff>
      <xdr:row>369</xdr:row>
      <xdr:rowOff>29575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445376" y="67090925"/>
          <a:ext cx="6657363" cy="7144750"/>
          <a:chOff x="76201" y="69380100"/>
          <a:chExt cx="6358913" cy="725905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76201" y="69380100"/>
            <a:ext cx="6358913" cy="7259050"/>
            <a:chOff x="76201" y="69380100"/>
            <a:chExt cx="6358913" cy="7259050"/>
          </a:xfrm>
        </xdr:grpSpPr>
        <xdr:pic>
          <xdr:nvPicPr>
            <xdr:cNvPr id="21" name="Picture 20" descr="https://vsjcllp.vsjadon.com/upload/insp-226074-1525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6125" y="74479150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26074-843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71976" y="69380100"/>
              <a:ext cx="2063138" cy="27431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26074-844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4775" y="72218550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26074-847.jp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201" y="69380100"/>
              <a:ext cx="2063138" cy="27431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26074-849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33775" y="72221725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26074-851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6" y="69380100"/>
              <a:ext cx="2063138" cy="27431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26074-861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19275" y="72218550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26074-925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850" y="74477562"/>
              <a:ext cx="287599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524001" y="69561075"/>
            <a:ext cx="501300" cy="3451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 cap="none" spc="0">
                <a:ln w="0">
                  <a:noFill/>
                </a:ln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T1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876426" y="72209025"/>
            <a:ext cx="501300" cy="3451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 cap="none" spc="0">
                <a:ln w="0">
                  <a:noFill/>
                </a:ln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T5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361951" y="72218550"/>
            <a:ext cx="501300" cy="3451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 cap="none" spc="0">
                <a:ln w="0">
                  <a:noFill/>
                </a:ln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T4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4429126" y="69380100"/>
            <a:ext cx="501300" cy="3451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 cap="none" spc="0">
                <a:ln w="0">
                  <a:noFill/>
                </a:ln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T3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733801" y="69380100"/>
            <a:ext cx="501300" cy="3451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 cap="none" spc="0">
                <a:ln w="0">
                  <a:noFill/>
                </a:ln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T2</a:t>
            </a:r>
          </a:p>
        </xdr:txBody>
      </xdr:sp>
    </xdr:grpSp>
    <xdr:clientData/>
  </xdr:twoCellAnchor>
  <xdr:twoCellAnchor>
    <xdr:from>
      <xdr:col>10</xdr:col>
      <xdr:colOff>82550</xdr:colOff>
      <xdr:row>329</xdr:row>
      <xdr:rowOff>146050</xdr:rowOff>
    </xdr:from>
    <xdr:to>
      <xdr:col>11</xdr:col>
      <xdr:colOff>260350</xdr:colOff>
      <xdr:row>331</xdr:row>
      <xdr:rowOff>92034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947150" y="66484500"/>
          <a:ext cx="914400" cy="33968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6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Tower 1</a:t>
          </a:r>
        </a:p>
      </xdr:txBody>
    </xdr:sp>
    <xdr:clientData/>
  </xdr:twoCellAnchor>
  <xdr:twoCellAnchor>
    <xdr:from>
      <xdr:col>0</xdr:col>
      <xdr:colOff>101600</xdr:colOff>
      <xdr:row>333</xdr:row>
      <xdr:rowOff>120650</xdr:rowOff>
    </xdr:from>
    <xdr:to>
      <xdr:col>7</xdr:col>
      <xdr:colOff>762297</xdr:colOff>
      <xdr:row>369</xdr:row>
      <xdr:rowOff>47442</xdr:rowOff>
    </xdr:to>
    <xdr:grpSp>
      <xdr:nvGrpSpPr>
        <xdr:cNvPr id="8" name="Group 7"/>
        <xdr:cNvGrpSpPr/>
      </xdr:nvGrpSpPr>
      <xdr:grpSpPr>
        <a:xfrm>
          <a:off x="101600" y="67246500"/>
          <a:ext cx="6636047" cy="7007042"/>
          <a:chOff x="101600" y="67246500"/>
          <a:chExt cx="6636047" cy="7007042"/>
        </a:xfrm>
      </xdr:grpSpPr>
      <xdr:pic>
        <xdr:nvPicPr>
          <xdr:cNvPr id="60" name="Picture 59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62930" y="72093542"/>
            <a:ext cx="157471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7626"/>
          <a:stretch/>
        </xdr:blipFill>
        <xdr:spPr>
          <a:xfrm>
            <a:off x="101600" y="72093542"/>
            <a:ext cx="311485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76224" y="67246500"/>
            <a:ext cx="3506346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0538" y="7209354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4" name="TextBox 5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630894" y="70273187"/>
            <a:ext cx="914400" cy="3396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1</a:t>
            </a:r>
          </a:p>
        </xdr:txBody>
      </xdr:sp>
      <xdr:sp macro="" textlink="">
        <xdr:nvSpPr>
          <xdr:cNvPr id="65" name="TextBox 5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76224" y="70443029"/>
            <a:ext cx="914400" cy="3396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2</a:t>
            </a:r>
          </a:p>
        </xdr:txBody>
      </xdr:sp>
      <xdr:sp macro="" textlink="">
        <xdr:nvSpPr>
          <xdr:cNvPr id="66" name="TextBox 5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2235024" y="73488084"/>
            <a:ext cx="914400" cy="3396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3</a:t>
            </a:r>
          </a:p>
        </xdr:txBody>
      </xdr:sp>
      <xdr:sp macro="" textlink="">
        <xdr:nvSpPr>
          <xdr:cNvPr id="67" name="TextBox 5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253589" y="73610841"/>
            <a:ext cx="914400" cy="3396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4</a:t>
            </a:r>
          </a:p>
        </xdr:txBody>
      </xdr:sp>
      <xdr:sp macro="" textlink="">
        <xdr:nvSpPr>
          <xdr:cNvPr id="68" name="TextBox 5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39189" y="73440999"/>
            <a:ext cx="914400" cy="3396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5</a:t>
            </a:r>
          </a:p>
        </xdr:txBody>
      </xdr:sp>
      <xdr:sp macro="" textlink="">
        <xdr:nvSpPr>
          <xdr:cNvPr id="69" name="TextBox 5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 rot="21227383">
            <a:off x="2795062" y="69557970"/>
            <a:ext cx="641279" cy="2512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9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15th flr</a:t>
            </a:r>
          </a:p>
        </xdr:txBody>
      </xdr:sp>
      <xdr:sp macro="" textlink="">
        <xdr:nvSpPr>
          <xdr:cNvPr id="70" name="TextBox 5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 rot="20939899">
            <a:off x="2928412" y="68872170"/>
            <a:ext cx="641279" cy="2512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8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22nd flr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kde9rMC5bdWgVLu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1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7" width="11.7265625" style="8" customWidth="1"/>
    <col min="8" max="8" width="12.453125" style="8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87" t="s">
        <v>232</v>
      </c>
      <c r="B1" s="187"/>
      <c r="C1" s="187"/>
      <c r="D1" s="187"/>
      <c r="E1" s="187"/>
      <c r="F1" s="187"/>
      <c r="G1" s="187"/>
      <c r="H1" s="187"/>
    </row>
    <row r="2" spans="1:8" ht="16.5" customHeight="1" x14ac:dyDescent="0.35">
      <c r="A2" s="188" t="s">
        <v>0</v>
      </c>
      <c r="B2" s="188"/>
      <c r="C2" s="188"/>
      <c r="D2" s="188"/>
      <c r="E2" s="188"/>
      <c r="F2" s="188"/>
      <c r="G2" s="188"/>
      <c r="H2" s="188"/>
    </row>
    <row r="3" spans="1:8" x14ac:dyDescent="0.35">
      <c r="A3" s="116" t="s">
        <v>1</v>
      </c>
      <c r="B3" s="116"/>
      <c r="C3" s="116"/>
      <c r="D3" s="116"/>
      <c r="E3" s="189" t="str">
        <f ca="1">TEXT(TODAY(),"DD/MM/YYYY")</f>
        <v>22/09/2025</v>
      </c>
      <c r="F3" s="189"/>
      <c r="G3" s="189"/>
      <c r="H3" s="189"/>
    </row>
    <row r="4" spans="1:8" ht="15" customHeight="1" x14ac:dyDescent="0.35">
      <c r="A4" s="116" t="s">
        <v>2</v>
      </c>
      <c r="B4" s="116"/>
      <c r="C4" s="116"/>
      <c r="D4" s="116"/>
      <c r="E4" s="190" t="s">
        <v>164</v>
      </c>
      <c r="F4" s="190"/>
      <c r="G4" s="190"/>
      <c r="H4" s="190"/>
    </row>
    <row r="5" spans="1:8" x14ac:dyDescent="0.35">
      <c r="A5" s="116" t="s">
        <v>3</v>
      </c>
      <c r="B5" s="116"/>
      <c r="C5" s="116"/>
      <c r="D5" s="116"/>
      <c r="E5" s="189">
        <v>45922</v>
      </c>
      <c r="F5" s="189"/>
      <c r="G5" s="189"/>
      <c r="H5" s="189"/>
    </row>
    <row r="6" spans="1:8" ht="16.5" customHeight="1" x14ac:dyDescent="0.35">
      <c r="A6" s="116" t="s">
        <v>4</v>
      </c>
      <c r="B6" s="116"/>
      <c r="C6" s="116"/>
      <c r="D6" s="116"/>
      <c r="E6" s="118" t="s">
        <v>165</v>
      </c>
      <c r="F6" s="118"/>
      <c r="G6" s="118"/>
      <c r="H6" s="118"/>
    </row>
    <row r="7" spans="1:8" ht="15" customHeight="1" x14ac:dyDescent="0.35">
      <c r="A7" s="116" t="s">
        <v>5</v>
      </c>
      <c r="B7" s="116"/>
      <c r="C7" s="116"/>
      <c r="D7" s="116"/>
      <c r="E7" s="118" t="str">
        <f>E6</f>
        <v>M/s. Macrotech Developers Limited</v>
      </c>
      <c r="F7" s="118"/>
      <c r="G7" s="118"/>
      <c r="H7" s="118"/>
    </row>
    <row r="8" spans="1:8" x14ac:dyDescent="0.35">
      <c r="A8" s="116" t="s">
        <v>6</v>
      </c>
      <c r="B8" s="116"/>
      <c r="C8" s="116"/>
      <c r="D8" s="116"/>
      <c r="E8" s="120" t="s">
        <v>209</v>
      </c>
      <c r="F8" s="120"/>
      <c r="G8" s="120"/>
      <c r="H8" s="120"/>
    </row>
    <row r="9" spans="1:8" x14ac:dyDescent="0.35">
      <c r="A9" s="116" t="s">
        <v>128</v>
      </c>
      <c r="B9" s="116"/>
      <c r="C9" s="116"/>
      <c r="D9" s="116"/>
      <c r="E9" s="191" t="s">
        <v>199</v>
      </c>
      <c r="F9" s="192"/>
      <c r="G9" s="192"/>
      <c r="H9" s="193"/>
    </row>
    <row r="10" spans="1:8" x14ac:dyDescent="0.35">
      <c r="A10" s="116" t="s">
        <v>235</v>
      </c>
      <c r="B10" s="116"/>
      <c r="C10" s="116"/>
      <c r="D10" s="116"/>
      <c r="E10" s="191" t="s">
        <v>251</v>
      </c>
      <c r="F10" s="192"/>
      <c r="G10" s="192"/>
      <c r="H10" s="193"/>
    </row>
    <row r="11" spans="1:8" ht="79.5" customHeight="1" x14ac:dyDescent="0.35">
      <c r="A11" s="136" t="s">
        <v>7</v>
      </c>
      <c r="B11" s="136"/>
      <c r="C11" s="136"/>
      <c r="D11" s="136"/>
      <c r="E11" s="117" t="s">
        <v>208</v>
      </c>
      <c r="F11" s="136"/>
      <c r="G11" s="136"/>
      <c r="H11" s="136"/>
    </row>
    <row r="12" spans="1:8" ht="17.25" customHeight="1" x14ac:dyDescent="0.35">
      <c r="A12" s="116" t="s">
        <v>8</v>
      </c>
      <c r="B12" s="116"/>
      <c r="C12" s="116"/>
      <c r="D12" s="116"/>
      <c r="E12" s="117" t="s">
        <v>166</v>
      </c>
      <c r="F12" s="117"/>
      <c r="G12" s="117"/>
      <c r="H12" s="117"/>
    </row>
    <row r="13" spans="1:8" ht="78.75" customHeight="1" x14ac:dyDescent="0.35">
      <c r="A13" s="116" t="s">
        <v>9</v>
      </c>
      <c r="B13" s="116"/>
      <c r="C13" s="116"/>
      <c r="D13" s="116"/>
      <c r="E13" s="117" t="s">
        <v>210</v>
      </c>
      <c r="F13" s="136"/>
      <c r="G13" s="136"/>
      <c r="H13" s="136"/>
    </row>
    <row r="14" spans="1:8" ht="48.75" customHeight="1" x14ac:dyDescent="0.35">
      <c r="A14" s="118" t="s">
        <v>10</v>
      </c>
      <c r="B14" s="118"/>
      <c r="C14" s="11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Lodha Kandivali Project Tower (1, 2, 3, 4 &amp; 5), Old CTS. No.174C &amp; New CTS No. 174/C1, 174/C/2, 174/C/3 &amp; 174/C/4, near White City, Akurli Road, Akurli, Kandivali, Borivali, Mumbai - 400101.</v>
      </c>
      <c r="D14" s="118"/>
      <c r="E14" s="118"/>
      <c r="F14" s="118"/>
      <c r="G14" s="118"/>
      <c r="H14" s="118"/>
    </row>
    <row r="15" spans="1:8" ht="18" customHeight="1" x14ac:dyDescent="0.35">
      <c r="A15" s="118" t="s">
        <v>168</v>
      </c>
      <c r="B15" s="118"/>
      <c r="C15" s="117" t="s">
        <v>175</v>
      </c>
      <c r="D15" s="117"/>
      <c r="E15" s="117"/>
      <c r="F15" s="117"/>
      <c r="G15" s="117"/>
      <c r="H15" s="117"/>
    </row>
    <row r="16" spans="1:8" ht="15.75" customHeight="1" x14ac:dyDescent="0.35">
      <c r="A16" s="118" t="s">
        <v>11</v>
      </c>
      <c r="B16" s="118"/>
      <c r="C16" s="136" t="s">
        <v>172</v>
      </c>
      <c r="D16" s="136"/>
      <c r="E16" s="118" t="s">
        <v>77</v>
      </c>
      <c r="F16" s="118"/>
      <c r="G16" s="117" t="s">
        <v>170</v>
      </c>
      <c r="H16" s="117"/>
    </row>
    <row r="17" spans="1:8" x14ac:dyDescent="0.35">
      <c r="A17" s="116" t="s">
        <v>13</v>
      </c>
      <c r="B17" s="116"/>
      <c r="C17" s="117" t="s">
        <v>194</v>
      </c>
      <c r="D17" s="117"/>
      <c r="E17" s="118" t="s">
        <v>12</v>
      </c>
      <c r="F17" s="118"/>
      <c r="G17" s="194" t="s">
        <v>167</v>
      </c>
      <c r="H17" s="194"/>
    </row>
    <row r="18" spans="1:8" x14ac:dyDescent="0.35">
      <c r="A18" s="116" t="s">
        <v>78</v>
      </c>
      <c r="B18" s="116"/>
      <c r="C18" s="117" t="s">
        <v>169</v>
      </c>
      <c r="D18" s="117"/>
      <c r="E18" s="118" t="s">
        <v>14</v>
      </c>
      <c r="F18" s="118"/>
      <c r="G18" s="117">
        <v>400101</v>
      </c>
      <c r="H18" s="117"/>
    </row>
    <row r="19" spans="1:8" ht="32.25" customHeight="1" x14ac:dyDescent="0.35">
      <c r="A19" s="116" t="s">
        <v>130</v>
      </c>
      <c r="B19" s="116"/>
      <c r="C19" s="118" t="s">
        <v>171</v>
      </c>
      <c r="D19" s="118"/>
      <c r="E19" s="118" t="s">
        <v>15</v>
      </c>
      <c r="F19" s="118"/>
      <c r="G19" s="117" t="s">
        <v>195</v>
      </c>
      <c r="H19" s="117"/>
    </row>
    <row r="20" spans="1:8" ht="15" customHeight="1" x14ac:dyDescent="0.35">
      <c r="A20" s="118" t="s">
        <v>81</v>
      </c>
      <c r="B20" s="118"/>
      <c r="C20" s="118"/>
      <c r="D20" s="118"/>
      <c r="E20" s="136" t="s">
        <v>16</v>
      </c>
      <c r="F20" s="136"/>
      <c r="G20" s="136"/>
      <c r="H20" s="136"/>
    </row>
    <row r="21" spans="1:8" ht="18.75" customHeight="1" x14ac:dyDescent="0.35">
      <c r="A21" s="118"/>
      <c r="B21" s="118"/>
      <c r="C21" s="118"/>
      <c r="D21" s="118"/>
      <c r="E21" s="136"/>
      <c r="F21" s="136"/>
      <c r="G21" s="136"/>
      <c r="H21" s="136"/>
    </row>
    <row r="22" spans="1:8" ht="15" customHeight="1" x14ac:dyDescent="0.35">
      <c r="A22" s="118" t="s">
        <v>17</v>
      </c>
      <c r="B22" s="118"/>
      <c r="C22" s="118"/>
      <c r="D22" s="118"/>
      <c r="E22" s="117" t="s">
        <v>18</v>
      </c>
      <c r="F22" s="117"/>
      <c r="G22" s="117"/>
      <c r="H22" s="117"/>
    </row>
    <row r="23" spans="1:8" ht="15" customHeight="1" x14ac:dyDescent="0.35">
      <c r="A23" s="116" t="s">
        <v>19</v>
      </c>
      <c r="B23" s="116"/>
      <c r="C23" s="116"/>
      <c r="D23" s="116"/>
      <c r="E23" s="117" t="str">
        <f>IF(AND(G17="Mumbai"),"Upper Class","Middle Class")</f>
        <v>Upper Class</v>
      </c>
      <c r="F23" s="117"/>
      <c r="G23" s="117"/>
      <c r="H23" s="117"/>
    </row>
    <row r="24" spans="1:8" x14ac:dyDescent="0.35">
      <c r="A24" s="116" t="s">
        <v>20</v>
      </c>
      <c r="B24" s="116"/>
      <c r="C24" s="116"/>
      <c r="D24" s="116"/>
      <c r="E24" s="117" t="s">
        <v>21</v>
      </c>
      <c r="F24" s="117"/>
      <c r="G24" s="117"/>
      <c r="H24" s="117"/>
    </row>
    <row r="25" spans="1:8" ht="15.75" customHeight="1" x14ac:dyDescent="0.35">
      <c r="A25" s="116" t="s">
        <v>22</v>
      </c>
      <c r="B25" s="116"/>
      <c r="C25" s="116"/>
      <c r="D25" s="116"/>
      <c r="E25" s="117" t="str">
        <f>IF(AND(G17="Mumbai"),"Developed","Developing")</f>
        <v>Developed</v>
      </c>
      <c r="F25" s="117"/>
      <c r="G25" s="117"/>
      <c r="H25" s="117"/>
    </row>
    <row r="26" spans="1:8" x14ac:dyDescent="0.35">
      <c r="A26" s="116" t="s">
        <v>23</v>
      </c>
      <c r="B26" s="116"/>
      <c r="C26" s="116"/>
      <c r="D26" s="116"/>
      <c r="E26" s="117" t="s">
        <v>24</v>
      </c>
      <c r="F26" s="117"/>
      <c r="G26" s="117"/>
      <c r="H26" s="117"/>
    </row>
    <row r="27" spans="1:8" x14ac:dyDescent="0.35">
      <c r="A27" s="116" t="s">
        <v>86</v>
      </c>
      <c r="B27" s="116"/>
      <c r="C27" s="116"/>
      <c r="D27" s="116"/>
      <c r="E27" s="117" t="s">
        <v>87</v>
      </c>
      <c r="F27" s="117"/>
      <c r="G27" s="117"/>
      <c r="H27" s="117"/>
    </row>
    <row r="28" spans="1:8" ht="15" customHeight="1" x14ac:dyDescent="0.35">
      <c r="A28" s="118" t="s">
        <v>33</v>
      </c>
      <c r="B28" s="118"/>
      <c r="C28" s="118"/>
      <c r="D28" s="118"/>
      <c r="E28" s="190" t="str">
        <f>IF(ISNUMBER(SEARCH("Shop",D58)),"Residential + Commercial",IF(ISNUMBER(SEARCH("Office",D58)),"Residential + Commercial",IF(SEARCH("Flats",D58),"Residential","")))</f>
        <v>Residential</v>
      </c>
      <c r="F28" s="190"/>
      <c r="G28" s="190"/>
      <c r="H28" s="190"/>
    </row>
    <row r="29" spans="1:8" x14ac:dyDescent="0.35">
      <c r="A29" s="118" t="s">
        <v>98</v>
      </c>
      <c r="B29" s="118"/>
      <c r="C29" s="118"/>
      <c r="D29" s="118"/>
      <c r="E29" s="118" t="s">
        <v>34</v>
      </c>
      <c r="F29" s="118"/>
      <c r="G29" s="118"/>
      <c r="H29" s="118"/>
    </row>
    <row r="30" spans="1:8" s="6" customFormat="1" x14ac:dyDescent="0.35">
      <c r="A30" s="200" t="s">
        <v>99</v>
      </c>
      <c r="B30" s="200"/>
      <c r="C30" s="199" t="s">
        <v>29</v>
      </c>
      <c r="D30" s="199"/>
      <c r="E30" s="199"/>
      <c r="F30" s="199" t="s">
        <v>31</v>
      </c>
      <c r="G30" s="199"/>
      <c r="H30" s="199"/>
    </row>
    <row r="31" spans="1:8" s="6" customFormat="1" x14ac:dyDescent="0.35">
      <c r="A31" s="195" t="s">
        <v>25</v>
      </c>
      <c r="B31" s="195" t="s">
        <v>30</v>
      </c>
      <c r="C31" s="196" t="s">
        <v>30</v>
      </c>
      <c r="D31" s="196"/>
      <c r="E31" s="196"/>
      <c r="F31" s="196" t="s">
        <v>173</v>
      </c>
      <c r="G31" s="196"/>
      <c r="H31" s="196"/>
    </row>
    <row r="32" spans="1:8" x14ac:dyDescent="0.35">
      <c r="A32" s="195" t="s">
        <v>26</v>
      </c>
      <c r="B32" s="195" t="s">
        <v>30</v>
      </c>
      <c r="C32" s="196" t="s">
        <v>30</v>
      </c>
      <c r="D32" s="196"/>
      <c r="E32" s="196"/>
      <c r="F32" s="197" t="s">
        <v>174</v>
      </c>
      <c r="G32" s="198"/>
      <c r="H32" s="198"/>
    </row>
    <row r="33" spans="1:8" s="6" customFormat="1" x14ac:dyDescent="0.35">
      <c r="A33" s="195" t="s">
        <v>28</v>
      </c>
      <c r="B33" s="195" t="s">
        <v>30</v>
      </c>
      <c r="C33" s="196" t="s">
        <v>30</v>
      </c>
      <c r="D33" s="196"/>
      <c r="E33" s="196"/>
      <c r="F33" s="196" t="s">
        <v>171</v>
      </c>
      <c r="G33" s="196"/>
      <c r="H33" s="196"/>
    </row>
    <row r="34" spans="1:8" x14ac:dyDescent="0.35">
      <c r="A34" s="195" t="s">
        <v>27</v>
      </c>
      <c r="B34" s="195" t="s">
        <v>30</v>
      </c>
      <c r="C34" s="196" t="s">
        <v>30</v>
      </c>
      <c r="D34" s="196"/>
      <c r="E34" s="196"/>
      <c r="F34" s="196" t="s">
        <v>172</v>
      </c>
      <c r="G34" s="196"/>
      <c r="H34" s="196"/>
    </row>
    <row r="35" spans="1:8" x14ac:dyDescent="0.35">
      <c r="A35" s="116" t="s">
        <v>32</v>
      </c>
      <c r="B35" s="116"/>
      <c r="C35" s="116"/>
      <c r="D35" s="116"/>
      <c r="E35" s="116"/>
      <c r="F35" s="116"/>
      <c r="G35" s="116"/>
      <c r="H35" s="116"/>
    </row>
    <row r="36" spans="1:8" ht="15.75" customHeight="1" x14ac:dyDescent="0.35">
      <c r="A36" s="188" t="s">
        <v>205</v>
      </c>
      <c r="B36" s="188"/>
      <c r="C36" s="191" t="s">
        <v>231</v>
      </c>
      <c r="D36" s="192"/>
      <c r="E36" s="192"/>
      <c r="F36" s="192"/>
      <c r="G36" s="192"/>
      <c r="H36" s="193"/>
    </row>
    <row r="37" spans="1:8" ht="15.75" customHeight="1" x14ac:dyDescent="0.35">
      <c r="A37" s="188" t="s">
        <v>206</v>
      </c>
      <c r="B37" s="188"/>
      <c r="C37" s="203" t="s">
        <v>207</v>
      </c>
      <c r="D37" s="192"/>
      <c r="E37" s="192"/>
      <c r="F37" s="192"/>
      <c r="G37" s="192"/>
      <c r="H37" s="193"/>
    </row>
    <row r="38" spans="1:8" x14ac:dyDescent="0.35">
      <c r="A38" s="185" t="s">
        <v>35</v>
      </c>
      <c r="B38" s="185"/>
      <c r="C38" s="185"/>
      <c r="D38" s="185"/>
      <c r="E38" s="185"/>
      <c r="F38" s="185"/>
      <c r="G38" s="185"/>
      <c r="H38" s="185"/>
    </row>
    <row r="39" spans="1:8" x14ac:dyDescent="0.35">
      <c r="A39" s="116" t="s">
        <v>36</v>
      </c>
      <c r="B39" s="116"/>
      <c r="C39" s="116"/>
      <c r="D39" s="116"/>
      <c r="E39" s="217">
        <v>35680</v>
      </c>
      <c r="F39" s="217"/>
      <c r="G39" s="217"/>
      <c r="H39" s="217"/>
    </row>
    <row r="40" spans="1:8" x14ac:dyDescent="0.35">
      <c r="A40" s="116" t="s">
        <v>37</v>
      </c>
      <c r="B40" s="116"/>
      <c r="C40" s="116"/>
      <c r="D40" s="116"/>
      <c r="E40" s="204">
        <v>1</v>
      </c>
      <c r="F40" s="204"/>
      <c r="G40" s="204"/>
      <c r="H40" s="204"/>
    </row>
    <row r="41" spans="1:8" x14ac:dyDescent="0.35">
      <c r="A41" s="116" t="s">
        <v>38</v>
      </c>
      <c r="B41" s="116"/>
      <c r="C41" s="116"/>
      <c r="D41" s="116"/>
      <c r="E41" s="204">
        <f>E43/E39-E40</f>
        <v>1.2199831838565021</v>
      </c>
      <c r="F41" s="204"/>
      <c r="G41" s="204"/>
      <c r="H41" s="204"/>
    </row>
    <row r="42" spans="1:8" x14ac:dyDescent="0.35">
      <c r="A42" s="116" t="s">
        <v>39</v>
      </c>
      <c r="B42" s="116"/>
      <c r="C42" s="116"/>
      <c r="D42" s="116"/>
      <c r="E42" s="204">
        <f>E40+E41</f>
        <v>2.2199831838565021</v>
      </c>
      <c r="F42" s="204"/>
      <c r="G42" s="204"/>
      <c r="H42" s="204"/>
    </row>
    <row r="43" spans="1:8" x14ac:dyDescent="0.35">
      <c r="A43" s="116" t="s">
        <v>97</v>
      </c>
      <c r="B43" s="116"/>
      <c r="C43" s="116"/>
      <c r="D43" s="116"/>
      <c r="E43" s="220">
        <v>79209</v>
      </c>
      <c r="F43" s="220"/>
      <c r="G43" s="220"/>
      <c r="H43" s="220"/>
    </row>
    <row r="44" spans="1:8" x14ac:dyDescent="0.35">
      <c r="A44" s="136" t="s">
        <v>40</v>
      </c>
      <c r="B44" s="136"/>
      <c r="C44" s="136"/>
      <c r="D44" s="136"/>
      <c r="E44" s="136" t="s">
        <v>224</v>
      </c>
      <c r="F44" s="136"/>
      <c r="G44" s="136"/>
      <c r="H44" s="136"/>
    </row>
    <row r="45" spans="1:8" x14ac:dyDescent="0.35">
      <c r="A45" s="185" t="s">
        <v>41</v>
      </c>
      <c r="B45" s="185"/>
      <c r="C45" s="185"/>
      <c r="D45" s="185"/>
      <c r="E45" s="185"/>
      <c r="F45" s="185"/>
      <c r="G45" s="185"/>
      <c r="H45" s="185"/>
    </row>
    <row r="46" spans="1:8" ht="33.75" customHeight="1" x14ac:dyDescent="0.35">
      <c r="A46" s="164" t="s">
        <v>159</v>
      </c>
      <c r="B46" s="166"/>
      <c r="C46" s="208" t="s">
        <v>196</v>
      </c>
      <c r="D46" s="209"/>
      <c r="E46" s="209"/>
      <c r="F46" s="209"/>
      <c r="G46" s="209"/>
      <c r="H46" s="210"/>
    </row>
    <row r="47" spans="1:8" x14ac:dyDescent="0.35">
      <c r="A47" s="118" t="s">
        <v>42</v>
      </c>
      <c r="B47" s="118"/>
      <c r="C47" s="117" t="s">
        <v>176</v>
      </c>
      <c r="D47" s="117"/>
      <c r="E47" s="117"/>
      <c r="F47" s="43" t="s">
        <v>43</v>
      </c>
      <c r="G47" s="135">
        <v>44545</v>
      </c>
      <c r="H47" s="135"/>
    </row>
    <row r="48" spans="1:8" s="5" customFormat="1" ht="31.5" customHeight="1" x14ac:dyDescent="0.35">
      <c r="A48" s="117" t="s">
        <v>214</v>
      </c>
      <c r="B48" s="136"/>
      <c r="C48" s="117" t="s">
        <v>176</v>
      </c>
      <c r="D48" s="117"/>
      <c r="E48" s="117"/>
      <c r="F48" s="43" t="s">
        <v>43</v>
      </c>
      <c r="G48" s="135">
        <v>44545</v>
      </c>
      <c r="H48" s="135"/>
    </row>
    <row r="49" spans="1:9" s="5" customFormat="1" ht="29.25" customHeight="1" x14ac:dyDescent="0.35">
      <c r="A49" s="117" t="s">
        <v>213</v>
      </c>
      <c r="B49" s="136"/>
      <c r="C49" s="117" t="s">
        <v>176</v>
      </c>
      <c r="D49" s="117"/>
      <c r="E49" s="117"/>
      <c r="F49" s="65" t="s">
        <v>43</v>
      </c>
      <c r="G49" s="135">
        <v>44841</v>
      </c>
      <c r="H49" s="135"/>
    </row>
    <row r="50" spans="1:9" s="5" customFormat="1" ht="30.75" customHeight="1" x14ac:dyDescent="0.35">
      <c r="A50" s="117" t="s">
        <v>44</v>
      </c>
      <c r="B50" s="117"/>
      <c r="C50" s="117" t="s">
        <v>243</v>
      </c>
      <c r="D50" s="136"/>
      <c r="E50" s="136"/>
      <c r="F50" s="47" t="s">
        <v>43</v>
      </c>
      <c r="G50" s="135">
        <v>45797</v>
      </c>
      <c r="H50" s="135"/>
    </row>
    <row r="51" spans="1:9" s="5" customFormat="1" ht="277.5" customHeight="1" x14ac:dyDescent="0.35">
      <c r="A51" s="117"/>
      <c r="B51" s="117"/>
      <c r="C51" s="117" t="s">
        <v>244</v>
      </c>
      <c r="D51" s="136"/>
      <c r="E51" s="136"/>
      <c r="F51" s="48" t="s">
        <v>129</v>
      </c>
      <c r="G51" s="135">
        <v>46010</v>
      </c>
      <c r="H51" s="135"/>
    </row>
    <row r="52" spans="1:9" s="5" customFormat="1" hidden="1" x14ac:dyDescent="0.35">
      <c r="A52" s="117" t="s">
        <v>44</v>
      </c>
      <c r="B52" s="117"/>
      <c r="C52" s="117" t="s">
        <v>238</v>
      </c>
      <c r="D52" s="136"/>
      <c r="E52" s="136"/>
      <c r="F52" s="47" t="s">
        <v>43</v>
      </c>
      <c r="G52" s="135">
        <v>45474</v>
      </c>
      <c r="H52" s="135"/>
    </row>
    <row r="53" spans="1:9" s="5" customFormat="1" ht="55.5" hidden="1" customHeight="1" x14ac:dyDescent="0.35">
      <c r="A53" s="117"/>
      <c r="B53" s="117"/>
      <c r="C53" s="117" t="s">
        <v>241</v>
      </c>
      <c r="D53" s="136"/>
      <c r="E53" s="136"/>
      <c r="F53" s="48" t="s">
        <v>129</v>
      </c>
      <c r="G53" s="135">
        <v>45645</v>
      </c>
      <c r="H53" s="135"/>
    </row>
    <row r="54" spans="1:9" s="5" customFormat="1" ht="79.5" customHeight="1" x14ac:dyDescent="0.35">
      <c r="A54" s="121" t="s">
        <v>245</v>
      </c>
      <c r="B54" s="121"/>
      <c r="C54" s="121" t="s">
        <v>246</v>
      </c>
      <c r="D54" s="120"/>
      <c r="E54" s="120" t="s">
        <v>46</v>
      </c>
      <c r="F54" s="76" t="s">
        <v>43</v>
      </c>
      <c r="G54" s="141">
        <v>45656</v>
      </c>
      <c r="H54" s="141"/>
    </row>
    <row r="55" spans="1:9" s="5" customFormat="1" hidden="1" x14ac:dyDescent="0.35">
      <c r="A55" s="121" t="s">
        <v>45</v>
      </c>
      <c r="B55" s="121"/>
      <c r="C55" s="121" t="s">
        <v>30</v>
      </c>
      <c r="D55" s="120"/>
      <c r="E55" s="120"/>
      <c r="F55" s="42" t="s">
        <v>43</v>
      </c>
      <c r="G55" s="141" t="s">
        <v>30</v>
      </c>
      <c r="H55" s="141"/>
    </row>
    <row r="56" spans="1:9" x14ac:dyDescent="0.35">
      <c r="A56" s="205" t="s">
        <v>48</v>
      </c>
      <c r="B56" s="205"/>
      <c r="C56" s="205"/>
      <c r="D56" s="205"/>
      <c r="E56" s="205"/>
      <c r="F56" s="205"/>
      <c r="G56" s="205"/>
      <c r="H56" s="205"/>
    </row>
    <row r="57" spans="1:9" x14ac:dyDescent="0.35">
      <c r="A57" s="118" t="s">
        <v>96</v>
      </c>
      <c r="B57" s="118"/>
      <c r="C57" s="118"/>
      <c r="D57" s="116">
        <f>E43</f>
        <v>79209</v>
      </c>
      <c r="E57" s="116"/>
      <c r="F57" s="116"/>
      <c r="G57" s="116"/>
      <c r="H57" s="116"/>
    </row>
    <row r="58" spans="1:9" x14ac:dyDescent="0.35">
      <c r="A58" s="117" t="s">
        <v>49</v>
      </c>
      <c r="B58" s="136"/>
      <c r="C58" s="136"/>
      <c r="D58" s="136" t="s">
        <v>220</v>
      </c>
      <c r="E58" s="136"/>
      <c r="F58" s="136"/>
      <c r="G58" s="136"/>
      <c r="H58" s="136"/>
      <c r="I58" s="29"/>
    </row>
    <row r="59" spans="1:9" ht="81" customHeight="1" x14ac:dyDescent="0.35">
      <c r="A59" s="142" t="s">
        <v>50</v>
      </c>
      <c r="B59" s="143"/>
      <c r="C59" s="216"/>
      <c r="D59" s="202" t="s">
        <v>221</v>
      </c>
      <c r="E59" s="221"/>
      <c r="F59" s="221"/>
      <c r="G59" s="221"/>
      <c r="H59" s="221"/>
    </row>
    <row r="60" spans="1:9" ht="15.75" customHeight="1" x14ac:dyDescent="0.35">
      <c r="A60" s="142" t="s">
        <v>94</v>
      </c>
      <c r="B60" s="143"/>
      <c r="C60" s="143"/>
      <c r="D60" s="206" t="s">
        <v>211</v>
      </c>
      <c r="E60" s="207"/>
      <c r="F60" s="207"/>
      <c r="G60" s="207"/>
      <c r="H60" s="207"/>
    </row>
    <row r="61" spans="1:9" ht="15.75" customHeight="1" x14ac:dyDescent="0.35">
      <c r="A61" s="144"/>
      <c r="B61" s="145"/>
      <c r="C61" s="146"/>
      <c r="D61" s="137" t="s">
        <v>212</v>
      </c>
      <c r="E61" s="138"/>
      <c r="F61" s="138"/>
      <c r="G61" s="138"/>
      <c r="H61" s="138"/>
    </row>
    <row r="62" spans="1:9" x14ac:dyDescent="0.35">
      <c r="A62" s="144"/>
      <c r="B62" s="145"/>
      <c r="C62" s="146"/>
      <c r="D62" s="139" t="s">
        <v>204</v>
      </c>
      <c r="E62" s="140"/>
      <c r="F62" s="140"/>
      <c r="G62" s="140"/>
      <c r="H62" s="140"/>
    </row>
    <row r="63" spans="1:9" ht="15.75" customHeight="1" x14ac:dyDescent="0.35">
      <c r="A63" s="144"/>
      <c r="B63" s="145"/>
      <c r="C63" s="146"/>
      <c r="D63" s="140" t="s">
        <v>177</v>
      </c>
      <c r="E63" s="140"/>
      <c r="F63" s="140"/>
      <c r="G63" s="140"/>
      <c r="H63" s="140"/>
    </row>
    <row r="64" spans="1:9" ht="15.75" customHeight="1" x14ac:dyDescent="0.35">
      <c r="A64" s="147"/>
      <c r="B64" s="148"/>
      <c r="C64" s="149"/>
      <c r="D64" s="150" t="s">
        <v>197</v>
      </c>
      <c r="E64" s="151"/>
      <c r="F64" s="151"/>
      <c r="G64" s="151"/>
      <c r="H64" s="151"/>
    </row>
    <row r="65" spans="1:14" ht="15.75" customHeight="1" x14ac:dyDescent="0.35">
      <c r="A65" s="116" t="s">
        <v>47</v>
      </c>
      <c r="B65" s="116"/>
      <c r="C65" s="116"/>
      <c r="D65" s="218" t="s">
        <v>201</v>
      </c>
      <c r="E65" s="218"/>
      <c r="F65" s="218"/>
      <c r="G65" s="218"/>
      <c r="H65" s="218"/>
      <c r="J65" s="28"/>
      <c r="K65" s="29"/>
      <c r="N65" s="29"/>
    </row>
    <row r="66" spans="1:14" ht="15.75" customHeight="1" x14ac:dyDescent="0.35">
      <c r="A66" s="116" t="s">
        <v>92</v>
      </c>
      <c r="B66" s="116"/>
      <c r="C66" s="116"/>
      <c r="D66" s="219" t="str">
        <f>(IF(G55="NA","60 Years After Completion",IF(G55&lt;&gt;"NA",""&amp;60-ROUNDDOWN((E3-G55)/360,0)&amp;" Years"," ")))</f>
        <v>60 Years After Completion</v>
      </c>
      <c r="E66" s="219"/>
      <c r="F66" s="219"/>
      <c r="G66" s="219"/>
      <c r="H66" s="219"/>
      <c r="N66" s="29"/>
    </row>
    <row r="67" spans="1:14" ht="15.75" customHeight="1" x14ac:dyDescent="0.35">
      <c r="A67" s="116" t="s">
        <v>93</v>
      </c>
      <c r="B67" s="116"/>
      <c r="C67" s="116"/>
      <c r="D67" s="118" t="s">
        <v>24</v>
      </c>
      <c r="E67" s="118"/>
      <c r="F67" s="118"/>
      <c r="G67" s="118"/>
      <c r="H67" s="118"/>
      <c r="J67" s="9"/>
      <c r="K67" s="9"/>
    </row>
    <row r="68" spans="1:14" ht="32.25" customHeight="1" x14ac:dyDescent="0.35">
      <c r="A68" s="116" t="s">
        <v>79</v>
      </c>
      <c r="B68" s="116"/>
      <c r="C68" s="116"/>
      <c r="D68" s="117" t="s">
        <v>203</v>
      </c>
      <c r="E68" s="118"/>
      <c r="F68" s="118"/>
      <c r="G68" s="118"/>
      <c r="H68" s="118"/>
    </row>
    <row r="69" spans="1:14" x14ac:dyDescent="0.35">
      <c r="A69" s="118" t="s">
        <v>156</v>
      </c>
      <c r="B69" s="118"/>
      <c r="C69" s="118"/>
      <c r="D69" s="118" t="s">
        <v>30</v>
      </c>
      <c r="E69" s="118"/>
      <c r="F69" s="118"/>
      <c r="G69" s="118"/>
      <c r="H69" s="118"/>
      <c r="I69" s="38"/>
      <c r="J69" s="38"/>
      <c r="K69" s="38"/>
      <c r="L69" s="38"/>
      <c r="M69" s="38"/>
      <c r="N69" s="38"/>
    </row>
    <row r="70" spans="1:14" ht="15.75" customHeight="1" x14ac:dyDescent="0.35">
      <c r="A70" s="201" t="s">
        <v>91</v>
      </c>
      <c r="B70" s="201"/>
      <c r="C70" s="201"/>
      <c r="D70" s="202" t="str">
        <f ca="1">(IF(G147&gt;95%,"Nothing",IF(G147&gt;0%,"Cement, Aggregate, Steel, etc",IF(G147=0%,"Work not yet Started"))))</f>
        <v>Cement, Aggregate, Steel, etc</v>
      </c>
      <c r="E70" s="202"/>
      <c r="F70" s="202"/>
      <c r="G70" s="202"/>
      <c r="H70" s="202"/>
      <c r="J70" s="9"/>
    </row>
    <row r="71" spans="1:14" ht="33.75" customHeight="1" thickBot="1" x14ac:dyDescent="0.4">
      <c r="A71" s="118" t="s">
        <v>125</v>
      </c>
      <c r="B71" s="118"/>
      <c r="C71" s="118"/>
      <c r="D71" s="117" t="str">
        <f ca="1">(IF(D70="Nothing","Yes",IF(D70="Cement, Aggregate, Steel, etc","Under Construction",IF(D70="Work not yet Started","Work not yet Started"))))</f>
        <v>Under Construction</v>
      </c>
      <c r="E71" s="117"/>
      <c r="F71" s="117" t="str">
        <f ca="1">(IF(D70="Nothing","Yes",IF(D70="Cement, Aggregate, Steel, etc","Under Construction",IF(D70="Work not yet Started","Work not yet Started"))))</f>
        <v>Under Construction</v>
      </c>
      <c r="G71" s="117"/>
      <c r="H71" s="117"/>
    </row>
    <row r="72" spans="1:14" ht="15.75" customHeight="1" x14ac:dyDescent="0.35">
      <c r="A72" s="124" t="s">
        <v>148</v>
      </c>
      <c r="B72" s="124"/>
      <c r="C72" s="121" t="str">
        <f>D60</f>
        <v>Tower 1 (Wing 1) = Gr + 1st to 38th Floor</v>
      </c>
      <c r="D72" s="121"/>
      <c r="E72" s="121"/>
      <c r="F72" s="121"/>
      <c r="G72" s="121"/>
      <c r="H72" s="121"/>
      <c r="I72" s="31" t="str">
        <f ca="1">(IF(E76&gt;99%,"All work completed. Please provide OC.",IF(E76&gt;89.8%,"Plinth, RCC, Brick, Plaster, Flooring, Painting work Completed. Finishing work is in process.",IF(E76&lt;94%,(IF(C76=0,"Work not yet Started.",IF(D76=25%,"Piling work in process",IF(D76=50%,"Excavation work in process",IF(D76=100%,"Excavation work Completed. ","0")))&amp;(IF(C77=0%,"",IF(C77=J78,"Footing work is process",IF(C77=J79,"Footing work Completed",IF(C77=J80,"1st Basement Completed",IF(C77=J81,"1st &amp; 2nd Basement Completed",IF(C77=J82,"1st to 3rd Basement Completed",IF(C77=J83,"1st to 4th Basement Completed",IF(C77=J84,"Plinth work is process",IF(C77=J85,"Plinth work completed","0")))))))))))&amp;(IF(C78=(D73+F73+H73),", RCC Slab Completed",IF(C78&gt;0,", RCC upto "&amp;C78&amp;" Slab Completed",""))&amp;(IF(C79=H73,", Brickwork Completed",IF(C79&gt;0,", Brickwork upto "&amp;C79&amp;" Floor Completed",""))&amp;(IF(C80=H73,", Internal Plaster Completed",IF(C80&gt;0,", Internal Plaster upto "&amp;C80&amp;" Floor Completed",""))&amp;(IF(C81=H73,", External Plaster Completed",IF(C81&gt;0,", External Plaster upto "&amp;C81&amp;" Floor Completed",""))&amp;(IF(C82=H73,", Flooring Completed",IF(C82&gt;0,", Flooring upto "&amp;C82&amp;" Floor Completed",""))&amp;(IF(C83=H73,", Painting Completed",IF(C83&gt;0,", Painting upto "&amp;C83&amp;" Floor Completed",""))&amp;(IF(C84&gt;0,", Finishing upto "&amp;C84&amp;" Floor Completed","")&amp;(IF(C78&gt;0.5,".",""))))))))))))))</f>
        <v>Excavation work Completed. Plinth work completed, RCC upto 30 Slab Completed, Brickwork upto 29 Floor Completed, Internal Plaster upto 24.65 Floor Completed, External Plaster upto 20.3 Floor Completed, Flooring upto 2 Floor Completed.</v>
      </c>
      <c r="J72" s="10"/>
    </row>
    <row r="73" spans="1:14" x14ac:dyDescent="0.35">
      <c r="A73" s="36" t="s">
        <v>150</v>
      </c>
      <c r="B73" s="66">
        <v>0</v>
      </c>
      <c r="C73" s="66" t="s">
        <v>76</v>
      </c>
      <c r="D73" s="66">
        <v>1</v>
      </c>
      <c r="E73" s="66" t="s">
        <v>75</v>
      </c>
      <c r="F73" s="66">
        <v>0</v>
      </c>
      <c r="G73" s="66" t="s">
        <v>85</v>
      </c>
      <c r="H73" s="37">
        <f ca="1">--TRIM(RIGHT(SUBSTITUTE(LEFT(C72,_xlfn.AGGREGATE(16,6,FIND({0,1,2,3,4,5,6,7,8,9},C72,ROW(INDIRECT("1:"&amp;LEN(C72)))),1))," ",REPT(" ",LEN(C72))),LEN(C72)))</f>
        <v>38</v>
      </c>
      <c r="I73" s="9"/>
      <c r="J73" s="11"/>
    </row>
    <row r="74" spans="1:14" ht="64" customHeight="1" x14ac:dyDescent="0.35">
      <c r="A74" s="119" t="s">
        <v>95</v>
      </c>
      <c r="B74" s="120"/>
      <c r="C74" s="121" t="str">
        <f ca="1">(IF($G$55="NA",I72,"All work Completed. OC Received."))</f>
        <v>Excavation work Completed. Plinth work completed, RCC upto 30 Slab Completed, Brickwork upto 29 Floor Completed, Internal Plaster upto 24.65 Floor Completed, External Plaster upto 20.3 Floor Completed, Flooring upto 2 Floor Completed.</v>
      </c>
      <c r="D74" s="121"/>
      <c r="E74" s="121"/>
      <c r="F74" s="121"/>
      <c r="G74" s="121"/>
      <c r="H74" s="122"/>
      <c r="I74" s="9" t="s">
        <v>112</v>
      </c>
      <c r="J74" s="11"/>
    </row>
    <row r="75" spans="1:14" ht="15.75" customHeight="1" x14ac:dyDescent="0.35">
      <c r="A75" s="97" t="s">
        <v>51</v>
      </c>
      <c r="B75" s="98"/>
      <c r="C75" s="59" t="s">
        <v>147</v>
      </c>
      <c r="D75" s="59" t="s">
        <v>88</v>
      </c>
      <c r="E75" s="98" t="s">
        <v>90</v>
      </c>
      <c r="F75" s="98"/>
      <c r="G75" s="98" t="s">
        <v>89</v>
      </c>
      <c r="H75" s="123"/>
      <c r="I75" s="27" t="s">
        <v>149</v>
      </c>
      <c r="J75" s="12">
        <f ca="1">H73*25%</f>
        <v>9.5</v>
      </c>
    </row>
    <row r="76" spans="1:14" x14ac:dyDescent="0.35">
      <c r="A76" s="97" t="s">
        <v>136</v>
      </c>
      <c r="B76" s="98"/>
      <c r="C76" s="49">
        <f ca="1">J77</f>
        <v>38</v>
      </c>
      <c r="D76" s="60">
        <f ca="1">((100/H73)*C76)/100</f>
        <v>1</v>
      </c>
      <c r="E76" s="99">
        <f ca="1">(((C77/H73*10)+(40/(D73+F73+H73)*C78)+(7.5/(H73)*C79)+(7.5/(H73)*C80)+(10/H73*C81)+(10/H73*C82)+(5/H73*C83)+(5/H73*C84)+(5/H73*C85))/100)</f>
        <v>0.57226467611336029</v>
      </c>
      <c r="F76" s="99"/>
      <c r="G76" s="99">
        <f ca="1">((((C76/H73)*20)+((C77/H73)*25)+(30/(H73+F73+D73)*C78)+(5/H73*C79)+(5/H73*C80)+(5/H73*C81)+(5/H73*C82)+(0/H73*C83)+(0/H73*C84)+(5/H73*C85))/100)</f>
        <v>0.78070344129554636</v>
      </c>
      <c r="H76" s="101"/>
      <c r="I76" s="27" t="s">
        <v>107</v>
      </c>
      <c r="J76" s="30">
        <f ca="1">H73*50%</f>
        <v>19</v>
      </c>
      <c r="L76" s="3" t="s">
        <v>240</v>
      </c>
    </row>
    <row r="77" spans="1:14" x14ac:dyDescent="0.35">
      <c r="A77" s="97" t="s">
        <v>52</v>
      </c>
      <c r="B77" s="98"/>
      <c r="C77" s="51">
        <f ca="1">J85</f>
        <v>38</v>
      </c>
      <c r="D77" s="60">
        <f ca="1">((100/H73)*C77)/100</f>
        <v>1</v>
      </c>
      <c r="E77" s="99"/>
      <c r="F77" s="99"/>
      <c r="G77" s="99"/>
      <c r="H77" s="101"/>
      <c r="I77" s="27" t="s">
        <v>108</v>
      </c>
      <c r="J77" s="30">
        <f ca="1">H73</f>
        <v>38</v>
      </c>
    </row>
    <row r="78" spans="1:14" ht="15.75" customHeight="1" x14ac:dyDescent="0.35">
      <c r="A78" s="97" t="s">
        <v>137</v>
      </c>
      <c r="B78" s="98"/>
      <c r="C78" s="51">
        <v>30</v>
      </c>
      <c r="D78" s="60">
        <f ca="1">((100/(D73+F73+H73))*C78)/100</f>
        <v>0.76923076923076938</v>
      </c>
      <c r="E78" s="99"/>
      <c r="F78" s="99"/>
      <c r="G78" s="99"/>
      <c r="H78" s="101"/>
      <c r="I78" s="27" t="s">
        <v>109</v>
      </c>
      <c r="J78" s="33">
        <f ca="1">(IF(B73&gt;1,(H73/(B73+2)),H73/4))</f>
        <v>9.5</v>
      </c>
    </row>
    <row r="79" spans="1:14" ht="15.75" customHeight="1" x14ac:dyDescent="0.35">
      <c r="A79" s="97" t="s">
        <v>144</v>
      </c>
      <c r="B79" s="98" t="s">
        <v>138</v>
      </c>
      <c r="C79" s="51">
        <f>C78-1</f>
        <v>29</v>
      </c>
      <c r="D79" s="60">
        <f ca="1">((100/H73)*C79)/100</f>
        <v>0.76315789473684215</v>
      </c>
      <c r="E79" s="99"/>
      <c r="F79" s="99"/>
      <c r="G79" s="99"/>
      <c r="H79" s="101"/>
      <c r="I79" s="27" t="s">
        <v>110</v>
      </c>
      <c r="J79" s="33">
        <f ca="1">(IF(B73&gt;1,(H73/(B73+2)+J78),H73/4+J78))</f>
        <v>19</v>
      </c>
      <c r="L79" s="3">
        <f>39*0.22</f>
        <v>8.58</v>
      </c>
    </row>
    <row r="80" spans="1:14" ht="15.75" customHeight="1" x14ac:dyDescent="0.35">
      <c r="A80" s="97" t="s">
        <v>145</v>
      </c>
      <c r="B80" s="98" t="s">
        <v>138</v>
      </c>
      <c r="C80" s="51">
        <f>C79*0.85</f>
        <v>24.65</v>
      </c>
      <c r="D80" s="60">
        <f ca="1">((100/H73)*C80)/100</f>
        <v>0.64868421052631575</v>
      </c>
      <c r="E80" s="99"/>
      <c r="F80" s="99"/>
      <c r="G80" s="99"/>
      <c r="H80" s="101"/>
      <c r="I80" s="27" t="s">
        <v>154</v>
      </c>
      <c r="J80" s="33">
        <f>(IF(B73&gt;1,(H73/(B73+2)+J79),0))</f>
        <v>0</v>
      </c>
    </row>
    <row r="81" spans="1:10" ht="15" customHeight="1" x14ac:dyDescent="0.35">
      <c r="A81" s="97" t="s">
        <v>143</v>
      </c>
      <c r="B81" s="98" t="s">
        <v>140</v>
      </c>
      <c r="C81" s="51">
        <f>C79*0.7</f>
        <v>20.299999999999997</v>
      </c>
      <c r="D81" s="60">
        <f ca="1">((100/(H73))*C81)/100</f>
        <v>0.53421052631578947</v>
      </c>
      <c r="E81" s="99"/>
      <c r="F81" s="99"/>
      <c r="G81" s="99"/>
      <c r="H81" s="101"/>
      <c r="I81" s="27" t="s">
        <v>151</v>
      </c>
      <c r="J81" s="33">
        <f>(IF(B73&gt;2,(H73/(B73+2)+J80),0))</f>
        <v>0</v>
      </c>
    </row>
    <row r="82" spans="1:10" ht="15.75" customHeight="1" x14ac:dyDescent="0.35">
      <c r="A82" s="97" t="s">
        <v>139</v>
      </c>
      <c r="B82" s="98" t="s">
        <v>139</v>
      </c>
      <c r="C82" s="49">
        <v>2</v>
      </c>
      <c r="D82" s="60">
        <f ca="1">((100/H73)*C82)/100</f>
        <v>5.2631578947368425E-2</v>
      </c>
      <c r="E82" s="99"/>
      <c r="F82" s="99"/>
      <c r="G82" s="99"/>
      <c r="H82" s="101"/>
      <c r="I82" s="27" t="s">
        <v>152</v>
      </c>
      <c r="J82" s="34">
        <f>(IF(B73&gt;3,(H73/(B73+2)+J81),0))</f>
        <v>0</v>
      </c>
    </row>
    <row r="83" spans="1:10" ht="15.75" customHeight="1" x14ac:dyDescent="0.35">
      <c r="A83" s="97" t="s">
        <v>146</v>
      </c>
      <c r="B83" s="98"/>
      <c r="C83" s="49">
        <v>0</v>
      </c>
      <c r="D83" s="60">
        <f ca="1">((100/H73)*C83)/100</f>
        <v>0</v>
      </c>
      <c r="E83" s="99"/>
      <c r="F83" s="99"/>
      <c r="G83" s="99"/>
      <c r="H83" s="101"/>
      <c r="I83" s="27" t="s">
        <v>153</v>
      </c>
      <c r="J83" s="33">
        <f>(IF(B73&gt;4,(H73/(B73+2)+J82),0))</f>
        <v>0</v>
      </c>
    </row>
    <row r="84" spans="1:10" ht="15.75" customHeight="1" x14ac:dyDescent="0.35">
      <c r="A84" s="97" t="s">
        <v>141</v>
      </c>
      <c r="B84" s="98" t="s">
        <v>141</v>
      </c>
      <c r="C84" s="49">
        <v>0</v>
      </c>
      <c r="D84" s="60">
        <f ca="1">((100/(H73))*C84)/100</f>
        <v>0</v>
      </c>
      <c r="E84" s="99"/>
      <c r="F84" s="99"/>
      <c r="G84" s="99"/>
      <c r="H84" s="101"/>
      <c r="I84" s="27" t="s">
        <v>155</v>
      </c>
      <c r="J84" s="33">
        <f ca="1">(IF(B73=1,(H73/(B73+3)+J79),IF(B73=0,(H73/4+J79),IF(B73&gt;1,0))))</f>
        <v>28.5</v>
      </c>
    </row>
    <row r="85" spans="1:10" ht="16" thickBot="1" x14ac:dyDescent="0.4">
      <c r="A85" s="103" t="s">
        <v>142</v>
      </c>
      <c r="B85" s="104"/>
      <c r="C85" s="52">
        <v>0</v>
      </c>
      <c r="D85" s="61">
        <f ca="1">((100/(H73))*C85)/100</f>
        <v>0</v>
      </c>
      <c r="E85" s="100"/>
      <c r="F85" s="100"/>
      <c r="G85" s="100"/>
      <c r="H85" s="102"/>
      <c r="I85" s="32" t="s">
        <v>111</v>
      </c>
      <c r="J85" s="35">
        <f ca="1">(IF(B73&gt;1.5,(H73/(B73+2)+J79+MAX(0,J80-J79)+MAX(0,J81-J80)+MAX(0,J82-J81)+MAX(0,J83-J82)+MAX(0,J84-J83)),IF(B73=1,(H73/(B73+3)+J84),IF(B73=0,H73/4+J84))))</f>
        <v>38</v>
      </c>
    </row>
    <row r="86" spans="1:10" ht="15.75" customHeight="1" x14ac:dyDescent="0.35">
      <c r="A86" s="223" t="s">
        <v>148</v>
      </c>
      <c r="B86" s="224"/>
      <c r="C86" s="213" t="str">
        <f>D61</f>
        <v>Tower 2 (Wing 2) = Gr + 1st to 38th Floor</v>
      </c>
      <c r="D86" s="214"/>
      <c r="E86" s="214"/>
      <c r="F86" s="214"/>
      <c r="G86" s="214"/>
      <c r="H86" s="215"/>
      <c r="I86" s="31" t="str">
        <f ca="1">(IF(E90&gt;99%,"All work completed. Please provide OC.",IF(E90&gt;89.8%,"Plinth, RCC, Brick, Plaster, Flooring, Painting work Completed. Finishing work is in process.",IF(E90&lt;94%,(IF(C90=0,"Work not yet Started.",IF(D90=25%,"Piling work in process",IF(D90=50%,"Excavation work in process",IF(D90=100%,"Excavation work Completed. ","0")))&amp;(IF(C91=0%,"",IF(C91=J92,"Footing work is process",IF(C91=J93,"Footing work Completed",IF(C91=J94,"1st Basement Completed",IF(C91=J95,"1st &amp; 2nd Basement Completed",IF(C91=J96,"1st to 3rd Basement Completed",IF(C91=J97,"1st to 4th Basement Completed",IF(C91=J98,"Plinth work is process",IF(C91=J99,"Plinth work completed","0")))))))))))&amp;(IF(C92=(D87+F87+H87),", RCC Slab Completed",IF(C92&gt;0,", RCC upto "&amp;C92&amp;" Slab Completed",""))&amp;(IF(C93=H87,", Brickwork Completed",IF(C93&gt;0,", Brickwork upto "&amp;C93&amp;" Floor Completed",""))&amp;(IF(C94=H87,", Internal Plaster Completed",IF(C94&gt;0,", Internal Plaster upto "&amp;C94&amp;" Floor Completed",""))&amp;(IF(C95=H87,", External Plaster Completed",IF(C95&gt;0,", External Plaster upto "&amp;C95&amp;" Floor Completed",""))&amp;(IF(C96=H87,", Flooring Completed",IF(C96&gt;0,", Flooring upto "&amp;C96&amp;" Floor Completed",""))&amp;(IF(C97=H87,", Painting Completed",IF(C97&gt;0,", Painting upto "&amp;C97&amp;" Floor Completed",""))&amp;(IF(C98&gt;0,", Finishing upto "&amp;C98&amp;" Floor Completed","")&amp;(IF(C92&gt;0.5,".",""))))))))))))))</f>
        <v>Excavation work Completed. Plinth work completed, RCC Slab Completed, Brickwork Completed, Internal Plaster Completed, External Plaster Completed, Flooring upto 33 Floor Completed, Painting upto 30 Floor Completed.</v>
      </c>
      <c r="J86" s="10"/>
    </row>
    <row r="87" spans="1:10" x14ac:dyDescent="0.35">
      <c r="A87" s="36" t="s">
        <v>150</v>
      </c>
      <c r="B87" s="44">
        <v>0</v>
      </c>
      <c r="C87" s="44" t="s">
        <v>76</v>
      </c>
      <c r="D87" s="44">
        <v>1</v>
      </c>
      <c r="E87" s="44" t="s">
        <v>75</v>
      </c>
      <c r="F87" s="44">
        <v>0</v>
      </c>
      <c r="G87" s="44" t="s">
        <v>85</v>
      </c>
      <c r="H87" s="37">
        <f ca="1">--TRIM(RIGHT(SUBSTITUTE(LEFT(C86,_xlfn.AGGREGATE(16,6,FIND({0,1,2,3,4,5,6,7,8,9},C86,ROW(INDIRECT("1:"&amp;LEN(C86)))),1))," ",REPT(" ",LEN(C86))),LEN(C86)))</f>
        <v>38</v>
      </c>
      <c r="I87" s="9"/>
      <c r="J87" s="11"/>
    </row>
    <row r="88" spans="1:10" ht="63" customHeight="1" x14ac:dyDescent="0.35">
      <c r="A88" s="119" t="s">
        <v>95</v>
      </c>
      <c r="B88" s="120"/>
      <c r="C88" s="121" t="str">
        <f ca="1">(IF($G$55="NA",I86,"All work Completed. OC Received."))</f>
        <v>Excavation work Completed. Plinth work completed, RCC Slab Completed, Brickwork Completed, Internal Plaster Completed, External Plaster Completed, Flooring upto 33 Floor Completed, Painting upto 30 Floor Completed.</v>
      </c>
      <c r="D88" s="121"/>
      <c r="E88" s="121"/>
      <c r="F88" s="121"/>
      <c r="G88" s="121"/>
      <c r="H88" s="122"/>
      <c r="I88" s="9" t="s">
        <v>112</v>
      </c>
      <c r="J88" s="11"/>
    </row>
    <row r="89" spans="1:10" ht="15.75" customHeight="1" x14ac:dyDescent="0.35">
      <c r="A89" s="97" t="s">
        <v>51</v>
      </c>
      <c r="B89" s="98"/>
      <c r="C89" s="39" t="s">
        <v>147</v>
      </c>
      <c r="D89" s="39" t="s">
        <v>88</v>
      </c>
      <c r="E89" s="98" t="s">
        <v>90</v>
      </c>
      <c r="F89" s="98"/>
      <c r="G89" s="98" t="s">
        <v>89</v>
      </c>
      <c r="H89" s="123"/>
      <c r="I89" s="27" t="s">
        <v>149</v>
      </c>
      <c r="J89" s="12">
        <f ca="1">H87*25%</f>
        <v>9.5</v>
      </c>
    </row>
    <row r="90" spans="1:10" x14ac:dyDescent="0.35">
      <c r="A90" s="98" t="s">
        <v>136</v>
      </c>
      <c r="B90" s="98"/>
      <c r="C90" s="49">
        <f ca="1">J91</f>
        <v>38</v>
      </c>
      <c r="D90" s="80">
        <f ca="1">((100/H87)*C90)/100</f>
        <v>1</v>
      </c>
      <c r="E90" s="99">
        <f ca="1">(((C91/H87*10)+(40/(D87+F87+H87)*C92)+(7.5/(H87)*C93)+(7.5/(H87)*C94)+(10/H87*C95)+(10/H87*C96)+(5/H87*C97)+(5/H87*C98)+(5/H87*C99))/100)</f>
        <v>0.87631578947368427</v>
      </c>
      <c r="F90" s="99"/>
      <c r="G90" s="99">
        <f ca="1">((((C90/H87)*20)+((C91/H87)*25)+(30/(H87+F87+D87)*C92)+(5/H87*C93)+(5/H87*C94)+(5/H87*C95)+(5/H87*C96)+(0/H87*C97)+(0/H87*C98)+(5/H87*C99))/100)</f>
        <v>0.94342105263157894</v>
      </c>
      <c r="H90" s="99"/>
      <c r="I90" s="27" t="s">
        <v>107</v>
      </c>
      <c r="J90" s="30">
        <f ca="1">H87*50%</f>
        <v>19</v>
      </c>
    </row>
    <row r="91" spans="1:10" x14ac:dyDescent="0.35">
      <c r="A91" s="98" t="s">
        <v>52</v>
      </c>
      <c r="B91" s="98"/>
      <c r="C91" s="51">
        <v>38</v>
      </c>
      <c r="D91" s="80">
        <f ca="1">((100/H87)*C91)/100</f>
        <v>1</v>
      </c>
      <c r="E91" s="99"/>
      <c r="F91" s="99"/>
      <c r="G91" s="99"/>
      <c r="H91" s="99"/>
      <c r="I91" s="27" t="s">
        <v>108</v>
      </c>
      <c r="J91" s="30">
        <f ca="1">H87</f>
        <v>38</v>
      </c>
    </row>
    <row r="92" spans="1:10" ht="15.75" customHeight="1" x14ac:dyDescent="0.35">
      <c r="A92" s="98" t="s">
        <v>137</v>
      </c>
      <c r="B92" s="98"/>
      <c r="C92" s="51">
        <v>39</v>
      </c>
      <c r="D92" s="80">
        <f ca="1">((100/(D87+F87+H87))*C92)/100</f>
        <v>1.0000000000000002</v>
      </c>
      <c r="E92" s="99"/>
      <c r="F92" s="99"/>
      <c r="G92" s="99"/>
      <c r="H92" s="99"/>
      <c r="I92" s="27" t="s">
        <v>109</v>
      </c>
      <c r="J92" s="33">
        <f ca="1">(IF(B87&gt;1,(H87/(B87+2)),H87/4))</f>
        <v>9.5</v>
      </c>
    </row>
    <row r="93" spans="1:10" ht="15.75" customHeight="1" x14ac:dyDescent="0.35">
      <c r="A93" s="98" t="s">
        <v>144</v>
      </c>
      <c r="B93" s="98" t="s">
        <v>138</v>
      </c>
      <c r="C93" s="51">
        <f>C92-1</f>
        <v>38</v>
      </c>
      <c r="D93" s="80">
        <f ca="1">((100/H87)*C93)/100</f>
        <v>1</v>
      </c>
      <c r="E93" s="99"/>
      <c r="F93" s="99"/>
      <c r="G93" s="99"/>
      <c r="H93" s="99"/>
      <c r="I93" s="27" t="s">
        <v>110</v>
      </c>
      <c r="J93" s="33">
        <f ca="1">(IF(B87&gt;1,(H87/(B87+2)+J92),H87/4+J92))</f>
        <v>19</v>
      </c>
    </row>
    <row r="94" spans="1:10" ht="15.75" customHeight="1" x14ac:dyDescent="0.35">
      <c r="A94" s="98" t="s">
        <v>145</v>
      </c>
      <c r="B94" s="98" t="s">
        <v>138</v>
      </c>
      <c r="C94" s="51">
        <v>38</v>
      </c>
      <c r="D94" s="80">
        <f ca="1">((100/H87)*C94)/100</f>
        <v>1</v>
      </c>
      <c r="E94" s="99"/>
      <c r="F94" s="99"/>
      <c r="G94" s="99"/>
      <c r="H94" s="99"/>
      <c r="I94" s="27" t="s">
        <v>154</v>
      </c>
      <c r="J94" s="33">
        <f>(IF(B87&gt;1,(H87/(B87+2)+J93),0))</f>
        <v>0</v>
      </c>
    </row>
    <row r="95" spans="1:10" ht="15" customHeight="1" x14ac:dyDescent="0.35">
      <c r="A95" s="98" t="s">
        <v>143</v>
      </c>
      <c r="B95" s="98" t="s">
        <v>140</v>
      </c>
      <c r="C95" s="51">
        <v>38</v>
      </c>
      <c r="D95" s="80">
        <f ca="1">((100/(H87))*C95)/100</f>
        <v>1</v>
      </c>
      <c r="E95" s="99"/>
      <c r="F95" s="99"/>
      <c r="G95" s="99"/>
      <c r="H95" s="99"/>
      <c r="I95" s="27" t="s">
        <v>151</v>
      </c>
      <c r="J95" s="33">
        <f>(IF(B87&gt;2,(H87/(B87+2)+J94),0))</f>
        <v>0</v>
      </c>
    </row>
    <row r="96" spans="1:10" ht="15.75" customHeight="1" x14ac:dyDescent="0.35">
      <c r="A96" s="98" t="s">
        <v>139</v>
      </c>
      <c r="B96" s="98" t="s">
        <v>139</v>
      </c>
      <c r="C96" s="49">
        <v>33</v>
      </c>
      <c r="D96" s="80">
        <f ca="1">((100/H87)*C96)/100</f>
        <v>0.86842105263157909</v>
      </c>
      <c r="E96" s="99"/>
      <c r="F96" s="99"/>
      <c r="G96" s="99"/>
      <c r="H96" s="99"/>
      <c r="I96" s="27" t="s">
        <v>152</v>
      </c>
      <c r="J96" s="34">
        <f>(IF(B87&gt;3,(H87/(B87+2)+J95),0))</f>
        <v>0</v>
      </c>
    </row>
    <row r="97" spans="1:10" ht="15.75" customHeight="1" x14ac:dyDescent="0.35">
      <c r="A97" s="98" t="s">
        <v>146</v>
      </c>
      <c r="B97" s="98"/>
      <c r="C97" s="49">
        <v>30</v>
      </c>
      <c r="D97" s="80">
        <f ca="1">((100/H87)*C97)/100</f>
        <v>0.78947368421052633</v>
      </c>
      <c r="E97" s="99"/>
      <c r="F97" s="99"/>
      <c r="G97" s="99"/>
      <c r="H97" s="99"/>
      <c r="I97" s="27" t="s">
        <v>153</v>
      </c>
      <c r="J97" s="33">
        <f>(IF(B87&gt;4,(H87/(B87+2)+J96),0))</f>
        <v>0</v>
      </c>
    </row>
    <row r="98" spans="1:10" ht="15.75" customHeight="1" x14ac:dyDescent="0.35">
      <c r="A98" s="98" t="s">
        <v>141</v>
      </c>
      <c r="B98" s="98" t="s">
        <v>141</v>
      </c>
      <c r="C98" s="49">
        <v>0</v>
      </c>
      <c r="D98" s="80">
        <f ca="1">((100/(H87))*C98)/100</f>
        <v>0</v>
      </c>
      <c r="E98" s="99"/>
      <c r="F98" s="99"/>
      <c r="G98" s="99"/>
      <c r="H98" s="99"/>
      <c r="I98" s="27" t="s">
        <v>155</v>
      </c>
      <c r="J98" s="33">
        <f ca="1">(IF(B87=1,(H87/(B87+3)+J93),IF(B87=0,(H87/4+J93),IF(B87&gt;1,0))))</f>
        <v>28.5</v>
      </c>
    </row>
    <row r="99" spans="1:10" ht="16" thickBot="1" x14ac:dyDescent="0.4">
      <c r="A99" s="98" t="s">
        <v>142</v>
      </c>
      <c r="B99" s="98"/>
      <c r="C99" s="49">
        <v>0</v>
      </c>
      <c r="D99" s="80">
        <f ca="1">((100/(H87))*C99)/100</f>
        <v>0</v>
      </c>
      <c r="E99" s="99"/>
      <c r="F99" s="99"/>
      <c r="G99" s="99"/>
      <c r="H99" s="99"/>
      <c r="I99" s="32" t="s">
        <v>111</v>
      </c>
      <c r="J99" s="35">
        <f ca="1">(IF(B87&gt;1.5,(H87/(B87+2)+J93+MAX(0,J94-J93)+MAX(0,J95-J94)+MAX(0,J96-J95)+MAX(0,J97-J96)+MAX(0,J98-J97)),IF(B87=1,(H87/(B87+3)+J98),IF(B87=0,H87/4+J98))))</f>
        <v>38</v>
      </c>
    </row>
    <row r="100" spans="1:10" x14ac:dyDescent="0.35">
      <c r="A100" s="121" t="s">
        <v>148</v>
      </c>
      <c r="B100" s="121"/>
      <c r="C100" s="121" t="str">
        <f>D62</f>
        <v xml:space="preserve">Tower 3 (Wing 3) = Gr + 1st to 22nd Floor
</v>
      </c>
      <c r="D100" s="121"/>
      <c r="E100" s="121"/>
      <c r="F100" s="121"/>
      <c r="G100" s="121"/>
      <c r="H100" s="121"/>
      <c r="I100" s="31" t="str">
        <f ca="1">(IF(E105&gt;99%,"All work completed. Please provide OC.",IF(E105&gt;89.8%,"Plinth, RCC, Brick, Plaster, Flooring, Painting work Completed. Finishing work is in process.",IF(E105&lt;94%,(IF(C105=0,"Work not yet Started.",IF(D105=25%,"Piling work in process",IF(D105=50%,"Excavation work in process",IF(D105=100%,"Excavation work Completed. ","0")))&amp;(IF(C106=0%,"",IF(C106=J107,"Footing work is process",IF(C106=J108,"Footing work Completed",IF(C106=J109,"1st Basement Completed",IF(C106=J110,"1st &amp; 2nd Basement Completed",IF(C106=J111,"1st to 3rd Basement Completed",IF(C106=J112,"1st to 4th Basement Completed",IF(C106=J113,"Plinth work is process",IF(C106=J114,"Plinth work completed","0")))))))))))&amp;(IF(C107=(D101+F101+H101),", RCC Slab Completed",IF(C107&gt;0,", RCC upto "&amp;C107&amp;" Slab Completed",""))&amp;(IF(C108=H101,", Brickwork Completed",IF(C108&gt;0,", Brickwork upto "&amp;C108&amp;" Floor Completed",""))&amp;(IF(C109=H101,", Internal Plaster Completed",IF(C109&gt;0,", Internal Plaster upto "&amp;C109&amp;" Floor Completed",""))&amp;(IF(C110=H101,", External Plaster Completed",IF(C110&gt;0,", External Plaster upto "&amp;C110&amp;" Floor Completed",""))&amp;(IF(C111=H101,", Flooring Completed",IF(C111&gt;0,", Flooring upto "&amp;C111&amp;" Floor Completed",""))&amp;(IF(C112=H101,", Painting Completed",IF(C112&gt;0,", Painting upto "&amp;C112&amp;" Floor Completed",""))&amp;(IF(C113&gt;0,", Finishing upto "&amp;C113&amp;" Floor Completed","")&amp;(IF(C107&gt;0.5,".",""))))))))))))))</f>
        <v>All work completed. Please provide OC.</v>
      </c>
      <c r="J100" s="10"/>
    </row>
    <row r="101" spans="1:10" x14ac:dyDescent="0.35">
      <c r="A101" s="81" t="s">
        <v>150</v>
      </c>
      <c r="B101" s="81">
        <v>0</v>
      </c>
      <c r="C101" s="81" t="s">
        <v>76</v>
      </c>
      <c r="D101" s="81">
        <v>1</v>
      </c>
      <c r="E101" s="81" t="s">
        <v>75</v>
      </c>
      <c r="F101" s="81">
        <v>0</v>
      </c>
      <c r="G101" s="81" t="s">
        <v>85</v>
      </c>
      <c r="H101" s="81">
        <f ca="1">--TRIM(RIGHT(SUBSTITUTE(LEFT(C100,_xlfn.AGGREGATE(16,6,FIND({0,1,2,3,4,5,6,7,8,9},C100,ROW(INDIRECT("1:"&amp;LEN(C100)))),1))," ",REPT(" ",LEN(C100))),LEN(C100)))</f>
        <v>22</v>
      </c>
      <c r="I101" s="9"/>
      <c r="J101" s="11"/>
    </row>
    <row r="102" spans="1:10" x14ac:dyDescent="0.35">
      <c r="A102" s="199" t="s">
        <v>90</v>
      </c>
      <c r="B102" s="199"/>
      <c r="C102" s="232">
        <v>1</v>
      </c>
      <c r="D102" s="199"/>
      <c r="E102" s="199" t="s">
        <v>89</v>
      </c>
      <c r="F102" s="199"/>
      <c r="G102" s="232">
        <v>1</v>
      </c>
      <c r="H102" s="199"/>
      <c r="I102" s="9"/>
      <c r="J102" s="11"/>
    </row>
    <row r="103" spans="1:10" ht="24.5" customHeight="1" thickBot="1" x14ac:dyDescent="0.4">
      <c r="A103" s="233" t="s">
        <v>95</v>
      </c>
      <c r="B103" s="233"/>
      <c r="C103" s="234" t="str">
        <f>I103</f>
        <v>All work Completed. OC Received.</v>
      </c>
      <c r="D103" s="234"/>
      <c r="E103" s="234"/>
      <c r="F103" s="234"/>
      <c r="G103" s="234"/>
      <c r="H103" s="234"/>
      <c r="I103" s="9" t="s">
        <v>112</v>
      </c>
      <c r="J103" s="11"/>
    </row>
    <row r="104" spans="1:10" ht="15.75" hidden="1" customHeight="1" x14ac:dyDescent="0.35">
      <c r="A104" s="94" t="s">
        <v>51</v>
      </c>
      <c r="B104" s="95"/>
      <c r="C104" s="79" t="s">
        <v>147</v>
      </c>
      <c r="D104" s="79" t="s">
        <v>88</v>
      </c>
      <c r="E104" s="95" t="s">
        <v>90</v>
      </c>
      <c r="F104" s="95"/>
      <c r="G104" s="95" t="s">
        <v>89</v>
      </c>
      <c r="H104" s="96"/>
      <c r="I104" s="27" t="s">
        <v>149</v>
      </c>
      <c r="J104" s="12">
        <f ca="1">H101*25%</f>
        <v>5.5</v>
      </c>
    </row>
    <row r="105" spans="1:10" hidden="1" x14ac:dyDescent="0.35">
      <c r="A105" s="97" t="s">
        <v>136</v>
      </c>
      <c r="B105" s="98"/>
      <c r="C105" s="49">
        <f ca="1">J106</f>
        <v>22</v>
      </c>
      <c r="D105" s="50">
        <f ca="1">((100/H101)*C105)/100</f>
        <v>1.0000000000000002</v>
      </c>
      <c r="E105" s="99">
        <f ca="1">(((C106/H101*10)+(40/(D101+F101+H101)*C107)+(7.5/(H101)*C108)+(7.5/(H101)*C109)+(10/H101*C110)+(10/H101*C111)+(5/H101*C112)+(5/H101*C113)+(5/H101*C114))/100)</f>
        <v>1</v>
      </c>
      <c r="F105" s="99"/>
      <c r="G105" s="99">
        <f ca="1">((((C105/H101)*20)+((C106/H101)*25)+(30/(H101+F101+D101)*C107)+(5/H101*C108)+(5/H101*C109)+(5/H101*C110)+(5/H101*C111)+(0/H101*C112)+(0/H101*C113)+(5/H101*C114))/100)</f>
        <v>1</v>
      </c>
      <c r="H105" s="101"/>
      <c r="I105" s="27" t="s">
        <v>107</v>
      </c>
      <c r="J105" s="30">
        <f ca="1">H101*50%</f>
        <v>11</v>
      </c>
    </row>
    <row r="106" spans="1:10" hidden="1" x14ac:dyDescent="0.35">
      <c r="A106" s="97" t="s">
        <v>52</v>
      </c>
      <c r="B106" s="98"/>
      <c r="C106" s="51">
        <v>22</v>
      </c>
      <c r="D106" s="50">
        <f ca="1">((100/H101)*C106)/100</f>
        <v>1.0000000000000002</v>
      </c>
      <c r="E106" s="99"/>
      <c r="F106" s="99"/>
      <c r="G106" s="99"/>
      <c r="H106" s="101"/>
      <c r="I106" s="27" t="s">
        <v>108</v>
      </c>
      <c r="J106" s="30">
        <f ca="1">H101</f>
        <v>22</v>
      </c>
    </row>
    <row r="107" spans="1:10" ht="15.75" hidden="1" customHeight="1" x14ac:dyDescent="0.35">
      <c r="A107" s="97" t="s">
        <v>137</v>
      </c>
      <c r="B107" s="98"/>
      <c r="C107" s="51">
        <v>23</v>
      </c>
      <c r="D107" s="50">
        <f ca="1">((100/(D101+F101+H101))*C107)/100</f>
        <v>1</v>
      </c>
      <c r="E107" s="99"/>
      <c r="F107" s="99"/>
      <c r="G107" s="99"/>
      <c r="H107" s="101"/>
      <c r="I107" s="27" t="s">
        <v>109</v>
      </c>
      <c r="J107" s="33">
        <f ca="1">(IF(B101&gt;1,(H101/(B101+2)),H101/4))</f>
        <v>5.5</v>
      </c>
    </row>
    <row r="108" spans="1:10" ht="15.75" hidden="1" customHeight="1" x14ac:dyDescent="0.35">
      <c r="A108" s="97" t="s">
        <v>144</v>
      </c>
      <c r="B108" s="98" t="s">
        <v>138</v>
      </c>
      <c r="C108" s="51">
        <f>C107-1</f>
        <v>22</v>
      </c>
      <c r="D108" s="50">
        <f ca="1">((100/H101)*C108)/100</f>
        <v>1.0000000000000002</v>
      </c>
      <c r="E108" s="99"/>
      <c r="F108" s="99"/>
      <c r="G108" s="99"/>
      <c r="H108" s="101"/>
      <c r="I108" s="27" t="s">
        <v>110</v>
      </c>
      <c r="J108" s="33">
        <f ca="1">(IF(B101&gt;1,(H101/(B101+2)+J107),H101/4+J107))</f>
        <v>11</v>
      </c>
    </row>
    <row r="109" spans="1:10" ht="15.75" hidden="1" customHeight="1" x14ac:dyDescent="0.35">
      <c r="A109" s="97" t="s">
        <v>145</v>
      </c>
      <c r="B109" s="98" t="s">
        <v>138</v>
      </c>
      <c r="C109" s="51">
        <v>22</v>
      </c>
      <c r="D109" s="50">
        <f ca="1">((100/H101)*C109)/100</f>
        <v>1.0000000000000002</v>
      </c>
      <c r="E109" s="99"/>
      <c r="F109" s="99"/>
      <c r="G109" s="99"/>
      <c r="H109" s="101"/>
      <c r="I109" s="27" t="s">
        <v>154</v>
      </c>
      <c r="J109" s="33">
        <f>(IF(B101&gt;1,(H101/(B101+2)+J108),0))</f>
        <v>0</v>
      </c>
    </row>
    <row r="110" spans="1:10" ht="15" hidden="1" customHeight="1" x14ac:dyDescent="0.35">
      <c r="A110" s="97" t="s">
        <v>143</v>
      </c>
      <c r="B110" s="98" t="s">
        <v>140</v>
      </c>
      <c r="C110" s="51">
        <f>C109</f>
        <v>22</v>
      </c>
      <c r="D110" s="50">
        <f ca="1">((100/(H101))*C110)/100</f>
        <v>1.0000000000000002</v>
      </c>
      <c r="E110" s="99"/>
      <c r="F110" s="99"/>
      <c r="G110" s="99"/>
      <c r="H110" s="101"/>
      <c r="I110" s="27" t="s">
        <v>151</v>
      </c>
      <c r="J110" s="33">
        <f>(IF(B101&gt;2,(H101/(B101+2)+J109),0))</f>
        <v>0</v>
      </c>
    </row>
    <row r="111" spans="1:10" ht="15.75" hidden="1" customHeight="1" x14ac:dyDescent="0.35">
      <c r="A111" s="97" t="s">
        <v>139</v>
      </c>
      <c r="B111" s="98" t="s">
        <v>139</v>
      </c>
      <c r="C111" s="49">
        <v>22</v>
      </c>
      <c r="D111" s="50">
        <f ca="1">((100/H101)*C111)/100</f>
        <v>1.0000000000000002</v>
      </c>
      <c r="E111" s="99"/>
      <c r="F111" s="99"/>
      <c r="G111" s="99"/>
      <c r="H111" s="101"/>
      <c r="I111" s="27" t="s">
        <v>152</v>
      </c>
      <c r="J111" s="34">
        <f>(IF(B101&gt;3,(H101/(B101+2)+J110),0))</f>
        <v>0</v>
      </c>
    </row>
    <row r="112" spans="1:10" ht="15.75" hidden="1" customHeight="1" x14ac:dyDescent="0.35">
      <c r="A112" s="97" t="s">
        <v>146</v>
      </c>
      <c r="B112" s="98"/>
      <c r="C112" s="49">
        <v>22</v>
      </c>
      <c r="D112" s="50">
        <f ca="1">((100/H101)*C112)/100</f>
        <v>1.0000000000000002</v>
      </c>
      <c r="E112" s="99"/>
      <c r="F112" s="99"/>
      <c r="G112" s="99"/>
      <c r="H112" s="101"/>
      <c r="I112" s="27" t="s">
        <v>153</v>
      </c>
      <c r="J112" s="33">
        <f>(IF(B101&gt;4,(H101/(B101+2)+J111),0))</f>
        <v>0</v>
      </c>
    </row>
    <row r="113" spans="1:10" ht="15.75" hidden="1" customHeight="1" x14ac:dyDescent="0.35">
      <c r="A113" s="97" t="s">
        <v>141</v>
      </c>
      <c r="B113" s="98" t="s">
        <v>141</v>
      </c>
      <c r="C113" s="49">
        <v>22</v>
      </c>
      <c r="D113" s="50">
        <f ca="1">((100/(H101))*C113)/100</f>
        <v>1.0000000000000002</v>
      </c>
      <c r="E113" s="99"/>
      <c r="F113" s="99"/>
      <c r="G113" s="99"/>
      <c r="H113" s="101"/>
      <c r="I113" s="27" t="s">
        <v>155</v>
      </c>
      <c r="J113" s="33">
        <f ca="1">(IF(B101=1,(H101/(B101+3)+J108),IF(B101=0,(H101/4+J108),IF(B101&gt;1,0))))</f>
        <v>16.5</v>
      </c>
    </row>
    <row r="114" spans="1:10" ht="16" hidden="1" thickBot="1" x14ac:dyDescent="0.4">
      <c r="A114" s="103" t="s">
        <v>142</v>
      </c>
      <c r="B114" s="104"/>
      <c r="C114" s="52">
        <v>22</v>
      </c>
      <c r="D114" s="53">
        <f ca="1">((100/(H101))*C114)/100</f>
        <v>1.0000000000000002</v>
      </c>
      <c r="E114" s="100"/>
      <c r="F114" s="100"/>
      <c r="G114" s="100"/>
      <c r="H114" s="102"/>
      <c r="I114" s="32" t="s">
        <v>111</v>
      </c>
      <c r="J114" s="35">
        <f ca="1">(IF(B101&gt;1.5,(H101/(B101+2)+J108+MAX(0,J109-J108)+MAX(0,J110-J109)+MAX(0,J111-J110)+MAX(0,J112-J111)+MAX(0,J113-J112)),IF(B101=1,(H101/(B101+3)+J113),IF(B101=0,H101/4+J113))))</f>
        <v>22</v>
      </c>
    </row>
    <row r="115" spans="1:10" x14ac:dyDescent="0.35">
      <c r="A115" s="211" t="s">
        <v>148</v>
      </c>
      <c r="B115" s="212"/>
      <c r="C115" s="213" t="s">
        <v>177</v>
      </c>
      <c r="D115" s="214"/>
      <c r="E115" s="214"/>
      <c r="F115" s="214"/>
      <c r="G115" s="214"/>
      <c r="H115" s="215"/>
      <c r="I115" s="31" t="str">
        <f ca="1">(IF(E119&gt;99%,"All work completed. Please provide OC.",IF(E119&gt;89.8%,"Plinth, RCC, Brick, Plaster, Flooring, Painting work Completed. Finishing work is in process.",IF(E119&lt;94%,(IF(C119=0,"Work not yet Started.",IF(D119=25%,"Piling work in process",IF(D119=50%,"Excavation work in process",IF(D119=100%,"Excavation work Completed. ","0")))&amp;(IF(C120=0%,"",IF(C120=J121,"Footing work is process",IF(C120=J122,"Footing work Completed",IF(C120=J123,"1st Basement Completed",IF(C120=J124,"1st &amp; 2nd Basement Completed",IF(C120=J125,"1st to 3rd Basement Completed",IF(C120=J126,"1st to 4th Basement Completed",IF(C120=J127,"Plinth work is process",IF(C120=J128,"Plinth work completed","0")))))))))))&amp;(IF(C121=(D116+F116+H116),", RCC Slab Completed",IF(C121&gt;0,", RCC upto "&amp;C121&amp;" Slab Completed",""))&amp;(IF(C122=H116,", Brickwork Completed",IF(C122&gt;0,", Brickwork upto "&amp;C122&amp;" Floor Completed",""))&amp;(IF(C123=H116,", Internal Plaster Completed",IF(C123&gt;0,", Internal Plaster upto "&amp;C123&amp;" Floor Completed",""))&amp;(IF(C124=H116,", External Plaster Completed",IF(C124&gt;0,", External Plaster upto "&amp;C124&amp;" Floor Completed",""))&amp;(IF(C125=H116,", Flooring Completed",IF(C125&gt;0,", Flooring upto "&amp;C125&amp;" Floor Completed",""))&amp;(IF(C126=H116,", Painting Completed",IF(C126&gt;0,", Painting upto "&amp;C126&amp;" Floor Completed",""))&amp;(IF(C127&gt;0,", Finishing upto "&amp;C127&amp;" Floor Completed","")&amp;(IF(C121&gt;0.5,".",""))))))))))))))</f>
        <v>All work completed. Please provide OC.</v>
      </c>
      <c r="J115" s="10"/>
    </row>
    <row r="116" spans="1:10" x14ac:dyDescent="0.35">
      <c r="A116" s="36" t="s">
        <v>150</v>
      </c>
      <c r="B116" s="58">
        <v>0</v>
      </c>
      <c r="C116" s="58" t="s">
        <v>76</v>
      </c>
      <c r="D116" s="58">
        <v>1</v>
      </c>
      <c r="E116" s="58" t="s">
        <v>75</v>
      </c>
      <c r="F116" s="58">
        <v>0</v>
      </c>
      <c r="G116" s="58" t="s">
        <v>85</v>
      </c>
      <c r="H116" s="37">
        <f ca="1">--TRIM(RIGHT(SUBSTITUTE(LEFT(C115,_xlfn.AGGREGATE(16,6,FIND({0,1,2,3,4,5,6,7,8,9},C115,ROW(INDIRECT("1:"&amp;LEN(C115)))),1))," ",REPT(" ",LEN(C115))),LEN(C115)))</f>
        <v>22</v>
      </c>
      <c r="I116" s="9"/>
      <c r="J116" s="11"/>
    </row>
    <row r="117" spans="1:10" ht="19.5" customHeight="1" x14ac:dyDescent="0.35">
      <c r="A117" s="119" t="s">
        <v>95</v>
      </c>
      <c r="B117" s="120"/>
      <c r="C117" s="121" t="str">
        <f>(IF($G$55="NA",I117,"All work Completed. OC Received."))</f>
        <v>All work Completed. OC Received upto 21st Floor.</v>
      </c>
      <c r="D117" s="121"/>
      <c r="E117" s="121"/>
      <c r="F117" s="121"/>
      <c r="G117" s="121"/>
      <c r="H117" s="122"/>
      <c r="I117" s="9" t="s">
        <v>247</v>
      </c>
      <c r="J117" s="11"/>
    </row>
    <row r="118" spans="1:10" ht="15.75" customHeight="1" x14ac:dyDescent="0.35">
      <c r="A118" s="97" t="s">
        <v>51</v>
      </c>
      <c r="B118" s="98"/>
      <c r="C118" s="57" t="s">
        <v>147</v>
      </c>
      <c r="D118" s="57" t="s">
        <v>88</v>
      </c>
      <c r="E118" s="98" t="s">
        <v>90</v>
      </c>
      <c r="F118" s="98"/>
      <c r="G118" s="98" t="s">
        <v>89</v>
      </c>
      <c r="H118" s="123"/>
      <c r="I118" s="27" t="s">
        <v>149</v>
      </c>
      <c r="J118" s="12">
        <f ca="1">H116*25%</f>
        <v>5.5</v>
      </c>
    </row>
    <row r="119" spans="1:10" x14ac:dyDescent="0.35">
      <c r="A119" s="98" t="s">
        <v>136</v>
      </c>
      <c r="B119" s="98"/>
      <c r="C119" s="49">
        <f ca="1">J120</f>
        <v>22</v>
      </c>
      <c r="D119" s="73">
        <f ca="1">((100/H116)*C119)/100</f>
        <v>1.0000000000000002</v>
      </c>
      <c r="E119" s="99">
        <f ca="1">(((C120/H116*10)+(40/(D116+F116+H116)*C121)+(7.5/(H116)*C122)+(7.5/(H116)*C123)+(10/H116*C124)+(10/H116*C125)+(5/H116*C126)+(5/H116*C127)+(5/H116*C128))/100)</f>
        <v>1</v>
      </c>
      <c r="F119" s="99"/>
      <c r="G119" s="99">
        <f ca="1">((((C119/H116)*20)+((C120/H116)*25)+(30/(H116+F116+D116)*C121)+(5/H116*C122)+(5/H116*C123)+(5/H116*C124)+(5/H116*C125)+(0/H116*C126)+(0/H116*C127)+(5/H116*C128))/100)</f>
        <v>1</v>
      </c>
      <c r="H119" s="99"/>
      <c r="I119" s="27" t="s">
        <v>107</v>
      </c>
      <c r="J119" s="30">
        <f ca="1">H116*50%</f>
        <v>11</v>
      </c>
    </row>
    <row r="120" spans="1:10" x14ac:dyDescent="0.35">
      <c r="A120" s="98" t="s">
        <v>52</v>
      </c>
      <c r="B120" s="98"/>
      <c r="C120" s="51">
        <v>22</v>
      </c>
      <c r="D120" s="73">
        <f ca="1">((100/H116)*C120)/100</f>
        <v>1.0000000000000002</v>
      </c>
      <c r="E120" s="99"/>
      <c r="F120" s="99"/>
      <c r="G120" s="99"/>
      <c r="H120" s="99"/>
      <c r="I120" s="27" t="s">
        <v>108</v>
      </c>
      <c r="J120" s="30">
        <f ca="1">H116</f>
        <v>22</v>
      </c>
    </row>
    <row r="121" spans="1:10" ht="15.75" customHeight="1" x14ac:dyDescent="0.35">
      <c r="A121" s="98" t="s">
        <v>137</v>
      </c>
      <c r="B121" s="98"/>
      <c r="C121" s="51">
        <v>23</v>
      </c>
      <c r="D121" s="73">
        <f ca="1">((100/(D116+F116+H116))*C121)/100</f>
        <v>1</v>
      </c>
      <c r="E121" s="99"/>
      <c r="F121" s="99"/>
      <c r="G121" s="99"/>
      <c r="H121" s="99"/>
      <c r="I121" s="27" t="s">
        <v>109</v>
      </c>
      <c r="J121" s="33">
        <f ca="1">(IF(B116&gt;1,(H116/(B116+2)),H116/4))</f>
        <v>5.5</v>
      </c>
    </row>
    <row r="122" spans="1:10" ht="15.75" customHeight="1" x14ac:dyDescent="0.35">
      <c r="A122" s="98" t="s">
        <v>144</v>
      </c>
      <c r="B122" s="98" t="s">
        <v>138</v>
      </c>
      <c r="C122" s="51">
        <f>C121-1</f>
        <v>22</v>
      </c>
      <c r="D122" s="73">
        <f ca="1">((100/H116)*C122)/100</f>
        <v>1.0000000000000002</v>
      </c>
      <c r="E122" s="99"/>
      <c r="F122" s="99"/>
      <c r="G122" s="99"/>
      <c r="H122" s="99"/>
      <c r="I122" s="27" t="s">
        <v>110</v>
      </c>
      <c r="J122" s="33">
        <f ca="1">(IF(B116&gt;1,(H116/(B116+2)+J121),H116/4+J121))</f>
        <v>11</v>
      </c>
    </row>
    <row r="123" spans="1:10" ht="15.75" customHeight="1" x14ac:dyDescent="0.35">
      <c r="A123" s="98" t="s">
        <v>145</v>
      </c>
      <c r="B123" s="98" t="s">
        <v>138</v>
      </c>
      <c r="C123" s="51">
        <v>22</v>
      </c>
      <c r="D123" s="73">
        <f ca="1">((100/H116)*C123)/100</f>
        <v>1.0000000000000002</v>
      </c>
      <c r="E123" s="99"/>
      <c r="F123" s="99"/>
      <c r="G123" s="99"/>
      <c r="H123" s="99"/>
      <c r="I123" s="27" t="s">
        <v>154</v>
      </c>
      <c r="J123" s="33">
        <f>(IF(B116&gt;1,(H116/(B116+2)+J122),0))</f>
        <v>0</v>
      </c>
    </row>
    <row r="124" spans="1:10" ht="15" customHeight="1" x14ac:dyDescent="0.35">
      <c r="A124" s="98" t="s">
        <v>143</v>
      </c>
      <c r="B124" s="98" t="s">
        <v>140</v>
      </c>
      <c r="C124" s="51">
        <v>22</v>
      </c>
      <c r="D124" s="73">
        <f ca="1">((100/(H116))*C124)/100</f>
        <v>1.0000000000000002</v>
      </c>
      <c r="E124" s="99"/>
      <c r="F124" s="99"/>
      <c r="G124" s="99"/>
      <c r="H124" s="99"/>
      <c r="I124" s="27" t="s">
        <v>151</v>
      </c>
      <c r="J124" s="33">
        <f>(IF(B116&gt;2,(H116/(B116+2)+J123),0))</f>
        <v>0</v>
      </c>
    </row>
    <row r="125" spans="1:10" ht="15.75" customHeight="1" x14ac:dyDescent="0.35">
      <c r="A125" s="98" t="s">
        <v>139</v>
      </c>
      <c r="B125" s="98" t="s">
        <v>139</v>
      </c>
      <c r="C125" s="49">
        <v>22</v>
      </c>
      <c r="D125" s="73">
        <f ca="1">((100/H116)*C125)/100</f>
        <v>1.0000000000000002</v>
      </c>
      <c r="E125" s="99"/>
      <c r="F125" s="99"/>
      <c r="G125" s="99"/>
      <c r="H125" s="99"/>
      <c r="I125" s="27" t="s">
        <v>152</v>
      </c>
      <c r="J125" s="34">
        <f>(IF(B116&gt;3,(H116/(B116+2)+J124),0))</f>
        <v>0</v>
      </c>
    </row>
    <row r="126" spans="1:10" ht="15.75" customHeight="1" x14ac:dyDescent="0.35">
      <c r="A126" s="98" t="s">
        <v>146</v>
      </c>
      <c r="B126" s="98"/>
      <c r="C126" s="49">
        <v>22</v>
      </c>
      <c r="D126" s="73">
        <f ca="1">((100/H116)*C126)/100</f>
        <v>1.0000000000000002</v>
      </c>
      <c r="E126" s="99"/>
      <c r="F126" s="99"/>
      <c r="G126" s="99"/>
      <c r="H126" s="99"/>
      <c r="I126" s="27" t="s">
        <v>153</v>
      </c>
      <c r="J126" s="33">
        <f>(IF(B116&gt;4,(H116/(B116+2)+J125),0))</f>
        <v>0</v>
      </c>
    </row>
    <row r="127" spans="1:10" ht="15.75" customHeight="1" x14ac:dyDescent="0.35">
      <c r="A127" s="98" t="s">
        <v>141</v>
      </c>
      <c r="B127" s="98" t="s">
        <v>141</v>
      </c>
      <c r="C127" s="49">
        <v>22</v>
      </c>
      <c r="D127" s="73">
        <f ca="1">((100/(H116))*C127)/100</f>
        <v>1.0000000000000002</v>
      </c>
      <c r="E127" s="99"/>
      <c r="F127" s="99"/>
      <c r="G127" s="99"/>
      <c r="H127" s="99"/>
      <c r="I127" s="27" t="s">
        <v>155</v>
      </c>
      <c r="J127" s="33">
        <f ca="1">(IF(B116=1,(H116/(B116+3)+J122),IF(B116=0,(H116/4+J122),IF(B116&gt;1,0))))</f>
        <v>16.5</v>
      </c>
    </row>
    <row r="128" spans="1:10" ht="16" thickBot="1" x14ac:dyDescent="0.4">
      <c r="A128" s="98" t="s">
        <v>142</v>
      </c>
      <c r="B128" s="98"/>
      <c r="C128" s="49">
        <v>22</v>
      </c>
      <c r="D128" s="73">
        <f ca="1">((100/(H116))*C128)/100</f>
        <v>1.0000000000000002</v>
      </c>
      <c r="E128" s="99"/>
      <c r="F128" s="99"/>
      <c r="G128" s="99"/>
      <c r="H128" s="99"/>
      <c r="I128" s="32" t="s">
        <v>111</v>
      </c>
      <c r="J128" s="35">
        <f ca="1">(IF(B116&gt;1.5,(H116/(B116+2)+J122+MAX(0,J123-J122)+MAX(0,J124-J123)+MAX(0,J125-J124)+MAX(0,J126-J125)+MAX(0,J127-J126)),IF(B116=1,(H116/(B116+3)+J127),IF(B116=0,H116/4+J127))))</f>
        <v>22</v>
      </c>
    </row>
    <row r="129" spans="1:10" x14ac:dyDescent="0.35">
      <c r="A129" s="121" t="s">
        <v>148</v>
      </c>
      <c r="B129" s="121"/>
      <c r="C129" s="121" t="s">
        <v>197</v>
      </c>
      <c r="D129" s="121"/>
      <c r="E129" s="121"/>
      <c r="F129" s="121"/>
      <c r="G129" s="121"/>
      <c r="H129" s="121"/>
      <c r="I129" s="31" t="str">
        <f ca="1">(IF(E133&gt;99%,"All work completed. Please provide OC.",IF(E133&gt;89.8%,"Plinth, RCC, Brick, Plaster, Flooring, Painting work Completed. Finishing work is in process.",IF(E133&lt;94%,(IF(C133=0,"Work not yet Started.",IF(D133=25%,"Piling work in process",IF(D133=50%,"Excavation work in process",IF(D133=100%,"Excavation work Completed. ","0")))&amp;(IF(C134=0%,"",IF(C134=J135,"Footing work is process",IF(C134=J136,"Footing work Completed",IF(C134=J137,"1st Basement Completed",IF(C134=J138,"1st &amp; 2nd Basement Completed",IF(C134=J139,"1st to 3rd Basement Completed",IF(C134=J140,"1st to 4th Basement Completed",IF(C134=J141,"Plinth work is process",IF(C134=J142,"Plinth work completed","0")))))))))))&amp;(IF(C135=(D130+F130+H130),", RCC Slab Completed",IF(C135&gt;0,", RCC upto "&amp;C135&amp;" Slab Completed",""))&amp;(IF(C136=H130,", Brickwork Completed",IF(C136&gt;0,", Brickwork upto "&amp;C136&amp;" Floor Completed",""))&amp;(IF(C137=H130,", Internal Plaster Completed",IF(C137&gt;0,", Internal Plaster upto "&amp;C137&amp;" Floor Completed",""))&amp;(IF(C138=H130,", External Plaster Completed",IF(C138&gt;0,", External Plaster upto "&amp;C138&amp;" Floor Completed",""))&amp;(IF(C139=H130,", Flooring Completed",IF(C139&gt;0,", Flooring upto "&amp;C139&amp;" Floor Completed",""))&amp;(IF(C140=H130,", Painting Completed",IF(C140&gt;0,", Painting upto "&amp;C140&amp;" Floor Completed",""))&amp;(IF(C141&gt;0,", Finishing upto "&amp;C141&amp;" Floor Completed","")&amp;(IF(C135&gt;0.5,".",""))))))))))))))</f>
        <v>Excavation work Completed. Plinth work completed, RCC Slab Completed, Brickwork Completed, Internal Plaster Completed, External Plaster Completed, Flooring upto 20 Floor Completed, Painting upto 18 Floor Completed.</v>
      </c>
      <c r="J129" s="10"/>
    </row>
    <row r="130" spans="1:10" x14ac:dyDescent="0.35">
      <c r="A130" s="74" t="s">
        <v>150</v>
      </c>
      <c r="B130" s="74">
        <v>0</v>
      </c>
      <c r="C130" s="74" t="s">
        <v>76</v>
      </c>
      <c r="D130" s="74">
        <v>1</v>
      </c>
      <c r="E130" s="74" t="s">
        <v>75</v>
      </c>
      <c r="F130" s="74">
        <v>0</v>
      </c>
      <c r="G130" s="74" t="s">
        <v>85</v>
      </c>
      <c r="H130" s="74">
        <f ca="1">--TRIM(RIGHT(SUBSTITUTE(LEFT(C129,_xlfn.AGGREGATE(16,6,FIND({0,1,2,3,4,5,6,7,8,9},C129,ROW(INDIRECT("1:"&amp;LEN(C129)))),1))," ",REPT(" ",LEN(C129))),LEN(C129)))</f>
        <v>22</v>
      </c>
      <c r="I130" s="9"/>
      <c r="J130" s="11"/>
    </row>
    <row r="131" spans="1:10" ht="63.75" customHeight="1" x14ac:dyDescent="0.35">
      <c r="A131" s="120" t="s">
        <v>95</v>
      </c>
      <c r="B131" s="120"/>
      <c r="C131" s="121" t="str">
        <f ca="1">(IF($G$55="NA",I129,"All work Completed. OC Received."))</f>
        <v>Excavation work Completed. Plinth work completed, RCC Slab Completed, Brickwork Completed, Internal Plaster Completed, External Plaster Completed, Flooring upto 20 Floor Completed, Painting upto 18 Floor Completed.</v>
      </c>
      <c r="D131" s="121"/>
      <c r="E131" s="121"/>
      <c r="F131" s="121"/>
      <c r="G131" s="121"/>
      <c r="H131" s="121"/>
      <c r="I131" s="9" t="s">
        <v>112</v>
      </c>
      <c r="J131" s="11"/>
    </row>
    <row r="132" spans="1:10" ht="15.75" customHeight="1" x14ac:dyDescent="0.35">
      <c r="A132" s="97" t="s">
        <v>51</v>
      </c>
      <c r="B132" s="98"/>
      <c r="C132" s="39" t="s">
        <v>147</v>
      </c>
      <c r="D132" s="39" t="s">
        <v>88</v>
      </c>
      <c r="E132" s="98" t="s">
        <v>90</v>
      </c>
      <c r="F132" s="98"/>
      <c r="G132" s="98" t="s">
        <v>89</v>
      </c>
      <c r="H132" s="123"/>
      <c r="I132" s="27" t="s">
        <v>149</v>
      </c>
      <c r="J132" s="12">
        <f ca="1">H130*25%</f>
        <v>5.5</v>
      </c>
    </row>
    <row r="133" spans="1:10" x14ac:dyDescent="0.35">
      <c r="A133" s="97" t="s">
        <v>136</v>
      </c>
      <c r="B133" s="98"/>
      <c r="C133" s="49">
        <f ca="1">J134</f>
        <v>22</v>
      </c>
      <c r="D133" s="50">
        <f ca="1">((100/H130)*C133)/100</f>
        <v>1.0000000000000002</v>
      </c>
      <c r="E133" s="99">
        <f ca="1">(((C134/H130*10)+(40/(D130+F130+H130)*C135)+(7.5/(H130)*C136)+(7.5/(H130)*C137)+(10/H130*C138)+(10/H130*C139)+(5/H130*C140)+(5/H130*C141)+(5/H130*C142))/100)</f>
        <v>0.88181818181818183</v>
      </c>
      <c r="F133" s="99"/>
      <c r="G133" s="99">
        <f ca="1">((((C133/H130)*20)+((C134/H130)*25)+(30/(H130+F130+D130)*C135)+(5/H130*C136)+(5/H130*C137)+(5/H130*C138)+(5/H130*C139)+(0/H130*C140)+(0/H130*C141)+(5/H130*C142))/100)</f>
        <v>0.94545454545454544</v>
      </c>
      <c r="H133" s="101"/>
      <c r="I133" s="27" t="s">
        <v>107</v>
      </c>
      <c r="J133" s="30">
        <f ca="1">H130*50%</f>
        <v>11</v>
      </c>
    </row>
    <row r="134" spans="1:10" x14ac:dyDescent="0.35">
      <c r="A134" s="97" t="s">
        <v>52</v>
      </c>
      <c r="B134" s="98"/>
      <c r="C134" s="51">
        <v>22</v>
      </c>
      <c r="D134" s="50">
        <f ca="1">((100/H130)*C134)/100</f>
        <v>1.0000000000000002</v>
      </c>
      <c r="E134" s="99"/>
      <c r="F134" s="99"/>
      <c r="G134" s="99"/>
      <c r="H134" s="101"/>
      <c r="I134" s="27" t="s">
        <v>108</v>
      </c>
      <c r="J134" s="30">
        <f ca="1">H130</f>
        <v>22</v>
      </c>
    </row>
    <row r="135" spans="1:10" ht="15.75" customHeight="1" x14ac:dyDescent="0.35">
      <c r="A135" s="97" t="s">
        <v>137</v>
      </c>
      <c r="B135" s="98"/>
      <c r="C135" s="51">
        <v>23</v>
      </c>
      <c r="D135" s="50">
        <f ca="1">((100/(D130+F130+H130))*C135)/100</f>
        <v>1</v>
      </c>
      <c r="E135" s="99"/>
      <c r="F135" s="99"/>
      <c r="G135" s="99"/>
      <c r="H135" s="101"/>
      <c r="I135" s="27" t="s">
        <v>109</v>
      </c>
      <c r="J135" s="33">
        <f ca="1">(IF(B130&gt;1,(H130/(B130+2)),H130/4))</f>
        <v>5.5</v>
      </c>
    </row>
    <row r="136" spans="1:10" ht="15.75" customHeight="1" x14ac:dyDescent="0.35">
      <c r="A136" s="97" t="s">
        <v>144</v>
      </c>
      <c r="B136" s="98" t="s">
        <v>138</v>
      </c>
      <c r="C136" s="51">
        <f>C135-1</f>
        <v>22</v>
      </c>
      <c r="D136" s="50">
        <f ca="1">((100/H130)*C136)/100</f>
        <v>1.0000000000000002</v>
      </c>
      <c r="E136" s="99"/>
      <c r="F136" s="99"/>
      <c r="G136" s="99"/>
      <c r="H136" s="101"/>
      <c r="I136" s="27" t="s">
        <v>110</v>
      </c>
      <c r="J136" s="33">
        <f ca="1">(IF(B130&gt;1,(H130/(B130+2)+J135),H130/4+J135))</f>
        <v>11</v>
      </c>
    </row>
    <row r="137" spans="1:10" ht="15.75" customHeight="1" x14ac:dyDescent="0.35">
      <c r="A137" s="97" t="s">
        <v>145</v>
      </c>
      <c r="B137" s="98" t="s">
        <v>138</v>
      </c>
      <c r="C137" s="51">
        <v>22</v>
      </c>
      <c r="D137" s="50">
        <f ca="1">((100/H130)*C137)/100</f>
        <v>1.0000000000000002</v>
      </c>
      <c r="E137" s="99"/>
      <c r="F137" s="99"/>
      <c r="G137" s="99"/>
      <c r="H137" s="101"/>
      <c r="I137" s="27" t="s">
        <v>154</v>
      </c>
      <c r="J137" s="33">
        <f>(IF(B130&gt;1,(H130/(B130+2)+J136),0))</f>
        <v>0</v>
      </c>
    </row>
    <row r="138" spans="1:10" ht="15" customHeight="1" x14ac:dyDescent="0.35">
      <c r="A138" s="97" t="s">
        <v>143</v>
      </c>
      <c r="B138" s="98" t="s">
        <v>140</v>
      </c>
      <c r="C138" s="51">
        <v>22</v>
      </c>
      <c r="D138" s="50">
        <f ca="1">((100/(H130))*C138)/100</f>
        <v>1.0000000000000002</v>
      </c>
      <c r="E138" s="99"/>
      <c r="F138" s="99"/>
      <c r="G138" s="99"/>
      <c r="H138" s="101"/>
      <c r="I138" s="27" t="s">
        <v>151</v>
      </c>
      <c r="J138" s="33">
        <f>(IF(B130&gt;2,(H130/(B130+2)+J137),0))</f>
        <v>0</v>
      </c>
    </row>
    <row r="139" spans="1:10" ht="15.75" customHeight="1" x14ac:dyDescent="0.35">
      <c r="A139" s="97" t="s">
        <v>139</v>
      </c>
      <c r="B139" s="98" t="s">
        <v>139</v>
      </c>
      <c r="C139" s="49">
        <v>20</v>
      </c>
      <c r="D139" s="50">
        <f ca="1">((100/H130)*C139)/100</f>
        <v>0.90909090909090917</v>
      </c>
      <c r="E139" s="99"/>
      <c r="F139" s="99"/>
      <c r="G139" s="99"/>
      <c r="H139" s="101"/>
      <c r="I139" s="27" t="s">
        <v>152</v>
      </c>
      <c r="J139" s="34">
        <f>(IF(B130&gt;3,(H130/(B130+2)+J138),0))</f>
        <v>0</v>
      </c>
    </row>
    <row r="140" spans="1:10" ht="15.75" customHeight="1" x14ac:dyDescent="0.35">
      <c r="A140" s="97" t="s">
        <v>146</v>
      </c>
      <c r="B140" s="98"/>
      <c r="C140" s="49">
        <v>18</v>
      </c>
      <c r="D140" s="50">
        <f ca="1">((100/H130)*C140)/100</f>
        <v>0.81818181818181823</v>
      </c>
      <c r="E140" s="99"/>
      <c r="F140" s="99"/>
      <c r="G140" s="99"/>
      <c r="H140" s="101"/>
      <c r="I140" s="27" t="s">
        <v>153</v>
      </c>
      <c r="J140" s="33">
        <f>(IF(B130&gt;4,(H130/(B130+2)+J139),0))</f>
        <v>0</v>
      </c>
    </row>
    <row r="141" spans="1:10" ht="15.75" customHeight="1" x14ac:dyDescent="0.35">
      <c r="A141" s="97" t="s">
        <v>141</v>
      </c>
      <c r="B141" s="98" t="s">
        <v>141</v>
      </c>
      <c r="C141" s="49">
        <v>0</v>
      </c>
      <c r="D141" s="50">
        <f ca="1">((100/(H130))*C141)/100</f>
        <v>0</v>
      </c>
      <c r="E141" s="99"/>
      <c r="F141" s="99"/>
      <c r="G141" s="99"/>
      <c r="H141" s="101"/>
      <c r="I141" s="27" t="s">
        <v>155</v>
      </c>
      <c r="J141" s="33">
        <f ca="1">(IF(B130=1,(H130/(B130+3)+J136),IF(B130=0,(H130/4+J136),IF(B130&gt;1,0))))</f>
        <v>16.5</v>
      </c>
    </row>
    <row r="142" spans="1:10" ht="16" thickBot="1" x14ac:dyDescent="0.4">
      <c r="A142" s="103" t="s">
        <v>142</v>
      </c>
      <c r="B142" s="104"/>
      <c r="C142" s="52">
        <v>0</v>
      </c>
      <c r="D142" s="53">
        <f ca="1">((100/(H130))*C142)/100</f>
        <v>0</v>
      </c>
      <c r="E142" s="100"/>
      <c r="F142" s="100"/>
      <c r="G142" s="100"/>
      <c r="H142" s="102"/>
      <c r="I142" s="32" t="s">
        <v>111</v>
      </c>
      <c r="J142" s="35">
        <f ca="1">(IF(B130&gt;1.5,(H130/(B130+2)+J136+MAX(0,J137-J136)+MAX(0,J138-J137)+MAX(0,J139-J138)+MAX(0,J140-J139)+MAX(0,J141-J140)),IF(B130=1,(H130/(B130+3)+J141),IF(B130=0,H130/4+J141))))</f>
        <v>22</v>
      </c>
    </row>
    <row r="143" spans="1:10" ht="15.75" hidden="1" customHeight="1" x14ac:dyDescent="0.35">
      <c r="A143" s="211" t="s">
        <v>148</v>
      </c>
      <c r="B143" s="212"/>
      <c r="C143" s="213" t="str">
        <f>D63</f>
        <v>Tower 4 (Wing 4) = Gr + 1st to 22nd Floor</v>
      </c>
      <c r="D143" s="214"/>
      <c r="E143" s="214"/>
      <c r="F143" s="214"/>
      <c r="G143" s="214"/>
      <c r="H143" s="215"/>
      <c r="I143" s="31" t="str">
        <f ca="1">(IF(E147&gt;99%,"All work completed. Please provide OC.",IF(E147&gt;89.8%,"Plinth, RCC, Brick, Plaster, Flooring, Painting work Completed. Finishing work is in process.",IF(E147&lt;94%,(IF(C147=0,"Work not yet Started.",IF(D147=25%,"Piling work in process",IF(D147=50%,"Excavation work in process",IF(D147=100%,"Excavation work Completed. ","0")))&amp;(IF(C148=0%,"",IF(C148=J149,"Footing work is process",IF(C148=J150,"Footing work Completed",IF(C148=J151,"1st Basement Completed",IF(C148=J152,"1st &amp; 2nd Basement Completed",IF(C148=J153,"1st to 3rd Basement Completed",IF(C148=J154,"1st to 4th Basement Completed",IF(C148=J155,"Plinth work is process",IF(C148=J156,"Plinth work completed","0")))))))))))&amp;(IF(C149=(D144+F144+H144),", RCC Slab Completed",IF(C149&gt;0,", RCC upto "&amp;C149&amp;" Slab Completed",""))&amp;(IF(C150=H144,", Brickwork Completed",IF(C150&gt;0,", Brickwork upto "&amp;C150&amp;" Floor Completed",""))&amp;(IF(C151=H144,", Internal Plaster Completed",IF(C151&gt;0,", Internal Plaster upto "&amp;C151&amp;" Floor Completed",""))&amp;(IF(C152=H144,", External Plaster Completed",IF(C152&gt;0,", External Plaster upto "&amp;C152&amp;" Floor Completed",""))&amp;(IF(C153=H144,", Flooring Completed",IF(C153&gt;0,", Flooring upto "&amp;C153&amp;" Floor Completed",""))&amp;(IF(C154=H144,", Painting Completed",IF(C154&gt;0,", Painting upto "&amp;C154&amp;" Floor Completed",""))&amp;(IF(C155&gt;0,", Finishing upto "&amp;C155&amp;" Floor Completed","")&amp;(IF(C149&gt;0.5,".",""))))))))))))))</f>
        <v>Excavation work in process</v>
      </c>
      <c r="J143" s="10"/>
    </row>
    <row r="144" spans="1:10" hidden="1" x14ac:dyDescent="0.35">
      <c r="A144" s="36" t="s">
        <v>150</v>
      </c>
      <c r="B144" s="44">
        <v>0</v>
      </c>
      <c r="C144" s="44" t="s">
        <v>76</v>
      </c>
      <c r="D144" s="44">
        <v>1</v>
      </c>
      <c r="E144" s="44" t="s">
        <v>75</v>
      </c>
      <c r="F144" s="44">
        <v>0</v>
      </c>
      <c r="G144" s="44" t="s">
        <v>85</v>
      </c>
      <c r="H144" s="37">
        <f ca="1">--TRIM(RIGHT(SUBSTITUTE(LEFT(C143,_xlfn.AGGREGATE(16,6,FIND({0,1,2,3,4,5,6,7,8,9},C143,ROW(INDIRECT("1:"&amp;LEN(C143)))),1))," ",REPT(" ",LEN(C143))),LEN(C143)))</f>
        <v>22</v>
      </c>
      <c r="I144" s="9"/>
      <c r="J144" s="11"/>
    </row>
    <row r="145" spans="1:10" ht="18" hidden="1" customHeight="1" x14ac:dyDescent="0.35">
      <c r="A145" s="119" t="s">
        <v>95</v>
      </c>
      <c r="B145" s="120"/>
      <c r="C145" s="121" t="str">
        <f ca="1">(IF($G$55="NA",I143,"All work Completed. OC Received."))</f>
        <v>Excavation work in process</v>
      </c>
      <c r="D145" s="121"/>
      <c r="E145" s="121"/>
      <c r="F145" s="121"/>
      <c r="G145" s="121"/>
      <c r="H145" s="122"/>
      <c r="I145" s="9" t="s">
        <v>112</v>
      </c>
      <c r="J145" s="11"/>
    </row>
    <row r="146" spans="1:10" ht="15.75" hidden="1" customHeight="1" x14ac:dyDescent="0.35">
      <c r="A146" s="97" t="s">
        <v>51</v>
      </c>
      <c r="B146" s="98"/>
      <c r="C146" s="39" t="s">
        <v>147</v>
      </c>
      <c r="D146" s="39" t="s">
        <v>88</v>
      </c>
      <c r="E146" s="98" t="s">
        <v>90</v>
      </c>
      <c r="F146" s="98"/>
      <c r="G146" s="98" t="s">
        <v>89</v>
      </c>
      <c r="H146" s="123"/>
      <c r="I146" s="27" t="s">
        <v>149</v>
      </c>
      <c r="J146" s="12">
        <f ca="1">H144*25%</f>
        <v>5.5</v>
      </c>
    </row>
    <row r="147" spans="1:10" hidden="1" x14ac:dyDescent="0.35">
      <c r="A147" s="97" t="s">
        <v>136</v>
      </c>
      <c r="B147" s="98"/>
      <c r="C147" s="49">
        <f ca="1">J147</f>
        <v>11</v>
      </c>
      <c r="D147" s="50">
        <f ca="1">((100/H144)*C147)/100</f>
        <v>0.50000000000000011</v>
      </c>
      <c r="E147" s="99">
        <f ca="1">(((C148/H144*10)+(40/(D144+F144+H144)*C149)+(7.5/(H144)*C150)+(7.5/(H144)*C151)+(10/H144*C152)+(10/H144*C153)+(5/H144*C154)+(5/H144*C155)+(5/H144*C156))/100)</f>
        <v>0</v>
      </c>
      <c r="F147" s="99"/>
      <c r="G147" s="99">
        <f ca="1">((((C147/H144)*20)+((C148/H144)*25)+(30/(H144+F144+D144)*C149)+(5/H144*C150)+(5/H144*C151)+(5/H144*C152)+(5/H144*C153)+(0/H144*C154)+(0/H144*C155)+(5/H144*C156))/100)</f>
        <v>0.1</v>
      </c>
      <c r="H147" s="101"/>
      <c r="I147" s="27" t="s">
        <v>107</v>
      </c>
      <c r="J147" s="30">
        <f ca="1">H144*50%</f>
        <v>11</v>
      </c>
    </row>
    <row r="148" spans="1:10" hidden="1" x14ac:dyDescent="0.35">
      <c r="A148" s="97" t="s">
        <v>52</v>
      </c>
      <c r="B148" s="98"/>
      <c r="C148" s="51">
        <v>0</v>
      </c>
      <c r="D148" s="50">
        <f ca="1">((100/H144)*C148)/100</f>
        <v>0</v>
      </c>
      <c r="E148" s="99"/>
      <c r="F148" s="99"/>
      <c r="G148" s="99"/>
      <c r="H148" s="101"/>
      <c r="I148" s="27" t="s">
        <v>108</v>
      </c>
      <c r="J148" s="30">
        <f ca="1">H144</f>
        <v>22</v>
      </c>
    </row>
    <row r="149" spans="1:10" ht="15.75" hidden="1" customHeight="1" x14ac:dyDescent="0.35">
      <c r="A149" s="97" t="s">
        <v>137</v>
      </c>
      <c r="B149" s="98"/>
      <c r="C149" s="51">
        <v>0</v>
      </c>
      <c r="D149" s="50">
        <f ca="1">((100/(D144+F144+H144))*C149)/100</f>
        <v>0</v>
      </c>
      <c r="E149" s="99"/>
      <c r="F149" s="99"/>
      <c r="G149" s="99"/>
      <c r="H149" s="101"/>
      <c r="I149" s="27" t="s">
        <v>109</v>
      </c>
      <c r="J149" s="33">
        <f ca="1">(IF(B144&gt;1,(H144/(B144+2)),H144/4))</f>
        <v>5.5</v>
      </c>
    </row>
    <row r="150" spans="1:10" ht="15.75" hidden="1" customHeight="1" x14ac:dyDescent="0.35">
      <c r="A150" s="97" t="s">
        <v>144</v>
      </c>
      <c r="B150" s="98" t="s">
        <v>138</v>
      </c>
      <c r="C150" s="49">
        <v>0</v>
      </c>
      <c r="D150" s="50">
        <f ca="1">((100/H144)*C150)/100</f>
        <v>0</v>
      </c>
      <c r="E150" s="99"/>
      <c r="F150" s="99"/>
      <c r="G150" s="99"/>
      <c r="H150" s="101"/>
      <c r="I150" s="27" t="s">
        <v>110</v>
      </c>
      <c r="J150" s="33">
        <f ca="1">(IF(B144&gt;1,(H144/(B144+2)+J149),H144/4+J149))</f>
        <v>11</v>
      </c>
    </row>
    <row r="151" spans="1:10" ht="15.75" hidden="1" customHeight="1" x14ac:dyDescent="0.35">
      <c r="A151" s="97" t="s">
        <v>145</v>
      </c>
      <c r="B151" s="98" t="s">
        <v>138</v>
      </c>
      <c r="C151" s="49">
        <v>0</v>
      </c>
      <c r="D151" s="50">
        <f ca="1">((100/H144)*C151)/100</f>
        <v>0</v>
      </c>
      <c r="E151" s="99"/>
      <c r="F151" s="99"/>
      <c r="G151" s="99"/>
      <c r="H151" s="101"/>
      <c r="I151" s="27" t="s">
        <v>154</v>
      </c>
      <c r="J151" s="33">
        <f>(IF(B144&gt;1,(H144/(B144+2)+J150),0))</f>
        <v>0</v>
      </c>
    </row>
    <row r="152" spans="1:10" ht="15" hidden="1" customHeight="1" x14ac:dyDescent="0.35">
      <c r="A152" s="97" t="s">
        <v>143</v>
      </c>
      <c r="B152" s="98" t="s">
        <v>140</v>
      </c>
      <c r="C152" s="49">
        <v>0</v>
      </c>
      <c r="D152" s="50">
        <f ca="1">((100/(H144))*C152)/100</f>
        <v>0</v>
      </c>
      <c r="E152" s="99"/>
      <c r="F152" s="99"/>
      <c r="G152" s="99"/>
      <c r="H152" s="101"/>
      <c r="I152" s="27" t="s">
        <v>151</v>
      </c>
      <c r="J152" s="33">
        <f>(IF(B144&gt;2,(H144/(B144+2)+J151),0))</f>
        <v>0</v>
      </c>
    </row>
    <row r="153" spans="1:10" ht="15.75" hidden="1" customHeight="1" x14ac:dyDescent="0.35">
      <c r="A153" s="97" t="s">
        <v>139</v>
      </c>
      <c r="B153" s="98" t="s">
        <v>139</v>
      </c>
      <c r="C153" s="49">
        <v>0</v>
      </c>
      <c r="D153" s="50">
        <f ca="1">((100/H144)*C153)/100</f>
        <v>0</v>
      </c>
      <c r="E153" s="99"/>
      <c r="F153" s="99"/>
      <c r="G153" s="99"/>
      <c r="H153" s="101"/>
      <c r="I153" s="27" t="s">
        <v>152</v>
      </c>
      <c r="J153" s="34">
        <f>(IF(B144&gt;3,(H144/(B144+2)+J152),0))</f>
        <v>0</v>
      </c>
    </row>
    <row r="154" spans="1:10" ht="15.75" hidden="1" customHeight="1" x14ac:dyDescent="0.35">
      <c r="A154" s="97" t="s">
        <v>146</v>
      </c>
      <c r="B154" s="98"/>
      <c r="C154" s="49">
        <v>0</v>
      </c>
      <c r="D154" s="50">
        <f ca="1">((100/H144)*C154)/100</f>
        <v>0</v>
      </c>
      <c r="E154" s="99"/>
      <c r="F154" s="99"/>
      <c r="G154" s="99"/>
      <c r="H154" s="101"/>
      <c r="I154" s="27" t="s">
        <v>153</v>
      </c>
      <c r="J154" s="33">
        <f>(IF(B144&gt;4,(H144/(B144+2)+J153),0))</f>
        <v>0</v>
      </c>
    </row>
    <row r="155" spans="1:10" ht="15.75" hidden="1" customHeight="1" x14ac:dyDescent="0.35">
      <c r="A155" s="97" t="s">
        <v>141</v>
      </c>
      <c r="B155" s="98" t="s">
        <v>141</v>
      </c>
      <c r="C155" s="49">
        <v>0</v>
      </c>
      <c r="D155" s="50">
        <f ca="1">((100/(H144))*C155)/100</f>
        <v>0</v>
      </c>
      <c r="E155" s="99"/>
      <c r="F155" s="99"/>
      <c r="G155" s="99"/>
      <c r="H155" s="101"/>
      <c r="I155" s="27" t="s">
        <v>155</v>
      </c>
      <c r="J155" s="33">
        <f ca="1">(IF(B144=1,(H144/(B144+3)+J150),IF(B144=0,(H144/4+J150),IF(B144&gt;1,0))))</f>
        <v>16.5</v>
      </c>
    </row>
    <row r="156" spans="1:10" ht="16" hidden="1" thickBot="1" x14ac:dyDescent="0.4">
      <c r="A156" s="103" t="s">
        <v>142</v>
      </c>
      <c r="B156" s="104"/>
      <c r="C156" s="52">
        <v>0</v>
      </c>
      <c r="D156" s="53">
        <f ca="1">((100/(H144))*C156)/100</f>
        <v>0</v>
      </c>
      <c r="E156" s="100"/>
      <c r="F156" s="100"/>
      <c r="G156" s="100"/>
      <c r="H156" s="102"/>
      <c r="I156" s="32" t="s">
        <v>111</v>
      </c>
      <c r="J156" s="35">
        <f ca="1">(IF(B144&gt;1.5,(H144/(B144+2)+J150+MAX(0,J151-J150)+MAX(0,J152-J151)+MAX(0,J153-J152)+MAX(0,J154-J153)+MAX(0,J155-J154)),IF(B144=1,(H144/(B144+3)+J155),IF(B144=0,H144/4+J155))))</f>
        <v>22</v>
      </c>
    </row>
    <row r="157" spans="1:10" ht="15.75" hidden="1" customHeight="1" x14ac:dyDescent="0.35">
      <c r="A157" s="211" t="s">
        <v>148</v>
      </c>
      <c r="B157" s="212"/>
      <c r="C157" s="213" t="str">
        <f>D64</f>
        <v>Tower 5 (Wing 5) = Gr + 1st to 22nd Floor</v>
      </c>
      <c r="D157" s="214"/>
      <c r="E157" s="214"/>
      <c r="F157" s="214"/>
      <c r="G157" s="214"/>
      <c r="H157" s="215"/>
      <c r="I157" s="31" t="str">
        <f ca="1">(IF(E161&gt;99%,"All work completed. Please provide OC.",IF(E161&gt;89.8%,"Plinth, RCC, Brick, Plaster, Flooring, Painting work Completed. Finishing work is in process.",IF(E161&lt;94%,(IF(C161=0,"Work not yet Started.",IF(D161=25%,"Piling work in process",IF(D161=50%,"Excavation work in process",IF(D161=100%,"Excavation work Completed. ","0")))&amp;(IF(C162=0%,"",IF(C162=J163,"Footing work is process",IF(C162=J164,"Footing work Completed",IF(C162=J165,"1st Basement Completed",IF(C162=J166,"1st &amp; 2nd Basement Completed",IF(C162=J167,"1st to 3rd Basement Completed",IF(C162=J168,"1st to 4th Basement Completed",IF(C162=J169,"Plinth work is process",IF(C162=J170,"Plinth work completed","0")))))))))))&amp;(IF(C163=(D158+F158+H158),", RCC Slab Completed",IF(C163&gt;0,", RCC upto "&amp;C163&amp;" Slab Completed",""))&amp;(IF(C164=H158,", Brickwork Completed",IF(C164&gt;0,", Brickwork upto "&amp;C164&amp;" Floor Completed",""))&amp;(IF(C165=H158,", Internal Plaster Completed",IF(C165&gt;0,", Internal Plaster upto "&amp;C165&amp;" Floor Completed",""))&amp;(IF(C166=H158,", External Plaster Completed",IF(C166&gt;0,", External Plaster upto "&amp;C166&amp;" Floor Completed",""))&amp;(IF(C167=H158,", Flooring Completed",IF(C167&gt;0,", Flooring upto "&amp;C167&amp;" Floor Completed",""))&amp;(IF(C168=H158,", Painting Completed",IF(C168&gt;0,", Painting upto "&amp;C168&amp;" Floor Completed",""))&amp;(IF(C169&gt;0,", Finishing upto "&amp;C169&amp;" Floor Completed","")&amp;(IF(C163&gt;0.5,".",""))))))))))))))</f>
        <v>Excavation work in process</v>
      </c>
      <c r="J157" s="10"/>
    </row>
    <row r="158" spans="1:10" hidden="1" x14ac:dyDescent="0.35">
      <c r="A158" s="36" t="s">
        <v>150</v>
      </c>
      <c r="B158" s="44">
        <v>0</v>
      </c>
      <c r="C158" s="44" t="s">
        <v>76</v>
      </c>
      <c r="D158" s="44">
        <v>1</v>
      </c>
      <c r="E158" s="44" t="s">
        <v>75</v>
      </c>
      <c r="F158" s="44">
        <v>0</v>
      </c>
      <c r="G158" s="44" t="s">
        <v>85</v>
      </c>
      <c r="H158" s="37">
        <f ca="1">--TRIM(RIGHT(SUBSTITUTE(LEFT(C157,_xlfn.AGGREGATE(16,6,FIND({0,1,2,3,4,5,6,7,8,9},C157,ROW(INDIRECT("1:"&amp;LEN(C157)))),1))," ",REPT(" ",LEN(C157))),LEN(C157)))</f>
        <v>22</v>
      </c>
      <c r="I158" s="9"/>
      <c r="J158" s="11"/>
    </row>
    <row r="159" spans="1:10" ht="18" hidden="1" customHeight="1" x14ac:dyDescent="0.35">
      <c r="A159" s="119" t="s">
        <v>95</v>
      </c>
      <c r="B159" s="120"/>
      <c r="C159" s="121" t="str">
        <f ca="1">(IF($G$55="NA",I157,"All work Completed. OC Received."))</f>
        <v>Excavation work in process</v>
      </c>
      <c r="D159" s="121"/>
      <c r="E159" s="121"/>
      <c r="F159" s="121"/>
      <c r="G159" s="121"/>
      <c r="H159" s="122"/>
      <c r="I159" s="9" t="s">
        <v>112</v>
      </c>
      <c r="J159" s="11"/>
    </row>
    <row r="160" spans="1:10" ht="15.75" hidden="1" customHeight="1" x14ac:dyDescent="0.35">
      <c r="A160" s="97" t="s">
        <v>51</v>
      </c>
      <c r="B160" s="98"/>
      <c r="C160" s="39" t="s">
        <v>147</v>
      </c>
      <c r="D160" s="39" t="s">
        <v>88</v>
      </c>
      <c r="E160" s="98" t="s">
        <v>90</v>
      </c>
      <c r="F160" s="98"/>
      <c r="G160" s="98" t="s">
        <v>89</v>
      </c>
      <c r="H160" s="123"/>
      <c r="I160" s="27" t="s">
        <v>149</v>
      </c>
      <c r="J160" s="12">
        <f ca="1">H158*25%</f>
        <v>5.5</v>
      </c>
    </row>
    <row r="161" spans="1:13" hidden="1" x14ac:dyDescent="0.35">
      <c r="A161" s="97" t="s">
        <v>136</v>
      </c>
      <c r="B161" s="98"/>
      <c r="C161" s="49">
        <f ca="1">J161</f>
        <v>11</v>
      </c>
      <c r="D161" s="50">
        <f ca="1">((100/H158)*C161)/100</f>
        <v>0.50000000000000011</v>
      </c>
      <c r="E161" s="99">
        <f ca="1">(((C162/H158*10)+(40/(D158+F158+H158)*C163)+(7.5/(H158)*C164)+(7.5/(H158)*C165)+(10/H158*C166)+(10/H158*C167)+(5/H158*C168)+(5/H158*C169)+(5/H158*C170))/100)</f>
        <v>0</v>
      </c>
      <c r="F161" s="99"/>
      <c r="G161" s="99">
        <f ca="1">((((C161/H158)*20)+((C162/H158)*25)+(30/(H158+F158+D158)*C163)+(5/H158*C164)+(5/H158*C165)+(5/H158*C166)+(5/H158*C167)+(0/H158*C168)+(0/H158*C169)+(5/H158*C170))/100)</f>
        <v>0.1</v>
      </c>
      <c r="H161" s="101"/>
      <c r="I161" s="27" t="s">
        <v>107</v>
      </c>
      <c r="J161" s="30">
        <f ca="1">H158*50%</f>
        <v>11</v>
      </c>
    </row>
    <row r="162" spans="1:13" hidden="1" x14ac:dyDescent="0.35">
      <c r="A162" s="97" t="s">
        <v>52</v>
      </c>
      <c r="B162" s="98"/>
      <c r="C162" s="51">
        <v>0</v>
      </c>
      <c r="D162" s="50">
        <f ca="1">((100/H158)*C162)/100</f>
        <v>0</v>
      </c>
      <c r="E162" s="99"/>
      <c r="F162" s="99"/>
      <c r="G162" s="99"/>
      <c r="H162" s="101"/>
      <c r="I162" s="27" t="s">
        <v>108</v>
      </c>
      <c r="J162" s="30">
        <f ca="1">H158</f>
        <v>22</v>
      </c>
    </row>
    <row r="163" spans="1:13" ht="15.75" hidden="1" customHeight="1" x14ac:dyDescent="0.35">
      <c r="A163" s="97" t="s">
        <v>137</v>
      </c>
      <c r="B163" s="98"/>
      <c r="C163" s="51">
        <v>0</v>
      </c>
      <c r="D163" s="50">
        <f ca="1">((100/(D158+F158+H158))*C163)/100</f>
        <v>0</v>
      </c>
      <c r="E163" s="99"/>
      <c r="F163" s="99"/>
      <c r="G163" s="99"/>
      <c r="H163" s="101"/>
      <c r="I163" s="27" t="s">
        <v>109</v>
      </c>
      <c r="J163" s="33">
        <f ca="1">(IF(B158&gt;1,(H158/(B158+2)),H158/4))</f>
        <v>5.5</v>
      </c>
    </row>
    <row r="164" spans="1:13" ht="15.75" hidden="1" customHeight="1" x14ac:dyDescent="0.35">
      <c r="A164" s="97" t="s">
        <v>144</v>
      </c>
      <c r="B164" s="98" t="s">
        <v>138</v>
      </c>
      <c r="C164" s="49">
        <v>0</v>
      </c>
      <c r="D164" s="50">
        <f ca="1">((100/H158)*C164)/100</f>
        <v>0</v>
      </c>
      <c r="E164" s="99"/>
      <c r="F164" s="99"/>
      <c r="G164" s="99"/>
      <c r="H164" s="101"/>
      <c r="I164" s="27" t="s">
        <v>110</v>
      </c>
      <c r="J164" s="33">
        <f ca="1">(IF(B158&gt;1,(H158/(B158+2)+J163),H158/4+J163))</f>
        <v>11</v>
      </c>
    </row>
    <row r="165" spans="1:13" ht="15.75" hidden="1" customHeight="1" x14ac:dyDescent="0.35">
      <c r="A165" s="97" t="s">
        <v>145</v>
      </c>
      <c r="B165" s="98" t="s">
        <v>138</v>
      </c>
      <c r="C165" s="49">
        <v>0</v>
      </c>
      <c r="D165" s="50">
        <f ca="1">((100/H158)*C165)/100</f>
        <v>0</v>
      </c>
      <c r="E165" s="99"/>
      <c r="F165" s="99"/>
      <c r="G165" s="99"/>
      <c r="H165" s="101"/>
      <c r="I165" s="27" t="s">
        <v>154</v>
      </c>
      <c r="J165" s="33">
        <f>(IF(B158&gt;1,(H158/(B158+2)+J164),0))</f>
        <v>0</v>
      </c>
    </row>
    <row r="166" spans="1:13" ht="15" hidden="1" customHeight="1" x14ac:dyDescent="0.35">
      <c r="A166" s="97" t="s">
        <v>143</v>
      </c>
      <c r="B166" s="98" t="s">
        <v>140</v>
      </c>
      <c r="C166" s="49">
        <v>0</v>
      </c>
      <c r="D166" s="50">
        <f ca="1">((100/(H158))*C166)/100</f>
        <v>0</v>
      </c>
      <c r="E166" s="99"/>
      <c r="F166" s="99"/>
      <c r="G166" s="99"/>
      <c r="H166" s="101"/>
      <c r="I166" s="27" t="s">
        <v>151</v>
      </c>
      <c r="J166" s="33">
        <f>(IF(B158&gt;2,(H158/(B158+2)+J165),0))</f>
        <v>0</v>
      </c>
    </row>
    <row r="167" spans="1:13" ht="15.75" hidden="1" customHeight="1" x14ac:dyDescent="0.35">
      <c r="A167" s="97" t="s">
        <v>139</v>
      </c>
      <c r="B167" s="98" t="s">
        <v>139</v>
      </c>
      <c r="C167" s="49">
        <v>0</v>
      </c>
      <c r="D167" s="50">
        <f ca="1">((100/H158)*C167)/100</f>
        <v>0</v>
      </c>
      <c r="E167" s="99"/>
      <c r="F167" s="99"/>
      <c r="G167" s="99"/>
      <c r="H167" s="101"/>
      <c r="I167" s="27" t="s">
        <v>152</v>
      </c>
      <c r="J167" s="34">
        <f>(IF(B158&gt;3,(H158/(B158+2)+J166),0))</f>
        <v>0</v>
      </c>
    </row>
    <row r="168" spans="1:13" ht="15.75" hidden="1" customHeight="1" x14ac:dyDescent="0.35">
      <c r="A168" s="97" t="s">
        <v>146</v>
      </c>
      <c r="B168" s="98"/>
      <c r="C168" s="49">
        <v>0</v>
      </c>
      <c r="D168" s="50">
        <f ca="1">((100/H158)*C168)/100</f>
        <v>0</v>
      </c>
      <c r="E168" s="99"/>
      <c r="F168" s="99"/>
      <c r="G168" s="99"/>
      <c r="H168" s="101"/>
      <c r="I168" s="27" t="s">
        <v>153</v>
      </c>
      <c r="J168" s="33">
        <f>(IF(B158&gt;4,(H158/(B158+2)+J167),0))</f>
        <v>0</v>
      </c>
    </row>
    <row r="169" spans="1:13" ht="15.75" hidden="1" customHeight="1" x14ac:dyDescent="0.35">
      <c r="A169" s="97" t="s">
        <v>141</v>
      </c>
      <c r="B169" s="98" t="s">
        <v>141</v>
      </c>
      <c r="C169" s="49">
        <v>0</v>
      </c>
      <c r="D169" s="50">
        <f ca="1">((100/(H158))*C169)/100</f>
        <v>0</v>
      </c>
      <c r="E169" s="99"/>
      <c r="F169" s="99"/>
      <c r="G169" s="99"/>
      <c r="H169" s="101"/>
      <c r="I169" s="27" t="s">
        <v>155</v>
      </c>
      <c r="J169" s="33">
        <f ca="1">(IF(B158=1,(H158/(B158+3)+J164),IF(B158=0,(H158/4+J164),IF(B158&gt;1,0))))</f>
        <v>16.5</v>
      </c>
    </row>
    <row r="170" spans="1:13" ht="16" hidden="1" thickBot="1" x14ac:dyDescent="0.4">
      <c r="A170" s="103" t="s">
        <v>142</v>
      </c>
      <c r="B170" s="104"/>
      <c r="C170" s="52">
        <v>0</v>
      </c>
      <c r="D170" s="53">
        <f ca="1">((100/(H158))*C170)/100</f>
        <v>0</v>
      </c>
      <c r="E170" s="100"/>
      <c r="F170" s="100"/>
      <c r="G170" s="100"/>
      <c r="H170" s="102"/>
      <c r="I170" s="32" t="s">
        <v>111</v>
      </c>
      <c r="J170" s="35">
        <f ca="1">(IF(B158&gt;1.5,(H158/(B158+2)+J164+MAX(0,J165-J164)+MAX(0,J166-J165)+MAX(0,J167-J166)+MAX(0,J168-J167)+MAX(0,J169-J168)),IF(B158=1,(H158/(B158+3)+J169),IF(B158=0,H158/4+J169))))</f>
        <v>22</v>
      </c>
    </row>
    <row r="171" spans="1:13" x14ac:dyDescent="0.35">
      <c r="A171" s="185" t="s">
        <v>53</v>
      </c>
      <c r="B171" s="185"/>
      <c r="C171" s="185"/>
      <c r="D171" s="185"/>
      <c r="E171" s="185"/>
      <c r="F171" s="185"/>
      <c r="G171" s="185"/>
      <c r="H171" s="185"/>
    </row>
    <row r="172" spans="1:13" x14ac:dyDescent="0.35">
      <c r="A172" s="116" t="s">
        <v>162</v>
      </c>
      <c r="B172" s="116"/>
      <c r="C172" s="116"/>
      <c r="D172" s="116"/>
      <c r="E172" s="116"/>
      <c r="F172" s="184">
        <v>17500</v>
      </c>
      <c r="G172" s="184"/>
      <c r="H172" s="184"/>
      <c r="I172" s="68" t="s">
        <v>225</v>
      </c>
      <c r="J172" s="68"/>
      <c r="K172" s="68" t="s">
        <v>226</v>
      </c>
      <c r="L172" s="68" t="s">
        <v>227</v>
      </c>
      <c r="M172" s="69">
        <v>45252</v>
      </c>
    </row>
    <row r="173" spans="1:13" s="7" customFormat="1" hidden="1" x14ac:dyDescent="0.3">
      <c r="A173" s="116" t="s">
        <v>100</v>
      </c>
      <c r="B173" s="116"/>
      <c r="C173" s="116"/>
      <c r="D173" s="116"/>
      <c r="E173" s="116"/>
      <c r="F173" s="126"/>
      <c r="G173" s="126"/>
      <c r="H173" s="126"/>
    </row>
    <row r="174" spans="1:13" s="7" customFormat="1" hidden="1" x14ac:dyDescent="0.3">
      <c r="A174" s="116" t="s">
        <v>101</v>
      </c>
      <c r="B174" s="116"/>
      <c r="C174" s="116"/>
      <c r="D174" s="116"/>
      <c r="E174" s="116"/>
      <c r="F174" s="126"/>
      <c r="G174" s="126"/>
      <c r="H174" s="126"/>
    </row>
    <row r="175" spans="1:13" s="7" customFormat="1" x14ac:dyDescent="0.3">
      <c r="A175" s="116" t="s">
        <v>228</v>
      </c>
      <c r="B175" s="116"/>
      <c r="C175" s="116"/>
      <c r="D175" s="116"/>
      <c r="E175" s="116"/>
      <c r="F175" s="126">
        <v>500000</v>
      </c>
      <c r="G175" s="126"/>
      <c r="H175" s="126"/>
    </row>
    <row r="176" spans="1:13" s="7" customFormat="1" hidden="1" x14ac:dyDescent="0.3">
      <c r="A176" s="116" t="s">
        <v>102</v>
      </c>
      <c r="B176" s="116"/>
      <c r="C176" s="116"/>
      <c r="D176" s="116"/>
      <c r="E176" s="116"/>
      <c r="F176" s="126"/>
      <c r="G176" s="126"/>
      <c r="H176" s="126"/>
    </row>
    <row r="177" spans="1:8" s="7" customFormat="1" hidden="1" x14ac:dyDescent="0.3">
      <c r="A177" s="116" t="s">
        <v>103</v>
      </c>
      <c r="B177" s="116"/>
      <c r="C177" s="116"/>
      <c r="D177" s="116"/>
      <c r="E177" s="116"/>
      <c r="F177" s="126"/>
      <c r="G177" s="126"/>
      <c r="H177" s="126"/>
    </row>
    <row r="178" spans="1:8" s="7" customFormat="1" hidden="1" x14ac:dyDescent="0.3">
      <c r="A178" s="116" t="s">
        <v>104</v>
      </c>
      <c r="B178" s="116"/>
      <c r="C178" s="116"/>
      <c r="D178" s="116"/>
      <c r="E178" s="116"/>
      <c r="F178" s="126"/>
      <c r="G178" s="126"/>
      <c r="H178" s="126"/>
    </row>
    <row r="179" spans="1:8" s="7" customFormat="1" hidden="1" x14ac:dyDescent="0.3">
      <c r="A179" s="116" t="s">
        <v>105</v>
      </c>
      <c r="B179" s="116"/>
      <c r="C179" s="116"/>
      <c r="D179" s="116"/>
      <c r="E179" s="116"/>
      <c r="F179" s="126"/>
      <c r="G179" s="126"/>
      <c r="H179" s="126"/>
    </row>
    <row r="180" spans="1:8" s="7" customFormat="1" hidden="1" x14ac:dyDescent="0.3">
      <c r="A180" s="116" t="s">
        <v>106</v>
      </c>
      <c r="B180" s="116"/>
      <c r="C180" s="116"/>
      <c r="D180" s="116"/>
      <c r="E180" s="116"/>
      <c r="F180" s="126"/>
      <c r="G180" s="126"/>
      <c r="H180" s="126"/>
    </row>
    <row r="181" spans="1:8" x14ac:dyDescent="0.35">
      <c r="A181" s="116" t="s">
        <v>54</v>
      </c>
      <c r="B181" s="116"/>
      <c r="C181" s="116"/>
      <c r="D181" s="116"/>
      <c r="E181" s="116"/>
      <c r="F181" s="126">
        <v>1200000</v>
      </c>
      <c r="G181" s="126"/>
      <c r="H181" s="126"/>
    </row>
    <row r="182" spans="1:8" s="4" customFormat="1" x14ac:dyDescent="0.35">
      <c r="A182" s="185" t="s">
        <v>55</v>
      </c>
      <c r="B182" s="185"/>
      <c r="C182" s="185"/>
      <c r="D182" s="185"/>
      <c r="E182" s="185"/>
      <c r="F182" s="126">
        <f>F172*0.8</f>
        <v>14000</v>
      </c>
      <c r="G182" s="126"/>
      <c r="H182" s="126"/>
    </row>
    <row r="183" spans="1:8" s="1" customFormat="1" ht="15.75" hidden="1" customHeight="1" x14ac:dyDescent="0.35">
      <c r="A183" s="127" t="s">
        <v>80</v>
      </c>
      <c r="B183" s="127"/>
      <c r="C183" s="127"/>
      <c r="D183" s="127"/>
      <c r="E183" s="127"/>
      <c r="F183" s="127"/>
      <c r="G183" s="127"/>
      <c r="H183" s="127"/>
    </row>
    <row r="184" spans="1:8" s="1" customFormat="1" ht="15.75" hidden="1" customHeight="1" x14ac:dyDescent="0.35">
      <c r="A184" s="125" t="s">
        <v>56</v>
      </c>
      <c r="B184" s="125"/>
      <c r="C184" s="128" t="s">
        <v>83</v>
      </c>
      <c r="D184" s="128"/>
      <c r="E184" s="131" t="s">
        <v>57</v>
      </c>
      <c r="F184" s="131"/>
      <c r="G184" s="125" t="s">
        <v>58</v>
      </c>
      <c r="H184" s="125"/>
    </row>
    <row r="185" spans="1:8" s="1" customFormat="1" hidden="1" x14ac:dyDescent="0.35">
      <c r="A185" s="111"/>
      <c r="B185" s="111"/>
      <c r="C185" s="130"/>
      <c r="D185" s="130"/>
      <c r="E185" s="183"/>
      <c r="F185" s="183"/>
      <c r="G185" s="186"/>
      <c r="H185" s="186"/>
    </row>
    <row r="186" spans="1:8" s="1" customFormat="1" hidden="1" x14ac:dyDescent="0.35">
      <c r="A186" s="111"/>
      <c r="B186" s="111"/>
      <c r="C186" s="130"/>
      <c r="D186" s="130"/>
      <c r="E186" s="183"/>
      <c r="F186" s="183"/>
      <c r="G186" s="186"/>
      <c r="H186" s="186"/>
    </row>
    <row r="187" spans="1:8" s="1" customFormat="1" hidden="1" x14ac:dyDescent="0.35">
      <c r="A187" s="127" t="s">
        <v>158</v>
      </c>
      <c r="B187" s="127"/>
      <c r="C187" s="128"/>
      <c r="D187" s="128"/>
      <c r="E187" s="131"/>
      <c r="F187" s="131"/>
      <c r="G187" s="125"/>
      <c r="H187" s="125"/>
    </row>
    <row r="188" spans="1:8" s="1" customFormat="1" x14ac:dyDescent="0.35">
      <c r="A188" s="127" t="s">
        <v>74</v>
      </c>
      <c r="B188" s="127"/>
      <c r="C188" s="127"/>
      <c r="D188" s="127"/>
      <c r="E188" s="127"/>
      <c r="F188" s="127"/>
      <c r="G188" s="127"/>
      <c r="H188" s="127"/>
    </row>
    <row r="189" spans="1:8" s="1" customFormat="1" ht="15.75" customHeight="1" x14ac:dyDescent="0.35">
      <c r="A189" s="125" t="s">
        <v>56</v>
      </c>
      <c r="B189" s="125"/>
      <c r="C189" s="128" t="s">
        <v>83</v>
      </c>
      <c r="D189" s="128"/>
      <c r="E189" s="131" t="s">
        <v>57</v>
      </c>
      <c r="F189" s="131"/>
      <c r="G189" s="125" t="s">
        <v>58</v>
      </c>
      <c r="H189" s="125"/>
    </row>
    <row r="190" spans="1:8" s="1" customFormat="1" x14ac:dyDescent="0.35">
      <c r="A190" s="111" t="s">
        <v>215</v>
      </c>
      <c r="B190" s="111"/>
      <c r="C190" s="130">
        <f>COUNT(D202:D203)+COUNT(D205:D208)*29+COUNT(D210:D213)*4+COUNT(D215:D217)*4+COUNT(D220:D222)</f>
        <v>149</v>
      </c>
      <c r="D190" s="130"/>
      <c r="E190" s="112">
        <f t="shared" ref="E190" si="0">SUM(D202:D203)+SUM(D205:D208)*29+SUM(D210:D213)*4+SUM(D215:D217)*4+SUM(D220:D222)</f>
        <v>159343.44669360004</v>
      </c>
      <c r="F190" s="112"/>
      <c r="G190" s="112">
        <f>SUM(F202:F203)+SUM(F205:F208)*29+SUM(F210:F213)*4+SUM(F215:F217)*4+SUM(F220:F222)</f>
        <v>254949.51470976</v>
      </c>
      <c r="H190" s="112"/>
    </row>
    <row r="191" spans="1:8" s="1" customFormat="1" x14ac:dyDescent="0.35">
      <c r="A191" s="111" t="s">
        <v>191</v>
      </c>
      <c r="B191" s="111"/>
      <c r="C191" s="130">
        <f>COUNT(D226:D227)+COUNT(D229:D232)*30+COUNT(D234:D236)*4</f>
        <v>134</v>
      </c>
      <c r="D191" s="130"/>
      <c r="E191" s="112">
        <f>SUM(D226:D227)+SUM(D229:D232)*30+SUM(D234:D236)*4</f>
        <v>141719.25456</v>
      </c>
      <c r="F191" s="112"/>
      <c r="G191" s="112">
        <f>SUM(F226:F227)+SUM(F229:F232)*30+SUM(F234:F236)*4</f>
        <v>226750.80729600001</v>
      </c>
      <c r="H191" s="112"/>
    </row>
    <row r="192" spans="1:8" s="1" customFormat="1" x14ac:dyDescent="0.35">
      <c r="A192" s="111" t="s">
        <v>192</v>
      </c>
      <c r="B192" s="111"/>
      <c r="C192" s="130">
        <f>COUNT(D240)+COUNT(D242:D244)*17+COUNT(D246,D248)*2+COUNT(D250:D252)*2+COUNT(D254,D256)</f>
        <v>64</v>
      </c>
      <c r="D192" s="130"/>
      <c r="E192" s="112">
        <f>SUM(D240)+SUM(D242:D244)*17+SUM(D246,D248)*2+SUM(D250:D252)*2+SUM(D254,D256)</f>
        <v>64075.185719999979</v>
      </c>
      <c r="F192" s="112"/>
      <c r="G192" s="112">
        <f>SUM(F240)+SUM(F242:F244)*17+SUM(F246,F248)*2+SUM(F250:F252)*2+SUM(F254,F256)</f>
        <v>102520.29715200001</v>
      </c>
      <c r="H192" s="112"/>
    </row>
    <row r="193" spans="1:14" s="1" customFormat="1" x14ac:dyDescent="0.35">
      <c r="A193" s="111" t="s">
        <v>193</v>
      </c>
      <c r="B193" s="111"/>
      <c r="C193" s="130">
        <f>COUNT(D259:D260)+COUNT(D262:D265)*17+COUNT(D267:D268,D270)*2+COUNT(D272:D275)*2+COUNT(D277:D278,D280)</f>
        <v>87</v>
      </c>
      <c r="D193" s="130"/>
      <c r="E193" s="112">
        <f>SUM(D259:D260)+SUM(D262:D265)*17+SUM(D267:D268,D270)*2+SUM(D272:D275)*2+SUM(D277:D278,D280)</f>
        <v>66050.379719999997</v>
      </c>
      <c r="F193" s="112"/>
      <c r="G193" s="112">
        <f>SUM(F259:F260)+SUM(F262:F265)*17+SUM(F267:F268,F270)*2+SUM(F272:F275)*2+SUM(F277:F278,F280)</f>
        <v>105680.60755199999</v>
      </c>
      <c r="H193" s="112"/>
    </row>
    <row r="194" spans="1:14" s="1" customFormat="1" x14ac:dyDescent="0.35">
      <c r="A194" s="129" t="s">
        <v>198</v>
      </c>
      <c r="B194" s="129"/>
      <c r="C194" s="130">
        <f>COUNT(D283)+COUNT(D285:D288)*17+COUNT(D290,D292:D293)*2+COUNT(D295:D298)*2+COUNT(D300,D302:D303)</f>
        <v>86</v>
      </c>
      <c r="D194" s="130"/>
      <c r="E194" s="112">
        <f>SUM(D283)+SUM(D285:D288)*17+SUM(D290,D292:D293)*2+SUM(D295:D298)*2+SUM(D300,D302:D303)</f>
        <v>65291.194799999997</v>
      </c>
      <c r="F194" s="112"/>
      <c r="G194" s="112">
        <f>SUM(F283)+SUM(F285:F288)*17+SUM(F290,F292:F293)*2+SUM(F295:F298)*2+SUM(F300,F302:F303)</f>
        <v>104465.91167999998</v>
      </c>
      <c r="H194" s="112"/>
    </row>
    <row r="195" spans="1:14" s="1" customFormat="1" x14ac:dyDescent="0.35">
      <c r="A195" s="127" t="s">
        <v>158</v>
      </c>
      <c r="B195" s="127"/>
      <c r="C195" s="128">
        <f>SUM(C190:D194)</f>
        <v>520</v>
      </c>
      <c r="D195" s="128"/>
      <c r="E195" s="180">
        <f>SUM(E190:F194)</f>
        <v>496479.46149359999</v>
      </c>
      <c r="F195" s="131"/>
      <c r="G195" s="125">
        <f>SUM(G190:H194)</f>
        <v>794367.13838976005</v>
      </c>
      <c r="H195" s="125"/>
    </row>
    <row r="196" spans="1:14" s="4" customFormat="1" x14ac:dyDescent="0.35">
      <c r="A196" s="188" t="s">
        <v>59</v>
      </c>
      <c r="B196" s="188"/>
      <c r="C196" s="188"/>
      <c r="D196" s="188"/>
      <c r="E196" s="188"/>
      <c r="F196" s="188"/>
      <c r="G196" s="188"/>
      <c r="H196" s="188"/>
    </row>
    <row r="197" spans="1:14" x14ac:dyDescent="0.35">
      <c r="A197" s="188" t="s">
        <v>60</v>
      </c>
      <c r="B197" s="188"/>
      <c r="C197" s="188"/>
      <c r="D197" s="188"/>
      <c r="E197" s="188"/>
      <c r="F197" s="188"/>
      <c r="G197" s="188"/>
      <c r="H197" s="188"/>
    </row>
    <row r="198" spans="1:14" ht="47.25" customHeight="1" x14ac:dyDescent="0.35">
      <c r="A198" s="109" t="s">
        <v>126</v>
      </c>
      <c r="B198" s="109" t="s">
        <v>127</v>
      </c>
      <c r="C198" s="181" t="s">
        <v>61</v>
      </c>
      <c r="D198" s="181" t="s">
        <v>62</v>
      </c>
      <c r="E198" s="176" t="s">
        <v>63</v>
      </c>
      <c r="F198" s="45" t="s">
        <v>157</v>
      </c>
      <c r="G198" s="109" t="s">
        <v>64</v>
      </c>
      <c r="H198" s="178"/>
      <c r="I198" s="26"/>
    </row>
    <row r="199" spans="1:14" s="2" customFormat="1" x14ac:dyDescent="0.35">
      <c r="A199" s="110"/>
      <c r="B199" s="110"/>
      <c r="C199" s="182"/>
      <c r="D199" s="182"/>
      <c r="E199" s="177"/>
      <c r="F199" s="25">
        <v>0.6</v>
      </c>
      <c r="G199" s="110"/>
      <c r="H199" s="179"/>
      <c r="I199" s="26"/>
    </row>
    <row r="200" spans="1:14" s="4" customFormat="1" x14ac:dyDescent="0.35">
      <c r="A200" s="188" t="s">
        <v>215</v>
      </c>
      <c r="B200" s="188"/>
      <c r="C200" s="188"/>
      <c r="D200" s="188"/>
      <c r="E200" s="188"/>
      <c r="F200" s="188"/>
      <c r="G200" s="188"/>
      <c r="H200" s="188"/>
    </row>
    <row r="201" spans="1:14" s="62" customFormat="1" x14ac:dyDescent="0.35">
      <c r="A201" s="106" t="s">
        <v>178</v>
      </c>
      <c r="B201" s="107"/>
      <c r="C201" s="107"/>
      <c r="D201" s="107"/>
      <c r="E201" s="107"/>
      <c r="F201" s="107"/>
      <c r="G201" s="107"/>
      <c r="H201" s="108"/>
      <c r="I201" s="26"/>
      <c r="L201" s="85"/>
      <c r="M201" s="85"/>
    </row>
    <row r="202" spans="1:14" s="62" customFormat="1" ht="15.75" customHeight="1" x14ac:dyDescent="0.35">
      <c r="A202" s="222">
        <v>1</v>
      </c>
      <c r="B202" s="222"/>
      <c r="C202" s="63" t="s">
        <v>185</v>
      </c>
      <c r="D202" s="63">
        <f>70.7*10.764</f>
        <v>761.01480000000004</v>
      </c>
      <c r="E202" s="63">
        <v>0</v>
      </c>
      <c r="F202" s="63">
        <f>D202*(($F$199)+1)+(IF(E202&lt;101,E202,IF(E202&lt;201,E202/2,IF(E202&lt;=301,E202/3,E202/4))))</f>
        <v>1217.6236800000001</v>
      </c>
      <c r="G202" s="88" t="str">
        <f>A201</f>
        <v>Ground Floor for Residential &amp; Parking</v>
      </c>
      <c r="H202" s="89"/>
      <c r="I202" s="26"/>
      <c r="N202" s="26"/>
    </row>
    <row r="203" spans="1:14" s="62" customFormat="1" ht="15.75" customHeight="1" x14ac:dyDescent="0.35">
      <c r="A203" s="222">
        <v>2</v>
      </c>
      <c r="B203" s="222"/>
      <c r="C203" s="63" t="s">
        <v>184</v>
      </c>
      <c r="D203" s="63">
        <f>(1.52*1.25+1.53*0.2+3.35*5.6+3.15*3.05+0.93*1.63+2.45*1.53+2.45*1.53+2.45*3.05+3.05*3.65+2.25*1.5+3.2*3.05+1*2.45+1*3.05+2.48*0.6)*10.764</f>
        <v>842.97620159999985</v>
      </c>
      <c r="E203" s="63">
        <v>0</v>
      </c>
      <c r="F203" s="63">
        <f>D203*(($F$199)+1)+(IF(E203&lt;101,E203,IF(E203&lt;201,E203/2,IF(E203&lt;=301,E203/3,E203/4))))</f>
        <v>1348.7619225599999</v>
      </c>
      <c r="G203" s="92"/>
      <c r="H203" s="93"/>
      <c r="I203" s="26"/>
      <c r="N203" s="26"/>
    </row>
    <row r="204" spans="1:14" s="62" customFormat="1" ht="15.75" customHeight="1" x14ac:dyDescent="0.35">
      <c r="A204" s="106" t="s">
        <v>216</v>
      </c>
      <c r="B204" s="107"/>
      <c r="C204" s="107"/>
      <c r="D204" s="107"/>
      <c r="E204" s="107"/>
      <c r="F204" s="107"/>
      <c r="G204" s="107"/>
      <c r="H204" s="108"/>
      <c r="I204" s="26"/>
    </row>
    <row r="205" spans="1:14" s="62" customFormat="1" ht="15.75" customHeight="1" x14ac:dyDescent="0.35">
      <c r="A205" s="86">
        <v>1</v>
      </c>
      <c r="B205" s="87"/>
      <c r="C205" s="63" t="s">
        <v>184</v>
      </c>
      <c r="D205" s="63">
        <f>(86.86+2.25*1.5+2.45*1.72)*10.764</f>
        <v>1016.6490359999999</v>
      </c>
      <c r="E205" s="63">
        <v>0</v>
      </c>
      <c r="F205" s="63">
        <f>D205*(($F$199)+1)+(IF(E205&lt;101,E205,IF(E205&lt;201,E205/2,IF(E205&lt;=301,E205/3,E205/4))))</f>
        <v>1626.6384576</v>
      </c>
      <c r="G205" s="88" t="str">
        <f>A204</f>
        <v>1st to 7th, 10th to 14th, 17th to 21st, 24th to 28th, 31st to 35th, 37th &amp; 38th Floor</v>
      </c>
      <c r="H205" s="89"/>
      <c r="I205" s="26"/>
    </row>
    <row r="206" spans="1:14" s="62" customFormat="1" ht="15.75" customHeight="1" x14ac:dyDescent="0.35">
      <c r="A206" s="86">
        <v>2</v>
      </c>
      <c r="B206" s="87"/>
      <c r="C206" s="63" t="s">
        <v>184</v>
      </c>
      <c r="D206" s="63">
        <f>(86.86+2.25*1.5+2.45*1.72)*10.764</f>
        <v>1016.6490359999999</v>
      </c>
      <c r="E206" s="63">
        <v>0</v>
      </c>
      <c r="F206" s="63">
        <f>D206*(($F$199)+1)+(IF(E206&lt;101,E206,IF(E206&lt;201,E206/2,IF(E206&lt;=301,E206/3,E206/4))))</f>
        <v>1626.6384576</v>
      </c>
      <c r="G206" s="90"/>
      <c r="H206" s="91"/>
      <c r="I206" s="26"/>
    </row>
    <row r="207" spans="1:14" s="62" customFormat="1" ht="15.75" customHeight="1" x14ac:dyDescent="0.35">
      <c r="A207" s="86">
        <v>3</v>
      </c>
      <c r="B207" s="87"/>
      <c r="C207" s="63" t="s">
        <v>184</v>
      </c>
      <c r="D207" s="63">
        <f>(97.71+2.45*1.72+2.25*1.5)*10.764</f>
        <v>1133.4384359999999</v>
      </c>
      <c r="E207" s="63">
        <v>0</v>
      </c>
      <c r="F207" s="63">
        <f>D207*(($F$199)+1)+(IF(E207&lt;101,E207,IF(E207&lt;201,E207/2,IF(E207&lt;=301,E207/3,E207/4))))</f>
        <v>1813.5014976</v>
      </c>
      <c r="G207" s="90"/>
      <c r="H207" s="91"/>
      <c r="I207" s="26"/>
    </row>
    <row r="208" spans="1:14" s="62" customFormat="1" ht="15.75" customHeight="1" x14ac:dyDescent="0.35">
      <c r="A208" s="86">
        <v>4</v>
      </c>
      <c r="B208" s="87"/>
      <c r="C208" s="63" t="s">
        <v>184</v>
      </c>
      <c r="D208" s="63">
        <f>(97.71+2.45*1.72+2.25*1.5)*10.764</f>
        <v>1133.4384359999999</v>
      </c>
      <c r="E208" s="63">
        <v>0</v>
      </c>
      <c r="F208" s="63">
        <f>D208*(($F$199)+1)+(IF(E208&lt;101,E208,IF(E208&lt;201,E208/2,IF(E208&lt;=301,E208/3,E208/4))))</f>
        <v>1813.5014976</v>
      </c>
      <c r="G208" s="90"/>
      <c r="H208" s="91"/>
      <c r="I208" s="26"/>
    </row>
    <row r="209" spans="1:9" s="62" customFormat="1" ht="15.75" customHeight="1" x14ac:dyDescent="0.35">
      <c r="A209" s="106" t="s">
        <v>217</v>
      </c>
      <c r="B209" s="107"/>
      <c r="C209" s="107"/>
      <c r="D209" s="107"/>
      <c r="E209" s="107"/>
      <c r="F209" s="107"/>
      <c r="G209" s="107"/>
      <c r="H209" s="108"/>
      <c r="I209" s="26"/>
    </row>
    <row r="210" spans="1:9" s="62" customFormat="1" ht="15.75" customHeight="1" x14ac:dyDescent="0.35">
      <c r="A210" s="86">
        <v>1</v>
      </c>
      <c r="B210" s="87"/>
      <c r="C210" s="63" t="s">
        <v>184</v>
      </c>
      <c r="D210" s="63">
        <f>(86.86+2.25*1.5+2.45*1.72)*10.764</f>
        <v>1016.6490359999999</v>
      </c>
      <c r="E210" s="63">
        <v>0</v>
      </c>
      <c r="F210" s="63">
        <f>D210*(($F$199)+1)+(IF(E210&lt;101,E210,IF(E210&lt;201,E210/2,IF(E210&lt;=301,E210/3,E210/4))))</f>
        <v>1626.6384576</v>
      </c>
      <c r="G210" s="88" t="str">
        <f>A209</f>
        <v>9th, 16th, 23rd &amp; 30th Floor</v>
      </c>
      <c r="H210" s="89"/>
      <c r="I210" s="26"/>
    </row>
    <row r="211" spans="1:9" s="62" customFormat="1" ht="15.75" customHeight="1" x14ac:dyDescent="0.35">
      <c r="A211" s="86">
        <v>2</v>
      </c>
      <c r="B211" s="87"/>
      <c r="C211" s="63" t="s">
        <v>184</v>
      </c>
      <c r="D211" s="63">
        <f>(86.86+2.25*1.5+2.45*1.72)*10.764</f>
        <v>1016.6490359999999</v>
      </c>
      <c r="E211" s="63">
        <v>0</v>
      </c>
      <c r="F211" s="63">
        <f>D211*(($F$199)+1)+(IF(E211&lt;101,E211,IF(E211&lt;201,E211/2,IF(E211&lt;=301,E211/3,E211/4))))</f>
        <v>1626.6384576</v>
      </c>
      <c r="G211" s="90"/>
      <c r="H211" s="91"/>
      <c r="I211" s="26"/>
    </row>
    <row r="212" spans="1:9" s="62" customFormat="1" ht="15.75" customHeight="1" x14ac:dyDescent="0.35">
      <c r="A212" s="86">
        <v>3</v>
      </c>
      <c r="B212" s="87"/>
      <c r="C212" s="63" t="s">
        <v>184</v>
      </c>
      <c r="D212" s="63">
        <f>(97.71+2.45*1.72+2.25*1.5)*10.764</f>
        <v>1133.4384359999999</v>
      </c>
      <c r="E212" s="63">
        <v>0</v>
      </c>
      <c r="F212" s="63">
        <f>D212*(($F$199)+1)+(IF(E212&lt;101,E212,IF(E212&lt;201,E212/2,IF(E212&lt;=301,E212/3,E212/4))))</f>
        <v>1813.5014976</v>
      </c>
      <c r="G212" s="90"/>
      <c r="H212" s="91"/>
      <c r="I212" s="26"/>
    </row>
    <row r="213" spans="1:9" s="62" customFormat="1" ht="15.75" customHeight="1" x14ac:dyDescent="0.35">
      <c r="A213" s="86">
        <v>4</v>
      </c>
      <c r="B213" s="87"/>
      <c r="C213" s="63" t="s">
        <v>184</v>
      </c>
      <c r="D213" s="63">
        <f>(97.71+2.45*1.72+2.25*1.5)*10.764</f>
        <v>1133.4384359999999</v>
      </c>
      <c r="E213" s="63">
        <v>0</v>
      </c>
      <c r="F213" s="63">
        <f>D213*(($F$199)+1)+(IF(E213&lt;101,E213,IF(E213&lt;201,E213/2,IF(E213&lt;=301,E213/3,E213/4))))</f>
        <v>1813.5014976</v>
      </c>
      <c r="G213" s="90"/>
      <c r="H213" s="91"/>
      <c r="I213" s="26"/>
    </row>
    <row r="214" spans="1:9" s="62" customFormat="1" ht="15.75" customHeight="1" x14ac:dyDescent="0.35">
      <c r="A214" s="106" t="s">
        <v>218</v>
      </c>
      <c r="B214" s="107"/>
      <c r="C214" s="107"/>
      <c r="D214" s="107"/>
      <c r="E214" s="107"/>
      <c r="F214" s="107"/>
      <c r="G214" s="107"/>
      <c r="H214" s="108"/>
      <c r="I214" s="26"/>
    </row>
    <row r="215" spans="1:9" s="62" customFormat="1" ht="15.75" customHeight="1" x14ac:dyDescent="0.35">
      <c r="A215" s="86">
        <v>1</v>
      </c>
      <c r="B215" s="87"/>
      <c r="C215" s="63" t="s">
        <v>184</v>
      </c>
      <c r="D215" s="63">
        <f>(86.86+2.25*1.5+2.45*1.72)*10.764</f>
        <v>1016.6490359999999</v>
      </c>
      <c r="E215" s="63">
        <v>0</v>
      </c>
      <c r="F215" s="63">
        <f>D215*(($F$199)+1)+(IF(E215&lt;101,E215,IF(E215&lt;201,E215/2,IF(E215&lt;=301,E215/3,E215/4))))</f>
        <v>1626.6384576</v>
      </c>
      <c r="G215" s="88" t="str">
        <f>A214</f>
        <v>8th, 15th, 22nd &amp; 29th Floor (Part Refuge Area)</v>
      </c>
      <c r="H215" s="89"/>
      <c r="I215" s="26"/>
    </row>
    <row r="216" spans="1:9" s="62" customFormat="1" ht="15.75" customHeight="1" x14ac:dyDescent="0.35">
      <c r="A216" s="86">
        <v>2</v>
      </c>
      <c r="B216" s="87"/>
      <c r="C216" s="63" t="s">
        <v>184</v>
      </c>
      <c r="D216" s="63">
        <f>(86.86+2.25*1.5+2.45*1.72)*10.764</f>
        <v>1016.6490359999999</v>
      </c>
      <c r="E216" s="63">
        <v>0</v>
      </c>
      <c r="F216" s="63">
        <f>D216*(($F$199)+1)+(IF(E216&lt;101,E216,IF(E216&lt;201,E216/2,IF(E216&lt;=301,E216/3,E216/4))))</f>
        <v>1626.6384576</v>
      </c>
      <c r="G216" s="90"/>
      <c r="H216" s="91"/>
      <c r="I216" s="26"/>
    </row>
    <row r="217" spans="1:9" s="62" customFormat="1" ht="15.75" customHeight="1" x14ac:dyDescent="0.35">
      <c r="A217" s="86">
        <v>3</v>
      </c>
      <c r="B217" s="87"/>
      <c r="C217" s="63" t="s">
        <v>184</v>
      </c>
      <c r="D217" s="63">
        <f>(97.71+2.45*1.72+2.25*1.5)*10.764</f>
        <v>1133.4384359999999</v>
      </c>
      <c r="E217" s="63">
        <v>0</v>
      </c>
      <c r="F217" s="63">
        <f>D217*(($F$199)+1)+(IF(E217&lt;101,E217,IF(E217&lt;201,E217/2,IF(E217&lt;=301,E217/3,E217/4))))</f>
        <v>1813.5014976</v>
      </c>
      <c r="G217" s="90"/>
      <c r="H217" s="91"/>
      <c r="I217" s="26"/>
    </row>
    <row r="218" spans="1:9" s="62" customFormat="1" ht="15.75" customHeight="1" x14ac:dyDescent="0.35">
      <c r="A218" s="86">
        <v>4</v>
      </c>
      <c r="B218" s="87"/>
      <c r="C218" s="86" t="s">
        <v>186</v>
      </c>
      <c r="D218" s="105"/>
      <c r="E218" s="105"/>
      <c r="F218" s="87"/>
      <c r="G218" s="90"/>
      <c r="H218" s="91"/>
      <c r="I218" s="26"/>
    </row>
    <row r="219" spans="1:9" s="62" customFormat="1" ht="15.75" customHeight="1" x14ac:dyDescent="0.35">
      <c r="A219" s="106" t="s">
        <v>219</v>
      </c>
      <c r="B219" s="107"/>
      <c r="C219" s="107"/>
      <c r="D219" s="107"/>
      <c r="E219" s="107"/>
      <c r="F219" s="107"/>
      <c r="G219" s="107"/>
      <c r="H219" s="108"/>
      <c r="I219" s="26"/>
    </row>
    <row r="220" spans="1:9" s="62" customFormat="1" ht="15.75" customHeight="1" x14ac:dyDescent="0.35">
      <c r="A220" s="86">
        <v>1</v>
      </c>
      <c r="B220" s="87"/>
      <c r="C220" s="63" t="s">
        <v>184</v>
      </c>
      <c r="D220" s="63">
        <f>(86.86+2.25*1.5+2.45*1.72)*10.764</f>
        <v>1016.6490359999999</v>
      </c>
      <c r="E220" s="63">
        <v>0</v>
      </c>
      <c r="F220" s="63">
        <f>D220*(($F$199)+1)+(IF(E220&lt;101,E220,IF(E220&lt;201,E220/2,IF(E220&lt;=301,E220/3,E220/4))))</f>
        <v>1626.6384576</v>
      </c>
      <c r="G220" s="88" t="str">
        <f>A219</f>
        <v>36th Floor (Part Refuge Area)</v>
      </c>
      <c r="H220" s="89"/>
      <c r="I220" s="26"/>
    </row>
    <row r="221" spans="1:9" s="62" customFormat="1" ht="15.75" customHeight="1" x14ac:dyDescent="0.35">
      <c r="A221" s="86">
        <v>2</v>
      </c>
      <c r="B221" s="87"/>
      <c r="C221" s="63" t="s">
        <v>184</v>
      </c>
      <c r="D221" s="63">
        <f>(86.86+2.25*1.5+2.45*1.72)*10.764</f>
        <v>1016.6490359999999</v>
      </c>
      <c r="E221" s="63">
        <v>0</v>
      </c>
      <c r="F221" s="63">
        <f>D221*(($F$199)+1)+(IF(E221&lt;101,E221,IF(E221&lt;201,E221/2,IF(E221&lt;=301,E221/3,E221/4))))</f>
        <v>1626.6384576</v>
      </c>
      <c r="G221" s="90"/>
      <c r="H221" s="91"/>
      <c r="I221" s="26"/>
    </row>
    <row r="222" spans="1:9" s="62" customFormat="1" ht="15.75" customHeight="1" x14ac:dyDescent="0.35">
      <c r="A222" s="86">
        <v>3</v>
      </c>
      <c r="B222" s="87"/>
      <c r="C222" s="63" t="s">
        <v>184</v>
      </c>
      <c r="D222" s="63">
        <f>(97.71+2.45*1.72+2.25*1.5)*10.764</f>
        <v>1133.4384359999999</v>
      </c>
      <c r="E222" s="63">
        <v>0</v>
      </c>
      <c r="F222" s="63">
        <f>D222*(($F$199)+1)+(IF(E222&lt;101,E222,IF(E222&lt;201,E222/2,IF(E222&lt;=301,E222/3,E222/4))))</f>
        <v>1813.5014976</v>
      </c>
      <c r="G222" s="90"/>
      <c r="H222" s="91"/>
      <c r="I222" s="26"/>
    </row>
    <row r="223" spans="1:9" s="62" customFormat="1" ht="15.75" customHeight="1" x14ac:dyDescent="0.35">
      <c r="A223" s="86">
        <v>4</v>
      </c>
      <c r="B223" s="87"/>
      <c r="C223" s="86" t="s">
        <v>186</v>
      </c>
      <c r="D223" s="105"/>
      <c r="E223" s="105"/>
      <c r="F223" s="87"/>
      <c r="G223" s="90"/>
      <c r="H223" s="91"/>
      <c r="I223" s="26"/>
    </row>
    <row r="224" spans="1:9" s="4" customFormat="1" x14ac:dyDescent="0.35">
      <c r="A224" s="113" t="s">
        <v>191</v>
      </c>
      <c r="B224" s="114"/>
      <c r="C224" s="114"/>
      <c r="D224" s="114"/>
      <c r="E224" s="114"/>
      <c r="F224" s="114"/>
      <c r="G224" s="114"/>
      <c r="H224" s="115"/>
    </row>
    <row r="225" spans="1:14" s="2" customFormat="1" ht="15.75" customHeight="1" x14ac:dyDescent="0.35">
      <c r="A225" s="106" t="s">
        <v>178</v>
      </c>
      <c r="B225" s="107"/>
      <c r="C225" s="107"/>
      <c r="D225" s="107"/>
      <c r="E225" s="107"/>
      <c r="F225" s="107"/>
      <c r="G225" s="107"/>
      <c r="H225" s="108"/>
      <c r="I225" s="26"/>
      <c r="L225" s="85"/>
      <c r="M225" s="85"/>
    </row>
    <row r="226" spans="1:14" s="2" customFormat="1" ht="15.75" customHeight="1" x14ac:dyDescent="0.35">
      <c r="A226" s="222">
        <v>1</v>
      </c>
      <c r="B226" s="222"/>
      <c r="C226" s="40" t="s">
        <v>184</v>
      </c>
      <c r="D226" s="40">
        <f>(93.17)*10.764</f>
        <v>1002.8818799999999</v>
      </c>
      <c r="E226" s="40">
        <v>0</v>
      </c>
      <c r="F226" s="40">
        <f>D226*(($F$199)+1)+(IF(E226&lt;101,E226,IF(E226&lt;201,E226/2,IF(E226&lt;=301,E226/3,E226/4))))</f>
        <v>1604.6110079999999</v>
      </c>
      <c r="G226" s="88" t="str">
        <f>A225</f>
        <v>Ground Floor for Residential &amp; Parking</v>
      </c>
      <c r="H226" s="89"/>
      <c r="I226" s="26"/>
      <c r="N226" s="26"/>
    </row>
    <row r="227" spans="1:14" s="2" customFormat="1" ht="15.75" customHeight="1" x14ac:dyDescent="0.35">
      <c r="A227" s="222">
        <v>2</v>
      </c>
      <c r="B227" s="222"/>
      <c r="C227" s="40" t="s">
        <v>184</v>
      </c>
      <c r="D227" s="40">
        <f>(93.17*10.764)</f>
        <v>1002.8818799999999</v>
      </c>
      <c r="E227" s="40">
        <v>0</v>
      </c>
      <c r="F227" s="40">
        <f>D227*(($F$199)+1)+(IF(E227&lt;101,E227,IF(E227&lt;201,E227/2,IF(E227&lt;=301,E227/3,E227/4))))</f>
        <v>1604.6110079999999</v>
      </c>
      <c r="G227" s="92"/>
      <c r="H227" s="93"/>
      <c r="I227" s="26"/>
      <c r="N227" s="26"/>
    </row>
    <row r="228" spans="1:14" s="2" customFormat="1" ht="15.75" customHeight="1" x14ac:dyDescent="0.35">
      <c r="A228" s="106" t="s">
        <v>179</v>
      </c>
      <c r="B228" s="107"/>
      <c r="C228" s="107"/>
      <c r="D228" s="107"/>
      <c r="E228" s="107"/>
      <c r="F228" s="107"/>
      <c r="G228" s="107"/>
      <c r="H228" s="108"/>
      <c r="I228" s="26"/>
    </row>
    <row r="229" spans="1:14" s="2" customFormat="1" ht="15.75" customHeight="1" x14ac:dyDescent="0.35">
      <c r="A229" s="86">
        <v>1</v>
      </c>
      <c r="B229" s="87"/>
      <c r="C229" s="40" t="s">
        <v>184</v>
      </c>
      <c r="D229" s="40">
        <f>(93.17)*10.764</f>
        <v>1002.8818799999999</v>
      </c>
      <c r="E229" s="40">
        <v>0</v>
      </c>
      <c r="F229" s="40">
        <f>D229*(($F$199)+1)+(IF(E229&lt;101,E229,IF(E229&lt;201,E229/2,IF(E229&lt;=301,E229/3,E229/4))))</f>
        <v>1604.6110079999999</v>
      </c>
      <c r="G229" s="88" t="str">
        <f>A228</f>
        <v>1st to 7th, 9th to 14th, 16th to 21st, 23rd to 28th &amp; 30th to 34th Floor</v>
      </c>
      <c r="H229" s="89"/>
      <c r="I229" s="26"/>
    </row>
    <row r="230" spans="1:14" s="2" customFormat="1" ht="15.75" customHeight="1" x14ac:dyDescent="0.35">
      <c r="A230" s="86">
        <v>2</v>
      </c>
      <c r="B230" s="87"/>
      <c r="C230" s="40" t="s">
        <v>184</v>
      </c>
      <c r="D230" s="40">
        <f>(93.17*10.764)</f>
        <v>1002.8818799999999</v>
      </c>
      <c r="E230" s="40">
        <v>0</v>
      </c>
      <c r="F230" s="40">
        <f>D230*(($F$199)+1)+(IF(E230&lt;101,E230,IF(E230&lt;201,E230/2,IF(E230&lt;=301,E230/3,E230/4))))</f>
        <v>1604.6110079999999</v>
      </c>
      <c r="G230" s="90"/>
      <c r="H230" s="91"/>
      <c r="I230" s="26"/>
    </row>
    <row r="231" spans="1:14" s="2" customFormat="1" ht="15.75" customHeight="1" x14ac:dyDescent="0.35">
      <c r="A231" s="86">
        <v>3</v>
      </c>
      <c r="B231" s="87"/>
      <c r="C231" s="40" t="s">
        <v>184</v>
      </c>
      <c r="D231" s="40">
        <f>(103.81)*10.764</f>
        <v>1117.41084</v>
      </c>
      <c r="E231" s="40">
        <v>0</v>
      </c>
      <c r="F231" s="40">
        <f>D231*(($F$199)+1)+(IF(E231&lt;101,E231,IF(E231&lt;201,E231/2,IF(E231&lt;=301,E231/3,E231/4))))</f>
        <v>1787.857344</v>
      </c>
      <c r="G231" s="90"/>
      <c r="H231" s="91"/>
      <c r="I231" s="26"/>
    </row>
    <row r="232" spans="1:14" s="2" customFormat="1" ht="15.75" customHeight="1" x14ac:dyDescent="0.35">
      <c r="A232" s="86">
        <v>4</v>
      </c>
      <c r="B232" s="87"/>
      <c r="C232" s="40" t="s">
        <v>184</v>
      </c>
      <c r="D232" s="40">
        <f>(103.82)*10.764</f>
        <v>1117.51848</v>
      </c>
      <c r="E232" s="40">
        <v>0</v>
      </c>
      <c r="F232" s="40">
        <f>D232*(($F$199)+1)+(IF(E232&lt;101,E232,IF(E232&lt;201,E232/2,IF(E232&lt;=301,E232/3,E232/4))))</f>
        <v>1788.0295679999999</v>
      </c>
      <c r="G232" s="92"/>
      <c r="H232" s="93"/>
      <c r="I232" s="26"/>
    </row>
    <row r="233" spans="1:14" s="2" customFormat="1" ht="15.75" customHeight="1" x14ac:dyDescent="0.35">
      <c r="A233" s="106" t="s">
        <v>180</v>
      </c>
      <c r="B233" s="107"/>
      <c r="C233" s="107"/>
      <c r="D233" s="107"/>
      <c r="E233" s="107"/>
      <c r="F233" s="107"/>
      <c r="G233" s="107"/>
      <c r="H233" s="108"/>
      <c r="I233" s="26"/>
    </row>
    <row r="234" spans="1:14" s="2" customFormat="1" ht="15.75" customHeight="1" x14ac:dyDescent="0.35">
      <c r="A234" s="86">
        <v>1</v>
      </c>
      <c r="B234" s="87"/>
      <c r="C234" s="40" t="s">
        <v>184</v>
      </c>
      <c r="D234" s="40">
        <f>(93.17)*10.764</f>
        <v>1002.8818799999999</v>
      </c>
      <c r="E234" s="40">
        <v>0</v>
      </c>
      <c r="F234" s="40">
        <f>D234*(($F$199)+1)+(IF(E234&lt;101,E234,IF(E234&lt;201,E234/2,IF(E234&lt;=301,E234/3,E234/4))))</f>
        <v>1604.6110079999999</v>
      </c>
      <c r="G234" s="88" t="str">
        <f>A233</f>
        <v>8th, 15th, 22nd &amp; 29th Floor (Part Area Refuge)</v>
      </c>
      <c r="H234" s="89"/>
      <c r="I234" s="26">
        <f>24200000/F234</f>
        <v>15081.536820667257</v>
      </c>
    </row>
    <row r="235" spans="1:14" s="2" customFormat="1" ht="15.75" customHeight="1" x14ac:dyDescent="0.35">
      <c r="A235" s="86">
        <v>2</v>
      </c>
      <c r="B235" s="87"/>
      <c r="C235" s="40" t="s">
        <v>184</v>
      </c>
      <c r="D235" s="40">
        <f>(93.17*10.764)</f>
        <v>1002.8818799999999</v>
      </c>
      <c r="E235" s="40">
        <v>0</v>
      </c>
      <c r="F235" s="40">
        <f>D235*(($F$199)+1)+(IF(E235&lt;101,E235,IF(E235&lt;201,E235/2,IF(E235&lt;=301,E235/3,E235/4))))</f>
        <v>1604.6110079999999</v>
      </c>
      <c r="G235" s="90"/>
      <c r="H235" s="91"/>
      <c r="I235" s="26">
        <f>24200000/F235</f>
        <v>15081.536820667257</v>
      </c>
    </row>
    <row r="236" spans="1:14" s="2" customFormat="1" ht="15.75" customHeight="1" x14ac:dyDescent="0.35">
      <c r="A236" s="86">
        <v>3</v>
      </c>
      <c r="B236" s="87"/>
      <c r="C236" s="40" t="s">
        <v>184</v>
      </c>
      <c r="D236" s="40">
        <f>(103.81)*10.764</f>
        <v>1117.41084</v>
      </c>
      <c r="E236" s="40">
        <v>0</v>
      </c>
      <c r="F236" s="40">
        <f>D236*(($F$199)+1)+(IF(E236&lt;101,E236,IF(E236&lt;201,E236/2,IF(E236&lt;=301,E236/3,E236/4))))</f>
        <v>1787.857344</v>
      </c>
      <c r="G236" s="90"/>
      <c r="H236" s="91"/>
      <c r="I236" s="26">
        <f>24200000/F236</f>
        <v>13535.755568650113</v>
      </c>
    </row>
    <row r="237" spans="1:14" s="2" customFormat="1" ht="15.75" customHeight="1" x14ac:dyDescent="0.35">
      <c r="A237" s="86">
        <v>4</v>
      </c>
      <c r="B237" s="87"/>
      <c r="C237" s="86" t="s">
        <v>186</v>
      </c>
      <c r="D237" s="105"/>
      <c r="E237" s="105"/>
      <c r="F237" s="87"/>
      <c r="G237" s="92"/>
      <c r="H237" s="93"/>
      <c r="I237" s="26"/>
    </row>
    <row r="238" spans="1:14" s="4" customFormat="1" x14ac:dyDescent="0.35">
      <c r="A238" s="113" t="s">
        <v>192</v>
      </c>
      <c r="B238" s="114"/>
      <c r="C238" s="114"/>
      <c r="D238" s="114"/>
      <c r="E238" s="114"/>
      <c r="F238" s="114"/>
      <c r="G238" s="114"/>
      <c r="H238" s="115"/>
    </row>
    <row r="239" spans="1:14" s="2" customFormat="1" ht="15.75" customHeight="1" x14ac:dyDescent="0.35">
      <c r="A239" s="106" t="s">
        <v>178</v>
      </c>
      <c r="B239" s="107"/>
      <c r="C239" s="107"/>
      <c r="D239" s="107"/>
      <c r="E239" s="107"/>
      <c r="F239" s="107"/>
      <c r="G239" s="107"/>
      <c r="H239" s="108"/>
      <c r="I239" s="26"/>
      <c r="L239" s="85"/>
      <c r="M239" s="85"/>
    </row>
    <row r="240" spans="1:14" s="2" customFormat="1" x14ac:dyDescent="0.35">
      <c r="A240" s="86">
        <v>1</v>
      </c>
      <c r="B240" s="87"/>
      <c r="C240" s="40" t="s">
        <v>187</v>
      </c>
      <c r="D240" s="40">
        <f>(132.98)*10.764</f>
        <v>1431.3967199999997</v>
      </c>
      <c r="E240" s="40">
        <v>0</v>
      </c>
      <c r="F240" s="40">
        <f>D240*(($F$199)+1)+(IF(E240&lt;101,E240,IF(E240&lt;201,E240/2,IF(E240&lt;=301,E240/3,E240/4))))</f>
        <v>2290.2347519999998</v>
      </c>
      <c r="G240" s="86" t="str">
        <f>A239</f>
        <v>Ground Floor for Residential &amp; Parking</v>
      </c>
      <c r="H240" s="87"/>
      <c r="I240" s="26">
        <f>37900000/F240</f>
        <v>16548.521922000771</v>
      </c>
    </row>
    <row r="241" spans="1:13" s="2" customFormat="1" ht="15.75" customHeight="1" x14ac:dyDescent="0.35">
      <c r="A241" s="106" t="s">
        <v>181</v>
      </c>
      <c r="B241" s="107"/>
      <c r="C241" s="107"/>
      <c r="D241" s="107"/>
      <c r="E241" s="107"/>
      <c r="F241" s="107"/>
      <c r="G241" s="107"/>
      <c r="H241" s="108"/>
      <c r="I241" s="26"/>
      <c r="L241" s="85"/>
      <c r="M241" s="85"/>
    </row>
    <row r="242" spans="1:13" s="2" customFormat="1" ht="15.75" customHeight="1" x14ac:dyDescent="0.35">
      <c r="A242" s="86">
        <v>1</v>
      </c>
      <c r="B242" s="87"/>
      <c r="C242" s="40" t="s">
        <v>187</v>
      </c>
      <c r="D242" s="40">
        <f>(132.98)*10.764</f>
        <v>1431.3967199999997</v>
      </c>
      <c r="E242" s="40">
        <v>0</v>
      </c>
      <c r="F242" s="40">
        <f>D242*(($F$199)+1)+(IF(E242&lt;101,E242,IF(E242&lt;201,E242/2,IF(E242&lt;=301,E242/3,E242/4))))</f>
        <v>2290.2347519999998</v>
      </c>
      <c r="G242" s="88" t="str">
        <f>A241</f>
        <v>1st to 7th, 10th to 14th, 17th to 21st Floor</v>
      </c>
      <c r="H242" s="89"/>
      <c r="I242" s="26"/>
    </row>
    <row r="243" spans="1:13" s="2" customFormat="1" ht="15.75" customHeight="1" x14ac:dyDescent="0.35">
      <c r="A243" s="86">
        <v>2</v>
      </c>
      <c r="B243" s="87"/>
      <c r="C243" s="40" t="s">
        <v>185</v>
      </c>
      <c r="D243" s="40">
        <f>(70.59)*10.764</f>
        <v>759.83075999999994</v>
      </c>
      <c r="E243" s="40">
        <v>0</v>
      </c>
      <c r="F243" s="40">
        <f>D243*(($F$199)+1)+(IF(E243&lt;101,E243,IF(E243&lt;201,E243/2,IF(E243&lt;=301,E243/3,E243/4))))</f>
        <v>1215.729216</v>
      </c>
      <c r="G243" s="90"/>
      <c r="H243" s="91"/>
      <c r="I243" s="26">
        <f>19500000/F243</f>
        <v>16039.756010930645</v>
      </c>
    </row>
    <row r="244" spans="1:13" s="2" customFormat="1" ht="15.75" customHeight="1" x14ac:dyDescent="0.35">
      <c r="A244" s="86">
        <v>3</v>
      </c>
      <c r="B244" s="87"/>
      <c r="C244" s="40" t="s">
        <v>185</v>
      </c>
      <c r="D244" s="40">
        <f>(70.59)*10.764</f>
        <v>759.83075999999994</v>
      </c>
      <c r="E244" s="40">
        <v>0</v>
      </c>
      <c r="F244" s="40">
        <f>D244*(($F$199)+1)+(IF(E244&lt;101,E244,IF(E244&lt;201,E244/2,IF(E244&lt;=301,E244/3,E244/4))))</f>
        <v>1215.729216</v>
      </c>
      <c r="G244" s="92"/>
      <c r="H244" s="93"/>
      <c r="I244" s="26"/>
    </row>
    <row r="245" spans="1:13" s="2" customFormat="1" ht="15.75" customHeight="1" x14ac:dyDescent="0.35">
      <c r="A245" s="106" t="s">
        <v>183</v>
      </c>
      <c r="B245" s="107"/>
      <c r="C245" s="107"/>
      <c r="D245" s="107"/>
      <c r="E245" s="107"/>
      <c r="F245" s="107"/>
      <c r="G245" s="107"/>
      <c r="H245" s="108"/>
      <c r="I245" s="26"/>
      <c r="L245" s="85"/>
      <c r="M245" s="85"/>
    </row>
    <row r="246" spans="1:13" s="2" customFormat="1" ht="15.75" customHeight="1" x14ac:dyDescent="0.35">
      <c r="A246" s="86">
        <v>1</v>
      </c>
      <c r="B246" s="87"/>
      <c r="C246" s="40" t="s">
        <v>187</v>
      </c>
      <c r="D246" s="40">
        <f>(132.98)*10.764</f>
        <v>1431.3967199999997</v>
      </c>
      <c r="E246" s="40">
        <v>0</v>
      </c>
      <c r="F246" s="40">
        <f>D246*(($F$199)+1)+(IF(E246&lt;101,E246,IF(E246&lt;201,E246/2,IF(E246&lt;=301,E246/3,E246/4))))</f>
        <v>2290.2347519999998</v>
      </c>
      <c r="G246" s="88" t="str">
        <f>A245</f>
        <v>8th &amp; 15th Floor</v>
      </c>
      <c r="H246" s="89"/>
      <c r="I246" s="26"/>
    </row>
    <row r="247" spans="1:13" s="2" customFormat="1" ht="15.75" customHeight="1" x14ac:dyDescent="0.35">
      <c r="A247" s="86">
        <v>2</v>
      </c>
      <c r="B247" s="87"/>
      <c r="C247" s="86" t="s">
        <v>186</v>
      </c>
      <c r="D247" s="105"/>
      <c r="E247" s="105"/>
      <c r="F247" s="87"/>
      <c r="G247" s="90"/>
      <c r="H247" s="91"/>
      <c r="I247" s="26"/>
    </row>
    <row r="248" spans="1:13" s="2" customFormat="1" ht="15.75" customHeight="1" x14ac:dyDescent="0.35">
      <c r="A248" s="86">
        <v>3</v>
      </c>
      <c r="B248" s="87"/>
      <c r="C248" s="40" t="s">
        <v>185</v>
      </c>
      <c r="D248" s="40">
        <f>(70.59)*10.764</f>
        <v>759.83075999999994</v>
      </c>
      <c r="E248" s="40">
        <v>0</v>
      </c>
      <c r="F248" s="40">
        <f>D248*(($F$199)+1)+(IF(E248&lt;101,E248,IF(E248&lt;201,E248/2,IF(E248&lt;=301,E248/3,E248/4))))</f>
        <v>1215.729216</v>
      </c>
      <c r="G248" s="92"/>
      <c r="H248" s="93"/>
      <c r="I248" s="26"/>
    </row>
    <row r="249" spans="1:13" s="2" customFormat="1" ht="15.75" customHeight="1" x14ac:dyDescent="0.35">
      <c r="A249" s="106" t="s">
        <v>182</v>
      </c>
      <c r="B249" s="107"/>
      <c r="C249" s="107"/>
      <c r="D249" s="107"/>
      <c r="E249" s="107"/>
      <c r="F249" s="107"/>
      <c r="G249" s="107"/>
      <c r="H249" s="108"/>
      <c r="I249" s="26"/>
      <c r="L249" s="85"/>
      <c r="M249" s="85"/>
    </row>
    <row r="250" spans="1:13" s="2" customFormat="1" ht="15.75" customHeight="1" x14ac:dyDescent="0.35">
      <c r="A250" s="86">
        <v>1</v>
      </c>
      <c r="B250" s="87"/>
      <c r="C250" s="40" t="s">
        <v>187</v>
      </c>
      <c r="D250" s="40">
        <f>(132.98)*10.764</f>
        <v>1431.3967199999997</v>
      </c>
      <c r="E250" s="40">
        <v>0</v>
      </c>
      <c r="F250" s="40">
        <f>D250*(($F$199)+1)+(IF(E250&lt;101,E250,IF(E250&lt;201,E250/2,IF(E250&lt;=301,E250/3,E250/4))))</f>
        <v>2290.2347519999998</v>
      </c>
      <c r="G250" s="88" t="str">
        <f>A249</f>
        <v>9th &amp; 16th Floor</v>
      </c>
      <c r="H250" s="89"/>
      <c r="I250" s="26"/>
    </row>
    <row r="251" spans="1:13" s="2" customFormat="1" ht="15.75" customHeight="1" x14ac:dyDescent="0.35">
      <c r="A251" s="86">
        <v>2</v>
      </c>
      <c r="B251" s="87"/>
      <c r="C251" s="40" t="s">
        <v>185</v>
      </c>
      <c r="D251" s="40">
        <f>(70.59)*10.764</f>
        <v>759.83075999999994</v>
      </c>
      <c r="E251" s="40">
        <v>0</v>
      </c>
      <c r="F251" s="40">
        <f>D251*(($F$199)+1)+(IF(E251&lt;101,E251,IF(E251&lt;201,E251/2,IF(E251&lt;=301,E251/3,E251/4))))</f>
        <v>1215.729216</v>
      </c>
      <c r="G251" s="90"/>
      <c r="H251" s="91"/>
      <c r="I251" s="26"/>
    </row>
    <row r="252" spans="1:13" s="2" customFormat="1" ht="15.75" customHeight="1" x14ac:dyDescent="0.35">
      <c r="A252" s="86">
        <v>3</v>
      </c>
      <c r="B252" s="87"/>
      <c r="C252" s="40" t="s">
        <v>185</v>
      </c>
      <c r="D252" s="40">
        <f>(70.59)*10.764</f>
        <v>759.83075999999994</v>
      </c>
      <c r="E252" s="40">
        <v>0</v>
      </c>
      <c r="F252" s="40">
        <f>D252*(($F$199)+1)+(IF(E252&lt;101,E252,IF(E252&lt;201,E252/2,IF(E252&lt;=301,E252/3,E252/4))))</f>
        <v>1215.729216</v>
      </c>
      <c r="G252" s="92"/>
      <c r="H252" s="93"/>
      <c r="I252" s="26"/>
    </row>
    <row r="253" spans="1:13" s="2" customFormat="1" ht="15.75" customHeight="1" x14ac:dyDescent="0.35">
      <c r="A253" s="106" t="s">
        <v>188</v>
      </c>
      <c r="B253" s="107"/>
      <c r="C253" s="107"/>
      <c r="D253" s="107"/>
      <c r="E253" s="107"/>
      <c r="F253" s="107"/>
      <c r="G253" s="107"/>
      <c r="H253" s="108"/>
      <c r="I253" s="26"/>
      <c r="L253" s="85"/>
      <c r="M253" s="85"/>
    </row>
    <row r="254" spans="1:13" s="2" customFormat="1" ht="15.75" customHeight="1" x14ac:dyDescent="0.35">
      <c r="A254" s="86">
        <v>1</v>
      </c>
      <c r="B254" s="87"/>
      <c r="C254" s="40" t="s">
        <v>187</v>
      </c>
      <c r="D254" s="40">
        <f>(132.98)*10.764</f>
        <v>1431.3967199999997</v>
      </c>
      <c r="E254" s="40">
        <v>0</v>
      </c>
      <c r="F254" s="40">
        <f>D254*(($F$199)+1)+(IF(E254&lt;101,E254,IF(E254&lt;201,E254/2,IF(E254&lt;=301,E254/3,E254/4))))</f>
        <v>2290.2347519999998</v>
      </c>
      <c r="G254" s="88" t="str">
        <f>A253</f>
        <v>22nd Floor (Part Terrace)</v>
      </c>
      <c r="H254" s="89"/>
      <c r="I254" s="26"/>
    </row>
    <row r="255" spans="1:13" s="2" customFormat="1" ht="15.75" customHeight="1" x14ac:dyDescent="0.35">
      <c r="A255" s="86">
        <v>2</v>
      </c>
      <c r="B255" s="87"/>
      <c r="C255" s="86" t="s">
        <v>189</v>
      </c>
      <c r="D255" s="105"/>
      <c r="E255" s="105"/>
      <c r="F255" s="87"/>
      <c r="G255" s="90"/>
      <c r="H255" s="91"/>
      <c r="I255" s="26"/>
    </row>
    <row r="256" spans="1:13" s="2" customFormat="1" ht="15.75" customHeight="1" x14ac:dyDescent="0.35">
      <c r="A256" s="86">
        <v>3</v>
      </c>
      <c r="B256" s="87"/>
      <c r="C256" s="40" t="s">
        <v>185</v>
      </c>
      <c r="D256" s="40">
        <f>(70.59)*10.764</f>
        <v>759.83075999999994</v>
      </c>
      <c r="E256" s="40">
        <v>0</v>
      </c>
      <c r="F256" s="40">
        <f>D256*(($F$199)+1)+(IF(E256&lt;101,E256,IF(E256&lt;201,E256/2,IF(E256&lt;=301,E256/3,E256/4))))</f>
        <v>1215.729216</v>
      </c>
      <c r="G256" s="92"/>
      <c r="H256" s="93"/>
      <c r="I256" s="26"/>
    </row>
    <row r="257" spans="1:13" s="4" customFormat="1" x14ac:dyDescent="0.35">
      <c r="A257" s="113" t="s">
        <v>193</v>
      </c>
      <c r="B257" s="114"/>
      <c r="C257" s="114"/>
      <c r="D257" s="114"/>
      <c r="E257" s="114"/>
      <c r="F257" s="114"/>
      <c r="G257" s="114"/>
      <c r="H257" s="115"/>
    </row>
    <row r="258" spans="1:13" s="2" customFormat="1" ht="15.75" customHeight="1" x14ac:dyDescent="0.35">
      <c r="A258" s="106" t="s">
        <v>178</v>
      </c>
      <c r="B258" s="107"/>
      <c r="C258" s="107"/>
      <c r="D258" s="107"/>
      <c r="E258" s="107"/>
      <c r="F258" s="107"/>
      <c r="G258" s="107"/>
      <c r="H258" s="108"/>
      <c r="I258" s="26"/>
      <c r="L258" s="85"/>
      <c r="M258" s="85"/>
    </row>
    <row r="259" spans="1:13" s="2" customFormat="1" ht="15.75" customHeight="1" x14ac:dyDescent="0.35">
      <c r="A259" s="86">
        <v>1</v>
      </c>
      <c r="B259" s="87"/>
      <c r="C259" s="40" t="s">
        <v>185</v>
      </c>
      <c r="D259" s="40">
        <f>(70.5)*10.764</f>
        <v>758.86199999999997</v>
      </c>
      <c r="E259" s="40">
        <v>0</v>
      </c>
      <c r="F259" s="40">
        <f>D259*(($F$199)+1)+(IF(E259&lt;101,E259,IF(E259&lt;201,E259/2,IF(E259&lt;=301,E259/3,E259/4))))</f>
        <v>1214.1792</v>
      </c>
      <c r="G259" s="88" t="str">
        <f>A258</f>
        <v>Ground Floor for Residential &amp; Parking</v>
      </c>
      <c r="H259" s="89"/>
      <c r="I259" s="26"/>
    </row>
    <row r="260" spans="1:13" s="2" customFormat="1" ht="15.75" customHeight="1" x14ac:dyDescent="0.35">
      <c r="A260" s="86">
        <v>2</v>
      </c>
      <c r="B260" s="87"/>
      <c r="C260" s="40" t="s">
        <v>185</v>
      </c>
      <c r="D260" s="40">
        <f>(70.55)*10.764</f>
        <v>759.40019999999993</v>
      </c>
      <c r="E260" s="40">
        <v>0</v>
      </c>
      <c r="F260" s="40">
        <f>D260*(($F$199)+1)+(IF(E260&lt;101,E260,IF(E260&lt;201,E260/2,IF(E260&lt;=301,E260/3,E260/4))))</f>
        <v>1215.0403199999998</v>
      </c>
      <c r="G260" s="92"/>
      <c r="H260" s="93"/>
      <c r="I260" s="26"/>
    </row>
    <row r="261" spans="1:13" s="2" customFormat="1" ht="15.75" customHeight="1" x14ac:dyDescent="0.35">
      <c r="A261" s="106" t="s">
        <v>181</v>
      </c>
      <c r="B261" s="107"/>
      <c r="C261" s="107"/>
      <c r="D261" s="107"/>
      <c r="E261" s="107"/>
      <c r="F261" s="107"/>
      <c r="G261" s="107"/>
      <c r="H261" s="108"/>
      <c r="I261" s="26"/>
      <c r="L261" s="85"/>
      <c r="M261" s="85"/>
    </row>
    <row r="262" spans="1:13" s="2" customFormat="1" ht="15.75" customHeight="1" x14ac:dyDescent="0.35">
      <c r="A262" s="86">
        <v>1</v>
      </c>
      <c r="B262" s="87"/>
      <c r="C262" s="40" t="s">
        <v>185</v>
      </c>
      <c r="D262" s="40">
        <f>(70.5)*10.764</f>
        <v>758.86199999999997</v>
      </c>
      <c r="E262" s="40">
        <v>0</v>
      </c>
      <c r="F262" s="40">
        <f>D262*(($F$199)+1)+(IF(E262&lt;101,E262,IF(E262&lt;201,E262/2,IF(E262&lt;=301,E262/3,E262/4))))</f>
        <v>1214.1792</v>
      </c>
      <c r="G262" s="88" t="str">
        <f>A261</f>
        <v>1st to 7th, 10th to 14th, 17th to 21st Floor</v>
      </c>
      <c r="H262" s="89"/>
      <c r="I262" s="26"/>
    </row>
    <row r="263" spans="1:13" s="2" customFormat="1" ht="15.75" customHeight="1" x14ac:dyDescent="0.35">
      <c r="A263" s="86">
        <v>2</v>
      </c>
      <c r="B263" s="87"/>
      <c r="C263" s="40" t="s">
        <v>185</v>
      </c>
      <c r="D263" s="40">
        <f>(70.55)*10.764</f>
        <v>759.40019999999993</v>
      </c>
      <c r="E263" s="40">
        <v>0</v>
      </c>
      <c r="F263" s="40">
        <f>D263*(($F$199)+1)+(IF(E263&lt;101,E263,IF(E263&lt;201,E263/2,IF(E263&lt;=301,E263/3,E263/4))))</f>
        <v>1215.0403199999998</v>
      </c>
      <c r="G263" s="90"/>
      <c r="H263" s="91"/>
      <c r="I263" s="26"/>
    </row>
    <row r="264" spans="1:13" s="2" customFormat="1" ht="15.75" customHeight="1" x14ac:dyDescent="0.35">
      <c r="A264" s="86">
        <v>3</v>
      </c>
      <c r="B264" s="87"/>
      <c r="C264" s="40" t="s">
        <v>185</v>
      </c>
      <c r="D264" s="40">
        <f>(70.56)*10.764</f>
        <v>759.50783999999999</v>
      </c>
      <c r="E264" s="40">
        <v>0</v>
      </c>
      <c r="F264" s="40">
        <f>D264*(($F$199)+1)+(IF(E264&lt;101,E264,IF(E264&lt;201,E264/2,IF(E264&lt;=301,E264/3,E264/4))))</f>
        <v>1215.212544</v>
      </c>
      <c r="G264" s="90"/>
      <c r="H264" s="91"/>
      <c r="I264" s="26"/>
    </row>
    <row r="265" spans="1:13" s="2" customFormat="1" ht="15.75" customHeight="1" x14ac:dyDescent="0.35">
      <c r="A265" s="86">
        <v>4</v>
      </c>
      <c r="B265" s="87"/>
      <c r="C265" s="40" t="s">
        <v>185</v>
      </c>
      <c r="D265" s="40">
        <f>(70.52)*10.764</f>
        <v>759.07727999999986</v>
      </c>
      <c r="E265" s="40">
        <v>0</v>
      </c>
      <c r="F265" s="40">
        <f>D265*(($F$199)+1)+(IF(E265&lt;101,E265,IF(E265&lt;201,E265/2,IF(E265&lt;=301,E265/3,E265/4))))</f>
        <v>1214.5236479999999</v>
      </c>
      <c r="G265" s="92"/>
      <c r="H265" s="93"/>
      <c r="I265" s="26"/>
    </row>
    <row r="266" spans="1:13" s="2" customFormat="1" ht="15.75" customHeight="1" x14ac:dyDescent="0.35">
      <c r="A266" s="106" t="s">
        <v>233</v>
      </c>
      <c r="B266" s="107"/>
      <c r="C266" s="107"/>
      <c r="D266" s="107"/>
      <c r="E266" s="107"/>
      <c r="F266" s="107"/>
      <c r="G266" s="107"/>
      <c r="H266" s="108"/>
      <c r="I266" s="26"/>
      <c r="L266" s="85"/>
      <c r="M266" s="85"/>
    </row>
    <row r="267" spans="1:13" s="2" customFormat="1" ht="15.75" customHeight="1" x14ac:dyDescent="0.35">
      <c r="A267" s="86" t="s">
        <v>234</v>
      </c>
      <c r="B267" s="87"/>
      <c r="C267" s="40" t="s">
        <v>185</v>
      </c>
      <c r="D267" s="40">
        <f>(70.5)*10.764</f>
        <v>758.86199999999997</v>
      </c>
      <c r="E267" s="40">
        <v>0</v>
      </c>
      <c r="F267" s="40">
        <f>D267*(($F$199)+1)+(IF(E267&lt;101,E267,IF(E267&lt;201,E267/2,IF(E267&lt;=301,E267/3,E267/4))))</f>
        <v>1214.1792</v>
      </c>
      <c r="G267" s="88" t="str">
        <f>A266</f>
        <v>8th &amp; 15th Floor (Part Refuge)</v>
      </c>
      <c r="H267" s="89"/>
      <c r="I267" s="26"/>
    </row>
    <row r="268" spans="1:13" s="2" customFormat="1" ht="15.75" customHeight="1" x14ac:dyDescent="0.35">
      <c r="A268" s="86">
        <v>2</v>
      </c>
      <c r="B268" s="87"/>
      <c r="C268" s="40" t="s">
        <v>185</v>
      </c>
      <c r="D268" s="40">
        <f>(70.55)*10.764</f>
        <v>759.40019999999993</v>
      </c>
      <c r="E268" s="40">
        <v>0</v>
      </c>
      <c r="F268" s="40">
        <f>D268*(($F$199)+1)+(IF(E268&lt;101,E268,IF(E268&lt;201,E268/2,IF(E268&lt;=301,E268/3,E268/4))))</f>
        <v>1215.0403199999998</v>
      </c>
      <c r="G268" s="90"/>
      <c r="H268" s="91"/>
      <c r="I268" s="26"/>
    </row>
    <row r="269" spans="1:13" s="2" customFormat="1" ht="15.75" customHeight="1" x14ac:dyDescent="0.35">
      <c r="A269" s="86">
        <v>3</v>
      </c>
      <c r="B269" s="87"/>
      <c r="C269" s="86" t="s">
        <v>186</v>
      </c>
      <c r="D269" s="105"/>
      <c r="E269" s="105"/>
      <c r="F269" s="87"/>
      <c r="G269" s="90"/>
      <c r="H269" s="91"/>
      <c r="I269" s="26"/>
    </row>
    <row r="270" spans="1:13" s="2" customFormat="1" ht="15.75" customHeight="1" x14ac:dyDescent="0.35">
      <c r="A270" s="86">
        <v>4</v>
      </c>
      <c r="B270" s="87"/>
      <c r="C270" s="40" t="s">
        <v>185</v>
      </c>
      <c r="D270" s="40">
        <f>(70.52)*10.764</f>
        <v>759.07727999999986</v>
      </c>
      <c r="E270" s="40">
        <v>0</v>
      </c>
      <c r="F270" s="40">
        <f>D270*(($F$199)+1)+(IF(E270&lt;101,E270,IF(E270&lt;201,E270/2,IF(E270&lt;=301,E270/3,E270/4))))</f>
        <v>1214.5236479999999</v>
      </c>
      <c r="G270" s="92"/>
      <c r="H270" s="93"/>
      <c r="I270" s="26"/>
    </row>
    <row r="271" spans="1:13" s="2" customFormat="1" ht="15.75" customHeight="1" x14ac:dyDescent="0.35">
      <c r="A271" s="106" t="s">
        <v>182</v>
      </c>
      <c r="B271" s="107"/>
      <c r="C271" s="107"/>
      <c r="D271" s="107"/>
      <c r="E271" s="107"/>
      <c r="F271" s="107"/>
      <c r="G271" s="107"/>
      <c r="H271" s="108"/>
      <c r="I271" s="26"/>
      <c r="L271" s="85"/>
      <c r="M271" s="85"/>
    </row>
    <row r="272" spans="1:13" s="2" customFormat="1" ht="15.75" customHeight="1" x14ac:dyDescent="0.35">
      <c r="A272" s="86">
        <v>1</v>
      </c>
      <c r="B272" s="87"/>
      <c r="C272" s="40" t="s">
        <v>185</v>
      </c>
      <c r="D272" s="40">
        <f>(70.5)*10.764</f>
        <v>758.86199999999997</v>
      </c>
      <c r="E272" s="40">
        <v>0</v>
      </c>
      <c r="F272" s="40">
        <f>D272*(($F$199)+1)+(IF(E272&lt;101,E272,IF(E272&lt;201,E272/2,IF(E272&lt;=301,E272/3,E272/4))))</f>
        <v>1214.1792</v>
      </c>
      <c r="G272" s="88" t="str">
        <f>A271</f>
        <v>9th &amp; 16th Floor</v>
      </c>
      <c r="H272" s="89"/>
      <c r="I272" s="26"/>
    </row>
    <row r="273" spans="1:13" s="2" customFormat="1" ht="15.75" customHeight="1" x14ac:dyDescent="0.35">
      <c r="A273" s="86">
        <v>2</v>
      </c>
      <c r="B273" s="87"/>
      <c r="C273" s="40" t="s">
        <v>185</v>
      </c>
      <c r="D273" s="40">
        <f>(70.55)*10.764</f>
        <v>759.40019999999993</v>
      </c>
      <c r="E273" s="40">
        <v>0</v>
      </c>
      <c r="F273" s="40">
        <f>D273*(($F$199)+1)+(IF(E273&lt;101,E273,IF(E273&lt;201,E273/2,IF(E273&lt;=301,E273/3,E273/4))))</f>
        <v>1215.0403199999998</v>
      </c>
      <c r="G273" s="90"/>
      <c r="H273" s="91"/>
      <c r="I273" s="26"/>
    </row>
    <row r="274" spans="1:13" s="2" customFormat="1" ht="15.75" customHeight="1" x14ac:dyDescent="0.35">
      <c r="A274" s="86">
        <v>3</v>
      </c>
      <c r="B274" s="87"/>
      <c r="C274" s="40" t="s">
        <v>185</v>
      </c>
      <c r="D274" s="40">
        <f>(70.56)*10.764</f>
        <v>759.50783999999999</v>
      </c>
      <c r="E274" s="40">
        <v>0</v>
      </c>
      <c r="F274" s="40">
        <f>D274*(($F$199)+1)+(IF(E274&lt;101,E274,IF(E274&lt;201,E274/2,IF(E274&lt;=301,E274/3,E274/4))))</f>
        <v>1215.212544</v>
      </c>
      <c r="G274" s="90"/>
      <c r="H274" s="91"/>
      <c r="I274" s="26"/>
    </row>
    <row r="275" spans="1:13" s="2" customFormat="1" ht="15.75" customHeight="1" x14ac:dyDescent="0.35">
      <c r="A275" s="86">
        <v>4</v>
      </c>
      <c r="B275" s="87"/>
      <c r="C275" s="40" t="s">
        <v>185</v>
      </c>
      <c r="D275" s="40">
        <f>(70.52)*10.764</f>
        <v>759.07727999999986</v>
      </c>
      <c r="E275" s="40">
        <v>0</v>
      </c>
      <c r="F275" s="40">
        <f>D275*(($F$199)+1)+(IF(E275&lt;101,E275,IF(E275&lt;201,E275/2,IF(E275&lt;=301,E275/3,E275/4))))</f>
        <v>1214.5236479999999</v>
      </c>
      <c r="G275" s="92"/>
      <c r="H275" s="93"/>
      <c r="I275" s="26"/>
    </row>
    <row r="276" spans="1:13" s="2" customFormat="1" ht="15.75" customHeight="1" x14ac:dyDescent="0.35">
      <c r="A276" s="106" t="s">
        <v>188</v>
      </c>
      <c r="B276" s="107"/>
      <c r="C276" s="107"/>
      <c r="D276" s="107"/>
      <c r="E276" s="107"/>
      <c r="F276" s="107"/>
      <c r="G276" s="107"/>
      <c r="H276" s="108"/>
      <c r="I276" s="26"/>
      <c r="L276" s="85"/>
      <c r="M276" s="85"/>
    </row>
    <row r="277" spans="1:13" s="2" customFormat="1" ht="15.75" customHeight="1" x14ac:dyDescent="0.35">
      <c r="A277" s="86">
        <v>1</v>
      </c>
      <c r="B277" s="87"/>
      <c r="C277" s="40" t="s">
        <v>185</v>
      </c>
      <c r="D277" s="40">
        <f>(70.5)*10.764</f>
        <v>758.86199999999997</v>
      </c>
      <c r="E277" s="40">
        <v>0</v>
      </c>
      <c r="F277" s="40">
        <f>D277*(($F$199)+1)+(IF(E277&lt;101,E277,IF(E277&lt;201,E277/2,IF(E277&lt;=301,E277/3,E277/4))))</f>
        <v>1214.1792</v>
      </c>
      <c r="G277" s="88" t="str">
        <f>A276</f>
        <v>22nd Floor (Part Terrace)</v>
      </c>
      <c r="H277" s="89"/>
      <c r="I277" s="26"/>
    </row>
    <row r="278" spans="1:13" s="2" customFormat="1" ht="15.75" customHeight="1" x14ac:dyDescent="0.35">
      <c r="A278" s="86">
        <v>2</v>
      </c>
      <c r="B278" s="87"/>
      <c r="C278" s="40" t="s">
        <v>185</v>
      </c>
      <c r="D278" s="40">
        <f>(70.55)*10.764</f>
        <v>759.40019999999993</v>
      </c>
      <c r="E278" s="40">
        <v>0</v>
      </c>
      <c r="F278" s="40">
        <f>D278*(($F$199)+1)+(IF(E278&lt;101,E278,IF(E278&lt;201,E278/2,IF(E278&lt;=301,E278/3,E278/4))))</f>
        <v>1215.0403199999998</v>
      </c>
      <c r="G278" s="90"/>
      <c r="H278" s="91"/>
      <c r="I278" s="26"/>
    </row>
    <row r="279" spans="1:13" s="2" customFormat="1" ht="15.75" customHeight="1" x14ac:dyDescent="0.35">
      <c r="A279" s="86">
        <v>3</v>
      </c>
      <c r="B279" s="87"/>
      <c r="C279" s="86" t="s">
        <v>189</v>
      </c>
      <c r="D279" s="105"/>
      <c r="E279" s="105"/>
      <c r="F279" s="87"/>
      <c r="G279" s="90"/>
      <c r="H279" s="91"/>
      <c r="I279" s="26"/>
    </row>
    <row r="280" spans="1:13" s="2" customFormat="1" ht="15.75" customHeight="1" x14ac:dyDescent="0.35">
      <c r="A280" s="86">
        <v>4</v>
      </c>
      <c r="B280" s="87"/>
      <c r="C280" s="40" t="s">
        <v>185</v>
      </c>
      <c r="D280" s="40">
        <f>(70.52)*10.764</f>
        <v>759.07727999999986</v>
      </c>
      <c r="E280" s="40">
        <v>0</v>
      </c>
      <c r="F280" s="40">
        <f>D280*(($F$199)+1)+(IF(E280&lt;101,E280,IF(E280&lt;201,E280/2,IF(E280&lt;=301,E280/3,E280/4))))</f>
        <v>1214.5236479999999</v>
      </c>
      <c r="G280" s="92"/>
      <c r="H280" s="93"/>
      <c r="I280" s="26"/>
    </row>
    <row r="281" spans="1:13" s="4" customFormat="1" x14ac:dyDescent="0.35">
      <c r="A281" s="229" t="s">
        <v>198</v>
      </c>
      <c r="B281" s="230"/>
      <c r="C281" s="230"/>
      <c r="D281" s="230"/>
      <c r="E281" s="230"/>
      <c r="F281" s="230"/>
      <c r="G281" s="230"/>
      <c r="H281" s="225"/>
    </row>
    <row r="282" spans="1:13" s="2" customFormat="1" ht="15.75" customHeight="1" x14ac:dyDescent="0.35">
      <c r="A282" s="106" t="s">
        <v>178</v>
      </c>
      <c r="B282" s="107"/>
      <c r="C282" s="107"/>
      <c r="D282" s="107"/>
      <c r="E282" s="107"/>
      <c r="F282" s="107"/>
      <c r="G282" s="107"/>
      <c r="H282" s="108"/>
      <c r="I282" s="26"/>
      <c r="L282" s="85"/>
      <c r="M282" s="85"/>
    </row>
    <row r="283" spans="1:13" s="2" customFormat="1" x14ac:dyDescent="0.35">
      <c r="A283" s="86">
        <v>3</v>
      </c>
      <c r="B283" s="87"/>
      <c r="C283" s="40" t="s">
        <v>185</v>
      </c>
      <c r="D283" s="40">
        <f>70.52*10.764</f>
        <v>759.07727999999986</v>
      </c>
      <c r="E283" s="40">
        <v>0</v>
      </c>
      <c r="F283" s="40">
        <f>D283*(($F$199)+1)+(IF(E283&lt;101,E283,IF(E283&lt;201,E283/2,IF(E283&lt;=301,E283/3,E283/4))))</f>
        <v>1214.5236479999999</v>
      </c>
      <c r="G283" s="86" t="str">
        <f>A282</f>
        <v>Ground Floor for Residential &amp; Parking</v>
      </c>
      <c r="H283" s="87"/>
      <c r="I283" s="26"/>
    </row>
    <row r="284" spans="1:13" s="2" customFormat="1" ht="15.75" customHeight="1" x14ac:dyDescent="0.35">
      <c r="A284" s="106" t="s">
        <v>181</v>
      </c>
      <c r="B284" s="107"/>
      <c r="C284" s="107"/>
      <c r="D284" s="107"/>
      <c r="E284" s="107"/>
      <c r="F284" s="107"/>
      <c r="G284" s="107"/>
      <c r="H284" s="108"/>
      <c r="I284" s="26"/>
      <c r="L284" s="85"/>
      <c r="M284" s="85"/>
    </row>
    <row r="285" spans="1:13" s="2" customFormat="1" ht="15.75" customHeight="1" x14ac:dyDescent="0.35">
      <c r="A285" s="86">
        <v>1</v>
      </c>
      <c r="B285" s="87"/>
      <c r="C285" s="40" t="s">
        <v>185</v>
      </c>
      <c r="D285" s="40">
        <f>70.52*10.764</f>
        <v>759.07727999999986</v>
      </c>
      <c r="E285" s="40">
        <v>0</v>
      </c>
      <c r="F285" s="40">
        <f>D285*(($F$199)+1)+(IF(E285&lt;101,E285,IF(E285&lt;201,E285/2,IF(E285&lt;=301,E285/3,E285/4))))</f>
        <v>1214.5236479999999</v>
      </c>
      <c r="G285" s="88" t="str">
        <f>A284</f>
        <v>1st to 7th, 10th to 14th, 17th to 21st Floor</v>
      </c>
      <c r="H285" s="89"/>
      <c r="I285" s="26"/>
    </row>
    <row r="286" spans="1:13" s="2" customFormat="1" ht="15.75" customHeight="1" x14ac:dyDescent="0.35">
      <c r="A286" s="86">
        <v>2</v>
      </c>
      <c r="B286" s="87"/>
      <c r="C286" s="40" t="s">
        <v>185</v>
      </c>
      <c r="D286" s="40">
        <f>70.56*10.764</f>
        <v>759.50783999999999</v>
      </c>
      <c r="E286" s="40">
        <v>0</v>
      </c>
      <c r="F286" s="40">
        <f>D286*(($F$199)+1)+(IF(E286&lt;101,E286,IF(E286&lt;201,E286/2,IF(E286&lt;=301,E286/3,E286/4))))</f>
        <v>1215.212544</v>
      </c>
      <c r="G286" s="90"/>
      <c r="H286" s="91"/>
      <c r="I286" s="26"/>
    </row>
    <row r="287" spans="1:13" s="2" customFormat="1" ht="15.75" customHeight="1" x14ac:dyDescent="0.35">
      <c r="A287" s="86">
        <v>3</v>
      </c>
      <c r="B287" s="87"/>
      <c r="C287" s="40" t="s">
        <v>185</v>
      </c>
      <c r="D287" s="40">
        <f>70.55*10.764</f>
        <v>759.40019999999993</v>
      </c>
      <c r="E287" s="40">
        <v>0</v>
      </c>
      <c r="F287" s="40">
        <f>D287*(($F$199)+1)+(IF(E287&lt;101,E287,IF(E287&lt;201,E287/2,IF(E287&lt;=301,E287/3,E287/4))))</f>
        <v>1215.0403199999998</v>
      </c>
      <c r="G287" s="90"/>
      <c r="H287" s="91"/>
      <c r="I287" s="26"/>
    </row>
    <row r="288" spans="1:13" s="2" customFormat="1" ht="15.75" customHeight="1" x14ac:dyDescent="0.35">
      <c r="A288" s="86">
        <v>4</v>
      </c>
      <c r="B288" s="87"/>
      <c r="C288" s="40" t="s">
        <v>185</v>
      </c>
      <c r="D288" s="40">
        <f>70.5*10.764</f>
        <v>758.86199999999997</v>
      </c>
      <c r="E288" s="40">
        <v>0</v>
      </c>
      <c r="F288" s="40">
        <f>D288*(($F$199)+1)+(IF(E288&lt;101,E288,IF(E288&lt;201,E288/2,IF(E288&lt;=301,E288/3,E288/4))))</f>
        <v>1214.1792</v>
      </c>
      <c r="G288" s="92"/>
      <c r="H288" s="93"/>
      <c r="I288" s="26"/>
    </row>
    <row r="289" spans="1:13" s="2" customFormat="1" ht="15.75" customHeight="1" x14ac:dyDescent="0.35">
      <c r="A289" s="106" t="s">
        <v>190</v>
      </c>
      <c r="B289" s="107"/>
      <c r="C289" s="107"/>
      <c r="D289" s="107"/>
      <c r="E289" s="107"/>
      <c r="F289" s="107"/>
      <c r="G289" s="107"/>
      <c r="H289" s="108"/>
      <c r="I289" s="26"/>
      <c r="L289" s="85"/>
      <c r="M289" s="85"/>
    </row>
    <row r="290" spans="1:13" s="2" customFormat="1" ht="15.75" customHeight="1" x14ac:dyDescent="0.35">
      <c r="A290" s="86">
        <v>1</v>
      </c>
      <c r="B290" s="87"/>
      <c r="C290" s="40" t="s">
        <v>185</v>
      </c>
      <c r="D290" s="40">
        <f>70.52*10.764</f>
        <v>759.07727999999986</v>
      </c>
      <c r="E290" s="40">
        <v>0</v>
      </c>
      <c r="F290" s="40">
        <f>D290*(($F$199)+1)+(IF(E290&lt;101,E290,IF(E290&lt;201,E290/2,IF(E290&lt;=301,E290/3,E290/4))))</f>
        <v>1214.5236479999999</v>
      </c>
      <c r="G290" s="88" t="str">
        <f>A289</f>
        <v>8th &amp; 15th Floor (Part  Reffuge)</v>
      </c>
      <c r="H290" s="89"/>
      <c r="I290" s="26"/>
    </row>
    <row r="291" spans="1:13" s="2" customFormat="1" ht="15.75" customHeight="1" x14ac:dyDescent="0.35">
      <c r="A291" s="86">
        <v>2</v>
      </c>
      <c r="B291" s="87"/>
      <c r="C291" s="86" t="s">
        <v>186</v>
      </c>
      <c r="D291" s="105"/>
      <c r="E291" s="105"/>
      <c r="F291" s="87"/>
      <c r="G291" s="90"/>
      <c r="H291" s="91"/>
      <c r="I291" s="26"/>
    </row>
    <row r="292" spans="1:13" s="2" customFormat="1" ht="15.75" customHeight="1" x14ac:dyDescent="0.35">
      <c r="A292" s="86">
        <v>3</v>
      </c>
      <c r="B292" s="87"/>
      <c r="C292" s="40" t="s">
        <v>185</v>
      </c>
      <c r="D292" s="40">
        <f>70.55*10.764</f>
        <v>759.40019999999993</v>
      </c>
      <c r="E292" s="40">
        <v>0</v>
      </c>
      <c r="F292" s="40">
        <f>D292*(($F$199)+1)+(IF(E292&lt;101,E292,IF(E292&lt;201,E292/2,IF(E292&lt;=301,E292/3,E292/4))))</f>
        <v>1215.0403199999998</v>
      </c>
      <c r="G292" s="90"/>
      <c r="H292" s="91"/>
      <c r="I292" s="26"/>
    </row>
    <row r="293" spans="1:13" s="2" customFormat="1" ht="15.75" customHeight="1" x14ac:dyDescent="0.35">
      <c r="A293" s="86">
        <v>4</v>
      </c>
      <c r="B293" s="87"/>
      <c r="C293" s="40" t="s">
        <v>185</v>
      </c>
      <c r="D293" s="40">
        <f>70.5*10.764</f>
        <v>758.86199999999997</v>
      </c>
      <c r="E293" s="40">
        <v>0</v>
      </c>
      <c r="F293" s="40">
        <f>D293*(($F$199)+1)+(IF(E293&lt;101,E293,IF(E293&lt;201,E293/2,IF(E293&lt;=301,E293/3,E293/4))))</f>
        <v>1214.1792</v>
      </c>
      <c r="G293" s="92"/>
      <c r="H293" s="93"/>
      <c r="I293" s="26"/>
    </row>
    <row r="294" spans="1:13" s="2" customFormat="1" ht="15.75" customHeight="1" x14ac:dyDescent="0.35">
      <c r="A294" s="106" t="s">
        <v>182</v>
      </c>
      <c r="B294" s="107"/>
      <c r="C294" s="107"/>
      <c r="D294" s="107"/>
      <c r="E294" s="107"/>
      <c r="F294" s="107"/>
      <c r="G294" s="107"/>
      <c r="H294" s="108"/>
      <c r="I294" s="26"/>
      <c r="L294" s="85"/>
      <c r="M294" s="85"/>
    </row>
    <row r="295" spans="1:13" s="2" customFormat="1" ht="15.75" customHeight="1" x14ac:dyDescent="0.35">
      <c r="A295" s="86">
        <v>1</v>
      </c>
      <c r="B295" s="87"/>
      <c r="C295" s="40" t="s">
        <v>185</v>
      </c>
      <c r="D295" s="40">
        <f>70.52*10.764</f>
        <v>759.07727999999986</v>
      </c>
      <c r="E295" s="40">
        <v>0</v>
      </c>
      <c r="F295" s="40">
        <f>D295*(($F$199)+1)+(IF(E295&lt;101,E295,IF(E295&lt;201,E295/2,IF(E295&lt;=301,E295/3,E295/4))))</f>
        <v>1214.5236479999999</v>
      </c>
      <c r="G295" s="88" t="str">
        <f>A294</f>
        <v>9th &amp; 16th Floor</v>
      </c>
      <c r="H295" s="89"/>
      <c r="I295" s="26"/>
    </row>
    <row r="296" spans="1:13" s="2" customFormat="1" ht="15.75" customHeight="1" x14ac:dyDescent="0.35">
      <c r="A296" s="86">
        <v>2</v>
      </c>
      <c r="B296" s="87"/>
      <c r="C296" s="40" t="s">
        <v>185</v>
      </c>
      <c r="D296" s="40">
        <f>70.56*10.764</f>
        <v>759.50783999999999</v>
      </c>
      <c r="E296" s="40">
        <v>0</v>
      </c>
      <c r="F296" s="40">
        <f>D296*(($F$199)+1)+(IF(E296&lt;101,E296,IF(E296&lt;201,E296/2,IF(E296&lt;=301,E296/3,E296/4))))</f>
        <v>1215.212544</v>
      </c>
      <c r="G296" s="90"/>
      <c r="H296" s="91"/>
      <c r="I296" s="26"/>
    </row>
    <row r="297" spans="1:13" s="2" customFormat="1" ht="15.75" customHeight="1" x14ac:dyDescent="0.35">
      <c r="A297" s="86">
        <v>3</v>
      </c>
      <c r="B297" s="87"/>
      <c r="C297" s="40" t="s">
        <v>185</v>
      </c>
      <c r="D297" s="40">
        <f>70.55*10.764</f>
        <v>759.40019999999993</v>
      </c>
      <c r="E297" s="40">
        <v>0</v>
      </c>
      <c r="F297" s="40">
        <f>D297*(($F$199)+1)+(IF(E297&lt;101,E297,IF(E297&lt;201,E297/2,IF(E297&lt;=301,E297/3,E297/4))))</f>
        <v>1215.0403199999998</v>
      </c>
      <c r="G297" s="90"/>
      <c r="H297" s="91"/>
      <c r="I297" s="26"/>
    </row>
    <row r="298" spans="1:13" s="2" customFormat="1" ht="15.75" customHeight="1" x14ac:dyDescent="0.35">
      <c r="A298" s="86">
        <v>4</v>
      </c>
      <c r="B298" s="87"/>
      <c r="C298" s="40" t="s">
        <v>185</v>
      </c>
      <c r="D298" s="40">
        <f>70.5*10.764</f>
        <v>758.86199999999997</v>
      </c>
      <c r="E298" s="40">
        <v>0</v>
      </c>
      <c r="F298" s="40">
        <f>D298*(($F$199)+1)+(IF(E298&lt;101,E298,IF(E298&lt;201,E298/2,IF(E298&lt;=301,E298/3,E298/4))))</f>
        <v>1214.1792</v>
      </c>
      <c r="G298" s="92"/>
      <c r="H298" s="93"/>
      <c r="I298" s="26"/>
    </row>
    <row r="299" spans="1:13" s="2" customFormat="1" ht="15.75" customHeight="1" x14ac:dyDescent="0.35">
      <c r="A299" s="106" t="s">
        <v>188</v>
      </c>
      <c r="B299" s="107"/>
      <c r="C299" s="107"/>
      <c r="D299" s="107"/>
      <c r="E299" s="107"/>
      <c r="F299" s="107"/>
      <c r="G299" s="107"/>
      <c r="H299" s="108"/>
      <c r="I299" s="26"/>
      <c r="L299" s="85"/>
      <c r="M299" s="85"/>
    </row>
    <row r="300" spans="1:13" s="2" customFormat="1" ht="15.75" customHeight="1" x14ac:dyDescent="0.35">
      <c r="A300" s="86">
        <v>1</v>
      </c>
      <c r="B300" s="87"/>
      <c r="C300" s="40" t="s">
        <v>185</v>
      </c>
      <c r="D300" s="40">
        <f>70.52*10.764</f>
        <v>759.07727999999986</v>
      </c>
      <c r="E300" s="40">
        <v>0</v>
      </c>
      <c r="F300" s="40">
        <f>D300*(($F$199)+1)+(IF(E300&lt;101,E300,IF(E300&lt;201,E300/2,IF(E300&lt;=301,E300/3,E300/4))))</f>
        <v>1214.5236479999999</v>
      </c>
      <c r="G300" s="88" t="str">
        <f>A299</f>
        <v>22nd Floor (Part Terrace)</v>
      </c>
      <c r="H300" s="89"/>
      <c r="I300" s="26"/>
    </row>
    <row r="301" spans="1:13" s="2" customFormat="1" ht="15.75" customHeight="1" x14ac:dyDescent="0.35">
      <c r="A301" s="86">
        <v>2</v>
      </c>
      <c r="B301" s="87"/>
      <c r="C301" s="86" t="s">
        <v>189</v>
      </c>
      <c r="D301" s="105"/>
      <c r="E301" s="105"/>
      <c r="F301" s="87"/>
      <c r="G301" s="90"/>
      <c r="H301" s="91"/>
      <c r="I301" s="26"/>
    </row>
    <row r="302" spans="1:13" s="2" customFormat="1" ht="15.75" customHeight="1" x14ac:dyDescent="0.35">
      <c r="A302" s="86">
        <v>3</v>
      </c>
      <c r="B302" s="87"/>
      <c r="C302" s="40" t="s">
        <v>185</v>
      </c>
      <c r="D302" s="40">
        <f>70.55*10.764</f>
        <v>759.40019999999993</v>
      </c>
      <c r="E302" s="40">
        <v>0</v>
      </c>
      <c r="F302" s="40">
        <f>D302*(($F$199)+1)+(IF(E302&lt;101,E302,IF(E302&lt;201,E302/2,IF(E302&lt;=301,E302/3,E302/4))))</f>
        <v>1215.0403199999998</v>
      </c>
      <c r="G302" s="90"/>
      <c r="H302" s="91"/>
      <c r="I302" s="26"/>
    </row>
    <row r="303" spans="1:13" s="2" customFormat="1" ht="15.75" customHeight="1" x14ac:dyDescent="0.35">
      <c r="A303" s="86">
        <v>4</v>
      </c>
      <c r="B303" s="87"/>
      <c r="C303" s="40" t="s">
        <v>185</v>
      </c>
      <c r="D303" s="40">
        <f>70.5*10.764</f>
        <v>758.86199999999997</v>
      </c>
      <c r="E303" s="40">
        <v>0</v>
      </c>
      <c r="F303" s="40">
        <f>D303*(($F$199)+1)+(IF(E303&lt;101,E303,IF(E303&lt;201,E303/2,IF(E303&lt;=301,E303/3,E303/4))))</f>
        <v>1214.1792</v>
      </c>
      <c r="G303" s="92"/>
      <c r="H303" s="93"/>
      <c r="I303" s="26"/>
    </row>
    <row r="304" spans="1:13" s="2" customFormat="1" x14ac:dyDescent="0.35">
      <c r="A304" s="226" t="s">
        <v>72</v>
      </c>
      <c r="B304" s="227"/>
      <c r="C304" s="227"/>
      <c r="D304" s="227"/>
      <c r="E304" s="227"/>
      <c r="F304" s="227"/>
      <c r="G304" s="227"/>
      <c r="H304" s="228"/>
      <c r="I304" s="26"/>
    </row>
    <row r="305" spans="1:8" s="1" customFormat="1" ht="82.5" customHeight="1" x14ac:dyDescent="0.35">
      <c r="A305" s="41" t="s">
        <v>161</v>
      </c>
      <c r="B305" s="82" t="s">
        <v>253</v>
      </c>
      <c r="C305" s="83"/>
      <c r="D305" s="83"/>
      <c r="E305" s="83"/>
      <c r="F305" s="83"/>
      <c r="G305" s="83"/>
      <c r="H305" s="84"/>
    </row>
    <row r="306" spans="1:8" s="1" customFormat="1" ht="15.75" customHeight="1" x14ac:dyDescent="0.35">
      <c r="A306" s="41" t="s">
        <v>161</v>
      </c>
      <c r="B306" s="82" t="str">
        <f>(IF(F198="Saleable area Loading :","We have considered Saleable area of Flats as per our Calculation.","We considered Saleable area of Flat as per Builder area Sheet."))</f>
        <v>We have considered Saleable area of Flats as per our Calculation.</v>
      </c>
      <c r="C306" s="83"/>
      <c r="D306" s="83"/>
      <c r="E306" s="83"/>
      <c r="F306" s="83"/>
      <c r="G306" s="83"/>
      <c r="H306" s="84"/>
    </row>
    <row r="307" spans="1:8" s="1" customFormat="1" ht="15.75" customHeight="1" x14ac:dyDescent="0.35">
      <c r="A307" s="41" t="s">
        <v>161</v>
      </c>
      <c r="B307" s="170" t="s">
        <v>131</v>
      </c>
      <c r="C307" s="171"/>
      <c r="D307" s="171"/>
      <c r="E307" s="171"/>
      <c r="F307" s="171"/>
      <c r="G307" s="171"/>
      <c r="H307" s="172"/>
    </row>
    <row r="308" spans="1:8" s="1" customFormat="1" ht="15.75" customHeight="1" x14ac:dyDescent="0.35">
      <c r="A308" s="41" t="s">
        <v>161</v>
      </c>
      <c r="B308" s="82" t="s">
        <v>202</v>
      </c>
      <c r="C308" s="83"/>
      <c r="D308" s="83"/>
      <c r="E308" s="83"/>
      <c r="F308" s="83"/>
      <c r="G308" s="83"/>
      <c r="H308" s="84"/>
    </row>
    <row r="309" spans="1:8" s="1" customFormat="1" ht="15.75" customHeight="1" x14ac:dyDescent="0.35">
      <c r="A309" s="41" t="s">
        <v>161</v>
      </c>
      <c r="B309" s="170" t="s">
        <v>160</v>
      </c>
      <c r="C309" s="171"/>
      <c r="D309" s="171"/>
      <c r="E309" s="171"/>
      <c r="F309" s="171"/>
      <c r="G309" s="171"/>
      <c r="H309" s="172"/>
    </row>
    <row r="310" spans="1:8" s="1" customFormat="1" ht="15.75" customHeight="1" x14ac:dyDescent="0.35">
      <c r="A310" s="41" t="s">
        <v>161</v>
      </c>
      <c r="B310" s="170" t="s">
        <v>132</v>
      </c>
      <c r="C310" s="171"/>
      <c r="D310" s="171"/>
      <c r="E310" s="171"/>
      <c r="F310" s="171"/>
      <c r="G310" s="171"/>
      <c r="H310" s="172"/>
    </row>
    <row r="311" spans="1:8" s="1" customFormat="1" ht="34.5" customHeight="1" x14ac:dyDescent="0.35">
      <c r="A311" s="41" t="s">
        <v>161</v>
      </c>
      <c r="B311" s="170" t="s">
        <v>163</v>
      </c>
      <c r="C311" s="171"/>
      <c r="D311" s="171"/>
      <c r="E311" s="171"/>
      <c r="F311" s="171"/>
      <c r="G311" s="171"/>
      <c r="H311" s="172"/>
    </row>
    <row r="312" spans="1:8" s="1" customFormat="1" x14ac:dyDescent="0.35">
      <c r="A312" s="41" t="s">
        <v>161</v>
      </c>
      <c r="B312" s="170" t="s">
        <v>133</v>
      </c>
      <c r="C312" s="171"/>
      <c r="D312" s="171"/>
      <c r="E312" s="171"/>
      <c r="F312" s="171"/>
      <c r="G312" s="171"/>
      <c r="H312" s="172"/>
    </row>
    <row r="313" spans="1:8" s="1" customFormat="1" ht="15.75" customHeight="1" x14ac:dyDescent="0.35">
      <c r="A313" s="41" t="s">
        <v>161</v>
      </c>
      <c r="B313" s="82" t="s">
        <v>200</v>
      </c>
      <c r="C313" s="83"/>
      <c r="D313" s="83"/>
      <c r="E313" s="83"/>
      <c r="F313" s="83"/>
      <c r="G313" s="83"/>
      <c r="H313" s="84"/>
    </row>
    <row r="314" spans="1:8" s="1" customFormat="1" ht="15.75" customHeight="1" x14ac:dyDescent="0.35">
      <c r="A314" s="64" t="s">
        <v>161</v>
      </c>
      <c r="B314" s="82" t="s">
        <v>223</v>
      </c>
      <c r="C314" s="83"/>
      <c r="D314" s="83"/>
      <c r="E314" s="83"/>
      <c r="F314" s="83"/>
      <c r="G314" s="83"/>
      <c r="H314" s="84"/>
    </row>
    <row r="315" spans="1:8" s="1" customFormat="1" ht="15.75" customHeight="1" x14ac:dyDescent="0.35">
      <c r="A315" s="71" t="s">
        <v>161</v>
      </c>
      <c r="B315" s="82" t="s">
        <v>236</v>
      </c>
      <c r="C315" s="83"/>
      <c r="D315" s="83"/>
      <c r="E315" s="83"/>
      <c r="F315" s="83"/>
      <c r="G315" s="83"/>
      <c r="H315" s="84"/>
    </row>
    <row r="316" spans="1:8" s="1" customFormat="1" ht="15.75" customHeight="1" x14ac:dyDescent="0.35">
      <c r="A316" s="67" t="s">
        <v>161</v>
      </c>
      <c r="B316" s="82" t="s">
        <v>237</v>
      </c>
      <c r="C316" s="83"/>
      <c r="D316" s="83"/>
      <c r="E316" s="83"/>
      <c r="F316" s="83"/>
      <c r="G316" s="83"/>
      <c r="H316" s="84"/>
    </row>
    <row r="317" spans="1:8" s="1" customFormat="1" ht="15.75" customHeight="1" x14ac:dyDescent="0.35">
      <c r="A317" s="72" t="s">
        <v>161</v>
      </c>
      <c r="B317" s="82" t="s">
        <v>239</v>
      </c>
      <c r="C317" s="83"/>
      <c r="D317" s="83"/>
      <c r="E317" s="83"/>
      <c r="F317" s="83"/>
      <c r="G317" s="83"/>
      <c r="H317" s="84"/>
    </row>
    <row r="318" spans="1:8" s="1" customFormat="1" ht="15.75" hidden="1" customHeight="1" x14ac:dyDescent="0.35">
      <c r="A318" s="77" t="s">
        <v>161</v>
      </c>
      <c r="B318" s="82" t="s">
        <v>242</v>
      </c>
      <c r="C318" s="83"/>
      <c r="D318" s="83"/>
      <c r="E318" s="83"/>
      <c r="F318" s="83"/>
      <c r="G318" s="83"/>
      <c r="H318" s="84"/>
    </row>
    <row r="319" spans="1:8" s="1" customFormat="1" ht="15.75" customHeight="1" x14ac:dyDescent="0.35">
      <c r="A319" s="78" t="s">
        <v>161</v>
      </c>
      <c r="B319" s="82" t="s">
        <v>248</v>
      </c>
      <c r="C319" s="83"/>
      <c r="D319" s="83"/>
      <c r="E319" s="83"/>
      <c r="F319" s="83"/>
      <c r="G319" s="83"/>
      <c r="H319" s="84"/>
    </row>
    <row r="320" spans="1:8" s="1" customFormat="1" ht="15.75" customHeight="1" x14ac:dyDescent="0.35">
      <c r="A320" s="75" t="s">
        <v>161</v>
      </c>
      <c r="B320" s="82" t="s">
        <v>249</v>
      </c>
      <c r="C320" s="83"/>
      <c r="D320" s="83"/>
      <c r="E320" s="83"/>
      <c r="F320" s="83"/>
      <c r="G320" s="83"/>
      <c r="H320" s="84"/>
    </row>
    <row r="321" spans="1:8" s="1" customFormat="1" x14ac:dyDescent="0.35">
      <c r="A321" s="173" t="s">
        <v>65</v>
      </c>
      <c r="B321" s="174"/>
      <c r="C321" s="174"/>
      <c r="D321" s="174"/>
      <c r="E321" s="174"/>
      <c r="F321" s="174"/>
      <c r="G321" s="174"/>
      <c r="H321" s="175"/>
    </row>
    <row r="322" spans="1:8" x14ac:dyDescent="0.35">
      <c r="A322" s="167" t="s">
        <v>66</v>
      </c>
      <c r="B322" s="168"/>
      <c r="C322" s="168"/>
      <c r="D322" s="168"/>
      <c r="E322" s="168"/>
      <c r="F322" s="168"/>
      <c r="G322" s="168"/>
      <c r="H322" s="169"/>
    </row>
    <row r="323" spans="1:8" x14ac:dyDescent="0.35">
      <c r="A323" s="132" t="s">
        <v>67</v>
      </c>
      <c r="B323" s="133"/>
      <c r="C323" s="133"/>
      <c r="D323" s="133"/>
      <c r="E323" s="133"/>
      <c r="F323" s="133"/>
      <c r="G323" s="133"/>
      <c r="H323" s="134"/>
    </row>
    <row r="324" spans="1:8" ht="15.75" customHeight="1" x14ac:dyDescent="0.35">
      <c r="A324" s="167" t="s">
        <v>68</v>
      </c>
      <c r="B324" s="168"/>
      <c r="C324" s="168"/>
      <c r="D324" s="168"/>
      <c r="E324" s="168"/>
      <c r="F324" s="168"/>
      <c r="G324" s="168"/>
      <c r="H324" s="169"/>
    </row>
    <row r="325" spans="1:8" x14ac:dyDescent="0.35">
      <c r="A325" s="167" t="s">
        <v>69</v>
      </c>
      <c r="B325" s="168"/>
      <c r="C325" s="168"/>
      <c r="D325" s="168"/>
      <c r="E325" s="168"/>
      <c r="F325" s="168"/>
      <c r="G325" s="168"/>
      <c r="H325" s="169"/>
    </row>
    <row r="326" spans="1:8" x14ac:dyDescent="0.35">
      <c r="A326" s="167" t="s">
        <v>134</v>
      </c>
      <c r="B326" s="168"/>
      <c r="C326" s="168"/>
      <c r="D326" s="168"/>
      <c r="E326" s="168"/>
      <c r="F326" s="168"/>
      <c r="G326" s="168"/>
      <c r="H326" s="169"/>
    </row>
    <row r="327" spans="1:8" x14ac:dyDescent="0.35">
      <c r="A327" s="164" t="s">
        <v>135</v>
      </c>
      <c r="B327" s="165"/>
      <c r="C327" s="165"/>
      <c r="D327" s="165"/>
      <c r="E327" s="165"/>
      <c r="F327" s="165"/>
      <c r="G327" s="165"/>
      <c r="H327" s="166"/>
    </row>
    <row r="328" spans="1:8" s="46" customFormat="1" x14ac:dyDescent="0.35">
      <c r="A328" s="161" t="s">
        <v>82</v>
      </c>
      <c r="B328" s="162"/>
      <c r="C328" s="163" t="s">
        <v>250</v>
      </c>
      <c r="D328" s="163"/>
      <c r="E328" s="163" t="s">
        <v>113</v>
      </c>
      <c r="F328" s="163"/>
      <c r="G328" s="163" t="s">
        <v>252</v>
      </c>
      <c r="H328" s="163"/>
    </row>
    <row r="329" spans="1:8" ht="15.75" customHeight="1" x14ac:dyDescent="0.35">
      <c r="A329" s="152" t="s">
        <v>84</v>
      </c>
      <c r="B329" s="153"/>
      <c r="C329" s="153"/>
      <c r="D329" s="153"/>
      <c r="E329" s="153"/>
      <c r="F329" s="153"/>
      <c r="G329" s="153"/>
      <c r="H329" s="154"/>
    </row>
    <row r="330" spans="1:8" x14ac:dyDescent="0.35">
      <c r="A330" s="155"/>
      <c r="B330" s="156"/>
      <c r="C330" s="156"/>
      <c r="D330" s="156"/>
      <c r="E330" s="156"/>
      <c r="F330" s="156"/>
      <c r="G330" s="156"/>
      <c r="H330" s="157"/>
    </row>
    <row r="331" spans="1:8" x14ac:dyDescent="0.35">
      <c r="A331" s="155"/>
      <c r="B331" s="156"/>
      <c r="C331" s="156"/>
      <c r="D331" s="156"/>
      <c r="E331" s="156"/>
      <c r="F331" s="156"/>
      <c r="G331" s="156"/>
      <c r="H331" s="157"/>
    </row>
    <row r="332" spans="1:8" x14ac:dyDescent="0.35">
      <c r="A332" s="158"/>
      <c r="B332" s="159"/>
      <c r="C332" s="159"/>
      <c r="D332" s="159"/>
      <c r="E332" s="159"/>
      <c r="F332" s="159"/>
      <c r="G332" s="159"/>
      <c r="H332" s="160"/>
    </row>
    <row r="333" spans="1:8" x14ac:dyDescent="0.35">
      <c r="A333" s="54" t="s">
        <v>70</v>
      </c>
      <c r="B333" s="55"/>
      <c r="C333" s="55"/>
      <c r="D333" s="54" t="str">
        <f>E8</f>
        <v>Lodha Kandivali Project Tower (1, 2, 3, 4 &amp; 5)</v>
      </c>
      <c r="F333" s="55"/>
      <c r="G333" s="55"/>
      <c r="H333" s="55"/>
    </row>
    <row r="334" spans="1:8" x14ac:dyDescent="0.35">
      <c r="A334" s="55"/>
      <c r="B334" s="55"/>
      <c r="C334" s="55"/>
      <c r="D334" s="55"/>
      <c r="E334" s="55"/>
      <c r="F334" s="55"/>
      <c r="G334" s="55"/>
      <c r="H334" s="55"/>
    </row>
    <row r="335" spans="1:8" x14ac:dyDescent="0.35">
      <c r="A335" s="55"/>
      <c r="B335" s="55"/>
      <c r="C335" s="55"/>
      <c r="D335" s="55"/>
      <c r="E335" s="55"/>
      <c r="F335" s="55"/>
      <c r="G335" s="55"/>
      <c r="H335" s="55"/>
    </row>
    <row r="337" ht="15" customHeight="1" x14ac:dyDescent="0.35"/>
    <row r="376" spans="1:1" x14ac:dyDescent="0.35">
      <c r="A376" s="56" t="s">
        <v>222</v>
      </c>
    </row>
    <row r="416" spans="1:1" x14ac:dyDescent="0.35">
      <c r="A416" s="56" t="s">
        <v>71</v>
      </c>
    </row>
  </sheetData>
  <mergeCells count="546">
    <mergeCell ref="C102:D102"/>
    <mergeCell ref="E102:F102"/>
    <mergeCell ref="G102:H102"/>
    <mergeCell ref="B319:H319"/>
    <mergeCell ref="B318:H318"/>
    <mergeCell ref="A54:B54"/>
    <mergeCell ref="C54:E54"/>
    <mergeCell ref="G54:H54"/>
    <mergeCell ref="B320:H320"/>
    <mergeCell ref="B317:H317"/>
    <mergeCell ref="B314:H314"/>
    <mergeCell ref="A215:B215"/>
    <mergeCell ref="G215:H218"/>
    <mergeCell ref="A216:B216"/>
    <mergeCell ref="A217:B217"/>
    <mergeCell ref="A218:B218"/>
    <mergeCell ref="C218:F218"/>
    <mergeCell ref="A238:H238"/>
    <mergeCell ref="C301:F301"/>
    <mergeCell ref="A299:H299"/>
    <mergeCell ref="A290:B290"/>
    <mergeCell ref="A291:B291"/>
    <mergeCell ref="A294:H294"/>
    <mergeCell ref="A281:H281"/>
    <mergeCell ref="B313:H313"/>
    <mergeCell ref="B312:H312"/>
    <mergeCell ref="B310:H310"/>
    <mergeCell ref="B309:H309"/>
    <mergeCell ref="B305:H305"/>
    <mergeCell ref="A304:H304"/>
    <mergeCell ref="C279:F279"/>
    <mergeCell ref="G277:H280"/>
    <mergeCell ref="A277:B277"/>
    <mergeCell ref="A278:B278"/>
    <mergeCell ref="A279:B279"/>
    <mergeCell ref="C53:E53"/>
    <mergeCell ref="G53:H53"/>
    <mergeCell ref="A197:H197"/>
    <mergeCell ref="A145:B145"/>
    <mergeCell ref="F177:H177"/>
    <mergeCell ref="C184:D184"/>
    <mergeCell ref="F180:H180"/>
    <mergeCell ref="F178:H178"/>
    <mergeCell ref="G184:H184"/>
    <mergeCell ref="A179:E179"/>
    <mergeCell ref="G160:H160"/>
    <mergeCell ref="A151:B151"/>
    <mergeCell ref="A152:B152"/>
    <mergeCell ref="A156:B156"/>
    <mergeCell ref="A165:B165"/>
    <mergeCell ref="A78:B78"/>
    <mergeCell ref="C143:H143"/>
    <mergeCell ref="A133:B133"/>
    <mergeCell ref="E133:F142"/>
    <mergeCell ref="A140:B140"/>
    <mergeCell ref="A141:B141"/>
    <mergeCell ref="A142:B142"/>
    <mergeCell ref="A148:B148"/>
    <mergeCell ref="A149:B149"/>
    <mergeCell ref="A219:H219"/>
    <mergeCell ref="A209:H209"/>
    <mergeCell ref="A210:B210"/>
    <mergeCell ref="A200:H200"/>
    <mergeCell ref="A201:H201"/>
    <mergeCell ref="G210:H213"/>
    <mergeCell ref="A146:B146"/>
    <mergeCell ref="E146:F146"/>
    <mergeCell ref="G146:H146"/>
    <mergeCell ref="A147:B147"/>
    <mergeCell ref="E147:F156"/>
    <mergeCell ref="G147:H156"/>
    <mergeCell ref="F173:H173"/>
    <mergeCell ref="A176:E176"/>
    <mergeCell ref="A173:E173"/>
    <mergeCell ref="A175:E175"/>
    <mergeCell ref="F175:H175"/>
    <mergeCell ref="A150:B150"/>
    <mergeCell ref="A157:B157"/>
    <mergeCell ref="C157:H157"/>
    <mergeCell ref="A159:B159"/>
    <mergeCell ref="C159:H159"/>
    <mergeCell ref="A160:B160"/>
    <mergeCell ref="E160:F160"/>
    <mergeCell ref="G133:H142"/>
    <mergeCell ref="A134:B134"/>
    <mergeCell ref="G89:H89"/>
    <mergeCell ref="A88:B88"/>
    <mergeCell ref="A86:B86"/>
    <mergeCell ref="C86:H86"/>
    <mergeCell ref="G132:H132"/>
    <mergeCell ref="A89:B89"/>
    <mergeCell ref="A92:B92"/>
    <mergeCell ref="A95:B95"/>
    <mergeCell ref="A124:B124"/>
    <mergeCell ref="A125:B125"/>
    <mergeCell ref="A126:B126"/>
    <mergeCell ref="A127:B127"/>
    <mergeCell ref="A128:B128"/>
    <mergeCell ref="C131:H131"/>
    <mergeCell ref="A132:B132"/>
    <mergeCell ref="E132:F132"/>
    <mergeCell ref="A137:B137"/>
    <mergeCell ref="A138:B138"/>
    <mergeCell ref="A139:B139"/>
    <mergeCell ref="A129:B129"/>
    <mergeCell ref="C129:H129"/>
    <mergeCell ref="A102:B102"/>
    <mergeCell ref="L276:M276"/>
    <mergeCell ref="L266:M266"/>
    <mergeCell ref="G262:H265"/>
    <mergeCell ref="A261:H261"/>
    <mergeCell ref="L271:M271"/>
    <mergeCell ref="A272:B272"/>
    <mergeCell ref="A273:B273"/>
    <mergeCell ref="A274:B274"/>
    <mergeCell ref="A268:B268"/>
    <mergeCell ref="A269:B269"/>
    <mergeCell ref="A270:B270"/>
    <mergeCell ref="A271:H271"/>
    <mergeCell ref="A275:B275"/>
    <mergeCell ref="A276:H276"/>
    <mergeCell ref="G272:H275"/>
    <mergeCell ref="C269:F269"/>
    <mergeCell ref="A265:B265"/>
    <mergeCell ref="A266:H266"/>
    <mergeCell ref="G267:H270"/>
    <mergeCell ref="C198:C199"/>
    <mergeCell ref="A204:H204"/>
    <mergeCell ref="A205:B205"/>
    <mergeCell ref="A206:B206"/>
    <mergeCell ref="A207:B207"/>
    <mergeCell ref="L261:M261"/>
    <mergeCell ref="A262:B262"/>
    <mergeCell ref="A263:B263"/>
    <mergeCell ref="A264:B264"/>
    <mergeCell ref="L201:M201"/>
    <mergeCell ref="A202:B202"/>
    <mergeCell ref="G202:H203"/>
    <mergeCell ref="A203:B203"/>
    <mergeCell ref="A220:B220"/>
    <mergeCell ref="G220:H223"/>
    <mergeCell ref="A221:B221"/>
    <mergeCell ref="A211:B211"/>
    <mergeCell ref="A212:B212"/>
    <mergeCell ref="A222:B222"/>
    <mergeCell ref="A223:B223"/>
    <mergeCell ref="C223:F223"/>
    <mergeCell ref="A213:B213"/>
    <mergeCell ref="A214:H214"/>
    <mergeCell ref="L239:M239"/>
    <mergeCell ref="L225:M225"/>
    <mergeCell ref="A231:B231"/>
    <mergeCell ref="A227:B227"/>
    <mergeCell ref="A234:B234"/>
    <mergeCell ref="A235:B235"/>
    <mergeCell ref="A236:B236"/>
    <mergeCell ref="A230:B230"/>
    <mergeCell ref="A237:B237"/>
    <mergeCell ref="A232:B232"/>
    <mergeCell ref="A229:B229"/>
    <mergeCell ref="A226:B226"/>
    <mergeCell ref="A225:H225"/>
    <mergeCell ref="G205:H208"/>
    <mergeCell ref="A39:D39"/>
    <mergeCell ref="E39:H39"/>
    <mergeCell ref="A65:C65"/>
    <mergeCell ref="A66:C66"/>
    <mergeCell ref="D65:H65"/>
    <mergeCell ref="E90:F99"/>
    <mergeCell ref="G90:H99"/>
    <mergeCell ref="A98:B98"/>
    <mergeCell ref="A99:B99"/>
    <mergeCell ref="D66:H6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9:H59"/>
    <mergeCell ref="A174:E174"/>
    <mergeCell ref="E76:F85"/>
    <mergeCell ref="G76:H85"/>
    <mergeCell ref="A224:H224"/>
    <mergeCell ref="A32:B32"/>
    <mergeCell ref="C32:E32"/>
    <mergeCell ref="A35:H35"/>
    <mergeCell ref="A34:B34"/>
    <mergeCell ref="C36:H36"/>
    <mergeCell ref="C34:E34"/>
    <mergeCell ref="F34:H34"/>
    <mergeCell ref="A36:B36"/>
    <mergeCell ref="A186:B186"/>
    <mergeCell ref="A180:E180"/>
    <mergeCell ref="F179:H179"/>
    <mergeCell ref="A119:B119"/>
    <mergeCell ref="E119:F128"/>
    <mergeCell ref="G119:H128"/>
    <mergeCell ref="A120:B120"/>
    <mergeCell ref="A121:B121"/>
    <mergeCell ref="A122:B122"/>
    <mergeCell ref="A123:B123"/>
    <mergeCell ref="A208:B208"/>
    <mergeCell ref="F174:H174"/>
    <mergeCell ref="E184:F184"/>
    <mergeCell ref="A184:B184"/>
    <mergeCell ref="A198:A199"/>
    <mergeCell ref="A46:B46"/>
    <mergeCell ref="C46:H46"/>
    <mergeCell ref="A196:H196"/>
    <mergeCell ref="A115:B115"/>
    <mergeCell ref="C115:H115"/>
    <mergeCell ref="A117:B117"/>
    <mergeCell ref="C117:H117"/>
    <mergeCell ref="A118:B118"/>
    <mergeCell ref="E118:F118"/>
    <mergeCell ref="G118:H118"/>
    <mergeCell ref="A59:C59"/>
    <mergeCell ref="G48:H48"/>
    <mergeCell ref="A50:B51"/>
    <mergeCell ref="A96:B96"/>
    <mergeCell ref="A94:B94"/>
    <mergeCell ref="A97:B97"/>
    <mergeCell ref="A55:B55"/>
    <mergeCell ref="C55:E55"/>
    <mergeCell ref="G191:H191"/>
    <mergeCell ref="F176:H176"/>
    <mergeCell ref="A172:E172"/>
    <mergeCell ref="A143:B143"/>
    <mergeCell ref="E190:F190"/>
    <mergeCell ref="G190:H190"/>
    <mergeCell ref="A37:B37"/>
    <mergeCell ref="E24:H24"/>
    <mergeCell ref="A26:D26"/>
    <mergeCell ref="E26:H26"/>
    <mergeCell ref="C51:E51"/>
    <mergeCell ref="G51:H51"/>
    <mergeCell ref="D69:H69"/>
    <mergeCell ref="A70:C70"/>
    <mergeCell ref="D70:H70"/>
    <mergeCell ref="C37:H37"/>
    <mergeCell ref="A38:H38"/>
    <mergeCell ref="E40:H40"/>
    <mergeCell ref="A40:D40"/>
    <mergeCell ref="A48:B48"/>
    <mergeCell ref="A56:H56"/>
    <mergeCell ref="A57:C57"/>
    <mergeCell ref="A58:C58"/>
    <mergeCell ref="D60:H60"/>
    <mergeCell ref="A49:B49"/>
    <mergeCell ref="C49:E49"/>
    <mergeCell ref="G49:H49"/>
    <mergeCell ref="A52:B53"/>
    <mergeCell ref="C52:E52"/>
    <mergeCell ref="G52:H52"/>
    <mergeCell ref="G19:H19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2:H32"/>
    <mergeCell ref="F31:H31"/>
    <mergeCell ref="C30:E30"/>
    <mergeCell ref="F33:H33"/>
    <mergeCell ref="F30:H30"/>
    <mergeCell ref="A31:B31"/>
    <mergeCell ref="A30:B30"/>
    <mergeCell ref="C31:E31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F182:H182"/>
    <mergeCell ref="A1:H1"/>
    <mergeCell ref="A2:H2"/>
    <mergeCell ref="A3:D3"/>
    <mergeCell ref="E3:H3"/>
    <mergeCell ref="A4:D4"/>
    <mergeCell ref="A8:D8"/>
    <mergeCell ref="E8:H8"/>
    <mergeCell ref="A9:D9"/>
    <mergeCell ref="E11:H11"/>
    <mergeCell ref="E4:H4"/>
    <mergeCell ref="E9:H9"/>
    <mergeCell ref="A11:D11"/>
    <mergeCell ref="A5:D5"/>
    <mergeCell ref="E5:H5"/>
    <mergeCell ref="A6:D6"/>
    <mergeCell ref="E6:H6"/>
    <mergeCell ref="A7:D7"/>
    <mergeCell ref="E7:H7"/>
    <mergeCell ref="A10:D10"/>
    <mergeCell ref="E10:H10"/>
    <mergeCell ref="A15:B15"/>
    <mergeCell ref="A12:D12"/>
    <mergeCell ref="E12:H12"/>
    <mergeCell ref="E198:E199"/>
    <mergeCell ref="G198:H199"/>
    <mergeCell ref="E195:F195"/>
    <mergeCell ref="C191:D191"/>
    <mergeCell ref="E191:F191"/>
    <mergeCell ref="D198:D199"/>
    <mergeCell ref="A166:B166"/>
    <mergeCell ref="A167:B167"/>
    <mergeCell ref="A168:B168"/>
    <mergeCell ref="A169:B169"/>
    <mergeCell ref="A170:B170"/>
    <mergeCell ref="E186:F186"/>
    <mergeCell ref="F172:H172"/>
    <mergeCell ref="A171:H171"/>
    <mergeCell ref="G185:H185"/>
    <mergeCell ref="C186:D186"/>
    <mergeCell ref="A185:B185"/>
    <mergeCell ref="A178:E178"/>
    <mergeCell ref="A177:E177"/>
    <mergeCell ref="E185:F185"/>
    <mergeCell ref="A183:H183"/>
    <mergeCell ref="C185:D185"/>
    <mergeCell ref="G186:H186"/>
    <mergeCell ref="A182:E182"/>
    <mergeCell ref="A163:B163"/>
    <mergeCell ref="A164:B164"/>
    <mergeCell ref="A329:H332"/>
    <mergeCell ref="A328:B328"/>
    <mergeCell ref="E328:F328"/>
    <mergeCell ref="C328:D328"/>
    <mergeCell ref="G328:H328"/>
    <mergeCell ref="A327:H327"/>
    <mergeCell ref="A325:H325"/>
    <mergeCell ref="A255:B255"/>
    <mergeCell ref="B311:H311"/>
    <mergeCell ref="A260:B260"/>
    <mergeCell ref="B306:H306"/>
    <mergeCell ref="B307:H307"/>
    <mergeCell ref="B308:H308"/>
    <mergeCell ref="A280:B280"/>
    <mergeCell ref="A324:H324"/>
    <mergeCell ref="A321:H321"/>
    <mergeCell ref="A322:H322"/>
    <mergeCell ref="C255:F255"/>
    <mergeCell ref="A326:H326"/>
    <mergeCell ref="C247:F247"/>
    <mergeCell ref="C192:D192"/>
    <mergeCell ref="E192:F192"/>
    <mergeCell ref="A323:H323"/>
    <mergeCell ref="A267:B267"/>
    <mergeCell ref="A303:B303"/>
    <mergeCell ref="A302:B302"/>
    <mergeCell ref="B316:H316"/>
    <mergeCell ref="A76:B76"/>
    <mergeCell ref="G47:H47"/>
    <mergeCell ref="G50:H50"/>
    <mergeCell ref="D57:H57"/>
    <mergeCell ref="C50:E50"/>
    <mergeCell ref="D61:H61"/>
    <mergeCell ref="D62:H62"/>
    <mergeCell ref="C48:E48"/>
    <mergeCell ref="D63:H63"/>
    <mergeCell ref="D58:H58"/>
    <mergeCell ref="G55:H55"/>
    <mergeCell ref="A60:C64"/>
    <mergeCell ref="A47:B47"/>
    <mergeCell ref="C47:E47"/>
    <mergeCell ref="A67:C67"/>
    <mergeCell ref="D67:H67"/>
    <mergeCell ref="C187:D187"/>
    <mergeCell ref="D64:H64"/>
    <mergeCell ref="E187:F187"/>
    <mergeCell ref="G187:H187"/>
    <mergeCell ref="A193:B193"/>
    <mergeCell ref="A195:B195"/>
    <mergeCell ref="C195:D195"/>
    <mergeCell ref="G195:H195"/>
    <mergeCell ref="A194:B194"/>
    <mergeCell ref="C194:D194"/>
    <mergeCell ref="E194:F194"/>
    <mergeCell ref="G194:H194"/>
    <mergeCell ref="C193:D193"/>
    <mergeCell ref="A188:H188"/>
    <mergeCell ref="A187:B187"/>
    <mergeCell ref="A190:B190"/>
    <mergeCell ref="C190:D190"/>
    <mergeCell ref="G192:H192"/>
    <mergeCell ref="C189:D189"/>
    <mergeCell ref="G189:H189"/>
    <mergeCell ref="E189:F189"/>
    <mergeCell ref="A153:B153"/>
    <mergeCell ref="A131:B131"/>
    <mergeCell ref="C145:H145"/>
    <mergeCell ref="A161:B161"/>
    <mergeCell ref="E161:F170"/>
    <mergeCell ref="G161:H170"/>
    <mergeCell ref="A162:B162"/>
    <mergeCell ref="A191:B191"/>
    <mergeCell ref="A72:B72"/>
    <mergeCell ref="C88:H88"/>
    <mergeCell ref="A91:B91"/>
    <mergeCell ref="A93:B93"/>
    <mergeCell ref="E89:F89"/>
    <mergeCell ref="A83:B83"/>
    <mergeCell ref="A84:B84"/>
    <mergeCell ref="A85:B85"/>
    <mergeCell ref="A90:B90"/>
    <mergeCell ref="A135:B135"/>
    <mergeCell ref="A136:B136"/>
    <mergeCell ref="A154:B154"/>
    <mergeCell ref="A155:B155"/>
    <mergeCell ref="A189:B189"/>
    <mergeCell ref="A181:E181"/>
    <mergeCell ref="F181:H181"/>
    <mergeCell ref="A68:C68"/>
    <mergeCell ref="D68:H68"/>
    <mergeCell ref="A71:C71"/>
    <mergeCell ref="D71:H71"/>
    <mergeCell ref="A69:C69"/>
    <mergeCell ref="A79:B79"/>
    <mergeCell ref="A80:B80"/>
    <mergeCell ref="A81:B81"/>
    <mergeCell ref="A82:B82"/>
    <mergeCell ref="C72:H72"/>
    <mergeCell ref="A74:B74"/>
    <mergeCell ref="C74:H74"/>
    <mergeCell ref="A75:B75"/>
    <mergeCell ref="E75:F75"/>
    <mergeCell ref="G75:H75"/>
    <mergeCell ref="A77:B77"/>
    <mergeCell ref="L249:M249"/>
    <mergeCell ref="L245:M245"/>
    <mergeCell ref="A248:B248"/>
    <mergeCell ref="A246:B246"/>
    <mergeCell ref="G226:H227"/>
    <mergeCell ref="G229:H232"/>
    <mergeCell ref="G234:H237"/>
    <mergeCell ref="G242:H244"/>
    <mergeCell ref="A233:H233"/>
    <mergeCell ref="A228:H228"/>
    <mergeCell ref="A249:H249"/>
    <mergeCell ref="A242:B242"/>
    <mergeCell ref="A241:H241"/>
    <mergeCell ref="L241:M241"/>
    <mergeCell ref="G240:H240"/>
    <mergeCell ref="A239:H239"/>
    <mergeCell ref="A240:B240"/>
    <mergeCell ref="B198:B199"/>
    <mergeCell ref="A192:B192"/>
    <mergeCell ref="E193:F193"/>
    <mergeCell ref="L258:M258"/>
    <mergeCell ref="A259:B259"/>
    <mergeCell ref="A253:H253"/>
    <mergeCell ref="L253:M253"/>
    <mergeCell ref="A254:B254"/>
    <mergeCell ref="A256:B256"/>
    <mergeCell ref="A250:B250"/>
    <mergeCell ref="A251:B251"/>
    <mergeCell ref="A247:B247"/>
    <mergeCell ref="A257:H257"/>
    <mergeCell ref="A258:H258"/>
    <mergeCell ref="G246:H248"/>
    <mergeCell ref="G250:H252"/>
    <mergeCell ref="G254:H256"/>
    <mergeCell ref="G259:H260"/>
    <mergeCell ref="A252:B252"/>
    <mergeCell ref="G193:H193"/>
    <mergeCell ref="A245:H245"/>
    <mergeCell ref="C237:F237"/>
    <mergeCell ref="A244:B244"/>
    <mergeCell ref="A243:B243"/>
    <mergeCell ref="L284:M284"/>
    <mergeCell ref="A285:B285"/>
    <mergeCell ref="A286:B286"/>
    <mergeCell ref="A287:B287"/>
    <mergeCell ref="A288:B288"/>
    <mergeCell ref="G285:H288"/>
    <mergeCell ref="L282:M282"/>
    <mergeCell ref="A283:B283"/>
    <mergeCell ref="G283:H283"/>
    <mergeCell ref="A282:H282"/>
    <mergeCell ref="A284:H284"/>
    <mergeCell ref="L289:M289"/>
    <mergeCell ref="L294:M294"/>
    <mergeCell ref="A295:B295"/>
    <mergeCell ref="C291:F291"/>
    <mergeCell ref="A292:B292"/>
    <mergeCell ref="A293:B293"/>
    <mergeCell ref="G290:H293"/>
    <mergeCell ref="G295:H298"/>
    <mergeCell ref="A296:B296"/>
    <mergeCell ref="A297:B297"/>
    <mergeCell ref="A298:B298"/>
    <mergeCell ref="A289:H289"/>
    <mergeCell ref="B315:H315"/>
    <mergeCell ref="L299:M299"/>
    <mergeCell ref="A300:B300"/>
    <mergeCell ref="A301:B301"/>
    <mergeCell ref="G300:H303"/>
    <mergeCell ref="A100:B100"/>
    <mergeCell ref="C100:H100"/>
    <mergeCell ref="A103:B103"/>
    <mergeCell ref="C103:H103"/>
    <mergeCell ref="A104:B104"/>
    <mergeCell ref="E104:F104"/>
    <mergeCell ref="G104:H104"/>
    <mergeCell ref="A105:B105"/>
    <mergeCell ref="E105:F114"/>
    <mergeCell ref="G105:H114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</mergeCells>
  <hyperlinks>
    <hyperlink ref="C37" r:id="rId1"/>
  </hyperlinks>
  <printOptions horizontalCentered="1"/>
  <pageMargins left="0.39370078740157483" right="0.39370078740157483" top="0.86614173228346458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29" max="7" man="1"/>
    <brk id="51" max="7" man="1"/>
    <brk id="71" max="7" man="1"/>
    <brk id="99" max="16383" man="1"/>
    <brk id="332" max="16383" man="1"/>
    <brk id="375" max="16383" man="1"/>
    <brk id="4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3"/>
    <col min="2" max="2" width="22.1796875" style="13" customWidth="1"/>
    <col min="3" max="3" width="37" style="13" customWidth="1"/>
    <col min="4" max="5" width="11.453125" style="13" customWidth="1"/>
    <col min="6" max="6" width="14" style="13" customWidth="1"/>
    <col min="7" max="7" width="20" style="13" customWidth="1"/>
    <col min="8" max="8" width="16.453125" style="13" customWidth="1"/>
    <col min="9" max="16384" width="8.7265625" style="13"/>
  </cols>
  <sheetData>
    <row r="1" spans="1:9" ht="15" customHeight="1" x14ac:dyDescent="0.35"/>
    <row r="2" spans="1:9" ht="15" customHeight="1" x14ac:dyDescent="0.3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35">
      <c r="A3" s="14"/>
      <c r="B3" s="231" t="s">
        <v>114</v>
      </c>
      <c r="C3" s="231"/>
      <c r="D3" s="231"/>
      <c r="E3" s="231"/>
      <c r="F3" s="231"/>
      <c r="G3" s="231"/>
      <c r="H3" s="231"/>
    </row>
    <row r="4" spans="1:9" x14ac:dyDescent="0.35">
      <c r="A4" s="14"/>
      <c r="B4" s="15" t="s">
        <v>115</v>
      </c>
      <c r="C4" s="15" t="s">
        <v>116</v>
      </c>
      <c r="D4" s="15" t="s">
        <v>73</v>
      </c>
      <c r="E4" s="15" t="s">
        <v>117</v>
      </c>
      <c r="F4" s="15" t="s">
        <v>123</v>
      </c>
      <c r="G4" s="15" t="s">
        <v>124</v>
      </c>
      <c r="H4" s="15" t="s">
        <v>118</v>
      </c>
    </row>
    <row r="5" spans="1:9" ht="15" customHeight="1" x14ac:dyDescent="0.35">
      <c r="A5" s="14"/>
      <c r="B5" s="17" t="s">
        <v>119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35">
      <c r="A6" s="14"/>
      <c r="B6" s="17" t="s">
        <v>119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35">
      <c r="A7" s="14"/>
      <c r="B7" s="17" t="s">
        <v>119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35">
      <c r="A8" s="14"/>
      <c r="B8" s="17" t="s">
        <v>119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35">
      <c r="A9" s="14"/>
      <c r="B9" s="17" t="s">
        <v>119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35">
      <c r="A10" s="14"/>
      <c r="B10" s="17" t="s">
        <v>120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35">
      <c r="A11" s="14"/>
      <c r="B11" s="17" t="s">
        <v>120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35">
      <c r="A12" s="14"/>
      <c r="B12" s="22" t="s">
        <v>121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35">
      <c r="B13" s="22" t="s">
        <v>122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2"/>
  <sheetViews>
    <sheetView zoomScale="70" zoomScaleNormal="70" workbookViewId="0">
      <selection activeCell="E3" sqref="E3"/>
    </sheetView>
  </sheetViews>
  <sheetFormatPr defaultRowHeight="14.5" x14ac:dyDescent="0.35"/>
  <cols>
    <col min="2" max="2" width="11.54296875" bestFit="1" customWidth="1"/>
    <col min="3" max="3" width="48.26953125" customWidth="1"/>
  </cols>
  <sheetData>
    <row r="2" spans="2:5" x14ac:dyDescent="0.35">
      <c r="B2" s="70">
        <v>45252</v>
      </c>
      <c r="C2" t="s">
        <v>229</v>
      </c>
      <c r="D2" t="s">
        <v>226</v>
      </c>
      <c r="E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2025-07-16T07:12:11Z</cp:lastPrinted>
  <dcterms:created xsi:type="dcterms:W3CDTF">2019-07-16T09:29:46Z</dcterms:created>
  <dcterms:modified xsi:type="dcterms:W3CDTF">2025-09-22T12:05:43Z</dcterms:modified>
</cp:coreProperties>
</file>