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D:\VSJCV\Making\AXIS\2025-26\Axis\APF Old\Sept 2025\22-09-2025\"/>
    </mc:Choice>
  </mc:AlternateContent>
  <bookViews>
    <workbookView xWindow="0" yWindow="0" windowWidth="19200" windowHeight="6640" tabRatio="725"/>
  </bookViews>
  <sheets>
    <sheet name="Report" sheetId="1" r:id="rId1"/>
    <sheet name="valuation" sheetId="5" r:id="rId2"/>
    <sheet name="Note" sheetId="4" r:id="rId3"/>
  </sheets>
  <definedNames>
    <definedName name="_xlnm.Print_Area" localSheetId="0">Report!$A$1:$H$424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1" i="1" l="1"/>
  <c r="D206" i="1" l="1"/>
  <c r="F206" i="1" s="1"/>
  <c r="D205" i="1"/>
  <c r="F205" i="1" s="1"/>
  <c r="D204" i="1"/>
  <c r="F204" i="1" s="1"/>
  <c r="D203" i="1"/>
  <c r="F203" i="1" s="1"/>
  <c r="D202" i="1"/>
  <c r="F202" i="1" s="1"/>
  <c r="D201" i="1"/>
  <c r="F201" i="1" s="1"/>
  <c r="D200" i="1"/>
  <c r="F200" i="1" s="1"/>
  <c r="D199" i="1"/>
  <c r="F199" i="1" s="1"/>
  <c r="D198" i="1"/>
  <c r="F198" i="1" s="1"/>
  <c r="D197" i="1"/>
  <c r="F197" i="1" s="1"/>
  <c r="D196" i="1"/>
  <c r="F196" i="1" s="1"/>
  <c r="J195" i="1"/>
  <c r="D195" i="1"/>
  <c r="F195" i="1" s="1"/>
  <c r="I195" i="1" s="1"/>
  <c r="D194" i="1"/>
  <c r="F194" i="1" s="1"/>
  <c r="G193" i="1"/>
  <c r="G194" i="1" s="1"/>
  <c r="G195" i="1" s="1"/>
  <c r="G196" i="1" s="1"/>
  <c r="G197" i="1" s="1"/>
  <c r="G198" i="1" s="1"/>
  <c r="G199" i="1" s="1"/>
  <c r="G200" i="1" s="1"/>
  <c r="G201" i="1" s="1"/>
  <c r="G202" i="1" s="1"/>
  <c r="G203" i="1" s="1"/>
  <c r="G204" i="1" s="1"/>
  <c r="G205" i="1" s="1"/>
  <c r="G206" i="1" s="1"/>
  <c r="D193" i="1"/>
  <c r="F193" i="1" s="1"/>
  <c r="J180" i="1"/>
  <c r="I180" i="1"/>
  <c r="E72" i="1" l="1"/>
  <c r="C70" i="1" s="1"/>
  <c r="J93" i="1" l="1"/>
  <c r="J92" i="1"/>
  <c r="J91" i="1"/>
  <c r="J90" i="1"/>
  <c r="D260" i="1"/>
  <c r="D259" i="1"/>
  <c r="K150" i="1"/>
  <c r="K149" i="1"/>
  <c r="K148" i="1"/>
  <c r="H83" i="1"/>
  <c r="D95" i="1" l="1"/>
  <c r="D91" i="1"/>
  <c r="D93" i="1"/>
  <c r="D94" i="1"/>
  <c r="D90" i="1"/>
  <c r="J86" i="1"/>
  <c r="D89" i="1"/>
  <c r="J87" i="1"/>
  <c r="J88" i="1"/>
  <c r="J89" i="1" s="1"/>
  <c r="J94" i="1" s="1"/>
  <c r="D86" i="1"/>
  <c r="J82" i="1"/>
  <c r="J84" i="1" s="1"/>
  <c r="D92" i="1"/>
  <c r="D88" i="1"/>
  <c r="J85" i="1"/>
  <c r="D270" i="1"/>
  <c r="F270" i="1" s="1"/>
  <c r="D269" i="1"/>
  <c r="F269" i="1" s="1"/>
  <c r="D268" i="1"/>
  <c r="F268" i="1" s="1"/>
  <c r="D267" i="1"/>
  <c r="F267" i="1" s="1"/>
  <c r="D266" i="1"/>
  <c r="F266" i="1" s="1"/>
  <c r="D265" i="1"/>
  <c r="F265" i="1" s="1"/>
  <c r="D264" i="1"/>
  <c r="F264" i="1" s="1"/>
  <c r="G264" i="1"/>
  <c r="G265" i="1" s="1"/>
  <c r="G266" i="1" s="1"/>
  <c r="G267" i="1" s="1"/>
  <c r="G268" i="1" s="1"/>
  <c r="G269" i="1" s="1"/>
  <c r="G270" i="1" s="1"/>
  <c r="D241" i="1"/>
  <c r="F241" i="1" s="1"/>
  <c r="D230" i="1"/>
  <c r="F230" i="1" s="1"/>
  <c r="F260" i="1"/>
  <c r="F259" i="1"/>
  <c r="D258" i="1"/>
  <c r="F258" i="1" s="1"/>
  <c r="D257" i="1"/>
  <c r="F257" i="1" s="1"/>
  <c r="D256" i="1"/>
  <c r="F256" i="1" s="1"/>
  <c r="D255" i="1"/>
  <c r="F255" i="1" s="1"/>
  <c r="D254" i="1"/>
  <c r="F254" i="1" s="1"/>
  <c r="D253" i="1"/>
  <c r="F253" i="1" s="1"/>
  <c r="D252" i="1"/>
  <c r="F252" i="1" s="1"/>
  <c r="G251" i="1"/>
  <c r="G252" i="1" s="1"/>
  <c r="G253" i="1" s="1"/>
  <c r="G254" i="1" s="1"/>
  <c r="G255" i="1" s="1"/>
  <c r="G256" i="1" s="1"/>
  <c r="G257" i="1" s="1"/>
  <c r="G258" i="1" s="1"/>
  <c r="G259" i="1" s="1"/>
  <c r="G260" i="1" s="1"/>
  <c r="D251" i="1"/>
  <c r="F251" i="1" s="1"/>
  <c r="D249" i="1"/>
  <c r="F249" i="1" s="1"/>
  <c r="D248" i="1"/>
  <c r="F248" i="1" s="1"/>
  <c r="D247" i="1"/>
  <c r="F247" i="1" s="1"/>
  <c r="D246" i="1"/>
  <c r="F246" i="1" s="1"/>
  <c r="D245" i="1"/>
  <c r="F245" i="1" s="1"/>
  <c r="D244" i="1"/>
  <c r="F244" i="1" s="1"/>
  <c r="D243" i="1"/>
  <c r="F243" i="1" s="1"/>
  <c r="D242" i="1"/>
  <c r="F242" i="1" s="1"/>
  <c r="D239" i="1"/>
  <c r="F239" i="1" s="1"/>
  <c r="D238" i="1"/>
  <c r="F238" i="1" s="1"/>
  <c r="G238" i="1"/>
  <c r="G239" i="1" s="1"/>
  <c r="G240" i="1" s="1"/>
  <c r="G241" i="1" s="1"/>
  <c r="G242" i="1" s="1"/>
  <c r="G243" i="1" s="1"/>
  <c r="G244" i="1" s="1"/>
  <c r="G245" i="1" s="1"/>
  <c r="G246" i="1" s="1"/>
  <c r="G247" i="1" s="1"/>
  <c r="G248" i="1" s="1"/>
  <c r="G249" i="1" s="1"/>
  <c r="D236" i="1"/>
  <c r="F236" i="1" s="1"/>
  <c r="D235" i="1"/>
  <c r="F235" i="1" s="1"/>
  <c r="D234" i="1"/>
  <c r="F234" i="1" s="1"/>
  <c r="D233" i="1"/>
  <c r="F233" i="1" s="1"/>
  <c r="D232" i="1"/>
  <c r="F232" i="1" s="1"/>
  <c r="D231" i="1"/>
  <c r="F231" i="1" s="1"/>
  <c r="D229" i="1"/>
  <c r="F229" i="1" s="1"/>
  <c r="D228" i="1"/>
  <c r="D227" i="1"/>
  <c r="F227" i="1" s="1"/>
  <c r="D226" i="1"/>
  <c r="F226" i="1" s="1"/>
  <c r="D225" i="1"/>
  <c r="O6" i="4"/>
  <c r="O7" i="4"/>
  <c r="O8" i="4"/>
  <c r="O9" i="4"/>
  <c r="O10" i="4"/>
  <c r="O11" i="4"/>
  <c r="O12" i="4"/>
  <c r="O13" i="4"/>
  <c r="O14" i="4"/>
  <c r="O15" i="4"/>
  <c r="O16" i="4"/>
  <c r="O17" i="4"/>
  <c r="O5" i="4"/>
  <c r="G225" i="1"/>
  <c r="G226" i="1" s="1"/>
  <c r="G227" i="1" s="1"/>
  <c r="G228" i="1" s="1"/>
  <c r="G229" i="1" s="1"/>
  <c r="G230" i="1" s="1"/>
  <c r="G231" i="1" s="1"/>
  <c r="G232" i="1" s="1"/>
  <c r="G233" i="1" s="1"/>
  <c r="G234" i="1" s="1"/>
  <c r="G235" i="1" s="1"/>
  <c r="G236" i="1" s="1"/>
  <c r="D209" i="1"/>
  <c r="F209" i="1" s="1"/>
  <c r="D208" i="1"/>
  <c r="F208" i="1" s="1"/>
  <c r="D221" i="1"/>
  <c r="F221" i="1" s="1"/>
  <c r="D220" i="1"/>
  <c r="F220" i="1" s="1"/>
  <c r="D219" i="1"/>
  <c r="F219" i="1" s="1"/>
  <c r="D218" i="1"/>
  <c r="F218" i="1" s="1"/>
  <c r="D217" i="1"/>
  <c r="F217" i="1" s="1"/>
  <c r="D216" i="1"/>
  <c r="F216" i="1" s="1"/>
  <c r="D215" i="1"/>
  <c r="F215" i="1" s="1"/>
  <c r="D214" i="1"/>
  <c r="F214" i="1" s="1"/>
  <c r="D213" i="1"/>
  <c r="F213" i="1" s="1"/>
  <c r="D212" i="1"/>
  <c r="F212" i="1" s="1"/>
  <c r="D211" i="1"/>
  <c r="F211" i="1" s="1"/>
  <c r="D210" i="1"/>
  <c r="F210" i="1" s="1"/>
  <c r="G208" i="1"/>
  <c r="G209" i="1" s="1"/>
  <c r="G210" i="1" s="1"/>
  <c r="G211" i="1" s="1"/>
  <c r="G212" i="1" s="1"/>
  <c r="G213" i="1" s="1"/>
  <c r="G214" i="1" s="1"/>
  <c r="G215" i="1" s="1"/>
  <c r="G216" i="1" s="1"/>
  <c r="G217" i="1" s="1"/>
  <c r="G218" i="1" s="1"/>
  <c r="G219" i="1" s="1"/>
  <c r="G220" i="1" s="1"/>
  <c r="G221" i="1" s="1"/>
  <c r="E166" i="1"/>
  <c r="D176" i="1"/>
  <c r="F176" i="1" s="1"/>
  <c r="D175" i="1"/>
  <c r="F175" i="1" s="1"/>
  <c r="D174" i="1"/>
  <c r="F174" i="1" s="1"/>
  <c r="D173" i="1"/>
  <c r="F173" i="1" s="1"/>
  <c r="D172" i="1"/>
  <c r="F172" i="1" s="1"/>
  <c r="D171" i="1"/>
  <c r="F171" i="1" s="1"/>
  <c r="D170" i="1"/>
  <c r="F170" i="1" s="1"/>
  <c r="D169" i="1"/>
  <c r="F169" i="1" s="1"/>
  <c r="D168" i="1"/>
  <c r="F168" i="1" s="1"/>
  <c r="D167" i="1"/>
  <c r="F167" i="1" s="1"/>
  <c r="D166" i="1"/>
  <c r="D165" i="1"/>
  <c r="F165" i="1" s="1"/>
  <c r="D164" i="1"/>
  <c r="F164" i="1" s="1"/>
  <c r="G163" i="1"/>
  <c r="G164" i="1" s="1"/>
  <c r="G165" i="1" s="1"/>
  <c r="G166" i="1" s="1"/>
  <c r="G167" i="1" s="1"/>
  <c r="G168" i="1" s="1"/>
  <c r="G169" i="1" s="1"/>
  <c r="G170" i="1" s="1"/>
  <c r="G171" i="1" s="1"/>
  <c r="G172" i="1" s="1"/>
  <c r="G173" i="1" s="1"/>
  <c r="G174" i="1" s="1"/>
  <c r="G175" i="1" s="1"/>
  <c r="G176" i="1" s="1"/>
  <c r="D163" i="1"/>
  <c r="J6" i="4"/>
  <c r="J7" i="4"/>
  <c r="J8" i="4"/>
  <c r="J9" i="4"/>
  <c r="J10" i="4"/>
  <c r="J11" i="4"/>
  <c r="J12" i="4"/>
  <c r="J13" i="4"/>
  <c r="J14" i="4"/>
  <c r="J15" i="4"/>
  <c r="J16" i="4"/>
  <c r="J17" i="4"/>
  <c r="J18" i="4"/>
  <c r="J5" i="4"/>
  <c r="I6" i="4"/>
  <c r="I7" i="4"/>
  <c r="I8" i="4"/>
  <c r="I9" i="4"/>
  <c r="I10" i="4"/>
  <c r="I11" i="4"/>
  <c r="I12" i="4"/>
  <c r="I13" i="4"/>
  <c r="I14" i="4"/>
  <c r="I15" i="4"/>
  <c r="I16" i="4"/>
  <c r="I17" i="4"/>
  <c r="I18" i="4"/>
  <c r="I5" i="4"/>
  <c r="D191" i="1"/>
  <c r="F191" i="1" s="1"/>
  <c r="D190" i="1"/>
  <c r="F190" i="1" s="1"/>
  <c r="D189" i="1"/>
  <c r="F189" i="1" s="1"/>
  <c r="D188" i="1"/>
  <c r="F188" i="1" s="1"/>
  <c r="D187" i="1"/>
  <c r="F187" i="1" s="1"/>
  <c r="D186" i="1"/>
  <c r="F186" i="1" s="1"/>
  <c r="D185" i="1"/>
  <c r="F185" i="1" s="1"/>
  <c r="D184" i="1"/>
  <c r="F184" i="1" s="1"/>
  <c r="D183" i="1"/>
  <c r="F183" i="1" s="1"/>
  <c r="D182" i="1"/>
  <c r="F182" i="1" s="1"/>
  <c r="D181" i="1"/>
  <c r="D180" i="1"/>
  <c r="D179" i="1"/>
  <c r="D178" i="1"/>
  <c r="D157" i="1"/>
  <c r="D156" i="1"/>
  <c r="I156" i="1"/>
  <c r="C67" i="1"/>
  <c r="J95" i="1" l="1"/>
  <c r="C87" i="1"/>
  <c r="J83" i="1" s="1"/>
  <c r="E147" i="1"/>
  <c r="C146" i="1"/>
  <c r="F225" i="1"/>
  <c r="C147" i="1"/>
  <c r="C143" i="1"/>
  <c r="G148" i="1"/>
  <c r="C148" i="1"/>
  <c r="E148" i="1"/>
  <c r="E143" i="1"/>
  <c r="E146" i="1"/>
  <c r="F166" i="1"/>
  <c r="F228" i="1"/>
  <c r="F163" i="1"/>
  <c r="C14" i="1"/>
  <c r="G86" i="1" l="1"/>
  <c r="E86" i="1"/>
  <c r="D87" i="1"/>
  <c r="I83" i="1" s="1"/>
  <c r="I84" i="1" s="1"/>
  <c r="G147" i="1"/>
  <c r="C149" i="1"/>
  <c r="E149" i="1"/>
  <c r="E29" i="1"/>
  <c r="I82" i="1" l="1"/>
  <c r="C84" i="1" s="1"/>
  <c r="F179" i="1"/>
  <c r="F181" i="1"/>
  <c r="F178" i="1"/>
  <c r="G178" i="1"/>
  <c r="G179" i="1" s="1"/>
  <c r="G180" i="1" s="1"/>
  <c r="G181" i="1" s="1"/>
  <c r="G182" i="1" s="1"/>
  <c r="G183" i="1" s="1"/>
  <c r="G184" i="1" s="1"/>
  <c r="G185" i="1" s="1"/>
  <c r="G186" i="1" s="1"/>
  <c r="G187" i="1" s="1"/>
  <c r="G188" i="1" s="1"/>
  <c r="G189" i="1" s="1"/>
  <c r="G190" i="1" s="1"/>
  <c r="G191" i="1" s="1"/>
  <c r="G146" i="1" l="1"/>
  <c r="G149" i="1" s="1"/>
  <c r="F140" i="1"/>
  <c r="F157" i="1" l="1"/>
  <c r="F156" i="1"/>
  <c r="G143" i="1" l="1"/>
  <c r="B273" i="1"/>
  <c r="B274" i="1" l="1"/>
  <c r="F11" i="5" l="1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D296" i="1"/>
  <c r="A157" i="1"/>
  <c r="G156" i="1"/>
  <c r="G157" i="1" s="1"/>
  <c r="J123" i="1"/>
  <c r="J122" i="1"/>
  <c r="J121" i="1"/>
  <c r="J120" i="1"/>
  <c r="C112" i="1"/>
  <c r="J107" i="1"/>
  <c r="J106" i="1"/>
  <c r="J105" i="1"/>
  <c r="J104" i="1"/>
  <c r="J79" i="1"/>
  <c r="J78" i="1"/>
  <c r="J77" i="1"/>
  <c r="J76" i="1"/>
  <c r="D54" i="1"/>
  <c r="G49" i="1"/>
  <c r="C49" i="1"/>
  <c r="E42" i="1"/>
  <c r="E43" i="1" s="1"/>
  <c r="E26" i="1"/>
  <c r="E24" i="1"/>
  <c r="E7" i="1"/>
  <c r="E3" i="1"/>
  <c r="H97" i="1"/>
  <c r="H113" i="1"/>
  <c r="D107" i="1" l="1"/>
  <c r="D108" i="1"/>
  <c r="D109" i="1"/>
  <c r="D103" i="1"/>
  <c r="D104" i="1"/>
  <c r="D105" i="1"/>
  <c r="D106" i="1"/>
  <c r="J96" i="1"/>
  <c r="J98" i="1" s="1"/>
  <c r="D81" i="1"/>
  <c r="D79" i="1"/>
  <c r="D78" i="1"/>
  <c r="D77" i="1"/>
  <c r="D75" i="1"/>
  <c r="J67" i="1"/>
  <c r="D80" i="1"/>
  <c r="D76" i="1"/>
  <c r="J72" i="1"/>
  <c r="J73" i="1"/>
  <c r="C72" i="1" s="1"/>
  <c r="J71" i="1"/>
  <c r="J74" i="1"/>
  <c r="J75" i="1" s="1"/>
  <c r="J80" i="1" s="1"/>
  <c r="J112" i="1"/>
  <c r="J114" i="1" s="1"/>
  <c r="J116" i="1"/>
  <c r="D125" i="1"/>
  <c r="D123" i="1"/>
  <c r="D121" i="1"/>
  <c r="D119" i="1"/>
  <c r="J117" i="1"/>
  <c r="J115" i="1"/>
  <c r="J118" i="1"/>
  <c r="J119" i="1" s="1"/>
  <c r="D124" i="1"/>
  <c r="D122" i="1"/>
  <c r="D120" i="1"/>
  <c r="J102" i="1"/>
  <c r="J100" i="1"/>
  <c r="J101" i="1"/>
  <c r="J99" i="1"/>
  <c r="J103" i="1" l="1"/>
  <c r="J108" i="1" s="1"/>
  <c r="J109" i="1" s="1"/>
  <c r="C101" i="1" s="1"/>
  <c r="D101" i="1" s="1"/>
  <c r="J124" i="1"/>
  <c r="J125" i="1" s="1"/>
  <c r="E116" i="1"/>
  <c r="J81" i="1"/>
  <c r="D73" i="1"/>
  <c r="D118" i="1"/>
  <c r="D116" i="1"/>
  <c r="D102" i="1"/>
  <c r="D74" i="1"/>
  <c r="J69" i="1"/>
  <c r="D72" i="1"/>
  <c r="D100" i="1"/>
  <c r="G72" i="1" l="1"/>
  <c r="G70" i="1" s="1"/>
  <c r="D117" i="1"/>
  <c r="I113" i="1" s="1"/>
  <c r="G116" i="1"/>
  <c r="G100" i="1"/>
  <c r="J97" i="1"/>
  <c r="E100" i="1"/>
  <c r="C110" i="1" s="1"/>
  <c r="I68" i="1"/>
  <c r="J68" i="1"/>
  <c r="J113" i="1"/>
  <c r="I97" i="1"/>
  <c r="G110" i="1" l="1"/>
  <c r="D65" i="1"/>
  <c r="D66" i="1" s="1"/>
  <c r="I69" i="1"/>
  <c r="I67" i="1" s="1"/>
  <c r="C69" i="1" s="1"/>
  <c r="I114" i="1"/>
  <c r="I112" i="1" s="1"/>
  <c r="C114" i="1" s="1"/>
  <c r="I98" i="1"/>
  <c r="I96" i="1" s="1"/>
  <c r="C98" i="1" s="1"/>
  <c r="F66" i="1" l="1"/>
</calcChain>
</file>

<file path=xl/sharedStrings.xml><?xml version="1.0" encoding="utf-8"?>
<sst xmlns="http://schemas.openxmlformats.org/spreadsheetml/2006/main" count="549" uniqueCount="280">
  <si>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</si>
  <si>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</si>
  <si>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</si>
  <si>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</si>
  <si>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</si>
  <si>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</si>
  <si>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</si>
  <si>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</si>
  <si>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</si>
  <si>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</si>
  <si>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</si>
  <si>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</si>
  <si>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</si>
  <si>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</si>
  <si>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</si>
  <si>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</si>
  <si>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</si>
  <si>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</si>
  <si>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</si>
  <si>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</si>
  <si>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</si>
  <si>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</si>
  <si>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</si>
  <si>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</si>
  <si>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</si>
  <si>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</si>
  <si>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</si>
  <si>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</si>
  <si>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</si>
  <si>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</si>
  <si>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</si>
  <si>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</si>
  <si>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</si>
  <si>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</si>
  <si>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</si>
  <si>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</si>
  <si>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</si>
  <si>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</si>
  <si>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</si>
  <si>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</si>
  <si>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</si>
  <si>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</si>
  <si>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</si>
  <si>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</si>
  <si>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</si>
  <si>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</si>
  <si>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</si>
  <si>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</si>
  <si>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</si>
  <si>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</si>
  <si>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</si>
  <si>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</si>
  <si>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</si>
  <si>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</si>
  <si>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</si>
  <si>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</si>
  <si>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</si>
  <si>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</si>
  <si>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</si>
  <si>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</si>
  <si>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</si>
  <si>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</si>
  <si>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</si>
  <si>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</si>
  <si>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</si>
  <si>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</si>
  <si>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</si>
  <si>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</si>
  <si>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</si>
  <si>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</si>
  <si>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</si>
  <si>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Residential Area Details :</t>
  </si>
  <si>
    <t>Podium</t>
  </si>
  <si>
    <t>Ground</t>
  </si>
  <si>
    <t>Locality/Village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</si>
  <si>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</si>
  <si>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</si>
  <si>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Commercial Area Details :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</si>
  <si>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</si>
  <si>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</si>
  <si>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</si>
  <si>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</si>
  <si>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</si>
  <si>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</si>
  <si>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</si>
  <si>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</si>
  <si>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</si>
  <si>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</si>
  <si>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</si>
  <si>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</si>
  <si>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</si>
  <si>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</si>
  <si>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</si>
  <si>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</si>
  <si>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</si>
  <si>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</si>
  <si>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</si>
  <si>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Club Charges</t>
  </si>
  <si>
    <t>Gas Connection Charges</t>
  </si>
  <si>
    <t>Water, Electricity, Drainages, Sewerage Connection</t>
  </si>
  <si>
    <t>Society Formation Charges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</si>
  <si>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</si>
  <si>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</si>
  <si>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</si>
  <si>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</si>
  <si>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</si>
  <si>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</si>
  <si>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</si>
  <si>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</si>
  <si>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</si>
  <si>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</si>
  <si>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</si>
  <si>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</si>
  <si>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</si>
  <si>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</si>
  <si>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</si>
  <si>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</si>
  <si>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</si>
  <si>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</si>
  <si>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</si>
  <si>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t>Shop No.
(Sale Plan)</t>
  </si>
  <si>
    <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</si>
  <si>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</si>
  <si>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</si>
  <si>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Nearby Landmark</t>
  </si>
  <si>
    <t>We considered Carpet area as per Approved Plan.</t>
  </si>
  <si>
    <t>We considered Gross carpet area = Net carpet + Enclose balcony + D.B Area + F.B Area.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</si>
  <si>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</si>
  <si>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</si>
  <si>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</si>
  <si>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</si>
  <si>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</si>
  <si>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</si>
  <si>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</si>
  <si>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</si>
  <si>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</si>
  <si>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</si>
  <si>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</si>
  <si>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</si>
  <si>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</si>
  <si>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</si>
  <si>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</si>
  <si>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</si>
  <si>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</si>
  <si>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</si>
  <si>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</si>
  <si>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</si>
  <si>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</si>
  <si>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</si>
  <si>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</si>
  <si>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</si>
  <si>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>Vitrified tiles flooring, Kitchen Platform, Decorative</t>
  </si>
  <si>
    <t xml:space="preserve">Violations Observed if any : </t>
  </si>
  <si>
    <t>Saleable area Loading :</t>
  </si>
  <si>
    <t>Total</t>
  </si>
  <si>
    <t>Name of Municipal Corporation/Authority</t>
  </si>
  <si>
    <t>We have considered proposed No. of Floor for Stage Calculation.</t>
  </si>
  <si>
    <t>*</t>
  </si>
  <si>
    <t>Recommended rate should be considered as all inclusive rate if other charges are not mentioned. (Excluding GST &amp; other government Taxes)</t>
  </si>
  <si>
    <t xml:space="preserve">Commencement-CC No
Valid Up to: </t>
  </si>
  <si>
    <t>Attached Loft area</t>
  </si>
  <si>
    <t xml:space="preserve">Recommended Rates of the Property : </t>
  </si>
  <si>
    <t>Floor Rise Rate</t>
  </si>
  <si>
    <t>Recommended rate of the Shop Per Sq. Ft.</t>
  </si>
  <si>
    <t>Recommended rate of the Flat Per Sq. Ft.</t>
  </si>
  <si>
    <t>Recommended rate of the Office Per Sq. Ft.</t>
  </si>
  <si>
    <t>On Saleable Area</t>
  </si>
  <si>
    <t>Legal Charges</t>
  </si>
  <si>
    <t>Location Link</t>
  </si>
  <si>
    <t>Locality</t>
  </si>
  <si>
    <t>Provided Contact Details ( Name &amp; Contact No.)</t>
  </si>
  <si>
    <t>Site Person - Contact Details ( Name &amp; Contact No.)</t>
  </si>
  <si>
    <t>Layout :</t>
  </si>
  <si>
    <t>Axis Badlapur</t>
  </si>
  <si>
    <t>Deep Laxmi Associates</t>
  </si>
  <si>
    <t>Shreeji Greens</t>
  </si>
  <si>
    <t>Approved Plans, CC</t>
  </si>
  <si>
    <t>P51700046293</t>
  </si>
  <si>
    <t>Survey No</t>
  </si>
  <si>
    <t>Belavali</t>
  </si>
  <si>
    <t>Thane</t>
  </si>
  <si>
    <t>Ambernath</t>
  </si>
  <si>
    <t>Carmel Convent High School</t>
  </si>
  <si>
    <t>Open Plot</t>
  </si>
  <si>
    <t>School</t>
  </si>
  <si>
    <t>Building</t>
  </si>
  <si>
    <t>Internal Road</t>
  </si>
  <si>
    <t>2 KM from Chikhloli Railway Station</t>
  </si>
  <si>
    <t>Chikhloli</t>
  </si>
  <si>
    <t>03 Wings</t>
  </si>
  <si>
    <t>Kulgaon Badlapur Municipal Council</t>
  </si>
  <si>
    <t>KBNP/NRV/BP/6936-92</t>
  </si>
  <si>
    <t>K.B.N.P/B.P/2021-2022/6936 Uniqe No.92</t>
  </si>
  <si>
    <t>Building B = Gr + 1st to 14th Floor</t>
  </si>
  <si>
    <t>Building C = Gr + 1st to 7th Floor</t>
  </si>
  <si>
    <t>As per RERA - 31/07/2026</t>
  </si>
  <si>
    <t>Building A = Gr + 1st to 12th Floor
Building B = Gr + 1st to 14th Floor
Building C = Gr + 1st to 7th Floor</t>
  </si>
  <si>
    <t>Building A = Gr + 1st to 12th Floor</t>
  </si>
  <si>
    <t>Ground Floor for Commercial</t>
  </si>
  <si>
    <t>Shop</t>
  </si>
  <si>
    <t xml:space="preserve"> Building A</t>
  </si>
  <si>
    <t>Bulding A, B &amp; C</t>
  </si>
  <si>
    <t>1st to 7th &amp; 9th to 12th Floor for Residential</t>
  </si>
  <si>
    <t>1BHK</t>
  </si>
  <si>
    <t>2BHK</t>
  </si>
  <si>
    <t>201,..1201</t>
  </si>
  <si>
    <t>202,..1202</t>
  </si>
  <si>
    <t>203,..1203</t>
  </si>
  <si>
    <t>204,..1204</t>
  </si>
  <si>
    <t>205,..1205</t>
  </si>
  <si>
    <t>206,..1206</t>
  </si>
  <si>
    <t>207,..1207</t>
  </si>
  <si>
    <t>208,..1208</t>
  </si>
  <si>
    <t>209,..1209</t>
  </si>
  <si>
    <t>210,..1210</t>
  </si>
  <si>
    <t>211,..1211</t>
  </si>
  <si>
    <t>212,..1212</t>
  </si>
  <si>
    <t>213,..1213</t>
  </si>
  <si>
    <t>214,..1214</t>
  </si>
  <si>
    <t>1st Floor for Residential</t>
  </si>
  <si>
    <t>8th Floor (Part Refuge Area)</t>
  </si>
  <si>
    <t>1RK</t>
  </si>
  <si>
    <t>Building B</t>
  </si>
  <si>
    <t>101,..,1201</t>
  </si>
  <si>
    <t>102,..,1202</t>
  </si>
  <si>
    <t>103,..,1203</t>
  </si>
  <si>
    <t>104,..,1204</t>
  </si>
  <si>
    <t>105,..,1205</t>
  </si>
  <si>
    <t>106,..,1206</t>
  </si>
  <si>
    <t>107,..,1207</t>
  </si>
  <si>
    <t>108,..,1208</t>
  </si>
  <si>
    <t>109,..,1209</t>
  </si>
  <si>
    <t>110,..,1210</t>
  </si>
  <si>
    <t>111,..,1211</t>
  </si>
  <si>
    <t>112,..,1212</t>
  </si>
  <si>
    <t>Refuge Area</t>
  </si>
  <si>
    <t>8th &amp; 13th Floor (Part Refuge Area)</t>
  </si>
  <si>
    <t>1st to 7th Floor for Residential</t>
  </si>
  <si>
    <t>101,..,701</t>
  </si>
  <si>
    <t>102,..,702</t>
  </si>
  <si>
    <t>103,..,703</t>
  </si>
  <si>
    <t>104,..,704</t>
  </si>
  <si>
    <t>105,..,705</t>
  </si>
  <si>
    <t>106,..,706</t>
  </si>
  <si>
    <t>107,..,707</t>
  </si>
  <si>
    <t>Building C</t>
  </si>
  <si>
    <t>Wing A</t>
  </si>
  <si>
    <t>Wing B</t>
  </si>
  <si>
    <t>Wing C</t>
  </si>
  <si>
    <t>14th Floor (Part Terrace Area)</t>
  </si>
  <si>
    <t>https://goo.gl/maps/zsgAcQRf53XEjAXQ9</t>
  </si>
  <si>
    <t>`</t>
  </si>
  <si>
    <t>Flats - 381, Shops - 2</t>
  </si>
  <si>
    <t>Mr. Deepak Warghade - 9970866890</t>
  </si>
  <si>
    <t xml:space="preserve">Added by Smith </t>
  </si>
  <si>
    <t>Cost sheet</t>
  </si>
  <si>
    <t>Development Charges (For 1BHK)</t>
  </si>
  <si>
    <t>Development Charges (for 2BHK)</t>
  </si>
  <si>
    <t>Rushikesh</t>
  </si>
  <si>
    <t>Office No. 1031, Wing J, Akshar Business Park, Plot No. 03 Sector 25, Near APMC Market,
Vashi, Navi Mumbai, Maharashtra 400703 TEL: 022-46090378/79/80                                                                                                     E mail : vsjcapf@gmail.com. Web site : www.vsjadon.com</t>
  </si>
  <si>
    <t>70, Hissa No. 6A &amp; 6B, Survey No. 73, Hissa No. 2 &amp; 5, Survey No. 73, Hissa No. 5</t>
  </si>
  <si>
    <t>Building A = Gr + 1st to12th Floor
Building B = Gr + 1st to 14th Floor
Building C = Gr + 1st to 7th Floor</t>
  </si>
  <si>
    <t>Since building B &amp; C have received CC on 30/08/2021, but as of construction work is not started.</t>
  </si>
  <si>
    <t>Latitude,Longitude</t>
  </si>
  <si>
    <t>19.17969,73.217961</t>
  </si>
  <si>
    <t>Sudhir Bhosale</t>
  </si>
  <si>
    <t>Part 1 Building B = Gr + 1st to 14th Floor</t>
  </si>
  <si>
    <t xml:space="preserve">Building B Average Progress % </t>
  </si>
  <si>
    <t xml:space="preserve">Building B Average Disbursement % </t>
  </si>
  <si>
    <t>Pooja</t>
  </si>
  <si>
    <t>Rate 200+ Bhargav verbal   On 19/11/2024</t>
  </si>
  <si>
    <t>Recommended Rates of the Property have been revised on 19/11/2024.</t>
  </si>
  <si>
    <t>2nd Floor</t>
  </si>
  <si>
    <t>3rd to 7th &amp; 9th to 12th Floor</t>
  </si>
  <si>
    <t>Salable area of flat no. A203 is changed from 593 to 606 (they want rate as per 5000 rate) on 26/12/2024. by bhargav</t>
  </si>
  <si>
    <t>KBMC/TPD/2024-25/2564
Building A = Gr + 1st to12th Floor</t>
  </si>
  <si>
    <t>O. Certificate No.: 
Approved upto :</t>
  </si>
  <si>
    <t>60 Years After Completion</t>
  </si>
  <si>
    <t>We have updated OC for Building A on 26/12/2024.</t>
  </si>
  <si>
    <t>Building A = All work completed. OC received.
Building B = Construction work is in process at the time of visit. Internal photos was not allowed.
Building C = Construction work is in process at the time of visit.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</si>
</sst>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 * #,##0.00_ ;_ * \-#,##0.00_ ;_ * &quot;-&quot;??_ ;_ @_ "/>
    <numFmt numFmtId="164" formatCode="0.0"/>
    <numFmt numFmtId="165" formatCode="_(* #,##0.00_);_(* \(#,##0.00\);_(* &quot;-&quot;??_);_(@_)"/>
    <numFmt numFmtId="166" formatCode="_(* #,##0_);_(* \(#,##0\);_(* &quot;-&quot;??_);_(@_)"/>
    <numFmt numFmtId="167" formatCode="_ * #,##0_ ;_ * \-#,##0_ ;_ * &quot;-&quot;??_ ;_ @_ "/>
  </numFmts>
  <fonts count="27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5" fontId="5" fillId="0" borderId="0" applyFont="0" applyFill="0" applyBorder="0" applyAlignment="0" applyProtection="0"/>
    <xf numFmtId="0" fontId="20" fillId="0" borderId="0"/>
    <xf numFmtId="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0" borderId="0" applyNumberFormat="0" applyFill="0" applyBorder="0" applyAlignment="0" applyProtection="0"/>
  </cellStyleXfs>
  <cellXfs count="187">
    <xf numFmtId="0" fontId="0" fillId="0" borderId="0" xfId="0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19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8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9" fontId="8" fillId="0" borderId="15" xfId="8" applyFont="1" applyFill="1" applyBorder="1" applyAlignment="1" applyProtection="1">
      <alignment horizontal="center" vertical="top" wrapText="1"/>
      <protection locked="0"/>
    </xf>
    <xf numFmtId="0" fontId="17" fillId="0" borderId="0" xfId="0" applyFont="1" applyProtection="1">
      <protection hidden="1"/>
    </xf>
    <xf numFmtId="0" fontId="17" fillId="0" borderId="10" xfId="0" applyFont="1" applyBorder="1" applyProtection="1">
      <protection hidden="1"/>
    </xf>
    <xf numFmtId="0" fontId="12" fillId="0" borderId="3" xfId="1" applyFont="1" applyBorder="1" applyAlignment="1" applyProtection="1">
      <alignment horizontal="center" vertical="top"/>
      <protection locked="0"/>
    </xf>
    <xf numFmtId="0" fontId="12" fillId="0" borderId="4" xfId="1" applyFont="1" applyBorder="1" applyAlignment="1" applyProtection="1">
      <alignment horizontal="center" vertical="top"/>
      <protection locked="0"/>
    </xf>
    <xf numFmtId="0" fontId="7" fillId="0" borderId="0" xfId="1" applyFont="1"/>
    <xf numFmtId="0" fontId="15" fillId="0" borderId="0" xfId="1" applyFont="1"/>
    <xf numFmtId="0" fontId="12" fillId="0" borderId="0" xfId="1" applyFont="1"/>
    <xf numFmtId="1" fontId="7" fillId="0" borderId="0" xfId="1" applyNumberFormat="1" applyFont="1"/>
    <xf numFmtId="14" fontId="7" fillId="0" borderId="0" xfId="1" applyNumberFormat="1" applyFont="1"/>
    <xf numFmtId="0" fontId="7" fillId="0" borderId="0" xfId="1" applyFont="1" applyProtection="1">
      <protection hidden="1"/>
    </xf>
    <xf numFmtId="0" fontId="23" fillId="0" borderId="0" xfId="1" applyFont="1"/>
    <xf numFmtId="0" fontId="7" fillId="0" borderId="9" xfId="1" applyFont="1" applyBorder="1"/>
    <xf numFmtId="0" fontId="17" fillId="0" borderId="9" xfId="0" applyFont="1" applyBorder="1" applyProtection="1">
      <protection hidden="1"/>
    </xf>
    <xf numFmtId="1" fontId="0" fillId="0" borderId="9" xfId="0" applyNumberFormat="1" applyBorder="1"/>
    <xf numFmtId="1" fontId="0" fillId="0" borderId="9" xfId="0" applyNumberFormat="1" applyBorder="1" applyAlignment="1">
      <alignment horizontal="right"/>
    </xf>
    <xf numFmtId="1" fontId="0" fillId="0" borderId="11" xfId="0" applyNumberFormat="1" applyBorder="1"/>
    <xf numFmtId="0" fontId="16" fillId="0" borderId="0" xfId="1" applyFont="1"/>
    <xf numFmtId="0" fontId="6" fillId="0" borderId="0" xfId="2" applyFont="1"/>
    <xf numFmtId="0" fontId="7" fillId="0" borderId="0" xfId="0" applyFont="1" applyAlignment="1">
      <alignment horizontal="center" vertical="center"/>
    </xf>
    <xf numFmtId="1" fontId="7" fillId="0" borderId="0" xfId="1" applyNumberFormat="1" applyFont="1" applyAlignment="1">
      <alignment horizontal="center" vertical="center"/>
    </xf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2" xfId="1" applyNumberFormat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7" fillId="0" borderId="0" xfId="1" applyFont="1" applyAlignment="1">
      <alignment horizontal="center" vertical="center"/>
    </xf>
    <xf numFmtId="0" fontId="24" fillId="2" borderId="29" xfId="0" applyFont="1" applyFill="1" applyBorder="1"/>
    <xf numFmtId="0" fontId="25" fillId="0" borderId="30" xfId="0" applyFont="1" applyBorder="1"/>
    <xf numFmtId="0" fontId="25" fillId="0" borderId="1" xfId="0" applyFont="1" applyBorder="1"/>
    <xf numFmtId="0" fontId="25" fillId="0" borderId="4" xfId="0" applyFont="1" applyBorder="1"/>
    <xf numFmtId="0" fontId="12" fillId="0" borderId="1" xfId="1" applyFont="1" applyBorder="1" applyAlignment="1" applyProtection="1">
      <alignment horizontal="center" vertical="top"/>
      <protection locked="0"/>
    </xf>
    <xf numFmtId="0" fontId="12" fillId="0" borderId="1" xfId="1" applyFont="1" applyBorder="1" applyAlignment="1" applyProtection="1">
      <alignment vertical="top" wrapText="1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9" fontId="12" fillId="0" borderId="1" xfId="8" applyFont="1" applyFill="1" applyBorder="1" applyAlignment="1" applyProtection="1">
      <alignment horizontal="center" vertical="top" wrapText="1"/>
      <protection locked="0"/>
    </xf>
    <xf numFmtId="1" fontId="12" fillId="0" borderId="1" xfId="1" applyNumberFormat="1" applyFont="1" applyBorder="1" applyAlignment="1" applyProtection="1">
      <alignment horizontal="center" vertical="top" wrapText="1"/>
      <protection locked="0"/>
    </xf>
    <xf numFmtId="0" fontId="12" fillId="0" borderId="6" xfId="1" applyFont="1" applyBorder="1" applyAlignment="1" applyProtection="1">
      <alignment horizontal="center" vertical="top" wrapText="1"/>
      <protection locked="0"/>
    </xf>
    <xf numFmtId="9" fontId="12" fillId="0" borderId="6" xfId="8" applyFont="1" applyFill="1" applyBorder="1" applyAlignment="1" applyProtection="1">
      <alignment horizontal="center" vertical="top" wrapText="1"/>
      <protection locked="0"/>
    </xf>
    <xf numFmtId="1" fontId="7" fillId="0" borderId="1" xfId="1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6" fillId="0" borderId="0" xfId="2" applyFont="1" applyAlignment="1">
      <alignment horizontal="center"/>
    </xf>
    <xf numFmtId="0" fontId="16" fillId="2" borderId="0" xfId="1" applyFont="1" applyFill="1"/>
    <xf numFmtId="14" fontId="16" fillId="2" borderId="0" xfId="1" applyNumberFormat="1" applyFont="1" applyFill="1"/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7" fillId="0" borderId="0" xfId="1" applyFont="1" applyAlignment="1">
      <alignment horizontal="center" vertical="center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1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24" fillId="2" borderId="14" xfId="0" applyFont="1" applyFill="1" applyBorder="1"/>
    <xf numFmtId="0" fontId="25" fillId="0" borderId="8" xfId="0" applyFont="1" applyBorder="1"/>
    <xf numFmtId="0" fontId="7" fillId="0" borderId="1" xfId="1" applyFont="1" applyBorder="1" applyAlignment="1">
      <alignment horizontal="center" vertical="center"/>
    </xf>
    <xf numFmtId="9" fontId="13" fillId="0" borderId="1" xfId="1" applyNumberFormat="1" applyFont="1" applyBorder="1" applyAlignment="1" applyProtection="1">
      <alignment horizontal="center" vertical="center" wrapText="1"/>
      <protection locked="0"/>
    </xf>
    <xf numFmtId="0" fontId="13" fillId="0" borderId="1" xfId="1" applyFont="1" applyBorder="1" applyAlignment="1" applyProtection="1">
      <alignment horizontal="center" vertical="center" wrapText="1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1" fontId="6" fillId="0" borderId="7" xfId="1" applyNumberFormat="1" applyFont="1" applyBorder="1" applyAlignment="1" applyProtection="1">
      <alignment horizontal="center" vertical="center" wrapText="1"/>
      <protection locked="0"/>
    </xf>
    <xf numFmtId="1" fontId="6" fillId="0" borderId="8" xfId="1" applyNumberFormat="1" applyFont="1" applyBorder="1" applyAlignment="1" applyProtection="1">
      <alignment horizontal="center" vertical="center" wrapText="1"/>
      <protection locked="0"/>
    </xf>
    <xf numFmtId="0" fontId="7" fillId="0" borderId="0" xfId="1" applyFont="1" applyAlignment="1">
      <alignment horizontal="center" vertical="center"/>
    </xf>
    <xf numFmtId="1" fontId="7" fillId="0" borderId="0" xfId="1" applyNumberFormat="1" applyFont="1" applyAlignment="1">
      <alignment horizontal="center" vertical="center"/>
    </xf>
    <xf numFmtId="1" fontId="8" fillId="0" borderId="7" xfId="1" applyNumberFormat="1" applyFont="1" applyBorder="1" applyAlignment="1" applyProtection="1">
      <alignment horizontal="center" vertical="center" wrapText="1"/>
      <protection locked="0"/>
    </xf>
    <xf numFmtId="1" fontId="8" fillId="0" borderId="20" xfId="1" applyNumberFormat="1" applyFont="1" applyBorder="1" applyAlignment="1" applyProtection="1">
      <alignment horizontal="center" vertical="center" wrapText="1"/>
      <protection locked="0"/>
    </xf>
    <xf numFmtId="1" fontId="8" fillId="0" borderId="8" xfId="1" applyNumberFormat="1" applyFont="1" applyBorder="1" applyAlignment="1" applyProtection="1">
      <alignment horizontal="center" vertical="center" wrapText="1"/>
      <protection locked="0"/>
    </xf>
    <xf numFmtId="1" fontId="8" fillId="0" borderId="7" xfId="0" applyNumberFormat="1" applyFont="1" applyBorder="1" applyAlignment="1" applyProtection="1">
      <alignment vertical="top" wrapText="1"/>
      <protection locked="0"/>
    </xf>
    <xf numFmtId="1" fontId="8" fillId="0" borderId="20" xfId="0" applyNumberFormat="1" applyFont="1" applyBorder="1" applyAlignment="1" applyProtection="1">
      <alignment vertical="top" wrapText="1"/>
      <protection locked="0"/>
    </xf>
    <xf numFmtId="1" fontId="8" fillId="0" borderId="8" xfId="0" applyNumberFormat="1" applyFont="1" applyBorder="1" applyAlignment="1" applyProtection="1">
      <alignment vertical="top" wrapText="1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1" xfId="0" applyNumberFormat="1" applyFont="1" applyBorder="1" applyAlignment="1" applyProtection="1">
      <alignment vertical="top" wrapText="1"/>
      <protection locked="0"/>
    </xf>
    <xf numFmtId="1" fontId="8" fillId="0" borderId="1" xfId="1" applyNumberFormat="1" applyFont="1" applyBorder="1" applyAlignment="1" applyProtection="1">
      <alignment horizontal="center" vertical="center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1" fontId="6" fillId="0" borderId="20" xfId="1" applyNumberFormat="1" applyFont="1" applyBorder="1" applyAlignment="1" applyProtection="1">
      <alignment horizontal="center" vertical="center" wrapText="1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164" fontId="12" fillId="0" borderId="1" xfId="1" applyNumberFormat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0" fontId="12" fillId="0" borderId="7" xfId="1" applyFont="1" applyBorder="1" applyAlignment="1" applyProtection="1">
      <alignment horizontal="left" vertical="top" wrapText="1"/>
      <protection locked="0"/>
    </xf>
    <xf numFmtId="0" fontId="12" fillId="0" borderId="8" xfId="1" applyFont="1" applyBorder="1" applyAlignment="1" applyProtection="1">
      <alignment horizontal="left" vertical="top" wrapText="1"/>
      <protection locked="0"/>
    </xf>
    <xf numFmtId="0" fontId="12" fillId="0" borderId="20" xfId="1" applyFont="1" applyBorder="1" applyAlignment="1" applyProtection="1">
      <alignment horizontal="left" vertical="top" wrapText="1"/>
      <protection locked="0"/>
    </xf>
    <xf numFmtId="14" fontId="12" fillId="0" borderId="7" xfId="1" applyNumberFormat="1" applyFont="1" applyBorder="1" applyAlignment="1" applyProtection="1">
      <alignment horizontal="left" vertical="top" wrapText="1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vertical="top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1" fontId="8" fillId="0" borderId="2" xfId="1" applyNumberFormat="1" applyFont="1" applyBorder="1" applyAlignment="1" applyProtection="1">
      <alignment horizontal="center" vertical="top" wrapText="1"/>
      <protection locked="0"/>
    </xf>
    <xf numFmtId="1" fontId="8" fillId="0" borderId="15" xfId="1" applyNumberFormat="1" applyFont="1" applyBorder="1" applyAlignment="1" applyProtection="1">
      <alignment horizontal="center" vertical="top" wrapText="1"/>
      <protection locked="0"/>
    </xf>
    <xf numFmtId="1" fontId="4" fillId="0" borderId="2" xfId="1" applyNumberFormat="1" applyFont="1" applyBorder="1" applyAlignment="1" applyProtection="1">
      <alignment horizontal="center" vertical="top" wrapText="1"/>
      <protection locked="0"/>
    </xf>
    <xf numFmtId="1" fontId="4" fillId="0" borderId="15" xfId="1" applyNumberFormat="1" applyFont="1" applyBorder="1" applyAlignment="1" applyProtection="1">
      <alignment horizontal="center" vertical="top" wrapText="1"/>
      <protection locked="0"/>
    </xf>
    <xf numFmtId="1" fontId="8" fillId="0" borderId="16" xfId="1" applyNumberFormat="1" applyFont="1" applyBorder="1" applyAlignment="1" applyProtection="1">
      <alignment horizontal="center" vertical="top" wrapText="1"/>
      <protection locked="0"/>
    </xf>
    <xf numFmtId="1" fontId="8" fillId="0" borderId="17" xfId="1" applyNumberFormat="1" applyFont="1" applyBorder="1" applyAlignment="1" applyProtection="1">
      <alignment horizontal="center" vertical="top" wrapText="1"/>
      <protection locked="0"/>
    </xf>
    <xf numFmtId="1" fontId="8" fillId="0" borderId="18" xfId="1" applyNumberFormat="1" applyFont="1" applyBorder="1" applyAlignment="1" applyProtection="1">
      <alignment horizontal="center" vertical="top" wrapText="1"/>
      <protection locked="0"/>
    </xf>
    <xf numFmtId="1" fontId="8" fillId="0" borderId="19" xfId="1" applyNumberFormat="1" applyFont="1" applyBorder="1" applyAlignment="1" applyProtection="1">
      <alignment horizontal="center" vertical="top" wrapText="1"/>
      <protection locked="0"/>
    </xf>
    <xf numFmtId="0" fontId="12" fillId="0" borderId="3" xfId="1" applyFont="1" applyBorder="1" applyAlignment="1" applyProtection="1">
      <alignment horizontal="center" vertical="top" wrapText="1"/>
      <protection locked="0"/>
    </xf>
    <xf numFmtId="167" fontId="12" fillId="0" borderId="1" xfId="9" applyNumberFormat="1" applyFont="1" applyFill="1" applyBorder="1" applyAlignment="1" applyProtection="1">
      <alignment horizontal="left" vertical="top"/>
      <protection locked="0"/>
    </xf>
    <xf numFmtId="0" fontId="7" fillId="0" borderId="1" xfId="0" applyFont="1" applyBorder="1" applyAlignment="1" applyProtection="1">
      <alignment horizontal="center" vertical="top" wrapText="1"/>
      <protection locked="0"/>
    </xf>
    <xf numFmtId="0" fontId="12" fillId="0" borderId="5" xfId="1" applyFont="1" applyBorder="1" applyAlignment="1" applyProtection="1">
      <alignment horizontal="center" vertical="top" wrapText="1"/>
      <protection locked="0"/>
    </xf>
    <xf numFmtId="0" fontId="12" fillId="0" borderId="6" xfId="1" applyFont="1" applyBorder="1" applyAlignment="1" applyProtection="1">
      <alignment horizontal="center" vertical="top" wrapText="1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1" fontId="7" fillId="0" borderId="1" xfId="0" applyNumberFormat="1" applyFont="1" applyBorder="1" applyAlignment="1" applyProtection="1">
      <alignment horizontal="center" vertical="center"/>
      <protection locked="0"/>
    </xf>
    <xf numFmtId="0" fontId="8" fillId="0" borderId="7" xfId="1" applyFont="1" applyBorder="1" applyAlignment="1" applyProtection="1">
      <alignment horizontal="left" vertical="top" wrapText="1"/>
      <protection locked="0"/>
    </xf>
    <xf numFmtId="0" fontId="8" fillId="0" borderId="8" xfId="1" applyFont="1" applyBorder="1" applyAlignment="1" applyProtection="1">
      <alignment horizontal="left" vertical="top" wrapText="1"/>
      <protection locked="0"/>
    </xf>
    <xf numFmtId="0" fontId="8" fillId="0" borderId="20" xfId="1" applyFont="1" applyBorder="1" applyAlignment="1" applyProtection="1">
      <alignment horizontal="left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14" fontId="8" fillId="0" borderId="7" xfId="1" applyNumberFormat="1" applyFont="1" applyBorder="1" applyAlignment="1" applyProtection="1">
      <alignment horizontal="left" vertical="top"/>
      <protection locked="0"/>
    </xf>
    <xf numFmtId="0" fontId="8" fillId="0" borderId="8" xfId="1" applyFont="1" applyBorder="1" applyAlignment="1" applyProtection="1">
      <alignment horizontal="left" vertical="top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1" fontId="10" fillId="0" borderId="1" xfId="0" applyNumberFormat="1" applyFont="1" applyBorder="1" applyAlignment="1" applyProtection="1">
      <alignment horizontal="center" vertical="top" wrapText="1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1" fontId="13" fillId="0" borderId="1" xfId="0" applyNumberFormat="1" applyFont="1" applyBorder="1" applyAlignment="1" applyProtection="1">
      <alignment vertical="top" wrapText="1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0" fontId="8" fillId="0" borderId="1" xfId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center" vertical="center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14" fontId="12" fillId="0" borderId="1" xfId="1" applyNumberFormat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left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/>
      <protection locked="0"/>
    </xf>
    <xf numFmtId="0" fontId="10" fillId="0" borderId="1" xfId="1" applyFont="1" applyBorder="1" applyAlignment="1" applyProtection="1">
      <alignment horizontal="left"/>
      <protection locked="0"/>
    </xf>
    <xf numFmtId="2" fontId="12" fillId="0" borderId="1" xfId="1" applyNumberFormat="1" applyFont="1" applyBorder="1" applyAlignment="1" applyProtection="1">
      <alignment horizontal="left" vertical="top" wrapText="1"/>
      <protection locked="0"/>
    </xf>
    <xf numFmtId="0" fontId="26" fillId="0" borderId="1" xfId="10" applyFill="1" applyBorder="1" applyAlignment="1" applyProtection="1">
      <alignment horizontal="left" vertical="top" wrapText="1"/>
      <protection locked="0"/>
    </xf>
    <xf numFmtId="9" fontId="12" fillId="0" borderId="1" xfId="8" applyFont="1" applyFill="1" applyBorder="1" applyAlignment="1" applyProtection="1">
      <alignment horizontal="center" vertical="center" wrapText="1"/>
      <protection locked="0"/>
    </xf>
    <xf numFmtId="1" fontId="6" fillId="0" borderId="1" xfId="1" applyNumberFormat="1" applyFont="1" applyBorder="1" applyAlignment="1" applyProtection="1">
      <alignment horizontal="left" vertical="top" wrapText="1"/>
      <protection locked="0"/>
    </xf>
    <xf numFmtId="2" fontId="12" fillId="0" borderId="1" xfId="1" applyNumberFormat="1" applyFont="1" applyBorder="1" applyAlignment="1" applyProtection="1">
      <alignment horizontal="left" vertical="top"/>
      <protection locked="0"/>
    </xf>
    <xf numFmtId="0" fontId="13" fillId="0" borderId="7" xfId="1" applyFont="1" applyBorder="1" applyAlignment="1" applyProtection="1">
      <alignment horizontal="left" vertical="top"/>
      <protection locked="0"/>
    </xf>
    <xf numFmtId="0" fontId="13" fillId="0" borderId="20" xfId="1" applyFont="1" applyBorder="1" applyAlignment="1" applyProtection="1">
      <alignment horizontal="left" vertical="top"/>
      <protection locked="0"/>
    </xf>
    <xf numFmtId="0" fontId="13" fillId="0" borderId="8" xfId="1" applyFont="1" applyBorder="1" applyAlignment="1" applyProtection="1">
      <alignment horizontal="left" vertical="top"/>
      <protection locked="0"/>
    </xf>
    <xf numFmtId="0" fontId="12" fillId="0" borderId="2" xfId="1" applyFont="1" applyBorder="1" applyAlignment="1" applyProtection="1">
      <alignment horizontal="left" vertical="top" wrapText="1"/>
      <protection locked="0"/>
    </xf>
    <xf numFmtId="0" fontId="12" fillId="0" borderId="2" xfId="1" applyFont="1" applyBorder="1" applyAlignment="1" applyProtection="1">
      <alignment horizontal="left" vertical="top"/>
      <protection locked="0"/>
    </xf>
    <xf numFmtId="0" fontId="12" fillId="0" borderId="16" xfId="1" applyFont="1" applyBorder="1" applyAlignment="1" applyProtection="1">
      <alignment horizontal="left" vertical="top" wrapText="1"/>
      <protection locked="0"/>
    </xf>
    <xf numFmtId="0" fontId="12" fillId="0" borderId="23" xfId="1" applyFont="1" applyBorder="1" applyAlignment="1" applyProtection="1">
      <alignment horizontal="left" vertical="top" wrapText="1"/>
      <protection locked="0"/>
    </xf>
    <xf numFmtId="0" fontId="12" fillId="0" borderId="17" xfId="1" applyFont="1" applyBorder="1" applyAlignment="1" applyProtection="1">
      <alignment horizontal="left" vertical="top" wrapText="1"/>
      <protection locked="0"/>
    </xf>
    <xf numFmtId="0" fontId="12" fillId="0" borderId="18" xfId="1" applyFont="1" applyBorder="1" applyAlignment="1" applyProtection="1">
      <alignment horizontal="left" vertical="top" wrapText="1"/>
      <protection locked="0"/>
    </xf>
    <xf numFmtId="0" fontId="12" fillId="0" borderId="19" xfId="1" applyFont="1" applyBorder="1" applyAlignment="1" applyProtection="1">
      <alignment horizontal="left" vertical="top" wrapText="1"/>
      <protection locked="0"/>
    </xf>
    <xf numFmtId="0" fontId="13" fillId="0" borderId="21" xfId="1" applyFont="1" applyBorder="1" applyAlignment="1" applyProtection="1">
      <alignment horizontal="left" vertical="top" wrapText="1"/>
      <protection locked="0"/>
    </xf>
    <xf numFmtId="0" fontId="13" fillId="0" borderId="14" xfId="1" applyFont="1" applyBorder="1" applyAlignment="1" applyProtection="1">
      <alignment horizontal="left" vertical="top" wrapText="1"/>
      <protection locked="0"/>
    </xf>
    <xf numFmtId="0" fontId="13" fillId="0" borderId="12" xfId="1" applyFont="1" applyBorder="1" applyAlignment="1" applyProtection="1">
      <alignment horizontal="left" vertical="top" wrapText="1"/>
      <protection locked="0"/>
    </xf>
    <xf numFmtId="0" fontId="13" fillId="0" borderId="13" xfId="1" applyFont="1" applyBorder="1" applyAlignment="1" applyProtection="1">
      <alignment horizontal="left" vertical="top" wrapText="1"/>
      <protection locked="0"/>
    </xf>
    <xf numFmtId="0" fontId="13" fillId="0" borderId="22" xfId="1" applyFont="1" applyBorder="1" applyAlignment="1" applyProtection="1">
      <alignment horizontal="left" vertical="top" wrapText="1"/>
      <protection locked="0"/>
    </xf>
    <xf numFmtId="9" fontId="12" fillId="0" borderId="16" xfId="8" applyFont="1" applyFill="1" applyBorder="1" applyAlignment="1" applyProtection="1">
      <alignment horizontal="center" vertical="center" wrapText="1"/>
      <protection locked="0"/>
    </xf>
    <xf numFmtId="9" fontId="12" fillId="0" borderId="17" xfId="8" applyFont="1" applyFill="1" applyBorder="1" applyAlignment="1" applyProtection="1">
      <alignment horizontal="center" vertical="center" wrapText="1"/>
      <protection locked="0"/>
    </xf>
    <xf numFmtId="9" fontId="12" fillId="0" borderId="24" xfId="8" applyFont="1" applyFill="1" applyBorder="1" applyAlignment="1" applyProtection="1">
      <alignment horizontal="center" vertical="center" wrapText="1"/>
      <protection locked="0"/>
    </xf>
    <xf numFmtId="9" fontId="12" fillId="0" borderId="25" xfId="8" applyFont="1" applyFill="1" applyBorder="1" applyAlignment="1" applyProtection="1">
      <alignment horizontal="center" vertical="center" wrapText="1"/>
      <protection locked="0"/>
    </xf>
    <xf numFmtId="9" fontId="12" fillId="0" borderId="27" xfId="8" applyFont="1" applyFill="1" applyBorder="1" applyAlignment="1" applyProtection="1">
      <alignment horizontal="center" vertical="center" wrapText="1"/>
      <protection locked="0"/>
    </xf>
    <xf numFmtId="9" fontId="12" fillId="0" borderId="28" xfId="8" applyFont="1" applyFill="1" applyBorder="1" applyAlignment="1" applyProtection="1">
      <alignment horizontal="center" vertical="center" wrapText="1"/>
      <protection locked="0"/>
    </xf>
    <xf numFmtId="0" fontId="8" fillId="0" borderId="15" xfId="1" applyFont="1" applyBorder="1" applyAlignment="1" applyProtection="1">
      <alignment horizontal="center" vertical="top"/>
      <protection locked="0"/>
    </xf>
    <xf numFmtId="0" fontId="12" fillId="0" borderId="4" xfId="1" applyFont="1" applyBorder="1" applyAlignment="1" applyProtection="1">
      <alignment horizontal="center" vertical="top" wrapText="1"/>
      <protection locked="0"/>
    </xf>
    <xf numFmtId="0" fontId="13" fillId="0" borderId="3" xfId="1" applyFont="1" applyBorder="1" applyAlignment="1" applyProtection="1">
      <alignment horizontal="left" vertical="top"/>
      <protection locked="0"/>
    </xf>
    <xf numFmtId="0" fontId="13" fillId="0" borderId="4" xfId="1" applyFont="1" applyBorder="1" applyAlignment="1" applyProtection="1">
      <alignment horizontal="left" vertical="top" wrapText="1"/>
      <protection locked="0"/>
    </xf>
    <xf numFmtId="1" fontId="8" fillId="0" borderId="1" xfId="0" applyNumberFormat="1" applyFont="1" applyBorder="1" applyAlignment="1" applyProtection="1">
      <alignment horizontal="left" vertical="top" wrapText="1"/>
      <protection locked="0"/>
    </xf>
    <xf numFmtId="0" fontId="8" fillId="0" borderId="15" xfId="1" applyFont="1" applyBorder="1" applyAlignment="1" applyProtection="1">
      <alignment horizontal="left" vertical="top"/>
      <protection locked="0"/>
    </xf>
    <xf numFmtId="9" fontId="12" fillId="0" borderId="26" xfId="8" applyFont="1" applyFill="1" applyBorder="1" applyAlignment="1" applyProtection="1">
      <alignment horizontal="center" vertical="center" wrapText="1"/>
      <protection locked="0"/>
    </xf>
    <xf numFmtId="9" fontId="12" fillId="0" borderId="9" xfId="8" applyFont="1" applyFill="1" applyBorder="1" applyAlignment="1" applyProtection="1">
      <alignment horizontal="center" vertical="center" wrapText="1"/>
      <protection locked="0"/>
    </xf>
    <xf numFmtId="9" fontId="12" fillId="0" borderId="11" xfId="8" applyFont="1" applyFill="1" applyBorder="1" applyAlignment="1" applyProtection="1">
      <alignment horizontal="center" vertical="center" wrapText="1"/>
      <protection locked="0"/>
    </xf>
    <xf numFmtId="0" fontId="8" fillId="0" borderId="24" xfId="1" applyFont="1" applyBorder="1" applyAlignment="1" applyProtection="1">
      <alignment horizontal="center" vertical="center" wrapText="1"/>
      <protection locked="0"/>
    </xf>
    <xf numFmtId="0" fontId="8" fillId="0" borderId="25" xfId="1" applyFont="1" applyBorder="1" applyAlignment="1" applyProtection="1">
      <alignment horizontal="center" vertical="center" wrapText="1"/>
      <protection locked="0"/>
    </xf>
    <xf numFmtId="0" fontId="8" fillId="0" borderId="27" xfId="1" applyFont="1" applyBorder="1" applyAlignment="1" applyProtection="1">
      <alignment horizontal="center" vertical="center" wrapText="1"/>
      <protection locked="0"/>
    </xf>
    <xf numFmtId="0" fontId="8" fillId="0" borderId="28" xfId="1" applyFont="1" applyBorder="1" applyAlignment="1" applyProtection="1">
      <alignment horizontal="center" vertical="center" wrapText="1"/>
      <protection locked="0"/>
    </xf>
    <xf numFmtId="9" fontId="8" fillId="0" borderId="24" xfId="1" applyNumberFormat="1" applyFont="1" applyBorder="1" applyAlignment="1" applyProtection="1">
      <alignment horizontal="center" vertical="center"/>
      <protection locked="0"/>
    </xf>
    <xf numFmtId="0" fontId="8" fillId="0" borderId="25" xfId="1" applyFont="1" applyBorder="1" applyAlignment="1" applyProtection="1">
      <alignment horizontal="center" vertical="center"/>
      <protection locked="0"/>
    </xf>
    <xf numFmtId="0" fontId="8" fillId="0" borderId="27" xfId="1" applyFont="1" applyBorder="1" applyAlignment="1" applyProtection="1">
      <alignment horizontal="center" vertical="center"/>
      <protection locked="0"/>
    </xf>
    <xf numFmtId="0" fontId="8" fillId="0" borderId="28" xfId="1" applyFont="1" applyBorder="1" applyAlignment="1" applyProtection="1">
      <alignment horizontal="center" vertical="center"/>
      <protection locked="0"/>
    </xf>
    <xf numFmtId="1" fontId="6" fillId="0" borderId="8" xfId="1" applyNumberFormat="1" applyFont="1" applyBorder="1" applyAlignment="1" applyProtection="1">
      <alignment horizontal="left" vertical="top" wrapText="1"/>
      <protection locked="0"/>
    </xf>
    <xf numFmtId="0" fontId="9" fillId="0" borderId="1" xfId="5" applyFont="1" applyBorder="1" applyAlignment="1">
      <alignment horizontal="left"/>
    </xf>
    <xf numFmtId="0" fontId="0" fillId="0" borderId="0" xfId="0" applyAlignment="1">
      <alignment horizontal="center"/>
    </xf>
  </cellXfs>
  <cellStyles count="11">
    <cellStyle name="Comma" xfId="9" builtinId="3"/>
    <cellStyle name="Comma 2" xfId="6"/>
    <cellStyle name="Excel Built-in Normal" xfId="2"/>
    <cellStyle name="Excel Built-in Normal 2" xfId="4"/>
    <cellStyle name="Hyperlink" xfId="10" builtinId="8"/>
    <cellStyle name="Normal" xfId="0" builtinId="0"/>
    <cellStyle name="Normal 2" xfId="3"/>
    <cellStyle name="Normal 3" xfId="1"/>
    <cellStyle name="Normal 3 3" xfId="7"/>
    <cellStyle name="Normal 4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jpe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7.png"/><Relationship Id="rId1" Type="http://schemas.openxmlformats.org/officeDocument/2006/relationships/image" Target="../media/image1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432954</xdr:colOff>
      <xdr:row>401</xdr:row>
      <xdr:rowOff>34290</xdr:rowOff>
    </xdr:from>
    <xdr:to>
      <xdr:col>7</xdr:col>
      <xdr:colOff>439930</xdr:colOff>
      <xdr:row>419</xdr:row>
      <xdr:rowOff>49425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32954" y="65332495"/>
          <a:ext cx="5695999" cy="360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432954</xdr:colOff>
      <xdr:row>382</xdr:row>
      <xdr:rowOff>69273</xdr:rowOff>
    </xdr:from>
    <xdr:to>
      <xdr:col>7</xdr:col>
      <xdr:colOff>423931</xdr:colOff>
      <xdr:row>400</xdr:row>
      <xdr:rowOff>84409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32954" y="61583455"/>
          <a:ext cx="5680000" cy="360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343745</xdr:colOff>
      <xdr:row>363</xdr:row>
      <xdr:rowOff>108857</xdr:rowOff>
    </xdr:from>
    <xdr:to>
      <xdr:col>5</xdr:col>
      <xdr:colOff>738975</xdr:colOff>
      <xdr:row>379</xdr:row>
      <xdr:rowOff>79063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105745" y="66851893"/>
          <a:ext cx="3756194" cy="3235920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 editAs="oneCell">
    <xdr:from>
      <xdr:col>1</xdr:col>
      <xdr:colOff>13608</xdr:colOff>
      <xdr:row>339</xdr:row>
      <xdr:rowOff>136072</xdr:rowOff>
    </xdr:from>
    <xdr:to>
      <xdr:col>6</xdr:col>
      <xdr:colOff>275186</xdr:colOff>
      <xdr:row>362</xdr:row>
      <xdr:rowOff>121607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75608" y="61980536"/>
          <a:ext cx="4398149" cy="468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4</xdr:col>
      <xdr:colOff>231322</xdr:colOff>
      <xdr:row>341</xdr:row>
      <xdr:rowOff>176892</xdr:rowOff>
    </xdr:from>
    <xdr:to>
      <xdr:col>5</xdr:col>
      <xdr:colOff>68036</xdr:colOff>
      <xdr:row>353</xdr:row>
      <xdr:rowOff>0</xdr:rowOff>
    </xdr:to>
    <xdr:sp macro="" textlink="">
      <xdr:nvSpPr>
        <xdr:cNvPr id="12" name="Rectangl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 rot="504413">
          <a:off x="3578679" y="62429571"/>
          <a:ext cx="612321" cy="2272393"/>
        </a:xfrm>
        <a:prstGeom prst="rect">
          <a:avLst/>
        </a:prstGeom>
        <a:noFill/>
        <a:ln w="5715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>
    <xdr:from>
      <xdr:col>5</xdr:col>
      <xdr:colOff>244929</xdr:colOff>
      <xdr:row>341</xdr:row>
      <xdr:rowOff>81642</xdr:rowOff>
    </xdr:from>
    <xdr:to>
      <xdr:col>6</xdr:col>
      <xdr:colOff>68036</xdr:colOff>
      <xdr:row>342</xdr:row>
      <xdr:rowOff>190500</xdr:rowOff>
    </xdr:to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4367893" y="62334321"/>
          <a:ext cx="598714" cy="312965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IN" sz="1100">
              <a:ln w="12700">
                <a:solidFill>
                  <a:schemeClr val="tx1"/>
                </a:solidFill>
              </a:ln>
            </a:rPr>
            <a:t>A Wing</a:t>
          </a:r>
        </a:p>
      </xdr:txBody>
    </xdr:sp>
    <xdr:clientData/>
  </xdr:twoCellAnchor>
  <xdr:twoCellAnchor>
    <xdr:from>
      <xdr:col>4</xdr:col>
      <xdr:colOff>105899</xdr:colOff>
      <xdr:row>353</xdr:row>
      <xdr:rowOff>176892</xdr:rowOff>
    </xdr:from>
    <xdr:to>
      <xdr:col>5</xdr:col>
      <xdr:colOff>65078</xdr:colOff>
      <xdr:row>355</xdr:row>
      <xdr:rowOff>27214</xdr:rowOff>
    </xdr:to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3460356" y="63431175"/>
          <a:ext cx="737744" cy="247887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IN" sz="1100" b="1" cap="none" spc="0">
              <a:ln w="6600">
                <a:solidFill>
                  <a:schemeClr val="accent2"/>
                </a:solidFill>
                <a:prstDash val="solid"/>
              </a:ln>
              <a:solidFill>
                <a:srgbClr val="FF0000"/>
              </a:solidFill>
              <a:effectLst>
                <a:outerShdw dist="38100" dir="2700000" algn="tl" rotWithShape="0">
                  <a:schemeClr val="accent2"/>
                </a:outerShdw>
              </a:effectLst>
            </a:rPr>
            <a:t>B Wing</a:t>
          </a:r>
        </a:p>
      </xdr:txBody>
    </xdr:sp>
    <xdr:clientData/>
  </xdr:twoCellAnchor>
  <xdr:twoCellAnchor>
    <xdr:from>
      <xdr:col>3</xdr:col>
      <xdr:colOff>685424</xdr:colOff>
      <xdr:row>354</xdr:row>
      <xdr:rowOff>101266</xdr:rowOff>
    </xdr:from>
    <xdr:to>
      <xdr:col>5</xdr:col>
      <xdr:colOff>492140</xdr:colOff>
      <xdr:row>359</xdr:row>
      <xdr:rowOff>93328</xdr:rowOff>
    </xdr:to>
    <xdr:sp macro="" textlink="">
      <xdr:nvSpPr>
        <xdr:cNvPr id="15" name="Rectangl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 rot="1753953">
          <a:off x="3095663" y="63554331"/>
          <a:ext cx="1529499" cy="985975"/>
        </a:xfrm>
        <a:prstGeom prst="rect">
          <a:avLst/>
        </a:prstGeom>
        <a:noFill/>
        <a:ln w="57150">
          <a:solidFill>
            <a:schemeClr val="accent2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>
    <xdr:from>
      <xdr:col>2</xdr:col>
      <xdr:colOff>215160</xdr:colOff>
      <xdr:row>351</xdr:row>
      <xdr:rowOff>89517</xdr:rowOff>
    </xdr:from>
    <xdr:to>
      <xdr:col>3</xdr:col>
      <xdr:colOff>716886</xdr:colOff>
      <xdr:row>355</xdr:row>
      <xdr:rowOff>31484</xdr:rowOff>
    </xdr:to>
    <xdr:sp macro="" textlink="">
      <xdr:nvSpPr>
        <xdr:cNvPr id="16" name="Rectangle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 rot="420194">
          <a:off x="1780573" y="62946234"/>
          <a:ext cx="1346552" cy="737098"/>
        </a:xfrm>
        <a:prstGeom prst="rect">
          <a:avLst/>
        </a:prstGeom>
        <a:noFill/>
        <a:ln w="57150">
          <a:solidFill>
            <a:schemeClr val="accent6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>
    <xdr:from>
      <xdr:col>2</xdr:col>
      <xdr:colOff>281608</xdr:colOff>
      <xdr:row>349</xdr:row>
      <xdr:rowOff>157370</xdr:rowOff>
    </xdr:from>
    <xdr:to>
      <xdr:col>3</xdr:col>
      <xdr:colOff>149087</xdr:colOff>
      <xdr:row>351</xdr:row>
      <xdr:rowOff>8283</xdr:rowOff>
    </xdr:to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1847021" y="62616522"/>
          <a:ext cx="712305" cy="248478"/>
        </a:xfrm>
        <a:prstGeom prst="rect">
          <a:avLst/>
        </a:prstGeom>
        <a:noFill/>
        <a:ln w="3810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IN" sz="1400">
              <a:solidFill>
                <a:schemeClr val="accent5">
                  <a:lumMod val="60000"/>
                  <a:lumOff val="40000"/>
                </a:schemeClr>
              </a:solidFill>
            </a:rPr>
            <a:t>C Wing</a:t>
          </a:r>
        </a:p>
      </xdr:txBody>
    </xdr:sp>
    <xdr:clientData/>
  </xdr:twoCellAnchor>
  <xdr:oneCellAnchor>
    <xdr:from>
      <xdr:col>9</xdr:col>
      <xdr:colOff>0</xdr:colOff>
      <xdr:row>295</xdr:row>
      <xdr:rowOff>0</xdr:rowOff>
    </xdr:from>
    <xdr:ext cx="607089" cy="264560"/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8064500" y="53289200"/>
          <a:ext cx="607089" cy="264560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100" b="1"/>
            <a:t>Wing</a:t>
          </a:r>
          <a:r>
            <a:rPr lang="en-IN" sz="1100" b="1" baseline="0"/>
            <a:t> A</a:t>
          </a:r>
          <a:endParaRPr lang="en-IN" sz="1100" b="1"/>
        </a:p>
      </xdr:txBody>
    </xdr:sp>
    <xdr:clientData/>
  </xdr:oneCellAnchor>
  <xdr:twoCellAnchor>
    <xdr:from>
      <xdr:col>10</xdr:col>
      <xdr:colOff>0</xdr:colOff>
      <xdr:row>295</xdr:row>
      <xdr:rowOff>0</xdr:rowOff>
    </xdr:from>
    <xdr:to>
      <xdr:col>11</xdr:col>
      <xdr:colOff>213897</xdr:colOff>
      <xdr:row>296</xdr:row>
      <xdr:rowOff>112731</xdr:rowOff>
    </xdr:to>
    <xdr:sp macro="" textlink="">
      <xdr:nvSpPr>
        <xdr:cNvPr id="28" name="TextBox 36">
          <a:extLst>
            <a:ext uri="{FF2B5EF4-FFF2-40B4-BE49-F238E27FC236}">
              <a16:creationId xmlns:a16="http://schemas.microsoft.com/office/drawing/2014/main" id="{4E292F7A-CF85-75B2-682E-F51F2726F8A8}"/>
            </a:ext>
          </a:extLst>
        </xdr:cNvPr>
        <xdr:cNvSpPr txBox="1"/>
      </xdr:nvSpPr>
      <xdr:spPr>
        <a:xfrm>
          <a:off x="8832850" y="53238400"/>
          <a:ext cx="950497" cy="309581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IN" sz="1400" b="0" kern="1200" cap="none" spc="0">
              <a:ln w="0"/>
              <a:solidFill>
                <a:srgbClr val="FFFF0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  <a:latin typeface="+mn-lt"/>
              <a:ea typeface="+mn-ea"/>
              <a:cs typeface="+mn-cs"/>
            </a:rPr>
            <a:t>Building A</a:t>
          </a:r>
          <a:endParaRPr lang="en-IN" sz="1400" b="0" cap="none" spc="0">
            <a:ln w="0"/>
            <a:solidFill>
              <a:srgbClr val="FFFF00"/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</a:endParaRPr>
        </a:p>
      </xdr:txBody>
    </xdr:sp>
    <xdr:clientData/>
  </xdr:twoCellAnchor>
  <xdr:twoCellAnchor>
    <xdr:from>
      <xdr:col>0</xdr:col>
      <xdr:colOff>133350</xdr:colOff>
      <xdr:row>296</xdr:row>
      <xdr:rowOff>101600</xdr:rowOff>
    </xdr:from>
    <xdr:to>
      <xdr:col>7</xdr:col>
      <xdr:colOff>748618</xdr:colOff>
      <xdr:row>337</xdr:row>
      <xdr:rowOff>82550</xdr:rowOff>
    </xdr:to>
    <xdr:grpSp>
      <xdr:nvGrpSpPr>
        <xdr:cNvPr id="6" name="Group 5"/>
        <xdr:cNvGrpSpPr/>
      </xdr:nvGrpSpPr>
      <xdr:grpSpPr>
        <a:xfrm>
          <a:off x="133350" y="56095900"/>
          <a:ext cx="6539818" cy="8045450"/>
          <a:chOff x="133350" y="56095900"/>
          <a:chExt cx="6539818" cy="8045450"/>
        </a:xfrm>
      </xdr:grpSpPr>
      <xdr:pic>
        <xdr:nvPicPr>
          <xdr:cNvPr id="26" name="Picture 25"/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459733" y="62990956"/>
            <a:ext cx="1910259" cy="1150394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3" name="Picture 32"/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591210" y="56095900"/>
            <a:ext cx="2057724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4" name="Picture 33"/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70927" y="56095900"/>
            <a:ext cx="2057724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5" name="Picture 34"/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386001" y="56095900"/>
            <a:ext cx="2057724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6" name="Picture 35"/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56713" y="61097040"/>
            <a:ext cx="2722119" cy="177482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7" name="Picture 36"/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5129874" y="58925944"/>
            <a:ext cx="1543294" cy="2052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8" name="Picture 37"/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464366" y="58925944"/>
            <a:ext cx="1543294" cy="2052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9" name="Picture 38"/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919978" y="61097040"/>
            <a:ext cx="1536863" cy="177482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0" name="Picture 39"/>
          <xdr:cNvPicPr>
            <a:picLocks noChangeAspect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33350" y="58938470"/>
            <a:ext cx="1543294" cy="2052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1" name="Picture 40"/>
          <xdr:cNvPicPr>
            <a:picLocks noChangeAspect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798858" y="58925944"/>
            <a:ext cx="1543294" cy="2052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2" name="Picture 41"/>
          <xdr:cNvPicPr>
            <a:picLocks noChangeAspect="1"/>
          </xdr:cNvPicPr>
        </xdr:nvPicPr>
        <xdr:blipFill>
          <a:blip xmlns:r="http://schemas.openxmlformats.org/officeDocument/2006/relationships" r:embed="rId1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227758" y="61097040"/>
            <a:ext cx="1543294" cy="177482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sp macro="" textlink="">
        <xdr:nvSpPr>
          <xdr:cNvPr id="43" name="TextBox 36">
            <a:extLst>
              <a:ext uri="{FF2B5EF4-FFF2-40B4-BE49-F238E27FC236}">
                <a16:creationId xmlns:a16="http://schemas.microsoft.com/office/drawing/2014/main" id="{4E292F7A-CF85-75B2-682E-F51F2726F8A8}"/>
              </a:ext>
            </a:extLst>
          </xdr:cNvPr>
          <xdr:cNvSpPr txBox="1"/>
        </xdr:nvSpPr>
        <xdr:spPr>
          <a:xfrm>
            <a:off x="755127" y="58115200"/>
            <a:ext cx="950497" cy="309581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IN" sz="1400" b="0" kern="1200" cap="none" spc="0">
                <a:ln w="0"/>
                <a:solidFill>
                  <a:srgbClr val="FFFF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  <a:latin typeface="+mn-lt"/>
                <a:ea typeface="+mn-ea"/>
                <a:cs typeface="+mn-cs"/>
              </a:rPr>
              <a:t>Building B</a:t>
            </a:r>
            <a:endParaRPr lang="en-IN" sz="1400" b="0" cap="none" spc="0">
              <a:ln w="0"/>
              <a:solidFill>
                <a:srgbClr val="FFFF0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endParaRPr>
          </a:p>
        </xdr:txBody>
      </xdr:sp>
      <xdr:sp macro="" textlink="">
        <xdr:nvSpPr>
          <xdr:cNvPr id="44" name="TextBox 36">
            <a:extLst>
              <a:ext uri="{FF2B5EF4-FFF2-40B4-BE49-F238E27FC236}">
                <a16:creationId xmlns:a16="http://schemas.microsoft.com/office/drawing/2014/main" id="{4E292F7A-CF85-75B2-682E-F51F2726F8A8}"/>
              </a:ext>
            </a:extLst>
          </xdr:cNvPr>
          <xdr:cNvSpPr txBox="1"/>
        </xdr:nvSpPr>
        <xdr:spPr>
          <a:xfrm>
            <a:off x="3014651" y="58089800"/>
            <a:ext cx="950497" cy="309581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IN" sz="1400" b="0" kern="1200" cap="none" spc="0">
                <a:ln w="0"/>
                <a:solidFill>
                  <a:srgbClr val="FFFF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  <a:latin typeface="+mn-lt"/>
                <a:ea typeface="+mn-ea"/>
                <a:cs typeface="+mn-cs"/>
              </a:rPr>
              <a:t>Building B</a:t>
            </a:r>
            <a:endParaRPr lang="en-IN" sz="1400" b="0" cap="none" spc="0">
              <a:ln w="0"/>
              <a:solidFill>
                <a:srgbClr val="FFFF0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endParaRPr>
          </a:p>
        </xdr:txBody>
      </xdr:sp>
      <xdr:sp macro="" textlink="">
        <xdr:nvSpPr>
          <xdr:cNvPr id="45" name="TextBox 36">
            <a:extLst>
              <a:ext uri="{FF2B5EF4-FFF2-40B4-BE49-F238E27FC236}">
                <a16:creationId xmlns:a16="http://schemas.microsoft.com/office/drawing/2014/main" id="{4E292F7A-CF85-75B2-682E-F51F2726F8A8}"/>
              </a:ext>
            </a:extLst>
          </xdr:cNvPr>
          <xdr:cNvSpPr txBox="1"/>
        </xdr:nvSpPr>
        <xdr:spPr>
          <a:xfrm>
            <a:off x="5207160" y="58096150"/>
            <a:ext cx="950497" cy="309581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IN" sz="1400" b="0" kern="1200" cap="none" spc="0">
                <a:ln w="0"/>
                <a:solidFill>
                  <a:srgbClr val="FFFF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  <a:latin typeface="+mn-lt"/>
                <a:ea typeface="+mn-ea"/>
                <a:cs typeface="+mn-cs"/>
              </a:rPr>
              <a:t>Building C</a:t>
            </a:r>
            <a:endParaRPr lang="en-IN" sz="1400" b="0" cap="none" spc="0">
              <a:ln w="0"/>
              <a:solidFill>
                <a:srgbClr val="FFFF0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endParaRPr>
          </a:p>
        </xdr:txBody>
      </xdr:sp>
      <xdr:sp macro="" textlink="">
        <xdr:nvSpPr>
          <xdr:cNvPr id="52" name="TextBox 36">
            <a:extLst>
              <a:ext uri="{FF2B5EF4-FFF2-40B4-BE49-F238E27FC236}">
                <a16:creationId xmlns:a16="http://schemas.microsoft.com/office/drawing/2014/main" id="{4E292F7A-CF85-75B2-682E-F51F2726F8A8}"/>
              </a:ext>
            </a:extLst>
          </xdr:cNvPr>
          <xdr:cNvSpPr txBox="1"/>
        </xdr:nvSpPr>
        <xdr:spPr>
          <a:xfrm>
            <a:off x="476250" y="60602170"/>
            <a:ext cx="950497" cy="309581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IN" sz="1400" b="0" kern="1200" cap="none" spc="0">
                <a:ln w="0"/>
                <a:solidFill>
                  <a:srgbClr val="FFFF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  <a:latin typeface="+mn-lt"/>
                <a:ea typeface="+mn-ea"/>
                <a:cs typeface="+mn-cs"/>
              </a:rPr>
              <a:t>Building A</a:t>
            </a:r>
            <a:endParaRPr lang="en-IN" sz="1400" b="0" cap="none" spc="0">
              <a:ln w="0"/>
              <a:solidFill>
                <a:srgbClr val="FFFF0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zsgAcQRf53XEjAXQ9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382"/>
  <sheetViews>
    <sheetView tabSelected="1" view="pageBreakPreview" zoomScaleNormal="100" zoomScaleSheetLayoutView="100" zoomScalePageLayoutView="70" workbookViewId="0">
      <selection activeCell="E9" sqref="E9:H9"/>
    </sheetView>
  </sheetViews>
  <sheetFormatPr defaultColWidth="9.1796875" defaultRowHeight="15.5" x14ac:dyDescent="0.35"/>
  <cols>
    <col min="1" max="1" width="11.453125" style="36" customWidth="1"/>
    <col min="2" max="2" width="12" style="36" customWidth="1"/>
    <col min="3" max="3" width="12.54296875" style="36" customWidth="1"/>
    <col min="4" max="4" width="14.1796875" style="36" customWidth="1"/>
    <col min="5" max="7" width="11.54296875" style="36" customWidth="1"/>
    <col min="8" max="8" width="12.453125" style="36" customWidth="1"/>
    <col min="9" max="9" width="17.453125" style="18" customWidth="1"/>
    <col min="10" max="10" width="11.453125" style="18" customWidth="1"/>
    <col min="11" max="11" width="10.54296875" style="18" bestFit="1" customWidth="1"/>
    <col min="12" max="12" width="10.54296875" style="18" customWidth="1"/>
    <col min="13" max="13" width="11.81640625" style="18" customWidth="1"/>
    <col min="14" max="14" width="12.54296875" style="18" customWidth="1"/>
    <col min="15" max="15" width="9.81640625" style="18" customWidth="1"/>
    <col min="16" max="16" width="11.54296875" style="18" customWidth="1"/>
    <col min="17" max="247" width="9.1796875" style="18"/>
    <col min="248" max="248" width="8.54296875" style="18" customWidth="1"/>
    <col min="249" max="249" width="9.81640625" style="18" customWidth="1"/>
    <col min="250" max="250" width="14.453125" style="18" customWidth="1"/>
    <col min="251" max="251" width="7.453125" style="18" customWidth="1"/>
    <col min="252" max="252" width="5.54296875" style="18" customWidth="1"/>
    <col min="253" max="253" width="9" style="18" customWidth="1"/>
    <col min="254" max="255" width="9.81640625" style="18" customWidth="1"/>
    <col min="256" max="256" width="11.1796875" style="18" customWidth="1"/>
    <col min="257" max="257" width="2.81640625" style="18" customWidth="1"/>
    <col min="258" max="258" width="3.54296875" style="18" customWidth="1"/>
    <col min="259" max="503" width="9.1796875" style="18"/>
    <col min="504" max="504" width="8.54296875" style="18" customWidth="1"/>
    <col min="505" max="505" width="9.81640625" style="18" customWidth="1"/>
    <col min="506" max="506" width="14.453125" style="18" customWidth="1"/>
    <col min="507" max="507" width="7.453125" style="18" customWidth="1"/>
    <col min="508" max="508" width="5.54296875" style="18" customWidth="1"/>
    <col min="509" max="509" width="9" style="18" customWidth="1"/>
    <col min="510" max="511" width="9.81640625" style="18" customWidth="1"/>
    <col min="512" max="512" width="11.1796875" style="18" customWidth="1"/>
    <col min="513" max="513" width="2.81640625" style="18" customWidth="1"/>
    <col min="514" max="514" width="3.54296875" style="18" customWidth="1"/>
    <col min="515" max="759" width="9.1796875" style="18"/>
    <col min="760" max="760" width="8.54296875" style="18" customWidth="1"/>
    <col min="761" max="761" width="9.81640625" style="18" customWidth="1"/>
    <col min="762" max="762" width="14.453125" style="18" customWidth="1"/>
    <col min="763" max="763" width="7.453125" style="18" customWidth="1"/>
    <col min="764" max="764" width="5.54296875" style="18" customWidth="1"/>
    <col min="765" max="765" width="9" style="18" customWidth="1"/>
    <col min="766" max="767" width="9.81640625" style="18" customWidth="1"/>
    <col min="768" max="768" width="11.1796875" style="18" customWidth="1"/>
    <col min="769" max="769" width="2.81640625" style="18" customWidth="1"/>
    <col min="770" max="770" width="3.54296875" style="18" customWidth="1"/>
    <col min="771" max="1015" width="9.1796875" style="18"/>
    <col min="1016" max="1016" width="8.54296875" style="18" customWidth="1"/>
    <col min="1017" max="1017" width="9.81640625" style="18" customWidth="1"/>
    <col min="1018" max="1018" width="14.453125" style="18" customWidth="1"/>
    <col min="1019" max="1019" width="7.453125" style="18" customWidth="1"/>
    <col min="1020" max="1020" width="5.54296875" style="18" customWidth="1"/>
    <col min="1021" max="1021" width="9" style="18" customWidth="1"/>
    <col min="1022" max="1023" width="9.81640625" style="18" customWidth="1"/>
    <col min="1024" max="1024" width="11.1796875" style="18" customWidth="1"/>
    <col min="1025" max="1025" width="2.81640625" style="18" customWidth="1"/>
    <col min="1026" max="1026" width="3.54296875" style="18" customWidth="1"/>
    <col min="1027" max="1271" width="9.1796875" style="18"/>
    <col min="1272" max="1272" width="8.54296875" style="18" customWidth="1"/>
    <col min="1273" max="1273" width="9.81640625" style="18" customWidth="1"/>
    <col min="1274" max="1274" width="14.453125" style="18" customWidth="1"/>
    <col min="1275" max="1275" width="7.453125" style="18" customWidth="1"/>
    <col min="1276" max="1276" width="5.54296875" style="18" customWidth="1"/>
    <col min="1277" max="1277" width="9" style="18" customWidth="1"/>
    <col min="1278" max="1279" width="9.81640625" style="18" customWidth="1"/>
    <col min="1280" max="1280" width="11.1796875" style="18" customWidth="1"/>
    <col min="1281" max="1281" width="2.81640625" style="18" customWidth="1"/>
    <col min="1282" max="1282" width="3.54296875" style="18" customWidth="1"/>
    <col min="1283" max="1527" width="9.1796875" style="18"/>
    <col min="1528" max="1528" width="8.54296875" style="18" customWidth="1"/>
    <col min="1529" max="1529" width="9.81640625" style="18" customWidth="1"/>
    <col min="1530" max="1530" width="14.453125" style="18" customWidth="1"/>
    <col min="1531" max="1531" width="7.453125" style="18" customWidth="1"/>
    <col min="1532" max="1532" width="5.54296875" style="18" customWidth="1"/>
    <col min="1533" max="1533" width="9" style="18" customWidth="1"/>
    <col min="1534" max="1535" width="9.81640625" style="18" customWidth="1"/>
    <col min="1536" max="1536" width="11.1796875" style="18" customWidth="1"/>
    <col min="1537" max="1537" width="2.81640625" style="18" customWidth="1"/>
    <col min="1538" max="1538" width="3.54296875" style="18" customWidth="1"/>
    <col min="1539" max="1783" width="9.1796875" style="18"/>
    <col min="1784" max="1784" width="8.54296875" style="18" customWidth="1"/>
    <col min="1785" max="1785" width="9.81640625" style="18" customWidth="1"/>
    <col min="1786" max="1786" width="14.453125" style="18" customWidth="1"/>
    <col min="1787" max="1787" width="7.453125" style="18" customWidth="1"/>
    <col min="1788" max="1788" width="5.54296875" style="18" customWidth="1"/>
    <col min="1789" max="1789" width="9" style="18" customWidth="1"/>
    <col min="1790" max="1791" width="9.81640625" style="18" customWidth="1"/>
    <col min="1792" max="1792" width="11.1796875" style="18" customWidth="1"/>
    <col min="1793" max="1793" width="2.81640625" style="18" customWidth="1"/>
    <col min="1794" max="1794" width="3.54296875" style="18" customWidth="1"/>
    <col min="1795" max="2039" width="9.1796875" style="18"/>
    <col min="2040" max="2040" width="8.54296875" style="18" customWidth="1"/>
    <col min="2041" max="2041" width="9.81640625" style="18" customWidth="1"/>
    <col min="2042" max="2042" width="14.453125" style="18" customWidth="1"/>
    <col min="2043" max="2043" width="7.453125" style="18" customWidth="1"/>
    <col min="2044" max="2044" width="5.54296875" style="18" customWidth="1"/>
    <col min="2045" max="2045" width="9" style="18" customWidth="1"/>
    <col min="2046" max="2047" width="9.81640625" style="18" customWidth="1"/>
    <col min="2048" max="2048" width="11.1796875" style="18" customWidth="1"/>
    <col min="2049" max="2049" width="2.81640625" style="18" customWidth="1"/>
    <col min="2050" max="2050" width="3.54296875" style="18" customWidth="1"/>
    <col min="2051" max="2295" width="9.1796875" style="18"/>
    <col min="2296" max="2296" width="8.54296875" style="18" customWidth="1"/>
    <col min="2297" max="2297" width="9.81640625" style="18" customWidth="1"/>
    <col min="2298" max="2298" width="14.453125" style="18" customWidth="1"/>
    <col min="2299" max="2299" width="7.453125" style="18" customWidth="1"/>
    <col min="2300" max="2300" width="5.54296875" style="18" customWidth="1"/>
    <col min="2301" max="2301" width="9" style="18" customWidth="1"/>
    <col min="2302" max="2303" width="9.81640625" style="18" customWidth="1"/>
    <col min="2304" max="2304" width="11.1796875" style="18" customWidth="1"/>
    <col min="2305" max="2305" width="2.81640625" style="18" customWidth="1"/>
    <col min="2306" max="2306" width="3.54296875" style="18" customWidth="1"/>
    <col min="2307" max="2551" width="9.1796875" style="18"/>
    <col min="2552" max="2552" width="8.54296875" style="18" customWidth="1"/>
    <col min="2553" max="2553" width="9.81640625" style="18" customWidth="1"/>
    <col min="2554" max="2554" width="14.453125" style="18" customWidth="1"/>
    <col min="2555" max="2555" width="7.453125" style="18" customWidth="1"/>
    <col min="2556" max="2556" width="5.54296875" style="18" customWidth="1"/>
    <col min="2557" max="2557" width="9" style="18" customWidth="1"/>
    <col min="2558" max="2559" width="9.81640625" style="18" customWidth="1"/>
    <col min="2560" max="2560" width="11.1796875" style="18" customWidth="1"/>
    <col min="2561" max="2561" width="2.81640625" style="18" customWidth="1"/>
    <col min="2562" max="2562" width="3.54296875" style="18" customWidth="1"/>
    <col min="2563" max="2807" width="9.1796875" style="18"/>
    <col min="2808" max="2808" width="8.54296875" style="18" customWidth="1"/>
    <col min="2809" max="2809" width="9.81640625" style="18" customWidth="1"/>
    <col min="2810" max="2810" width="14.453125" style="18" customWidth="1"/>
    <col min="2811" max="2811" width="7.453125" style="18" customWidth="1"/>
    <col min="2812" max="2812" width="5.54296875" style="18" customWidth="1"/>
    <col min="2813" max="2813" width="9" style="18" customWidth="1"/>
    <col min="2814" max="2815" width="9.81640625" style="18" customWidth="1"/>
    <col min="2816" max="2816" width="11.1796875" style="18" customWidth="1"/>
    <col min="2817" max="2817" width="2.81640625" style="18" customWidth="1"/>
    <col min="2818" max="2818" width="3.54296875" style="18" customWidth="1"/>
    <col min="2819" max="3063" width="9.1796875" style="18"/>
    <col min="3064" max="3064" width="8.54296875" style="18" customWidth="1"/>
    <col min="3065" max="3065" width="9.81640625" style="18" customWidth="1"/>
    <col min="3066" max="3066" width="14.453125" style="18" customWidth="1"/>
    <col min="3067" max="3067" width="7.453125" style="18" customWidth="1"/>
    <col min="3068" max="3068" width="5.54296875" style="18" customWidth="1"/>
    <col min="3069" max="3069" width="9" style="18" customWidth="1"/>
    <col min="3070" max="3071" width="9.81640625" style="18" customWidth="1"/>
    <col min="3072" max="3072" width="11.1796875" style="18" customWidth="1"/>
    <col min="3073" max="3073" width="2.81640625" style="18" customWidth="1"/>
    <col min="3074" max="3074" width="3.54296875" style="18" customWidth="1"/>
    <col min="3075" max="3319" width="9.1796875" style="18"/>
    <col min="3320" max="3320" width="8.54296875" style="18" customWidth="1"/>
    <col min="3321" max="3321" width="9.81640625" style="18" customWidth="1"/>
    <col min="3322" max="3322" width="14.453125" style="18" customWidth="1"/>
    <col min="3323" max="3323" width="7.453125" style="18" customWidth="1"/>
    <col min="3324" max="3324" width="5.54296875" style="18" customWidth="1"/>
    <col min="3325" max="3325" width="9" style="18" customWidth="1"/>
    <col min="3326" max="3327" width="9.81640625" style="18" customWidth="1"/>
    <col min="3328" max="3328" width="11.1796875" style="18" customWidth="1"/>
    <col min="3329" max="3329" width="2.81640625" style="18" customWidth="1"/>
    <col min="3330" max="3330" width="3.54296875" style="18" customWidth="1"/>
    <col min="3331" max="3575" width="9.1796875" style="18"/>
    <col min="3576" max="3576" width="8.54296875" style="18" customWidth="1"/>
    <col min="3577" max="3577" width="9.81640625" style="18" customWidth="1"/>
    <col min="3578" max="3578" width="14.453125" style="18" customWidth="1"/>
    <col min="3579" max="3579" width="7.453125" style="18" customWidth="1"/>
    <col min="3580" max="3580" width="5.54296875" style="18" customWidth="1"/>
    <col min="3581" max="3581" width="9" style="18" customWidth="1"/>
    <col min="3582" max="3583" width="9.81640625" style="18" customWidth="1"/>
    <col min="3584" max="3584" width="11.1796875" style="18" customWidth="1"/>
    <col min="3585" max="3585" width="2.81640625" style="18" customWidth="1"/>
    <col min="3586" max="3586" width="3.54296875" style="18" customWidth="1"/>
    <col min="3587" max="3831" width="9.1796875" style="18"/>
    <col min="3832" max="3832" width="8.54296875" style="18" customWidth="1"/>
    <col min="3833" max="3833" width="9.81640625" style="18" customWidth="1"/>
    <col min="3834" max="3834" width="14.453125" style="18" customWidth="1"/>
    <col min="3835" max="3835" width="7.453125" style="18" customWidth="1"/>
    <col min="3836" max="3836" width="5.54296875" style="18" customWidth="1"/>
    <col min="3837" max="3837" width="9" style="18" customWidth="1"/>
    <col min="3838" max="3839" width="9.81640625" style="18" customWidth="1"/>
    <col min="3840" max="3840" width="11.1796875" style="18" customWidth="1"/>
    <col min="3841" max="3841" width="2.81640625" style="18" customWidth="1"/>
    <col min="3842" max="3842" width="3.54296875" style="18" customWidth="1"/>
    <col min="3843" max="4087" width="9.1796875" style="18"/>
    <col min="4088" max="4088" width="8.54296875" style="18" customWidth="1"/>
    <col min="4089" max="4089" width="9.81640625" style="18" customWidth="1"/>
    <col min="4090" max="4090" width="14.453125" style="18" customWidth="1"/>
    <col min="4091" max="4091" width="7.453125" style="18" customWidth="1"/>
    <col min="4092" max="4092" width="5.54296875" style="18" customWidth="1"/>
    <col min="4093" max="4093" width="9" style="18" customWidth="1"/>
    <col min="4094" max="4095" width="9.81640625" style="18" customWidth="1"/>
    <col min="4096" max="4096" width="11.1796875" style="18" customWidth="1"/>
    <col min="4097" max="4097" width="2.81640625" style="18" customWidth="1"/>
    <col min="4098" max="4098" width="3.54296875" style="18" customWidth="1"/>
    <col min="4099" max="4343" width="9.1796875" style="18"/>
    <col min="4344" max="4344" width="8.54296875" style="18" customWidth="1"/>
    <col min="4345" max="4345" width="9.81640625" style="18" customWidth="1"/>
    <col min="4346" max="4346" width="14.453125" style="18" customWidth="1"/>
    <col min="4347" max="4347" width="7.453125" style="18" customWidth="1"/>
    <col min="4348" max="4348" width="5.54296875" style="18" customWidth="1"/>
    <col min="4349" max="4349" width="9" style="18" customWidth="1"/>
    <col min="4350" max="4351" width="9.81640625" style="18" customWidth="1"/>
    <col min="4352" max="4352" width="11.1796875" style="18" customWidth="1"/>
    <col min="4353" max="4353" width="2.81640625" style="18" customWidth="1"/>
    <col min="4354" max="4354" width="3.54296875" style="18" customWidth="1"/>
    <col min="4355" max="4599" width="9.1796875" style="18"/>
    <col min="4600" max="4600" width="8.54296875" style="18" customWidth="1"/>
    <col min="4601" max="4601" width="9.81640625" style="18" customWidth="1"/>
    <col min="4602" max="4602" width="14.453125" style="18" customWidth="1"/>
    <col min="4603" max="4603" width="7.453125" style="18" customWidth="1"/>
    <col min="4604" max="4604" width="5.54296875" style="18" customWidth="1"/>
    <col min="4605" max="4605" width="9" style="18" customWidth="1"/>
    <col min="4606" max="4607" width="9.81640625" style="18" customWidth="1"/>
    <col min="4608" max="4608" width="11.1796875" style="18" customWidth="1"/>
    <col min="4609" max="4609" width="2.81640625" style="18" customWidth="1"/>
    <col min="4610" max="4610" width="3.54296875" style="18" customWidth="1"/>
    <col min="4611" max="4855" width="9.1796875" style="18"/>
    <col min="4856" max="4856" width="8.54296875" style="18" customWidth="1"/>
    <col min="4857" max="4857" width="9.81640625" style="18" customWidth="1"/>
    <col min="4858" max="4858" width="14.453125" style="18" customWidth="1"/>
    <col min="4859" max="4859" width="7.453125" style="18" customWidth="1"/>
    <col min="4860" max="4860" width="5.54296875" style="18" customWidth="1"/>
    <col min="4861" max="4861" width="9" style="18" customWidth="1"/>
    <col min="4862" max="4863" width="9.81640625" style="18" customWidth="1"/>
    <col min="4864" max="4864" width="11.1796875" style="18" customWidth="1"/>
    <col min="4865" max="4865" width="2.81640625" style="18" customWidth="1"/>
    <col min="4866" max="4866" width="3.54296875" style="18" customWidth="1"/>
    <col min="4867" max="5111" width="9.1796875" style="18"/>
    <col min="5112" max="5112" width="8.54296875" style="18" customWidth="1"/>
    <col min="5113" max="5113" width="9.81640625" style="18" customWidth="1"/>
    <col min="5114" max="5114" width="14.453125" style="18" customWidth="1"/>
    <col min="5115" max="5115" width="7.453125" style="18" customWidth="1"/>
    <col min="5116" max="5116" width="5.54296875" style="18" customWidth="1"/>
    <col min="5117" max="5117" width="9" style="18" customWidth="1"/>
    <col min="5118" max="5119" width="9.81640625" style="18" customWidth="1"/>
    <col min="5120" max="5120" width="11.1796875" style="18" customWidth="1"/>
    <col min="5121" max="5121" width="2.81640625" style="18" customWidth="1"/>
    <col min="5122" max="5122" width="3.54296875" style="18" customWidth="1"/>
    <col min="5123" max="5367" width="9.1796875" style="18"/>
    <col min="5368" max="5368" width="8.54296875" style="18" customWidth="1"/>
    <col min="5369" max="5369" width="9.81640625" style="18" customWidth="1"/>
    <col min="5370" max="5370" width="14.453125" style="18" customWidth="1"/>
    <col min="5371" max="5371" width="7.453125" style="18" customWidth="1"/>
    <col min="5372" max="5372" width="5.54296875" style="18" customWidth="1"/>
    <col min="5373" max="5373" width="9" style="18" customWidth="1"/>
    <col min="5374" max="5375" width="9.81640625" style="18" customWidth="1"/>
    <col min="5376" max="5376" width="11.1796875" style="18" customWidth="1"/>
    <col min="5377" max="5377" width="2.81640625" style="18" customWidth="1"/>
    <col min="5378" max="5378" width="3.54296875" style="18" customWidth="1"/>
    <col min="5379" max="5623" width="9.1796875" style="18"/>
    <col min="5624" max="5624" width="8.54296875" style="18" customWidth="1"/>
    <col min="5625" max="5625" width="9.81640625" style="18" customWidth="1"/>
    <col min="5626" max="5626" width="14.453125" style="18" customWidth="1"/>
    <col min="5627" max="5627" width="7.453125" style="18" customWidth="1"/>
    <col min="5628" max="5628" width="5.54296875" style="18" customWidth="1"/>
    <col min="5629" max="5629" width="9" style="18" customWidth="1"/>
    <col min="5630" max="5631" width="9.81640625" style="18" customWidth="1"/>
    <col min="5632" max="5632" width="11.1796875" style="18" customWidth="1"/>
    <col min="5633" max="5633" width="2.81640625" style="18" customWidth="1"/>
    <col min="5634" max="5634" width="3.54296875" style="18" customWidth="1"/>
    <col min="5635" max="5879" width="9.1796875" style="18"/>
    <col min="5880" max="5880" width="8.54296875" style="18" customWidth="1"/>
    <col min="5881" max="5881" width="9.81640625" style="18" customWidth="1"/>
    <col min="5882" max="5882" width="14.453125" style="18" customWidth="1"/>
    <col min="5883" max="5883" width="7.453125" style="18" customWidth="1"/>
    <col min="5884" max="5884" width="5.54296875" style="18" customWidth="1"/>
    <col min="5885" max="5885" width="9" style="18" customWidth="1"/>
    <col min="5886" max="5887" width="9.81640625" style="18" customWidth="1"/>
    <col min="5888" max="5888" width="11.1796875" style="18" customWidth="1"/>
    <col min="5889" max="5889" width="2.81640625" style="18" customWidth="1"/>
    <col min="5890" max="5890" width="3.54296875" style="18" customWidth="1"/>
    <col min="5891" max="6135" width="9.1796875" style="18"/>
    <col min="6136" max="6136" width="8.54296875" style="18" customWidth="1"/>
    <col min="6137" max="6137" width="9.81640625" style="18" customWidth="1"/>
    <col min="6138" max="6138" width="14.453125" style="18" customWidth="1"/>
    <col min="6139" max="6139" width="7.453125" style="18" customWidth="1"/>
    <col min="6140" max="6140" width="5.54296875" style="18" customWidth="1"/>
    <col min="6141" max="6141" width="9" style="18" customWidth="1"/>
    <col min="6142" max="6143" width="9.81640625" style="18" customWidth="1"/>
    <col min="6144" max="6144" width="11.1796875" style="18" customWidth="1"/>
    <col min="6145" max="6145" width="2.81640625" style="18" customWidth="1"/>
    <col min="6146" max="6146" width="3.54296875" style="18" customWidth="1"/>
    <col min="6147" max="6391" width="9.1796875" style="18"/>
    <col min="6392" max="6392" width="8.54296875" style="18" customWidth="1"/>
    <col min="6393" max="6393" width="9.81640625" style="18" customWidth="1"/>
    <col min="6394" max="6394" width="14.453125" style="18" customWidth="1"/>
    <col min="6395" max="6395" width="7.453125" style="18" customWidth="1"/>
    <col min="6396" max="6396" width="5.54296875" style="18" customWidth="1"/>
    <col min="6397" max="6397" width="9" style="18" customWidth="1"/>
    <col min="6398" max="6399" width="9.81640625" style="18" customWidth="1"/>
    <col min="6400" max="6400" width="11.1796875" style="18" customWidth="1"/>
    <col min="6401" max="6401" width="2.81640625" style="18" customWidth="1"/>
    <col min="6402" max="6402" width="3.54296875" style="18" customWidth="1"/>
    <col min="6403" max="6647" width="9.1796875" style="18"/>
    <col min="6648" max="6648" width="8.54296875" style="18" customWidth="1"/>
    <col min="6649" max="6649" width="9.81640625" style="18" customWidth="1"/>
    <col min="6650" max="6650" width="14.453125" style="18" customWidth="1"/>
    <col min="6651" max="6651" width="7.453125" style="18" customWidth="1"/>
    <col min="6652" max="6652" width="5.54296875" style="18" customWidth="1"/>
    <col min="6653" max="6653" width="9" style="18" customWidth="1"/>
    <col min="6654" max="6655" width="9.81640625" style="18" customWidth="1"/>
    <col min="6656" max="6656" width="11.1796875" style="18" customWidth="1"/>
    <col min="6657" max="6657" width="2.81640625" style="18" customWidth="1"/>
    <col min="6658" max="6658" width="3.54296875" style="18" customWidth="1"/>
    <col min="6659" max="6903" width="9.1796875" style="18"/>
    <col min="6904" max="6904" width="8.54296875" style="18" customWidth="1"/>
    <col min="6905" max="6905" width="9.81640625" style="18" customWidth="1"/>
    <col min="6906" max="6906" width="14.453125" style="18" customWidth="1"/>
    <col min="6907" max="6907" width="7.453125" style="18" customWidth="1"/>
    <col min="6908" max="6908" width="5.54296875" style="18" customWidth="1"/>
    <col min="6909" max="6909" width="9" style="18" customWidth="1"/>
    <col min="6910" max="6911" width="9.81640625" style="18" customWidth="1"/>
    <col min="6912" max="6912" width="11.1796875" style="18" customWidth="1"/>
    <col min="6913" max="6913" width="2.81640625" style="18" customWidth="1"/>
    <col min="6914" max="6914" width="3.54296875" style="18" customWidth="1"/>
    <col min="6915" max="7159" width="9.1796875" style="18"/>
    <col min="7160" max="7160" width="8.54296875" style="18" customWidth="1"/>
    <col min="7161" max="7161" width="9.81640625" style="18" customWidth="1"/>
    <col min="7162" max="7162" width="14.453125" style="18" customWidth="1"/>
    <col min="7163" max="7163" width="7.453125" style="18" customWidth="1"/>
    <col min="7164" max="7164" width="5.54296875" style="18" customWidth="1"/>
    <col min="7165" max="7165" width="9" style="18" customWidth="1"/>
    <col min="7166" max="7167" width="9.81640625" style="18" customWidth="1"/>
    <col min="7168" max="7168" width="11.1796875" style="18" customWidth="1"/>
    <col min="7169" max="7169" width="2.81640625" style="18" customWidth="1"/>
    <col min="7170" max="7170" width="3.54296875" style="18" customWidth="1"/>
    <col min="7171" max="7415" width="9.1796875" style="18"/>
    <col min="7416" max="7416" width="8.54296875" style="18" customWidth="1"/>
    <col min="7417" max="7417" width="9.81640625" style="18" customWidth="1"/>
    <col min="7418" max="7418" width="14.453125" style="18" customWidth="1"/>
    <col min="7419" max="7419" width="7.453125" style="18" customWidth="1"/>
    <col min="7420" max="7420" width="5.54296875" style="18" customWidth="1"/>
    <col min="7421" max="7421" width="9" style="18" customWidth="1"/>
    <col min="7422" max="7423" width="9.81640625" style="18" customWidth="1"/>
    <col min="7424" max="7424" width="11.1796875" style="18" customWidth="1"/>
    <col min="7425" max="7425" width="2.81640625" style="18" customWidth="1"/>
    <col min="7426" max="7426" width="3.54296875" style="18" customWidth="1"/>
    <col min="7427" max="7671" width="9.1796875" style="18"/>
    <col min="7672" max="7672" width="8.54296875" style="18" customWidth="1"/>
    <col min="7673" max="7673" width="9.81640625" style="18" customWidth="1"/>
    <col min="7674" max="7674" width="14.453125" style="18" customWidth="1"/>
    <col min="7675" max="7675" width="7.453125" style="18" customWidth="1"/>
    <col min="7676" max="7676" width="5.54296875" style="18" customWidth="1"/>
    <col min="7677" max="7677" width="9" style="18" customWidth="1"/>
    <col min="7678" max="7679" width="9.81640625" style="18" customWidth="1"/>
    <col min="7680" max="7680" width="11.1796875" style="18" customWidth="1"/>
    <col min="7681" max="7681" width="2.81640625" style="18" customWidth="1"/>
    <col min="7682" max="7682" width="3.54296875" style="18" customWidth="1"/>
    <col min="7683" max="7927" width="9.1796875" style="18"/>
    <col min="7928" max="7928" width="8.54296875" style="18" customWidth="1"/>
    <col min="7929" max="7929" width="9.81640625" style="18" customWidth="1"/>
    <col min="7930" max="7930" width="14.453125" style="18" customWidth="1"/>
    <col min="7931" max="7931" width="7.453125" style="18" customWidth="1"/>
    <col min="7932" max="7932" width="5.54296875" style="18" customWidth="1"/>
    <col min="7933" max="7933" width="9" style="18" customWidth="1"/>
    <col min="7934" max="7935" width="9.81640625" style="18" customWidth="1"/>
    <col min="7936" max="7936" width="11.1796875" style="18" customWidth="1"/>
    <col min="7937" max="7937" width="2.81640625" style="18" customWidth="1"/>
    <col min="7938" max="7938" width="3.54296875" style="18" customWidth="1"/>
    <col min="7939" max="8183" width="9.1796875" style="18"/>
    <col min="8184" max="8184" width="8.54296875" style="18" customWidth="1"/>
    <col min="8185" max="8185" width="9.81640625" style="18" customWidth="1"/>
    <col min="8186" max="8186" width="14.453125" style="18" customWidth="1"/>
    <col min="8187" max="8187" width="7.453125" style="18" customWidth="1"/>
    <col min="8188" max="8188" width="5.54296875" style="18" customWidth="1"/>
    <col min="8189" max="8189" width="9" style="18" customWidth="1"/>
    <col min="8190" max="8191" width="9.81640625" style="18" customWidth="1"/>
    <col min="8192" max="8192" width="11.1796875" style="18" customWidth="1"/>
    <col min="8193" max="8193" width="2.81640625" style="18" customWidth="1"/>
    <col min="8194" max="8194" width="3.54296875" style="18" customWidth="1"/>
    <col min="8195" max="8439" width="9.1796875" style="18"/>
    <col min="8440" max="8440" width="8.54296875" style="18" customWidth="1"/>
    <col min="8441" max="8441" width="9.81640625" style="18" customWidth="1"/>
    <col min="8442" max="8442" width="14.453125" style="18" customWidth="1"/>
    <col min="8443" max="8443" width="7.453125" style="18" customWidth="1"/>
    <col min="8444" max="8444" width="5.54296875" style="18" customWidth="1"/>
    <col min="8445" max="8445" width="9" style="18" customWidth="1"/>
    <col min="8446" max="8447" width="9.81640625" style="18" customWidth="1"/>
    <col min="8448" max="8448" width="11.1796875" style="18" customWidth="1"/>
    <col min="8449" max="8449" width="2.81640625" style="18" customWidth="1"/>
    <col min="8450" max="8450" width="3.54296875" style="18" customWidth="1"/>
    <col min="8451" max="8695" width="9.1796875" style="18"/>
    <col min="8696" max="8696" width="8.54296875" style="18" customWidth="1"/>
    <col min="8697" max="8697" width="9.81640625" style="18" customWidth="1"/>
    <col min="8698" max="8698" width="14.453125" style="18" customWidth="1"/>
    <col min="8699" max="8699" width="7.453125" style="18" customWidth="1"/>
    <col min="8700" max="8700" width="5.54296875" style="18" customWidth="1"/>
    <col min="8701" max="8701" width="9" style="18" customWidth="1"/>
    <col min="8702" max="8703" width="9.81640625" style="18" customWidth="1"/>
    <col min="8704" max="8704" width="11.1796875" style="18" customWidth="1"/>
    <col min="8705" max="8705" width="2.81640625" style="18" customWidth="1"/>
    <col min="8706" max="8706" width="3.54296875" style="18" customWidth="1"/>
    <col min="8707" max="8951" width="9.1796875" style="18"/>
    <col min="8952" max="8952" width="8.54296875" style="18" customWidth="1"/>
    <col min="8953" max="8953" width="9.81640625" style="18" customWidth="1"/>
    <col min="8954" max="8954" width="14.453125" style="18" customWidth="1"/>
    <col min="8955" max="8955" width="7.453125" style="18" customWidth="1"/>
    <col min="8956" max="8956" width="5.54296875" style="18" customWidth="1"/>
    <col min="8957" max="8957" width="9" style="18" customWidth="1"/>
    <col min="8958" max="8959" width="9.81640625" style="18" customWidth="1"/>
    <col min="8960" max="8960" width="11.1796875" style="18" customWidth="1"/>
    <col min="8961" max="8961" width="2.81640625" style="18" customWidth="1"/>
    <col min="8962" max="8962" width="3.54296875" style="18" customWidth="1"/>
    <col min="8963" max="9207" width="9.1796875" style="18"/>
    <col min="9208" max="9208" width="8.54296875" style="18" customWidth="1"/>
    <col min="9209" max="9209" width="9.81640625" style="18" customWidth="1"/>
    <col min="9210" max="9210" width="14.453125" style="18" customWidth="1"/>
    <col min="9211" max="9211" width="7.453125" style="18" customWidth="1"/>
    <col min="9212" max="9212" width="5.54296875" style="18" customWidth="1"/>
    <col min="9213" max="9213" width="9" style="18" customWidth="1"/>
    <col min="9214" max="9215" width="9.81640625" style="18" customWidth="1"/>
    <col min="9216" max="9216" width="11.1796875" style="18" customWidth="1"/>
    <col min="9217" max="9217" width="2.81640625" style="18" customWidth="1"/>
    <col min="9218" max="9218" width="3.54296875" style="18" customWidth="1"/>
    <col min="9219" max="9463" width="9.1796875" style="18"/>
    <col min="9464" max="9464" width="8.54296875" style="18" customWidth="1"/>
    <col min="9465" max="9465" width="9.81640625" style="18" customWidth="1"/>
    <col min="9466" max="9466" width="14.453125" style="18" customWidth="1"/>
    <col min="9467" max="9467" width="7.453125" style="18" customWidth="1"/>
    <col min="9468" max="9468" width="5.54296875" style="18" customWidth="1"/>
    <col min="9469" max="9469" width="9" style="18" customWidth="1"/>
    <col min="9470" max="9471" width="9.81640625" style="18" customWidth="1"/>
    <col min="9472" max="9472" width="11.1796875" style="18" customWidth="1"/>
    <col min="9473" max="9473" width="2.81640625" style="18" customWidth="1"/>
    <col min="9474" max="9474" width="3.54296875" style="18" customWidth="1"/>
    <col min="9475" max="9719" width="9.1796875" style="18"/>
    <col min="9720" max="9720" width="8.54296875" style="18" customWidth="1"/>
    <col min="9721" max="9721" width="9.81640625" style="18" customWidth="1"/>
    <col min="9722" max="9722" width="14.453125" style="18" customWidth="1"/>
    <col min="9723" max="9723" width="7.453125" style="18" customWidth="1"/>
    <col min="9724" max="9724" width="5.54296875" style="18" customWidth="1"/>
    <col min="9725" max="9725" width="9" style="18" customWidth="1"/>
    <col min="9726" max="9727" width="9.81640625" style="18" customWidth="1"/>
    <col min="9728" max="9728" width="11.1796875" style="18" customWidth="1"/>
    <col min="9729" max="9729" width="2.81640625" style="18" customWidth="1"/>
    <col min="9730" max="9730" width="3.54296875" style="18" customWidth="1"/>
    <col min="9731" max="9975" width="9.1796875" style="18"/>
    <col min="9976" max="9976" width="8.54296875" style="18" customWidth="1"/>
    <col min="9977" max="9977" width="9.81640625" style="18" customWidth="1"/>
    <col min="9978" max="9978" width="14.453125" style="18" customWidth="1"/>
    <col min="9979" max="9979" width="7.453125" style="18" customWidth="1"/>
    <col min="9980" max="9980" width="5.54296875" style="18" customWidth="1"/>
    <col min="9981" max="9981" width="9" style="18" customWidth="1"/>
    <col min="9982" max="9983" width="9.81640625" style="18" customWidth="1"/>
    <col min="9984" max="9984" width="11.1796875" style="18" customWidth="1"/>
    <col min="9985" max="9985" width="2.81640625" style="18" customWidth="1"/>
    <col min="9986" max="9986" width="3.54296875" style="18" customWidth="1"/>
    <col min="9987" max="10231" width="9.1796875" style="18"/>
    <col min="10232" max="10232" width="8.54296875" style="18" customWidth="1"/>
    <col min="10233" max="10233" width="9.81640625" style="18" customWidth="1"/>
    <col min="10234" max="10234" width="14.453125" style="18" customWidth="1"/>
    <col min="10235" max="10235" width="7.453125" style="18" customWidth="1"/>
    <col min="10236" max="10236" width="5.54296875" style="18" customWidth="1"/>
    <col min="10237" max="10237" width="9" style="18" customWidth="1"/>
    <col min="10238" max="10239" width="9.81640625" style="18" customWidth="1"/>
    <col min="10240" max="10240" width="11.1796875" style="18" customWidth="1"/>
    <col min="10241" max="10241" width="2.81640625" style="18" customWidth="1"/>
    <col min="10242" max="10242" width="3.54296875" style="18" customWidth="1"/>
    <col min="10243" max="10487" width="9.1796875" style="18"/>
    <col min="10488" max="10488" width="8.54296875" style="18" customWidth="1"/>
    <col min="10489" max="10489" width="9.81640625" style="18" customWidth="1"/>
    <col min="10490" max="10490" width="14.453125" style="18" customWidth="1"/>
    <col min="10491" max="10491" width="7.453125" style="18" customWidth="1"/>
    <col min="10492" max="10492" width="5.54296875" style="18" customWidth="1"/>
    <col min="10493" max="10493" width="9" style="18" customWidth="1"/>
    <col min="10494" max="10495" width="9.81640625" style="18" customWidth="1"/>
    <col min="10496" max="10496" width="11.1796875" style="18" customWidth="1"/>
    <col min="10497" max="10497" width="2.81640625" style="18" customWidth="1"/>
    <col min="10498" max="10498" width="3.54296875" style="18" customWidth="1"/>
    <col min="10499" max="10743" width="9.1796875" style="18"/>
    <col min="10744" max="10744" width="8.54296875" style="18" customWidth="1"/>
    <col min="10745" max="10745" width="9.81640625" style="18" customWidth="1"/>
    <col min="10746" max="10746" width="14.453125" style="18" customWidth="1"/>
    <col min="10747" max="10747" width="7.453125" style="18" customWidth="1"/>
    <col min="10748" max="10748" width="5.54296875" style="18" customWidth="1"/>
    <col min="10749" max="10749" width="9" style="18" customWidth="1"/>
    <col min="10750" max="10751" width="9.81640625" style="18" customWidth="1"/>
    <col min="10752" max="10752" width="11.1796875" style="18" customWidth="1"/>
    <col min="10753" max="10753" width="2.81640625" style="18" customWidth="1"/>
    <col min="10754" max="10754" width="3.54296875" style="18" customWidth="1"/>
    <col min="10755" max="10999" width="9.1796875" style="18"/>
    <col min="11000" max="11000" width="8.54296875" style="18" customWidth="1"/>
    <col min="11001" max="11001" width="9.81640625" style="18" customWidth="1"/>
    <col min="11002" max="11002" width="14.453125" style="18" customWidth="1"/>
    <col min="11003" max="11003" width="7.453125" style="18" customWidth="1"/>
    <col min="11004" max="11004" width="5.54296875" style="18" customWidth="1"/>
    <col min="11005" max="11005" width="9" style="18" customWidth="1"/>
    <col min="11006" max="11007" width="9.81640625" style="18" customWidth="1"/>
    <col min="11008" max="11008" width="11.1796875" style="18" customWidth="1"/>
    <col min="11009" max="11009" width="2.81640625" style="18" customWidth="1"/>
    <col min="11010" max="11010" width="3.54296875" style="18" customWidth="1"/>
    <col min="11011" max="11255" width="9.1796875" style="18"/>
    <col min="11256" max="11256" width="8.54296875" style="18" customWidth="1"/>
    <col min="11257" max="11257" width="9.81640625" style="18" customWidth="1"/>
    <col min="11258" max="11258" width="14.453125" style="18" customWidth="1"/>
    <col min="11259" max="11259" width="7.453125" style="18" customWidth="1"/>
    <col min="11260" max="11260" width="5.54296875" style="18" customWidth="1"/>
    <col min="11261" max="11261" width="9" style="18" customWidth="1"/>
    <col min="11262" max="11263" width="9.81640625" style="18" customWidth="1"/>
    <col min="11264" max="11264" width="11.1796875" style="18" customWidth="1"/>
    <col min="11265" max="11265" width="2.81640625" style="18" customWidth="1"/>
    <col min="11266" max="11266" width="3.54296875" style="18" customWidth="1"/>
    <col min="11267" max="11511" width="9.1796875" style="18"/>
    <col min="11512" max="11512" width="8.54296875" style="18" customWidth="1"/>
    <col min="11513" max="11513" width="9.81640625" style="18" customWidth="1"/>
    <col min="11514" max="11514" width="14.453125" style="18" customWidth="1"/>
    <col min="11515" max="11515" width="7.453125" style="18" customWidth="1"/>
    <col min="11516" max="11516" width="5.54296875" style="18" customWidth="1"/>
    <col min="11517" max="11517" width="9" style="18" customWidth="1"/>
    <col min="11518" max="11519" width="9.81640625" style="18" customWidth="1"/>
    <col min="11520" max="11520" width="11.1796875" style="18" customWidth="1"/>
    <col min="11521" max="11521" width="2.81640625" style="18" customWidth="1"/>
    <col min="11522" max="11522" width="3.54296875" style="18" customWidth="1"/>
    <col min="11523" max="11767" width="9.1796875" style="18"/>
    <col min="11768" max="11768" width="8.54296875" style="18" customWidth="1"/>
    <col min="11769" max="11769" width="9.81640625" style="18" customWidth="1"/>
    <col min="11770" max="11770" width="14.453125" style="18" customWidth="1"/>
    <col min="11771" max="11771" width="7.453125" style="18" customWidth="1"/>
    <col min="11772" max="11772" width="5.54296875" style="18" customWidth="1"/>
    <col min="11773" max="11773" width="9" style="18" customWidth="1"/>
    <col min="11774" max="11775" width="9.81640625" style="18" customWidth="1"/>
    <col min="11776" max="11776" width="11.1796875" style="18" customWidth="1"/>
    <col min="11777" max="11777" width="2.81640625" style="18" customWidth="1"/>
    <col min="11778" max="11778" width="3.54296875" style="18" customWidth="1"/>
    <col min="11779" max="12023" width="9.1796875" style="18"/>
    <col min="12024" max="12024" width="8.54296875" style="18" customWidth="1"/>
    <col min="12025" max="12025" width="9.81640625" style="18" customWidth="1"/>
    <col min="12026" max="12026" width="14.453125" style="18" customWidth="1"/>
    <col min="12027" max="12027" width="7.453125" style="18" customWidth="1"/>
    <col min="12028" max="12028" width="5.54296875" style="18" customWidth="1"/>
    <col min="12029" max="12029" width="9" style="18" customWidth="1"/>
    <col min="12030" max="12031" width="9.81640625" style="18" customWidth="1"/>
    <col min="12032" max="12032" width="11.1796875" style="18" customWidth="1"/>
    <col min="12033" max="12033" width="2.81640625" style="18" customWidth="1"/>
    <col min="12034" max="12034" width="3.54296875" style="18" customWidth="1"/>
    <col min="12035" max="12279" width="9.1796875" style="18"/>
    <col min="12280" max="12280" width="8.54296875" style="18" customWidth="1"/>
    <col min="12281" max="12281" width="9.81640625" style="18" customWidth="1"/>
    <col min="12282" max="12282" width="14.453125" style="18" customWidth="1"/>
    <col min="12283" max="12283" width="7.453125" style="18" customWidth="1"/>
    <col min="12284" max="12284" width="5.54296875" style="18" customWidth="1"/>
    <col min="12285" max="12285" width="9" style="18" customWidth="1"/>
    <col min="12286" max="12287" width="9.81640625" style="18" customWidth="1"/>
    <col min="12288" max="12288" width="11.1796875" style="18" customWidth="1"/>
    <col min="12289" max="12289" width="2.81640625" style="18" customWidth="1"/>
    <col min="12290" max="12290" width="3.54296875" style="18" customWidth="1"/>
    <col min="12291" max="12535" width="9.1796875" style="18"/>
    <col min="12536" max="12536" width="8.54296875" style="18" customWidth="1"/>
    <col min="12537" max="12537" width="9.81640625" style="18" customWidth="1"/>
    <col min="12538" max="12538" width="14.453125" style="18" customWidth="1"/>
    <col min="12539" max="12539" width="7.453125" style="18" customWidth="1"/>
    <col min="12540" max="12540" width="5.54296875" style="18" customWidth="1"/>
    <col min="12541" max="12541" width="9" style="18" customWidth="1"/>
    <col min="12542" max="12543" width="9.81640625" style="18" customWidth="1"/>
    <col min="12544" max="12544" width="11.1796875" style="18" customWidth="1"/>
    <col min="12545" max="12545" width="2.81640625" style="18" customWidth="1"/>
    <col min="12546" max="12546" width="3.54296875" style="18" customWidth="1"/>
    <col min="12547" max="12791" width="9.1796875" style="18"/>
    <col min="12792" max="12792" width="8.54296875" style="18" customWidth="1"/>
    <col min="12793" max="12793" width="9.81640625" style="18" customWidth="1"/>
    <col min="12794" max="12794" width="14.453125" style="18" customWidth="1"/>
    <col min="12795" max="12795" width="7.453125" style="18" customWidth="1"/>
    <col min="12796" max="12796" width="5.54296875" style="18" customWidth="1"/>
    <col min="12797" max="12797" width="9" style="18" customWidth="1"/>
    <col min="12798" max="12799" width="9.81640625" style="18" customWidth="1"/>
    <col min="12800" max="12800" width="11.1796875" style="18" customWidth="1"/>
    <col min="12801" max="12801" width="2.81640625" style="18" customWidth="1"/>
    <col min="12802" max="12802" width="3.54296875" style="18" customWidth="1"/>
    <col min="12803" max="13047" width="9.1796875" style="18"/>
    <col min="13048" max="13048" width="8.54296875" style="18" customWidth="1"/>
    <col min="13049" max="13049" width="9.81640625" style="18" customWidth="1"/>
    <col min="13050" max="13050" width="14.453125" style="18" customWidth="1"/>
    <col min="13051" max="13051" width="7.453125" style="18" customWidth="1"/>
    <col min="13052" max="13052" width="5.54296875" style="18" customWidth="1"/>
    <col min="13053" max="13053" width="9" style="18" customWidth="1"/>
    <col min="13054" max="13055" width="9.81640625" style="18" customWidth="1"/>
    <col min="13056" max="13056" width="11.1796875" style="18" customWidth="1"/>
    <col min="13057" max="13057" width="2.81640625" style="18" customWidth="1"/>
    <col min="13058" max="13058" width="3.54296875" style="18" customWidth="1"/>
    <col min="13059" max="13303" width="9.1796875" style="18"/>
    <col min="13304" max="13304" width="8.54296875" style="18" customWidth="1"/>
    <col min="13305" max="13305" width="9.81640625" style="18" customWidth="1"/>
    <col min="13306" max="13306" width="14.453125" style="18" customWidth="1"/>
    <col min="13307" max="13307" width="7.453125" style="18" customWidth="1"/>
    <col min="13308" max="13308" width="5.54296875" style="18" customWidth="1"/>
    <col min="13309" max="13309" width="9" style="18" customWidth="1"/>
    <col min="13310" max="13311" width="9.81640625" style="18" customWidth="1"/>
    <col min="13312" max="13312" width="11.1796875" style="18" customWidth="1"/>
    <col min="13313" max="13313" width="2.81640625" style="18" customWidth="1"/>
    <col min="13314" max="13314" width="3.54296875" style="18" customWidth="1"/>
    <col min="13315" max="13559" width="9.1796875" style="18"/>
    <col min="13560" max="13560" width="8.54296875" style="18" customWidth="1"/>
    <col min="13561" max="13561" width="9.81640625" style="18" customWidth="1"/>
    <col min="13562" max="13562" width="14.453125" style="18" customWidth="1"/>
    <col min="13563" max="13563" width="7.453125" style="18" customWidth="1"/>
    <col min="13564" max="13564" width="5.54296875" style="18" customWidth="1"/>
    <col min="13565" max="13565" width="9" style="18" customWidth="1"/>
    <col min="13566" max="13567" width="9.81640625" style="18" customWidth="1"/>
    <col min="13568" max="13568" width="11.1796875" style="18" customWidth="1"/>
    <col min="13569" max="13569" width="2.81640625" style="18" customWidth="1"/>
    <col min="13570" max="13570" width="3.54296875" style="18" customWidth="1"/>
    <col min="13571" max="13815" width="9.1796875" style="18"/>
    <col min="13816" max="13816" width="8.54296875" style="18" customWidth="1"/>
    <col min="13817" max="13817" width="9.81640625" style="18" customWidth="1"/>
    <col min="13818" max="13818" width="14.453125" style="18" customWidth="1"/>
    <col min="13819" max="13819" width="7.453125" style="18" customWidth="1"/>
    <col min="13820" max="13820" width="5.54296875" style="18" customWidth="1"/>
    <col min="13821" max="13821" width="9" style="18" customWidth="1"/>
    <col min="13822" max="13823" width="9.81640625" style="18" customWidth="1"/>
    <col min="13824" max="13824" width="11.1796875" style="18" customWidth="1"/>
    <col min="13825" max="13825" width="2.81640625" style="18" customWidth="1"/>
    <col min="13826" max="13826" width="3.54296875" style="18" customWidth="1"/>
    <col min="13827" max="14071" width="9.1796875" style="18"/>
    <col min="14072" max="14072" width="8.54296875" style="18" customWidth="1"/>
    <col min="14073" max="14073" width="9.81640625" style="18" customWidth="1"/>
    <col min="14074" max="14074" width="14.453125" style="18" customWidth="1"/>
    <col min="14075" max="14075" width="7.453125" style="18" customWidth="1"/>
    <col min="14076" max="14076" width="5.54296875" style="18" customWidth="1"/>
    <col min="14077" max="14077" width="9" style="18" customWidth="1"/>
    <col min="14078" max="14079" width="9.81640625" style="18" customWidth="1"/>
    <col min="14080" max="14080" width="11.1796875" style="18" customWidth="1"/>
    <col min="14081" max="14081" width="2.81640625" style="18" customWidth="1"/>
    <col min="14082" max="14082" width="3.54296875" style="18" customWidth="1"/>
    <col min="14083" max="14327" width="9.1796875" style="18"/>
    <col min="14328" max="14328" width="8.54296875" style="18" customWidth="1"/>
    <col min="14329" max="14329" width="9.81640625" style="18" customWidth="1"/>
    <col min="14330" max="14330" width="14.453125" style="18" customWidth="1"/>
    <col min="14331" max="14331" width="7.453125" style="18" customWidth="1"/>
    <col min="14332" max="14332" width="5.54296875" style="18" customWidth="1"/>
    <col min="14333" max="14333" width="9" style="18" customWidth="1"/>
    <col min="14334" max="14335" width="9.81640625" style="18" customWidth="1"/>
    <col min="14336" max="14336" width="11.1796875" style="18" customWidth="1"/>
    <col min="14337" max="14337" width="2.81640625" style="18" customWidth="1"/>
    <col min="14338" max="14338" width="3.54296875" style="18" customWidth="1"/>
    <col min="14339" max="14583" width="9.1796875" style="18"/>
    <col min="14584" max="14584" width="8.54296875" style="18" customWidth="1"/>
    <col min="14585" max="14585" width="9.81640625" style="18" customWidth="1"/>
    <col min="14586" max="14586" width="14.453125" style="18" customWidth="1"/>
    <col min="14587" max="14587" width="7.453125" style="18" customWidth="1"/>
    <col min="14588" max="14588" width="5.54296875" style="18" customWidth="1"/>
    <col min="14589" max="14589" width="9" style="18" customWidth="1"/>
    <col min="14590" max="14591" width="9.81640625" style="18" customWidth="1"/>
    <col min="14592" max="14592" width="11.1796875" style="18" customWidth="1"/>
    <col min="14593" max="14593" width="2.81640625" style="18" customWidth="1"/>
    <col min="14594" max="14594" width="3.54296875" style="18" customWidth="1"/>
    <col min="14595" max="14839" width="9.1796875" style="18"/>
    <col min="14840" max="14840" width="8.54296875" style="18" customWidth="1"/>
    <col min="14841" max="14841" width="9.81640625" style="18" customWidth="1"/>
    <col min="14842" max="14842" width="14.453125" style="18" customWidth="1"/>
    <col min="14843" max="14843" width="7.453125" style="18" customWidth="1"/>
    <col min="14844" max="14844" width="5.54296875" style="18" customWidth="1"/>
    <col min="14845" max="14845" width="9" style="18" customWidth="1"/>
    <col min="14846" max="14847" width="9.81640625" style="18" customWidth="1"/>
    <col min="14848" max="14848" width="11.1796875" style="18" customWidth="1"/>
    <col min="14849" max="14849" width="2.81640625" style="18" customWidth="1"/>
    <col min="14850" max="14850" width="3.54296875" style="18" customWidth="1"/>
    <col min="14851" max="15095" width="9.1796875" style="18"/>
    <col min="15096" max="15096" width="8.54296875" style="18" customWidth="1"/>
    <col min="15097" max="15097" width="9.81640625" style="18" customWidth="1"/>
    <col min="15098" max="15098" width="14.453125" style="18" customWidth="1"/>
    <col min="15099" max="15099" width="7.453125" style="18" customWidth="1"/>
    <col min="15100" max="15100" width="5.54296875" style="18" customWidth="1"/>
    <col min="15101" max="15101" width="9" style="18" customWidth="1"/>
    <col min="15102" max="15103" width="9.81640625" style="18" customWidth="1"/>
    <col min="15104" max="15104" width="11.1796875" style="18" customWidth="1"/>
    <col min="15105" max="15105" width="2.81640625" style="18" customWidth="1"/>
    <col min="15106" max="15106" width="3.54296875" style="18" customWidth="1"/>
    <col min="15107" max="15351" width="9.1796875" style="18"/>
    <col min="15352" max="15352" width="8.54296875" style="18" customWidth="1"/>
    <col min="15353" max="15353" width="9.81640625" style="18" customWidth="1"/>
    <col min="15354" max="15354" width="14.453125" style="18" customWidth="1"/>
    <col min="15355" max="15355" width="7.453125" style="18" customWidth="1"/>
    <col min="15356" max="15356" width="5.54296875" style="18" customWidth="1"/>
    <col min="15357" max="15357" width="9" style="18" customWidth="1"/>
    <col min="15358" max="15359" width="9.81640625" style="18" customWidth="1"/>
    <col min="15360" max="15360" width="11.1796875" style="18" customWidth="1"/>
    <col min="15361" max="15361" width="2.81640625" style="18" customWidth="1"/>
    <col min="15362" max="15362" width="3.54296875" style="18" customWidth="1"/>
    <col min="15363" max="15607" width="9.1796875" style="18"/>
    <col min="15608" max="15608" width="8.54296875" style="18" customWidth="1"/>
    <col min="15609" max="15609" width="9.81640625" style="18" customWidth="1"/>
    <col min="15610" max="15610" width="14.453125" style="18" customWidth="1"/>
    <col min="15611" max="15611" width="7.453125" style="18" customWidth="1"/>
    <col min="15612" max="15612" width="5.54296875" style="18" customWidth="1"/>
    <col min="15613" max="15613" width="9" style="18" customWidth="1"/>
    <col min="15614" max="15615" width="9.81640625" style="18" customWidth="1"/>
    <col min="15616" max="15616" width="11.1796875" style="18" customWidth="1"/>
    <col min="15617" max="15617" width="2.81640625" style="18" customWidth="1"/>
    <col min="15618" max="15618" width="3.54296875" style="18" customWidth="1"/>
    <col min="15619" max="15863" width="9.1796875" style="18"/>
    <col min="15864" max="15864" width="8.54296875" style="18" customWidth="1"/>
    <col min="15865" max="15865" width="9.81640625" style="18" customWidth="1"/>
    <col min="15866" max="15866" width="14.453125" style="18" customWidth="1"/>
    <col min="15867" max="15867" width="7.453125" style="18" customWidth="1"/>
    <col min="15868" max="15868" width="5.54296875" style="18" customWidth="1"/>
    <col min="15869" max="15869" width="9" style="18" customWidth="1"/>
    <col min="15870" max="15871" width="9.81640625" style="18" customWidth="1"/>
    <col min="15872" max="15872" width="11.1796875" style="18" customWidth="1"/>
    <col min="15873" max="15873" width="2.81640625" style="18" customWidth="1"/>
    <col min="15874" max="15874" width="3.54296875" style="18" customWidth="1"/>
    <col min="15875" max="16119" width="9.1796875" style="18"/>
    <col min="16120" max="16120" width="8.54296875" style="18" customWidth="1"/>
    <col min="16121" max="16121" width="9.81640625" style="18" customWidth="1"/>
    <col min="16122" max="16122" width="14.453125" style="18" customWidth="1"/>
    <col min="16123" max="16123" width="7.453125" style="18" customWidth="1"/>
    <col min="16124" max="16124" width="5.54296875" style="18" customWidth="1"/>
    <col min="16125" max="16125" width="9" style="18" customWidth="1"/>
    <col min="16126" max="16127" width="9.81640625" style="18" customWidth="1"/>
    <col min="16128" max="16128" width="11.1796875" style="18" customWidth="1"/>
    <col min="16129" max="16129" width="2.81640625" style="18" customWidth="1"/>
    <col min="16130" max="16130" width="3.54296875" style="18" customWidth="1"/>
    <col min="16131" max="16384" width="9.1796875" style="18"/>
  </cols>
  <sheetData>
    <row r="1" spans="1:8" ht="46.5" customHeight="1" x14ac:dyDescent="0.35">
      <c r="A1" s="133" t="s">
        <v>259</v>
      </c>
      <c r="B1" s="133"/>
      <c r="C1" s="133"/>
      <c r="D1" s="133"/>
      <c r="E1" s="133"/>
      <c r="F1" s="133"/>
      <c r="G1" s="133"/>
      <c r="H1" s="133"/>
    </row>
    <row r="2" spans="1:8" ht="16.5" customHeight="1" x14ac:dyDescent="0.35">
      <c r="A2" s="71" t="s">
        <v>0</v>
      </c>
      <c r="B2" s="71"/>
      <c r="C2" s="71"/>
      <c r="D2" s="71"/>
      <c r="E2" s="71"/>
      <c r="F2" s="71"/>
      <c r="G2" s="71"/>
      <c r="H2" s="71"/>
    </row>
    <row r="3" spans="1:8" x14ac:dyDescent="0.35">
      <c r="A3" s="91" t="s">
        <v>1</v>
      </c>
      <c r="B3" s="91"/>
      <c r="C3" s="91"/>
      <c r="D3" s="91"/>
      <c r="E3" s="91" t="str">
        <f ca="1">TEXT(TODAY(),"DD/MM/YYYY")</f>
        <v>22/09/2025</v>
      </c>
      <c r="F3" s="91"/>
      <c r="G3" s="91"/>
      <c r="H3" s="91"/>
    </row>
    <row r="4" spans="1:8" ht="15" customHeight="1" x14ac:dyDescent="0.35">
      <c r="A4" s="91" t="s">
        <v>2</v>
      </c>
      <c r="B4" s="91"/>
      <c r="C4" s="91"/>
      <c r="D4" s="91"/>
      <c r="E4" s="91" t="s">
        <v>173</v>
      </c>
      <c r="F4" s="91"/>
      <c r="G4" s="91"/>
      <c r="H4" s="91"/>
    </row>
    <row r="5" spans="1:8" x14ac:dyDescent="0.35">
      <c r="A5" s="91" t="s">
        <v>3</v>
      </c>
      <c r="B5" s="91"/>
      <c r="C5" s="91"/>
      <c r="D5" s="91"/>
      <c r="E5" s="134">
        <v>45922</v>
      </c>
      <c r="F5" s="91"/>
      <c r="G5" s="91"/>
      <c r="H5" s="91"/>
    </row>
    <row r="6" spans="1:8" ht="16.5" customHeight="1" x14ac:dyDescent="0.35">
      <c r="A6" s="91" t="s">
        <v>4</v>
      </c>
      <c r="B6" s="91"/>
      <c r="C6" s="91"/>
      <c r="D6" s="91"/>
      <c r="E6" s="91" t="s">
        <v>174</v>
      </c>
      <c r="F6" s="91"/>
      <c r="G6" s="91"/>
      <c r="H6" s="91"/>
    </row>
    <row r="7" spans="1:8" ht="15" customHeight="1" x14ac:dyDescent="0.35">
      <c r="A7" s="91" t="s">
        <v>5</v>
      </c>
      <c r="B7" s="91"/>
      <c r="C7" s="91"/>
      <c r="D7" s="91"/>
      <c r="E7" s="91" t="str">
        <f>E6</f>
        <v>Deep Laxmi Associates</v>
      </c>
      <c r="F7" s="91"/>
      <c r="G7" s="91"/>
      <c r="H7" s="91"/>
    </row>
    <row r="8" spans="1:8" x14ac:dyDescent="0.35">
      <c r="A8" s="91" t="s">
        <v>6</v>
      </c>
      <c r="B8" s="91"/>
      <c r="C8" s="91"/>
      <c r="D8" s="91"/>
      <c r="E8" s="130" t="s">
        <v>175</v>
      </c>
      <c r="F8" s="130"/>
      <c r="G8" s="130"/>
      <c r="H8" s="130"/>
    </row>
    <row r="9" spans="1:8" x14ac:dyDescent="0.35">
      <c r="A9" s="91" t="s">
        <v>170</v>
      </c>
      <c r="B9" s="91"/>
      <c r="C9" s="91"/>
      <c r="D9" s="91"/>
      <c r="E9" s="91" t="s">
        <v>253</v>
      </c>
      <c r="F9" s="91"/>
      <c r="G9" s="91"/>
      <c r="H9" s="91"/>
    </row>
    <row r="10" spans="1:8" x14ac:dyDescent="0.35">
      <c r="A10" s="91" t="s">
        <v>171</v>
      </c>
      <c r="B10" s="91"/>
      <c r="C10" s="91"/>
      <c r="D10" s="91"/>
      <c r="E10" s="91" t="s">
        <v>30</v>
      </c>
      <c r="F10" s="91"/>
      <c r="G10" s="91"/>
      <c r="H10" s="91"/>
    </row>
    <row r="11" spans="1:8" x14ac:dyDescent="0.35">
      <c r="A11" s="91" t="s">
        <v>7</v>
      </c>
      <c r="B11" s="91"/>
      <c r="C11" s="91"/>
      <c r="D11" s="91"/>
      <c r="E11" s="91" t="s">
        <v>201</v>
      </c>
      <c r="F11" s="91"/>
      <c r="G11" s="91"/>
      <c r="H11" s="91"/>
    </row>
    <row r="12" spans="1:8" x14ac:dyDescent="0.35">
      <c r="A12" s="98" t="s">
        <v>8</v>
      </c>
      <c r="B12" s="98"/>
      <c r="C12" s="98"/>
      <c r="D12" s="98"/>
      <c r="E12" s="89" t="s">
        <v>176</v>
      </c>
      <c r="F12" s="89"/>
      <c r="G12" s="89"/>
      <c r="H12" s="89"/>
    </row>
    <row r="13" spans="1:8" x14ac:dyDescent="0.35">
      <c r="A13" s="98" t="s">
        <v>9</v>
      </c>
      <c r="B13" s="98"/>
      <c r="C13" s="98"/>
      <c r="D13" s="98"/>
      <c r="E13" s="89" t="s">
        <v>177</v>
      </c>
      <c r="F13" s="91"/>
      <c r="G13" s="91"/>
      <c r="H13" s="91"/>
    </row>
    <row r="14" spans="1:8" ht="48.75" customHeight="1" x14ac:dyDescent="0.35">
      <c r="A14" s="89" t="s">
        <v>10</v>
      </c>
      <c r="B14" s="89"/>
      <c r="C14" s="89" t="str">
        <f>CONCATENATE((IF(OR(E8="",E8="NA"),"",E8)),", ",(IF(OR(A15="",A15="NA"),"",A15)),".",(IF(OR(C15="",C15="NA"),"",C15)),", near ",(IF(OR(C20="",C20="NA"),"",C20)),", ",(IF(OR(C17="",C17="NA"),"",C17)),", ",(IF(OR(C16="",C16="NA"),"",C16)),", ",(IF(OR(G17="",G17="NA"),"",G17)),", ",(IF(OR(C18="",C18="NA"),"",C18)),", ",(IF(OR(C19="",C19="NA"),"",C19)),", ",(IF(OR(G18="",G18="NA"),"",G18))," - ",(IF(OR(G19="",G19="NA"),"",G19)),".")</f>
        <v>Shreeji Greens, Survey No.70, Hissa No. 6A &amp; 6B, Survey No. 73, Hissa No. 2 &amp; 5, Survey No. 73, Hissa No. 5, near Carmel Convent High School, Internal Road, , Belavali, Chikhloli, Ambernath, Thane - 421503.</v>
      </c>
      <c r="D14" s="89"/>
      <c r="E14" s="89"/>
      <c r="F14" s="89"/>
      <c r="G14" s="89"/>
      <c r="H14" s="89"/>
    </row>
    <row r="15" spans="1:8" ht="31.5" customHeight="1" x14ac:dyDescent="0.35">
      <c r="A15" s="89" t="s">
        <v>178</v>
      </c>
      <c r="B15" s="89"/>
      <c r="C15" s="89" t="s">
        <v>260</v>
      </c>
      <c r="D15" s="89"/>
      <c r="E15" s="89"/>
      <c r="F15" s="89"/>
      <c r="G15" s="89"/>
      <c r="H15" s="89"/>
    </row>
    <row r="16" spans="1:8" ht="15.75" hidden="1" customHeight="1" x14ac:dyDescent="0.35">
      <c r="A16" s="89" t="s">
        <v>169</v>
      </c>
      <c r="B16" s="89"/>
      <c r="C16" s="89" t="s">
        <v>30</v>
      </c>
      <c r="D16" s="89"/>
      <c r="E16" s="89"/>
      <c r="F16" s="89"/>
      <c r="G16" s="89"/>
      <c r="H16" s="89"/>
    </row>
    <row r="17" spans="1:8" ht="15.75" customHeight="1" x14ac:dyDescent="0.35">
      <c r="A17" s="89" t="s">
        <v>11</v>
      </c>
      <c r="B17" s="89"/>
      <c r="C17" s="91" t="s">
        <v>186</v>
      </c>
      <c r="D17" s="91"/>
      <c r="E17" s="89" t="s">
        <v>74</v>
      </c>
      <c r="F17" s="89"/>
      <c r="G17" s="89" t="s">
        <v>179</v>
      </c>
      <c r="H17" s="89"/>
    </row>
    <row r="18" spans="1:8" x14ac:dyDescent="0.35">
      <c r="A18" s="91" t="s">
        <v>13</v>
      </c>
      <c r="B18" s="91"/>
      <c r="C18" s="89" t="s">
        <v>188</v>
      </c>
      <c r="D18" s="89"/>
      <c r="E18" s="89" t="s">
        <v>12</v>
      </c>
      <c r="F18" s="89"/>
      <c r="G18" s="135" t="s">
        <v>180</v>
      </c>
      <c r="H18" s="135"/>
    </row>
    <row r="19" spans="1:8" x14ac:dyDescent="0.35">
      <c r="A19" s="91" t="s">
        <v>75</v>
      </c>
      <c r="B19" s="91"/>
      <c r="C19" s="89" t="s">
        <v>181</v>
      </c>
      <c r="D19" s="89"/>
      <c r="E19" s="89" t="s">
        <v>14</v>
      </c>
      <c r="F19" s="89"/>
      <c r="G19" s="89">
        <v>421503</v>
      </c>
      <c r="H19" s="89"/>
    </row>
    <row r="20" spans="1:8" ht="32.25" customHeight="1" x14ac:dyDescent="0.35">
      <c r="A20" s="91" t="s">
        <v>124</v>
      </c>
      <c r="B20" s="91"/>
      <c r="C20" s="89" t="s">
        <v>182</v>
      </c>
      <c r="D20" s="89"/>
      <c r="E20" s="89" t="s">
        <v>15</v>
      </c>
      <c r="F20" s="89"/>
      <c r="G20" s="89" t="s">
        <v>187</v>
      </c>
      <c r="H20" s="89"/>
    </row>
    <row r="21" spans="1:8" ht="15" customHeight="1" x14ac:dyDescent="0.35">
      <c r="A21" s="120" t="s">
        <v>78</v>
      </c>
      <c r="B21" s="120"/>
      <c r="C21" s="120"/>
      <c r="D21" s="120"/>
      <c r="E21" s="91" t="s">
        <v>16</v>
      </c>
      <c r="F21" s="91"/>
      <c r="G21" s="91"/>
      <c r="H21" s="91"/>
    </row>
    <row r="22" spans="1:8" ht="18.75" customHeight="1" x14ac:dyDescent="0.35">
      <c r="A22" s="120"/>
      <c r="B22" s="120"/>
      <c r="C22" s="120"/>
      <c r="D22" s="120"/>
      <c r="E22" s="91"/>
      <c r="F22" s="91"/>
      <c r="G22" s="91"/>
      <c r="H22" s="91"/>
    </row>
    <row r="23" spans="1:8" ht="15" customHeight="1" x14ac:dyDescent="0.35">
      <c r="A23" s="120" t="s">
        <v>17</v>
      </c>
      <c r="B23" s="120"/>
      <c r="C23" s="120"/>
      <c r="D23" s="120"/>
      <c r="E23" s="89" t="s">
        <v>18</v>
      </c>
      <c r="F23" s="89"/>
      <c r="G23" s="89"/>
      <c r="H23" s="89"/>
    </row>
    <row r="24" spans="1:8" ht="15" customHeight="1" x14ac:dyDescent="0.35">
      <c r="A24" s="98" t="s">
        <v>19</v>
      </c>
      <c r="B24" s="98"/>
      <c r="C24" s="98"/>
      <c r="D24" s="98"/>
      <c r="E24" s="89" t="str">
        <f>IF(AND(G18="Mumbai"),"Upper Class","Middle Class")</f>
        <v>Middle Class</v>
      </c>
      <c r="F24" s="89"/>
      <c r="G24" s="89"/>
      <c r="H24" s="89"/>
    </row>
    <row r="25" spans="1:8" x14ac:dyDescent="0.35">
      <c r="A25" s="98" t="s">
        <v>20</v>
      </c>
      <c r="B25" s="98"/>
      <c r="C25" s="98"/>
      <c r="D25" s="98"/>
      <c r="E25" s="89" t="s">
        <v>21</v>
      </c>
      <c r="F25" s="89"/>
      <c r="G25" s="89"/>
      <c r="H25" s="89"/>
    </row>
    <row r="26" spans="1:8" ht="15.75" customHeight="1" x14ac:dyDescent="0.35">
      <c r="A26" s="98" t="s">
        <v>22</v>
      </c>
      <c r="B26" s="98"/>
      <c r="C26" s="98"/>
      <c r="D26" s="98"/>
      <c r="E26" s="89" t="str">
        <f>IF(AND(G18="Mumbai"),"Developed","Developing")</f>
        <v>Developing</v>
      </c>
      <c r="F26" s="89"/>
      <c r="G26" s="89"/>
      <c r="H26" s="89"/>
    </row>
    <row r="27" spans="1:8" x14ac:dyDescent="0.35">
      <c r="A27" s="98" t="s">
        <v>23</v>
      </c>
      <c r="B27" s="98"/>
      <c r="C27" s="98"/>
      <c r="D27" s="98"/>
      <c r="E27" s="89" t="s">
        <v>24</v>
      </c>
      <c r="F27" s="89"/>
      <c r="G27" s="89"/>
      <c r="H27" s="89"/>
    </row>
    <row r="28" spans="1:8" ht="15.75" customHeight="1" x14ac:dyDescent="0.35">
      <c r="A28" s="98" t="s">
        <v>83</v>
      </c>
      <c r="B28" s="98"/>
      <c r="C28" s="98"/>
      <c r="D28" s="98"/>
      <c r="E28" s="89" t="s">
        <v>84</v>
      </c>
      <c r="F28" s="89"/>
      <c r="G28" s="89"/>
      <c r="H28" s="89"/>
    </row>
    <row r="29" spans="1:8" ht="15" customHeight="1" x14ac:dyDescent="0.35">
      <c r="A29" s="98" t="s">
        <v>33</v>
      </c>
      <c r="B29" s="98"/>
      <c r="C29" s="98"/>
      <c r="D29" s="98"/>
      <c r="E29" s="89" t="str">
        <f>IF(AND(ISNUMBER(SEARCH("Flat",D55)),ISNUMBER(SEARCH("Shop",D55)),ISNUMBER(SEARCH("Office",D55))),"Residential + Commercial",IF(AND(ISNUMBER(SEARCH("Flat",D55)),ISNUMBER(SEARCH("Shop",D55))),"Residential + Commercial",IF(AND(ISNUMBER(SEARCH("Flat",D55)),ISNUMBER(SEARCH("Office",D55))),"Residential + Commercial",IF(AND(ISNUMBER(SEARCH("Shop",D55)),ISNUMBER(SEARCH("Office",D55))),"Commercial",IF(ISNUMBER(SEARCH("Shop",D55)),"Commercial",IF(ISNUMBER(SEARCH("Office",D55)),"Commercial",IF(ISNUMBER(SEARCH("Flat",D55)),"Residential")))))))</f>
        <v>Residential + Commercial</v>
      </c>
      <c r="F29" s="89"/>
      <c r="G29" s="89"/>
      <c r="H29" s="89"/>
    </row>
    <row r="30" spans="1:8" ht="15.75" customHeight="1" x14ac:dyDescent="0.35">
      <c r="A30" s="98" t="s">
        <v>95</v>
      </c>
      <c r="B30" s="98"/>
      <c r="C30" s="98"/>
      <c r="D30" s="98"/>
      <c r="E30" s="89" t="s">
        <v>34</v>
      </c>
      <c r="F30" s="89"/>
      <c r="G30" s="89"/>
      <c r="H30" s="89"/>
    </row>
    <row r="31" spans="1:8" s="19" customFormat="1" x14ac:dyDescent="0.35">
      <c r="A31" s="139" t="s">
        <v>96</v>
      </c>
      <c r="B31" s="139"/>
      <c r="C31" s="138" t="s">
        <v>29</v>
      </c>
      <c r="D31" s="138"/>
      <c r="E31" s="138"/>
      <c r="F31" s="138" t="s">
        <v>31</v>
      </c>
      <c r="G31" s="138"/>
      <c r="H31" s="138"/>
    </row>
    <row r="32" spans="1:8" s="19" customFormat="1" x14ac:dyDescent="0.35">
      <c r="A32" s="136" t="s">
        <v>25</v>
      </c>
      <c r="B32" s="136" t="s">
        <v>30</v>
      </c>
      <c r="C32" s="137" t="s">
        <v>30</v>
      </c>
      <c r="D32" s="137"/>
      <c r="E32" s="137"/>
      <c r="F32" s="137" t="s">
        <v>184</v>
      </c>
      <c r="G32" s="137"/>
      <c r="H32" s="137"/>
    </row>
    <row r="33" spans="1:8" x14ac:dyDescent="0.35">
      <c r="A33" s="136" t="s">
        <v>26</v>
      </c>
      <c r="B33" s="136" t="s">
        <v>30</v>
      </c>
      <c r="C33" s="137" t="s">
        <v>30</v>
      </c>
      <c r="D33" s="137"/>
      <c r="E33" s="137"/>
      <c r="F33" s="137" t="s">
        <v>185</v>
      </c>
      <c r="G33" s="137"/>
      <c r="H33" s="137"/>
    </row>
    <row r="34" spans="1:8" s="19" customFormat="1" x14ac:dyDescent="0.35">
      <c r="A34" s="136" t="s">
        <v>28</v>
      </c>
      <c r="B34" s="136" t="s">
        <v>30</v>
      </c>
      <c r="C34" s="137" t="s">
        <v>30</v>
      </c>
      <c r="D34" s="137"/>
      <c r="E34" s="137"/>
      <c r="F34" s="137" t="s">
        <v>183</v>
      </c>
      <c r="G34" s="137"/>
      <c r="H34" s="137"/>
    </row>
    <row r="35" spans="1:8" x14ac:dyDescent="0.35">
      <c r="A35" s="136" t="s">
        <v>27</v>
      </c>
      <c r="B35" s="136" t="s">
        <v>30</v>
      </c>
      <c r="C35" s="137" t="s">
        <v>30</v>
      </c>
      <c r="D35" s="137"/>
      <c r="E35" s="137"/>
      <c r="F35" s="137" t="s">
        <v>183</v>
      </c>
      <c r="G35" s="137"/>
      <c r="H35" s="137"/>
    </row>
    <row r="36" spans="1:8" x14ac:dyDescent="0.35">
      <c r="A36" s="98" t="s">
        <v>32</v>
      </c>
      <c r="B36" s="98"/>
      <c r="C36" s="98"/>
      <c r="D36" s="98"/>
      <c r="E36" s="98"/>
      <c r="F36" s="98"/>
      <c r="G36" s="98"/>
      <c r="H36" s="98"/>
    </row>
    <row r="37" spans="1:8" ht="15.75" customHeight="1" x14ac:dyDescent="0.35">
      <c r="A37" s="98" t="s">
        <v>263</v>
      </c>
      <c r="B37" s="98"/>
      <c r="C37" s="140" t="s">
        <v>264</v>
      </c>
      <c r="D37" s="140"/>
      <c r="E37" s="140"/>
      <c r="F37" s="140"/>
      <c r="G37" s="140"/>
      <c r="H37" s="140"/>
    </row>
    <row r="38" spans="1:8" x14ac:dyDescent="0.35">
      <c r="A38" s="98" t="s">
        <v>168</v>
      </c>
      <c r="B38" s="98"/>
      <c r="C38" s="142" t="s">
        <v>250</v>
      </c>
      <c r="D38" s="89"/>
      <c r="E38" s="89"/>
      <c r="F38" s="89"/>
      <c r="G38" s="89"/>
      <c r="H38" s="89"/>
    </row>
    <row r="39" spans="1:8" x14ac:dyDescent="0.35">
      <c r="A39" s="129" t="s">
        <v>35</v>
      </c>
      <c r="B39" s="129"/>
      <c r="C39" s="129"/>
      <c r="D39" s="129"/>
      <c r="E39" s="129"/>
      <c r="F39" s="129"/>
      <c r="G39" s="129"/>
      <c r="H39" s="129"/>
    </row>
    <row r="40" spans="1:8" x14ac:dyDescent="0.35">
      <c r="A40" s="91" t="s">
        <v>36</v>
      </c>
      <c r="B40" s="91"/>
      <c r="C40" s="91"/>
      <c r="D40" s="91"/>
      <c r="E40" s="141">
        <v>6640</v>
      </c>
      <c r="F40" s="141"/>
      <c r="G40" s="141"/>
      <c r="H40" s="141"/>
    </row>
    <row r="41" spans="1:8" x14ac:dyDescent="0.35">
      <c r="A41" s="91" t="s">
        <v>37</v>
      </c>
      <c r="B41" s="91"/>
      <c r="C41" s="91"/>
      <c r="D41" s="91"/>
      <c r="E41" s="90">
        <v>1.1000000000000001</v>
      </c>
      <c r="F41" s="90"/>
      <c r="G41" s="90"/>
      <c r="H41" s="90"/>
    </row>
    <row r="42" spans="1:8" x14ac:dyDescent="0.35">
      <c r="A42" s="91" t="s">
        <v>38</v>
      </c>
      <c r="B42" s="91"/>
      <c r="C42" s="91"/>
      <c r="D42" s="91"/>
      <c r="E42" s="90">
        <f>E44/E40-E41</f>
        <v>1.8996325301204822</v>
      </c>
      <c r="F42" s="90"/>
      <c r="G42" s="90"/>
      <c r="H42" s="90"/>
    </row>
    <row r="43" spans="1:8" x14ac:dyDescent="0.35">
      <c r="A43" s="91" t="s">
        <v>39</v>
      </c>
      <c r="B43" s="91"/>
      <c r="C43" s="91"/>
      <c r="D43" s="91"/>
      <c r="E43" s="90">
        <f>E41+E42</f>
        <v>2.9996325301204823</v>
      </c>
      <c r="F43" s="90"/>
      <c r="G43" s="90"/>
      <c r="H43" s="90"/>
    </row>
    <row r="44" spans="1:8" x14ac:dyDescent="0.35">
      <c r="A44" s="91" t="s">
        <v>94</v>
      </c>
      <c r="B44" s="91"/>
      <c r="C44" s="91"/>
      <c r="D44" s="91"/>
      <c r="E44" s="145">
        <v>19917.560000000001</v>
      </c>
      <c r="F44" s="145"/>
      <c r="G44" s="145"/>
      <c r="H44" s="145"/>
    </row>
    <row r="45" spans="1:8" x14ac:dyDescent="0.35">
      <c r="A45" s="91" t="s">
        <v>40</v>
      </c>
      <c r="B45" s="91"/>
      <c r="C45" s="91"/>
      <c r="D45" s="91"/>
      <c r="E45" s="91" t="s">
        <v>189</v>
      </c>
      <c r="F45" s="91"/>
      <c r="G45" s="91"/>
      <c r="H45" s="91"/>
    </row>
    <row r="46" spans="1:8" x14ac:dyDescent="0.35">
      <c r="A46" s="129" t="s">
        <v>41</v>
      </c>
      <c r="B46" s="129"/>
      <c r="C46" s="129"/>
      <c r="D46" s="129"/>
      <c r="E46" s="129"/>
      <c r="F46" s="129"/>
      <c r="G46" s="129"/>
      <c r="H46" s="129"/>
    </row>
    <row r="47" spans="1:8" ht="33.75" customHeight="1" x14ac:dyDescent="0.35">
      <c r="A47" s="94" t="s">
        <v>155</v>
      </c>
      <c r="B47" s="95"/>
      <c r="C47" s="146" t="s">
        <v>190</v>
      </c>
      <c r="D47" s="147"/>
      <c r="E47" s="147"/>
      <c r="F47" s="147"/>
      <c r="G47" s="147"/>
      <c r="H47" s="148"/>
    </row>
    <row r="48" spans="1:8" ht="15.75" customHeight="1" x14ac:dyDescent="0.35">
      <c r="A48" s="94" t="s">
        <v>42</v>
      </c>
      <c r="B48" s="95"/>
      <c r="C48" s="94" t="s">
        <v>191</v>
      </c>
      <c r="D48" s="96"/>
      <c r="E48" s="95"/>
      <c r="F48" s="48" t="s">
        <v>43</v>
      </c>
      <c r="G48" s="97">
        <v>44438</v>
      </c>
      <c r="H48" s="95"/>
    </row>
    <row r="49" spans="1:14" x14ac:dyDescent="0.35">
      <c r="A49" s="94" t="s">
        <v>44</v>
      </c>
      <c r="B49" s="95"/>
      <c r="C49" s="94" t="str">
        <f>C48</f>
        <v>KBNP/NRV/BP/6936-92</v>
      </c>
      <c r="D49" s="96"/>
      <c r="E49" s="95"/>
      <c r="F49" s="48" t="s">
        <v>43</v>
      </c>
      <c r="G49" s="97">
        <f>G48</f>
        <v>44438</v>
      </c>
      <c r="H49" s="95"/>
    </row>
    <row r="50" spans="1:14" s="20" customFormat="1" ht="30.75" customHeight="1" x14ac:dyDescent="0.35">
      <c r="A50" s="151" t="s">
        <v>159</v>
      </c>
      <c r="B50" s="153"/>
      <c r="C50" s="94" t="s">
        <v>192</v>
      </c>
      <c r="D50" s="96"/>
      <c r="E50" s="95"/>
      <c r="F50" s="48" t="s">
        <v>43</v>
      </c>
      <c r="G50" s="97">
        <v>44438</v>
      </c>
      <c r="H50" s="95"/>
    </row>
    <row r="51" spans="1:14" s="20" customFormat="1" ht="50.25" customHeight="1" x14ac:dyDescent="0.35">
      <c r="A51" s="154"/>
      <c r="B51" s="155"/>
      <c r="C51" s="94" t="s">
        <v>261</v>
      </c>
      <c r="D51" s="96"/>
      <c r="E51" s="96"/>
      <c r="F51" s="96"/>
      <c r="G51" s="96"/>
      <c r="H51" s="95"/>
    </row>
    <row r="52" spans="1:14" ht="32.25" customHeight="1" x14ac:dyDescent="0.35">
      <c r="A52" s="116" t="s">
        <v>276</v>
      </c>
      <c r="B52" s="117"/>
      <c r="C52" s="116" t="s">
        <v>275</v>
      </c>
      <c r="D52" s="118"/>
      <c r="E52" s="117"/>
      <c r="F52" s="40" t="s">
        <v>43</v>
      </c>
      <c r="G52" s="121">
        <v>45638</v>
      </c>
      <c r="H52" s="122"/>
    </row>
    <row r="53" spans="1:14" x14ac:dyDescent="0.35">
      <c r="A53" s="119" t="s">
        <v>46</v>
      </c>
      <c r="B53" s="119"/>
      <c r="C53" s="119"/>
      <c r="D53" s="119"/>
      <c r="E53" s="119"/>
      <c r="F53" s="119"/>
      <c r="G53" s="119"/>
      <c r="H53" s="119"/>
    </row>
    <row r="54" spans="1:14" x14ac:dyDescent="0.35">
      <c r="A54" s="120" t="s">
        <v>93</v>
      </c>
      <c r="B54" s="120"/>
      <c r="C54" s="120"/>
      <c r="D54" s="98">
        <f>E44</f>
        <v>19917.560000000001</v>
      </c>
      <c r="E54" s="98"/>
      <c r="F54" s="98"/>
      <c r="G54" s="98"/>
      <c r="H54" s="98"/>
    </row>
    <row r="55" spans="1:14" x14ac:dyDescent="0.35">
      <c r="A55" s="89" t="s">
        <v>47</v>
      </c>
      <c r="B55" s="91"/>
      <c r="C55" s="91"/>
      <c r="D55" s="91" t="s">
        <v>252</v>
      </c>
      <c r="E55" s="91"/>
      <c r="F55" s="91"/>
      <c r="G55" s="91"/>
      <c r="H55" s="91"/>
      <c r="I55" s="21"/>
    </row>
    <row r="56" spans="1:14" ht="48.75" customHeight="1" x14ac:dyDescent="0.35">
      <c r="A56" s="151" t="s">
        <v>48</v>
      </c>
      <c r="B56" s="152"/>
      <c r="C56" s="153"/>
      <c r="D56" s="149" t="s">
        <v>196</v>
      </c>
      <c r="E56" s="150"/>
      <c r="F56" s="150"/>
      <c r="G56" s="150"/>
      <c r="H56" s="150"/>
    </row>
    <row r="57" spans="1:14" ht="15.75" customHeight="1" x14ac:dyDescent="0.35">
      <c r="A57" s="89" t="s">
        <v>91</v>
      </c>
      <c r="B57" s="89"/>
      <c r="C57" s="89"/>
      <c r="D57" s="91" t="s">
        <v>197</v>
      </c>
      <c r="E57" s="91"/>
      <c r="F57" s="91"/>
      <c r="G57" s="91"/>
      <c r="H57" s="91"/>
    </row>
    <row r="58" spans="1:14" ht="15.75" customHeight="1" x14ac:dyDescent="0.35">
      <c r="A58" s="89"/>
      <c r="B58" s="89"/>
      <c r="C58" s="89"/>
      <c r="D58" s="91" t="s">
        <v>193</v>
      </c>
      <c r="E58" s="91"/>
      <c r="F58" s="91"/>
      <c r="G58" s="91"/>
      <c r="H58" s="91"/>
    </row>
    <row r="59" spans="1:14" ht="15.75" customHeight="1" x14ac:dyDescent="0.35">
      <c r="A59" s="89"/>
      <c r="B59" s="89"/>
      <c r="C59" s="89"/>
      <c r="D59" s="91" t="s">
        <v>194</v>
      </c>
      <c r="E59" s="91"/>
      <c r="F59" s="91"/>
      <c r="G59" s="91"/>
      <c r="H59" s="91"/>
    </row>
    <row r="60" spans="1:14" ht="15.75" customHeight="1" x14ac:dyDescent="0.35">
      <c r="A60" s="98" t="s">
        <v>45</v>
      </c>
      <c r="B60" s="98"/>
      <c r="C60" s="98"/>
      <c r="D60" s="120" t="s">
        <v>195</v>
      </c>
      <c r="E60" s="120"/>
      <c r="F60" s="120"/>
      <c r="G60" s="120"/>
      <c r="H60" s="120"/>
      <c r="J60" s="22"/>
      <c r="K60" s="21"/>
      <c r="N60" s="21"/>
    </row>
    <row r="61" spans="1:14" ht="15.75" customHeight="1" x14ac:dyDescent="0.35">
      <c r="A61" s="98" t="s">
        <v>89</v>
      </c>
      <c r="B61" s="98"/>
      <c r="C61" s="98"/>
      <c r="D61" s="144" t="s">
        <v>277</v>
      </c>
      <c r="E61" s="144"/>
      <c r="F61" s="144"/>
      <c r="G61" s="144"/>
      <c r="H61" s="144"/>
      <c r="I61" s="184" t="str">
        <f>(IF(L52="NA","60 Years After Completion",IF(L52&lt;&gt;"NA",""&amp;60-ROUNDDOWN((J3-L52)/360,0)&amp;" Years"," ")))</f>
        <v>60 Years</v>
      </c>
      <c r="J61" s="144"/>
      <c r="K61" s="144"/>
      <c r="L61" s="144"/>
      <c r="M61" s="144"/>
      <c r="N61" s="21"/>
    </row>
    <row r="62" spans="1:14" ht="15.75" customHeight="1" x14ac:dyDescent="0.35">
      <c r="A62" s="98" t="s">
        <v>90</v>
      </c>
      <c r="B62" s="98"/>
      <c r="C62" s="98"/>
      <c r="D62" s="120" t="s">
        <v>24</v>
      </c>
      <c r="E62" s="120"/>
      <c r="F62" s="120"/>
      <c r="G62" s="120"/>
      <c r="H62" s="120"/>
      <c r="J62" s="23"/>
      <c r="K62" s="23"/>
    </row>
    <row r="63" spans="1:14" ht="15" hidden="1" customHeight="1" x14ac:dyDescent="0.35">
      <c r="A63" s="98" t="s">
        <v>76</v>
      </c>
      <c r="B63" s="98"/>
      <c r="C63" s="98"/>
      <c r="D63" s="89" t="s">
        <v>151</v>
      </c>
      <c r="E63" s="120"/>
      <c r="F63" s="120"/>
      <c r="G63" s="120"/>
      <c r="H63" s="120"/>
    </row>
    <row r="64" spans="1:14" x14ac:dyDescent="0.35">
      <c r="A64" s="120" t="s">
        <v>152</v>
      </c>
      <c r="B64" s="120"/>
      <c r="C64" s="120"/>
      <c r="D64" s="120" t="s">
        <v>30</v>
      </c>
      <c r="E64" s="120"/>
      <c r="F64" s="120"/>
      <c r="G64" s="120"/>
      <c r="H64" s="120"/>
      <c r="I64" s="24"/>
      <c r="J64" s="24"/>
      <c r="K64" s="24"/>
      <c r="L64" s="24"/>
      <c r="M64" s="24"/>
      <c r="N64" s="24"/>
    </row>
    <row r="65" spans="1:10" ht="15.75" customHeight="1" x14ac:dyDescent="0.35">
      <c r="A65" s="98" t="s">
        <v>88</v>
      </c>
      <c r="B65" s="98"/>
      <c r="C65" s="98"/>
      <c r="D65" s="89" t="str">
        <f ca="1">(IF(G100&gt;95%,"Nothing",IF(G100&gt;0%,"Cement, Aggregate, Steel, etc",IF(G100=0%,"Work not yet Started"))))</f>
        <v>Cement, Aggregate, Steel, etc</v>
      </c>
      <c r="E65" s="89"/>
      <c r="F65" s="89"/>
      <c r="G65" s="89"/>
      <c r="H65" s="89"/>
      <c r="J65" s="23"/>
    </row>
    <row r="66" spans="1:10" ht="33.75" customHeight="1" thickBot="1" x14ac:dyDescent="0.4">
      <c r="A66" s="120" t="s">
        <v>119</v>
      </c>
      <c r="B66" s="120"/>
      <c r="C66" s="120"/>
      <c r="D66" s="89" t="str">
        <f ca="1">(IF(D65="Nothing","Yes",IF(D65="Cement, Aggregate, Steel, etc","Under Construction",IF(D65="Work not yet Started","Work not yet Started"))))</f>
        <v>Under Construction</v>
      </c>
      <c r="E66" s="89"/>
      <c r="F66" s="89" t="str">
        <f ca="1">(IF(D65="Nothing","Yes",IF(D65="Cement, Aggregate, Steel, etc","Under Construction",IF(D65="Work not yet Started","Work not yet Started"))))</f>
        <v>Under Construction</v>
      </c>
      <c r="G66" s="89"/>
      <c r="H66" s="89"/>
    </row>
    <row r="67" spans="1:10" ht="15.75" customHeight="1" x14ac:dyDescent="0.35">
      <c r="A67" s="131" t="s">
        <v>143</v>
      </c>
      <c r="B67" s="131"/>
      <c r="C67" s="131" t="str">
        <f>D57</f>
        <v>Building A = Gr + 1st to 12th Floor</v>
      </c>
      <c r="D67" s="131"/>
      <c r="E67" s="131"/>
      <c r="F67" s="131"/>
      <c r="G67" s="131"/>
      <c r="H67" s="131"/>
      <c r="I67" s="66" t="str">
        <f>IF(D81=100%,"All work Completed. Possession granted to the Building.",IF(D80=100%,"All work Completed, Waiting for OC",I68&amp;""&amp;I69&amp;""&amp;J68&amp;""&amp;J67&amp;" "&amp;J69))</f>
        <v>All work Completed. Possession granted to the Building.</v>
      </c>
      <c r="J67" s="44" t="str">
        <f>(IF(C74=(D68+F68+H68),"",IF(C74&gt;0,", RCC upto "&amp;C74&amp;" Slab","")))&amp;(IF(C75=H68,"",IF(C75&gt;0,", Brickwork upto "&amp;C75&amp;" Floor","")))&amp;(IF(C76=H68,"",IF(C76&gt;0,", Internal Plaster upto "&amp;C76&amp;" Floor","")))&amp;(IF(C77=H68,"",IF(C77&gt;0,", External Plaster upto "&amp;C77&amp;" Floor","")))&amp;(IF(C78=H68,"",IF(C78&gt;0,", Flooring upto "&amp;C78&amp;" Floor","")))&amp;(IF(C79=H68,"",IF(C79&gt;0,", Painting upto "&amp;C79&amp;" Floor","")))&amp;(IF(C80=H68,"",IF(C80&gt;0,", Finishing upto "&amp;C80&amp;" Floor","")))&amp;(IF(C81=H68,"",IF(C81&gt;0,", Possession upto "&amp;C81&amp;" Floor","")))</f>
        <v/>
      </c>
    </row>
    <row r="68" spans="1:10" x14ac:dyDescent="0.35">
      <c r="A68" s="65" t="s">
        <v>145</v>
      </c>
      <c r="B68" s="65">
        <v>0</v>
      </c>
      <c r="C68" s="65" t="s">
        <v>73</v>
      </c>
      <c r="D68" s="65">
        <v>1</v>
      </c>
      <c r="E68" s="65" t="s">
        <v>72</v>
      </c>
      <c r="F68" s="65">
        <v>0</v>
      </c>
      <c r="G68" s="65" t="s">
        <v>82</v>
      </c>
      <c r="H68" s="65">
        <v>12</v>
      </c>
      <c r="I68" s="67" t="str">
        <f>IF(D72=100%,"Excavation","")&amp;IF(D73=100%,", Plinth","")&amp;IF(D74=100%,", RCC Slab","")&amp;IF(D75=100%,", Brickwork","")&amp;IF(D76=100%,", Internal Plaster","")&amp;IF(D77=100%,", External Plaster","")&amp;IF(D78=100%,", Flooring","")&amp;IF(D79=100%,", Painting","")&amp;IF(D80=100%,", Building common Amenities","")</f>
        <v>Excavation, Plinth, RCC Slab, Brickwork, Internal Plaster, External Plaster, Flooring, Painting, Building common Amenities</v>
      </c>
      <c r="J68" s="46" t="str">
        <f>(IF(C72=0,"Work not yet Started.",IF(D72=25%,"Piling work in process",IF(D72=50%,"Excavation work in process",IF(D72=100%,"","0")))))&amp;(IF(C73=0%,"",IF(C73=J74,", Footing work is process",IF(C73=J75,", Footing work Completed",IF(C73=J76,", 1st Basement Completed",IF(C73=J77,", 1st &amp; 2nd Basement Completed",IF(C73=J78,", 1st to 3rd Basement Completed",IF(C73=J79,", 1st to 4th Basement Completed",IF(C73=J80,", Plinth work is process",IF(C73=J81,"","0"))))))))))</f>
        <v/>
      </c>
    </row>
    <row r="69" spans="1:10" ht="15" customHeight="1" x14ac:dyDescent="0.35">
      <c r="A69" s="130" t="s">
        <v>92</v>
      </c>
      <c r="B69" s="130"/>
      <c r="C69" s="92" t="str">
        <f>I67</f>
        <v>All work Completed. Possession granted to the Building.</v>
      </c>
      <c r="D69" s="92"/>
      <c r="E69" s="92"/>
      <c r="F69" s="92"/>
      <c r="G69" s="92"/>
      <c r="H69" s="92"/>
      <c r="I69" s="67" t="str">
        <f>IF(I68&lt;&gt;""," Completed","")</f>
        <v xml:space="preserve"> Completed</v>
      </c>
      <c r="J69" s="46" t="str">
        <f>IF(J67&lt;&gt;"","Completed","")</f>
        <v/>
      </c>
    </row>
    <row r="70" spans="1:10" ht="30" customHeight="1" thickBot="1" x14ac:dyDescent="0.4">
      <c r="A70" s="132" t="s">
        <v>87</v>
      </c>
      <c r="B70" s="132"/>
      <c r="C70" s="69">
        <f>E72</f>
        <v>1</v>
      </c>
      <c r="D70" s="70"/>
      <c r="E70" s="70" t="s">
        <v>86</v>
      </c>
      <c r="F70" s="70"/>
      <c r="G70" s="69">
        <f>G72</f>
        <v>1</v>
      </c>
      <c r="H70" s="70"/>
      <c r="I70" s="67"/>
      <c r="J70" s="46"/>
    </row>
    <row r="71" spans="1:10" ht="15.75" hidden="1" customHeight="1" x14ac:dyDescent="0.35">
      <c r="A71" s="93" t="s">
        <v>49</v>
      </c>
      <c r="B71" s="93"/>
      <c r="C71" s="64" t="s">
        <v>142</v>
      </c>
      <c r="D71" s="64" t="s">
        <v>85</v>
      </c>
      <c r="E71" s="93" t="s">
        <v>87</v>
      </c>
      <c r="F71" s="93"/>
      <c r="G71" s="93" t="s">
        <v>86</v>
      </c>
      <c r="H71" s="93"/>
      <c r="I71" s="14" t="s">
        <v>144</v>
      </c>
      <c r="J71" s="25">
        <f>H68*25%</f>
        <v>3</v>
      </c>
    </row>
    <row r="72" spans="1:10" ht="16" hidden="1" thickBot="1" x14ac:dyDescent="0.4">
      <c r="A72" s="93" t="s">
        <v>131</v>
      </c>
      <c r="B72" s="93"/>
      <c r="C72" s="64">
        <f>J73</f>
        <v>12</v>
      </c>
      <c r="D72" s="50">
        <f>((100/H68)*C72)/100</f>
        <v>1</v>
      </c>
      <c r="E72" s="143">
        <f>(((C73/H68*10)+(40/(D68+F68+H68)*C74)+(7.5/(H68)*C75)+(7.5/(H68)*C76)+(10/H68*C77)+(10/H68*C78)+(5/H68*C79)+(5/H68*C80)+(5/H68*C81))/100)</f>
        <v>1</v>
      </c>
      <c r="F72" s="143"/>
      <c r="G72" s="143">
        <f>((((C72/H68)*20)+((C73/H68)*25)+(30/(H68+F68+D68)*C74)+(5/H68*C75)+(5/H68*C76)+(5/H68*C77)+(5/H68*C78)+(0/H68*C79)+(0/H68*C80)+(5/H68*C81))/100)</f>
        <v>1</v>
      </c>
      <c r="H72" s="143"/>
      <c r="I72" s="14" t="s">
        <v>102</v>
      </c>
      <c r="J72" s="26">
        <f>H68*50%</f>
        <v>6</v>
      </c>
    </row>
    <row r="73" spans="1:10" ht="16" hidden="1" thickBot="1" x14ac:dyDescent="0.4">
      <c r="A73" s="93" t="s">
        <v>50</v>
      </c>
      <c r="B73" s="93"/>
      <c r="C73" s="51">
        <v>12</v>
      </c>
      <c r="D73" s="50">
        <f>((100/H68)*C73)/100</f>
        <v>1</v>
      </c>
      <c r="E73" s="143"/>
      <c r="F73" s="143"/>
      <c r="G73" s="143"/>
      <c r="H73" s="143"/>
      <c r="I73" s="14" t="s">
        <v>103</v>
      </c>
      <c r="J73" s="26">
        <f>H68</f>
        <v>12</v>
      </c>
    </row>
    <row r="74" spans="1:10" ht="15.75" hidden="1" customHeight="1" x14ac:dyDescent="0.35">
      <c r="A74" s="93" t="s">
        <v>132</v>
      </c>
      <c r="B74" s="93"/>
      <c r="C74" s="64">
        <v>13</v>
      </c>
      <c r="D74" s="50">
        <f>((100/(D68+F68+H68))*C74)/100</f>
        <v>1</v>
      </c>
      <c r="E74" s="143"/>
      <c r="F74" s="143"/>
      <c r="G74" s="143"/>
      <c r="H74" s="143"/>
      <c r="I74" s="14" t="s">
        <v>104</v>
      </c>
      <c r="J74" s="27">
        <f>(IF(B68&gt;1,(H68/(B68+2)),H68/4))</f>
        <v>3</v>
      </c>
    </row>
    <row r="75" spans="1:10" ht="15.75" hidden="1" customHeight="1" x14ac:dyDescent="0.35">
      <c r="A75" s="93" t="s">
        <v>139</v>
      </c>
      <c r="B75" s="93" t="s">
        <v>133</v>
      </c>
      <c r="C75" s="64">
        <v>12</v>
      </c>
      <c r="D75" s="50">
        <f>((100/H68)*C75)/100</f>
        <v>1</v>
      </c>
      <c r="E75" s="143"/>
      <c r="F75" s="143"/>
      <c r="G75" s="143"/>
      <c r="H75" s="143"/>
      <c r="I75" s="14" t="s">
        <v>105</v>
      </c>
      <c r="J75" s="27">
        <f>(IF(B68&gt;1,(H68/(B68+2)+J74),H68/4+J74))</f>
        <v>6</v>
      </c>
    </row>
    <row r="76" spans="1:10" ht="15.75" hidden="1" customHeight="1" x14ac:dyDescent="0.35">
      <c r="A76" s="93" t="s">
        <v>140</v>
      </c>
      <c r="B76" s="93" t="s">
        <v>133</v>
      </c>
      <c r="C76" s="64">
        <v>12</v>
      </c>
      <c r="D76" s="50">
        <f>((100/H68)*C76)/100</f>
        <v>1</v>
      </c>
      <c r="E76" s="143"/>
      <c r="F76" s="143"/>
      <c r="G76" s="143"/>
      <c r="H76" s="143"/>
      <c r="I76" s="14" t="s">
        <v>149</v>
      </c>
      <c r="J76" s="27">
        <f>(IF(B68&gt;1,(H68/(B68+2)+J75),0))</f>
        <v>0</v>
      </c>
    </row>
    <row r="77" spans="1:10" ht="15" hidden="1" customHeight="1" x14ac:dyDescent="0.35">
      <c r="A77" s="93" t="s">
        <v>138</v>
      </c>
      <c r="B77" s="93" t="s">
        <v>135</v>
      </c>
      <c r="C77" s="64">
        <v>12</v>
      </c>
      <c r="D77" s="50">
        <f>((100/(H68))*C77)/100</f>
        <v>1</v>
      </c>
      <c r="E77" s="143"/>
      <c r="F77" s="143"/>
      <c r="G77" s="143"/>
      <c r="H77" s="143"/>
      <c r="I77" s="14" t="s">
        <v>146</v>
      </c>
      <c r="J77" s="27">
        <f>(IF(B68&gt;2,(H68/(B68+2)+J76),0))</f>
        <v>0</v>
      </c>
    </row>
    <row r="78" spans="1:10" ht="15.75" hidden="1" customHeight="1" x14ac:dyDescent="0.35">
      <c r="A78" s="93" t="s">
        <v>134</v>
      </c>
      <c r="B78" s="93" t="s">
        <v>134</v>
      </c>
      <c r="C78" s="64">
        <v>12</v>
      </c>
      <c r="D78" s="50">
        <f>((100/H68)*C78)/100</f>
        <v>1</v>
      </c>
      <c r="E78" s="143"/>
      <c r="F78" s="143"/>
      <c r="G78" s="143"/>
      <c r="H78" s="143"/>
      <c r="I78" s="14" t="s">
        <v>147</v>
      </c>
      <c r="J78" s="28">
        <f>(IF(B68&gt;3,(H68/(B68+2)+J77),0))</f>
        <v>0</v>
      </c>
    </row>
    <row r="79" spans="1:10" ht="15.75" hidden="1" customHeight="1" x14ac:dyDescent="0.35">
      <c r="A79" s="93" t="s">
        <v>141</v>
      </c>
      <c r="B79" s="93"/>
      <c r="C79" s="64">
        <v>12</v>
      </c>
      <c r="D79" s="50">
        <f>((100/H68)*C79)/100</f>
        <v>1</v>
      </c>
      <c r="E79" s="143"/>
      <c r="F79" s="143"/>
      <c r="G79" s="143"/>
      <c r="H79" s="143"/>
      <c r="I79" s="14" t="s">
        <v>148</v>
      </c>
      <c r="J79" s="27">
        <f>(IF(B68&gt;4,(H68/(B68+2)+J78),0))</f>
        <v>0</v>
      </c>
    </row>
    <row r="80" spans="1:10" ht="15.75" hidden="1" customHeight="1" x14ac:dyDescent="0.35">
      <c r="A80" s="93" t="s">
        <v>136</v>
      </c>
      <c r="B80" s="93" t="s">
        <v>136</v>
      </c>
      <c r="C80" s="64">
        <v>12</v>
      </c>
      <c r="D80" s="50">
        <f>((100/(H68))*C80)/100</f>
        <v>1</v>
      </c>
      <c r="E80" s="143"/>
      <c r="F80" s="143"/>
      <c r="G80" s="143"/>
      <c r="H80" s="143"/>
      <c r="I80" s="14" t="s">
        <v>150</v>
      </c>
      <c r="J80" s="27">
        <f>(IF(B68=1,(H68/(B68+3)+J75),IF(B68=0,(H68/4+J75),IF(B68&gt;1,0))))</f>
        <v>9</v>
      </c>
    </row>
    <row r="81" spans="1:10" ht="16" hidden="1" thickBot="1" x14ac:dyDescent="0.4">
      <c r="A81" s="93" t="s">
        <v>137</v>
      </c>
      <c r="B81" s="93"/>
      <c r="C81" s="64">
        <v>12</v>
      </c>
      <c r="D81" s="50">
        <f>((100/(H68))*C81)/100</f>
        <v>1</v>
      </c>
      <c r="E81" s="143"/>
      <c r="F81" s="143"/>
      <c r="G81" s="143"/>
      <c r="H81" s="143"/>
      <c r="I81" s="15" t="s">
        <v>106</v>
      </c>
      <c r="J81" s="29">
        <f>(IF(B68&gt;1.5,(H68/(B68+2)+J75+MAX(0,J76-J75)+MAX(0,J77-J76)+MAX(0,J78-J77)+MAX(0,J79-J78)+MAX(0,J80-J79)),IF(B68=1,(H68/(B68+3)+J80),IF(B68=0,H68/4+J80))))</f>
        <v>12</v>
      </c>
    </row>
    <row r="82" spans="1:10" ht="15.75" hidden="1" customHeight="1" x14ac:dyDescent="0.35">
      <c r="A82" s="92" t="s">
        <v>143</v>
      </c>
      <c r="B82" s="92"/>
      <c r="C82" s="92" t="s">
        <v>266</v>
      </c>
      <c r="D82" s="92"/>
      <c r="E82" s="92"/>
      <c r="F82" s="92"/>
      <c r="G82" s="92"/>
      <c r="H82" s="92"/>
      <c r="I82" s="66" t="str">
        <f ca="1">IF(D95=100%,"All work Completed. Possession granted to the Building.",IF(D94=100%,"All work Completed, Waiting for OC",I83&amp;""&amp;I84&amp;""&amp;J83&amp;""&amp;J82&amp;" "&amp;J84))</f>
        <v xml:space="preserve">Excavation Completed, Plinth work is process </v>
      </c>
      <c r="J82" s="44" t="str">
        <f ca="1">(IF(C88=(D83+F83+H83),"",IF(C88&gt;0,", RCC upto "&amp;C88&amp;" Slab","")))&amp;(IF(C89=H83,"",IF(C89&gt;0,", Brickwork upto "&amp;C89&amp;" Floor","")))&amp;(IF(C90=H83,"",IF(C90&gt;0,", Internal Plaster upto "&amp;C90&amp;" Floor","")))&amp;(IF(C91=H83,"",IF(C91&gt;0,", External Plaster upto "&amp;C91&amp;" Floor","")))&amp;(IF(C92=H83,"",IF(C92&gt;0,", Flooring upto "&amp;C92&amp;" Floor","")))&amp;(IF(C93=H83,"",IF(C93&gt;0,", Painting upto "&amp;C93&amp;" Floor","")))&amp;(IF(C94=H83,"",IF(C94&gt;0,", Finishing upto "&amp;C94&amp;" Floor","")))&amp;(IF(C95=H83,"",IF(C95&gt;0,", Possession upto "&amp;C95&amp;" Floor","")))</f>
        <v/>
      </c>
    </row>
    <row r="83" spans="1:10" ht="16" hidden="1" thickBot="1" x14ac:dyDescent="0.4">
      <c r="A83" s="65" t="s">
        <v>145</v>
      </c>
      <c r="B83" s="65">
        <v>0</v>
      </c>
      <c r="C83" s="65" t="s">
        <v>73</v>
      </c>
      <c r="D83" s="65">
        <v>1</v>
      </c>
      <c r="E83" s="65" t="s">
        <v>72</v>
      </c>
      <c r="F83" s="65">
        <v>0</v>
      </c>
      <c r="G83" s="65" t="s">
        <v>82</v>
      </c>
      <c r="H83" s="65">
        <f ca="1">--TRIM(RIGHT(SUBSTITUTE(LEFT(C82,_xlfn.AGGREGATE(16,6,FIND({0,1,2,3,4,5,6,7,8,9},C82,ROW(INDIRECT("1:"&amp;LEN(C82)))),1))," ",REPT(" ",LEN(C82))),LEN(C82)))</f>
        <v>14</v>
      </c>
      <c r="I83" s="67" t="str">
        <f ca="1">IF(D86=100%,"Excavation","")&amp;IF(D87=100%,", Plinth","")&amp;IF(D88=100%,", RCC Slab","")&amp;IF(D89=100%,", Brickwork","")&amp;IF(D90=100%,", Internal Plaster","")&amp;IF(D91=100%,", External Plaster","")&amp;IF(D92=100%,", Flooring","")&amp;IF(D93=100%,", Painting","")&amp;IF(D94=100%,", Building common Amenities","")</f>
        <v>Excavation</v>
      </c>
      <c r="J83" s="46" t="str">
        <f ca="1">(IF(C86=0,"Work not yet Started.",IF(D86=25%,"Piling work in process",IF(D86=50%,"Excavation work in process",IF(D86=100%,"","0")))))&amp;(IF(C87=0%,"",IF(C87=J88,", Footing work is process",IF(C87=J89,", Footing work Completed",IF(C87=J90,", 1st Basement Completed",IF(C87=J91,", 1st &amp; 2nd Basement Completed",IF(C87=J92,", 1st to 3rd Basement Completed",IF(C87=J93,", 1st to 4th Basement Completed",IF(C87=J94,", Plinth work is process",IF(C87=J95,"","0"))))))))))</f>
        <v>, Plinth work is process</v>
      </c>
    </row>
    <row r="84" spans="1:10" ht="16" hidden="1" thickBot="1" x14ac:dyDescent="0.4">
      <c r="A84" s="130" t="s">
        <v>92</v>
      </c>
      <c r="B84" s="130"/>
      <c r="C84" s="92" t="str">
        <f>(IF($G$52="NA",I82,"All work Completed. OC Received."))</f>
        <v>All work Completed. OC Received.</v>
      </c>
      <c r="D84" s="92"/>
      <c r="E84" s="92"/>
      <c r="F84" s="92"/>
      <c r="G84" s="92"/>
      <c r="H84" s="92"/>
      <c r="I84" s="67" t="str">
        <f ca="1">IF(I83&lt;&gt;""," Completed","")</f>
        <v xml:space="preserve"> Completed</v>
      </c>
      <c r="J84" s="46" t="str">
        <f ca="1">IF(J82&lt;&gt;"","Completed","")</f>
        <v/>
      </c>
    </row>
    <row r="85" spans="1:10" ht="15.75" hidden="1" customHeight="1" x14ac:dyDescent="0.35">
      <c r="A85" s="93" t="s">
        <v>49</v>
      </c>
      <c r="B85" s="93"/>
      <c r="C85" s="64" t="s">
        <v>142</v>
      </c>
      <c r="D85" s="64" t="s">
        <v>85</v>
      </c>
      <c r="E85" s="93" t="s">
        <v>87</v>
      </c>
      <c r="F85" s="93"/>
      <c r="G85" s="93" t="s">
        <v>86</v>
      </c>
      <c r="H85" s="93"/>
      <c r="I85" s="14" t="s">
        <v>144</v>
      </c>
      <c r="J85" s="25">
        <f ca="1">H83*25%</f>
        <v>3.5</v>
      </c>
    </row>
    <row r="86" spans="1:10" ht="16" hidden="1" thickBot="1" x14ac:dyDescent="0.4">
      <c r="A86" s="93" t="s">
        <v>131</v>
      </c>
      <c r="B86" s="93"/>
      <c r="C86" s="64">
        <v>14</v>
      </c>
      <c r="D86" s="50">
        <f ca="1">((100/H83)*C86)/100</f>
        <v>1</v>
      </c>
      <c r="E86" s="143">
        <f ca="1">(((C87/H83*10)+(40/(D83+F83+H83)*C88)+(7.5/(H83)*C89)+(7.5/(H83)*C90)+(10/H83*C91)+(10/H83*C92)+(5/H83*C93)+(5/H83*C94)+(5/H83*C95))/100)</f>
        <v>7.4999999999999997E-2</v>
      </c>
      <c r="F86" s="143"/>
      <c r="G86" s="143">
        <f ca="1">((((C86/H83)*20)+((C87/H83)*25)+(30/(H83+F83+D83)*C88)+(5/H83*C89)+(5/H83*C90)+(5/H83*C91)+(5/H83*C92)+(0/H83*C93)+(0/H83*C94)+(5/H83*C95))/100)</f>
        <v>0.38750000000000001</v>
      </c>
      <c r="H86" s="143"/>
      <c r="I86" s="14" t="s">
        <v>102</v>
      </c>
      <c r="J86" s="26">
        <f ca="1">H83*50%</f>
        <v>7</v>
      </c>
    </row>
    <row r="87" spans="1:10" ht="16" hidden="1" thickBot="1" x14ac:dyDescent="0.4">
      <c r="A87" s="93" t="s">
        <v>50</v>
      </c>
      <c r="B87" s="93"/>
      <c r="C87" s="51">
        <f ca="1">J94</f>
        <v>10.5</v>
      </c>
      <c r="D87" s="50">
        <f ca="1">((100/H83)*C87)/100</f>
        <v>0.75</v>
      </c>
      <c r="E87" s="143"/>
      <c r="F87" s="143"/>
      <c r="G87" s="143"/>
      <c r="H87" s="143"/>
      <c r="I87" s="14" t="s">
        <v>103</v>
      </c>
      <c r="J87" s="26">
        <f ca="1">H83</f>
        <v>14</v>
      </c>
    </row>
    <row r="88" spans="1:10" ht="15.75" hidden="1" customHeight="1" x14ac:dyDescent="0.35">
      <c r="A88" s="93" t="s">
        <v>132</v>
      </c>
      <c r="B88" s="93"/>
      <c r="C88" s="64">
        <v>0</v>
      </c>
      <c r="D88" s="50">
        <f ca="1">((100/(D83+F83+H83))*C88)/100</f>
        <v>0</v>
      </c>
      <c r="E88" s="143"/>
      <c r="F88" s="143"/>
      <c r="G88" s="143"/>
      <c r="H88" s="143"/>
      <c r="I88" s="14" t="s">
        <v>104</v>
      </c>
      <c r="J88" s="27">
        <f ca="1">(IF(B83&gt;1,(H83/(B83+2)),H83/4))</f>
        <v>3.5</v>
      </c>
    </row>
    <row r="89" spans="1:10" ht="15.75" hidden="1" customHeight="1" x14ac:dyDescent="0.35">
      <c r="A89" s="93" t="s">
        <v>139</v>
      </c>
      <c r="B89" s="93" t="s">
        <v>133</v>
      </c>
      <c r="C89" s="64">
        <v>0</v>
      </c>
      <c r="D89" s="50">
        <f ca="1">((100/H83)*C89)/100</f>
        <v>0</v>
      </c>
      <c r="E89" s="143"/>
      <c r="F89" s="143"/>
      <c r="G89" s="143"/>
      <c r="H89" s="143"/>
      <c r="I89" s="14" t="s">
        <v>105</v>
      </c>
      <c r="J89" s="27">
        <f ca="1">(IF(B83&gt;1,(H83/(B83+2)+J88),H83/4+J88))</f>
        <v>7</v>
      </c>
    </row>
    <row r="90" spans="1:10" ht="15.75" hidden="1" customHeight="1" x14ac:dyDescent="0.35">
      <c r="A90" s="93" t="s">
        <v>140</v>
      </c>
      <c r="B90" s="93" t="s">
        <v>133</v>
      </c>
      <c r="C90" s="64">
        <v>0</v>
      </c>
      <c r="D90" s="50">
        <f ca="1">((100/H83)*C90)/100</f>
        <v>0</v>
      </c>
      <c r="E90" s="143"/>
      <c r="F90" s="143"/>
      <c r="G90" s="143"/>
      <c r="H90" s="143"/>
      <c r="I90" s="14" t="s">
        <v>149</v>
      </c>
      <c r="J90" s="27">
        <f>(IF(B83&gt;1,(H83/(B83+2)+J89),0))</f>
        <v>0</v>
      </c>
    </row>
    <row r="91" spans="1:10" ht="15" hidden="1" customHeight="1" x14ac:dyDescent="0.35">
      <c r="A91" s="93" t="s">
        <v>138</v>
      </c>
      <c r="B91" s="93" t="s">
        <v>135</v>
      </c>
      <c r="C91" s="64">
        <v>0</v>
      </c>
      <c r="D91" s="50">
        <f ca="1">((100/(H83))*C91)/100</f>
        <v>0</v>
      </c>
      <c r="E91" s="143"/>
      <c r="F91" s="143"/>
      <c r="G91" s="143"/>
      <c r="H91" s="143"/>
      <c r="I91" s="14" t="s">
        <v>146</v>
      </c>
      <c r="J91" s="27">
        <f>(IF(B83&gt;2,(H83/(B83+2)+J90),0))</f>
        <v>0</v>
      </c>
    </row>
    <row r="92" spans="1:10" ht="15.75" hidden="1" customHeight="1" x14ac:dyDescent="0.35">
      <c r="A92" s="93" t="s">
        <v>134</v>
      </c>
      <c r="B92" s="93" t="s">
        <v>134</v>
      </c>
      <c r="C92" s="64">
        <v>0</v>
      </c>
      <c r="D92" s="50">
        <f ca="1">((100/H83)*C92)/100</f>
        <v>0</v>
      </c>
      <c r="E92" s="143"/>
      <c r="F92" s="143"/>
      <c r="G92" s="143"/>
      <c r="H92" s="143"/>
      <c r="I92" s="14" t="s">
        <v>147</v>
      </c>
      <c r="J92" s="28">
        <f>(IF(B83&gt;3,(H83/(B83+2)+J91),0))</f>
        <v>0</v>
      </c>
    </row>
    <row r="93" spans="1:10" ht="15.75" hidden="1" customHeight="1" x14ac:dyDescent="0.35">
      <c r="A93" s="93" t="s">
        <v>141</v>
      </c>
      <c r="B93" s="93"/>
      <c r="C93" s="64">
        <v>0</v>
      </c>
      <c r="D93" s="50">
        <f ca="1">((100/H83)*C93)/100</f>
        <v>0</v>
      </c>
      <c r="E93" s="143"/>
      <c r="F93" s="143"/>
      <c r="G93" s="143"/>
      <c r="H93" s="143"/>
      <c r="I93" s="14" t="s">
        <v>148</v>
      </c>
      <c r="J93" s="27">
        <f>(IF(B83&gt;4,(H83/(B83+2)+J92),0))</f>
        <v>0</v>
      </c>
    </row>
    <row r="94" spans="1:10" ht="15.75" hidden="1" customHeight="1" x14ac:dyDescent="0.35">
      <c r="A94" s="93" t="s">
        <v>136</v>
      </c>
      <c r="B94" s="93" t="s">
        <v>136</v>
      </c>
      <c r="C94" s="64">
        <v>0</v>
      </c>
      <c r="D94" s="50">
        <f ca="1">((100/(H83))*C94)/100</f>
        <v>0</v>
      </c>
      <c r="E94" s="143"/>
      <c r="F94" s="143"/>
      <c r="G94" s="143"/>
      <c r="H94" s="143"/>
      <c r="I94" s="14" t="s">
        <v>150</v>
      </c>
      <c r="J94" s="27">
        <f ca="1">(IF(B83=1,(H83/(B83+3)+J89),IF(B83=0,(H83/4+J89),IF(B83&gt;1,0))))</f>
        <v>10.5</v>
      </c>
    </row>
    <row r="95" spans="1:10" ht="16" hidden="1" thickBot="1" x14ac:dyDescent="0.4">
      <c r="A95" s="93" t="s">
        <v>137</v>
      </c>
      <c r="B95" s="93"/>
      <c r="C95" s="64">
        <v>0</v>
      </c>
      <c r="D95" s="50">
        <f ca="1">((100/(H83))*C95)/100</f>
        <v>0</v>
      </c>
      <c r="E95" s="143"/>
      <c r="F95" s="143"/>
      <c r="G95" s="143"/>
      <c r="H95" s="143"/>
      <c r="I95" s="15" t="s">
        <v>106</v>
      </c>
      <c r="J95" s="29">
        <f ca="1">(IF(B83&gt;1.5,(H83/(B83+2)+J89+MAX(0,J90-J89)+MAX(0,J91-J90)+MAX(0,J92-J91)+MAX(0,J93-J92)+MAX(0,J94-J93)),IF(B83=1,(H83/(B83+3)+J94),IF(B83=0,H83/4+J94))))</f>
        <v>14</v>
      </c>
    </row>
    <row r="96" spans="1:10" ht="15.75" customHeight="1" x14ac:dyDescent="0.35">
      <c r="A96" s="92" t="s">
        <v>143</v>
      </c>
      <c r="B96" s="92"/>
      <c r="C96" s="92" t="s">
        <v>193</v>
      </c>
      <c r="D96" s="92"/>
      <c r="E96" s="92"/>
      <c r="F96" s="92"/>
      <c r="G96" s="92"/>
      <c r="H96" s="92"/>
      <c r="I96" s="66" t="str">
        <f ca="1">IF(D109=100%,"All work Completed. Possession granted to the Building.",IF(D108=100%,"All work Completed, Waiting for OC",I97&amp;""&amp;I98&amp;""&amp;J97&amp;""&amp;J96&amp;" "&amp;J98))</f>
        <v>Excavation, Plinth Completed, RCC upto 14 Slab, Brickwork upto 12 Floor, External Plaster upto 3 Floor Completed</v>
      </c>
      <c r="J96" s="44" t="str">
        <f ca="1">(IF(C102=(D97+F97+H97),"",IF(C102&gt;0,", RCC upto "&amp;C102&amp;" Slab","")))&amp;(IF(C103=H97,"",IF(C103&gt;0,", Brickwork upto "&amp;C103&amp;" Floor","")))&amp;(IF(C104=H97,"",IF(C104&gt;0,", Internal Plaster upto "&amp;C104&amp;" Floor","")))&amp;(IF(C105=H97,"",IF(C105&gt;0,", External Plaster upto "&amp;C105&amp;" Floor","")))&amp;(IF(C106=H97,"",IF(C106&gt;0,", Flooring upto "&amp;C106&amp;" Floor","")))&amp;(IF(C107=H97,"",IF(C107&gt;0,", Painting upto "&amp;C107&amp;" Floor","")))&amp;(IF(C108=H97,"",IF(C108&gt;0,", Finishing upto "&amp;C108&amp;" Floor","")))&amp;(IF(C109=H97,"",IF(C109&gt;0,", Possession upto "&amp;C109&amp;" Floor","")))</f>
        <v>, RCC upto 14 Slab, Brickwork upto 12 Floor, External Plaster upto 3 Floor</v>
      </c>
    </row>
    <row r="97" spans="1:10" x14ac:dyDescent="0.35">
      <c r="A97" s="65" t="s">
        <v>145</v>
      </c>
      <c r="B97" s="65">
        <v>0</v>
      </c>
      <c r="C97" s="65" t="s">
        <v>73</v>
      </c>
      <c r="D97" s="65">
        <v>1</v>
      </c>
      <c r="E97" s="65" t="s">
        <v>72</v>
      </c>
      <c r="F97" s="65">
        <v>0</v>
      </c>
      <c r="G97" s="65" t="s">
        <v>82</v>
      </c>
      <c r="H97" s="65">
        <f ca="1">--TRIM(RIGHT(SUBSTITUTE(LEFT(C96,_xlfn.AGGREGATE(16,6,FIND({0,1,2,3,4,5,6,7,8,9},C96,ROW(INDIRECT("1:"&amp;LEN(C96)))),1))," ",REPT(" ",LEN(C96))),LEN(C96)))</f>
        <v>14</v>
      </c>
      <c r="I97" s="67" t="str">
        <f ca="1">IF(D100=100%,"Excavation","")&amp;IF(D101=100%,", Plinth","")&amp;IF(D102=100%,", RCC Slab","")&amp;IF(D103=100%,", Brickwork","")&amp;IF(D104=100%,", Internal Plaster","")&amp;IF(D105=100%,", External Plaster","")&amp;IF(D106=100%,", Flooring","")&amp;IF(D107=100%,", Painting","")&amp;IF(D108=100%,", Building common Amenities","")</f>
        <v>Excavation, Plinth</v>
      </c>
      <c r="J97" s="46" t="str">
        <f ca="1">(IF(C100=0,"Work not yet Started.",IF(D100=25%,"Piling work in process",IF(D100=50%,"Excavation work in process",IF(D100=100%,"","0")))))&amp;(IF(C101=0%,"",IF(C101=J102,", Footing work is process",IF(C101=J103,", Footing work Completed",IF(C101=J104,", 1st Basement Completed",IF(C101=J105,", 1st &amp; 2nd Basement Completed",IF(C101=J106,", 1st to 3rd Basement Completed",IF(C101=J107,", 1st to 4th Basement Completed",IF(C101=J108,", Plinth work is process",IF(C101=J109,"","0"))))))))))</f>
        <v/>
      </c>
    </row>
    <row r="98" spans="1:10" ht="33" customHeight="1" x14ac:dyDescent="0.35">
      <c r="A98" s="130" t="s">
        <v>92</v>
      </c>
      <c r="B98" s="130"/>
      <c r="C98" s="92" t="str">
        <f ca="1">I96</f>
        <v>Excavation, Plinth Completed, RCC upto 14 Slab, Brickwork upto 12 Floor, External Plaster upto 3 Floor Completed</v>
      </c>
      <c r="D98" s="92"/>
      <c r="E98" s="92"/>
      <c r="F98" s="92"/>
      <c r="G98" s="92"/>
      <c r="H98" s="92"/>
      <c r="I98" s="67" t="str">
        <f ca="1">IF(I97&lt;&gt;""," Completed","")</f>
        <v xml:space="preserve"> Completed</v>
      </c>
      <c r="J98" s="46" t="str">
        <f ca="1">IF(J96&lt;&gt;"","Completed","")</f>
        <v>Completed</v>
      </c>
    </row>
    <row r="99" spans="1:10" ht="15.75" customHeight="1" x14ac:dyDescent="0.35">
      <c r="A99" s="93" t="s">
        <v>49</v>
      </c>
      <c r="B99" s="93"/>
      <c r="C99" s="64" t="s">
        <v>142</v>
      </c>
      <c r="D99" s="64" t="s">
        <v>85</v>
      </c>
      <c r="E99" s="93" t="s">
        <v>87</v>
      </c>
      <c r="F99" s="93"/>
      <c r="G99" s="93" t="s">
        <v>86</v>
      </c>
      <c r="H99" s="93"/>
      <c r="I99" s="14" t="s">
        <v>144</v>
      </c>
      <c r="J99" s="25">
        <f ca="1">H97*25%</f>
        <v>3.5</v>
      </c>
    </row>
    <row r="100" spans="1:10" x14ac:dyDescent="0.35">
      <c r="A100" s="93" t="s">
        <v>131</v>
      </c>
      <c r="B100" s="93"/>
      <c r="C100" s="64">
        <v>14</v>
      </c>
      <c r="D100" s="50">
        <f ca="1">((100/H97)*C100)/100</f>
        <v>1</v>
      </c>
      <c r="E100" s="143">
        <f ca="1">(((C101/H97*10)+(40/(D97+F97+H97)*C102)+(7.5/(H97)*C103)+(7.5/(H97)*C104)+(10/H97*C105)+(10/H97*C106)+(5/H97*C107)+(5/H97*C108)+(5/H97*C109))/100)</f>
        <v>0.55904761904761902</v>
      </c>
      <c r="F100" s="143"/>
      <c r="G100" s="143">
        <f ca="1">((((C100/H97)*20)+((C101/H97)*25)+(30/(H97+F97+D97)*C102)+(5/H97*C103)+(5/H97*C104)+(5/H97*C105)+(5/H97*C106)+(0/H97*C107)+(0/H97*C108)+(5/H97*C109))/100)</f>
        <v>0.78357142857142859</v>
      </c>
      <c r="H100" s="143"/>
      <c r="I100" s="14" t="s">
        <v>102</v>
      </c>
      <c r="J100" s="26">
        <f ca="1">H97*50%</f>
        <v>7</v>
      </c>
    </row>
    <row r="101" spans="1:10" x14ac:dyDescent="0.35">
      <c r="A101" s="93" t="s">
        <v>50</v>
      </c>
      <c r="B101" s="93"/>
      <c r="C101" s="51">
        <f ca="1">J109</f>
        <v>14</v>
      </c>
      <c r="D101" s="50">
        <f ca="1">((100/H97)*C101)/100</f>
        <v>1</v>
      </c>
      <c r="E101" s="143"/>
      <c r="F101" s="143"/>
      <c r="G101" s="143"/>
      <c r="H101" s="143"/>
      <c r="I101" s="14" t="s">
        <v>103</v>
      </c>
      <c r="J101" s="26">
        <f ca="1">H97</f>
        <v>14</v>
      </c>
    </row>
    <row r="102" spans="1:10" ht="15.75" customHeight="1" x14ac:dyDescent="0.35">
      <c r="A102" s="93" t="s">
        <v>132</v>
      </c>
      <c r="B102" s="93"/>
      <c r="C102" s="64">
        <v>14</v>
      </c>
      <c r="D102" s="50">
        <f ca="1">((100/(D97+F97+H97))*C102)/100</f>
        <v>0.93333333333333346</v>
      </c>
      <c r="E102" s="143"/>
      <c r="F102" s="143"/>
      <c r="G102" s="143"/>
      <c r="H102" s="143"/>
      <c r="I102" s="14" t="s">
        <v>104</v>
      </c>
      <c r="J102" s="27">
        <f ca="1">(IF(B97&gt;1,(H97/(B97+2)),H97/4))</f>
        <v>3.5</v>
      </c>
    </row>
    <row r="103" spans="1:10" ht="15.75" customHeight="1" x14ac:dyDescent="0.35">
      <c r="A103" s="93" t="s">
        <v>139</v>
      </c>
      <c r="B103" s="93" t="s">
        <v>133</v>
      </c>
      <c r="C103" s="64">
        <v>12</v>
      </c>
      <c r="D103" s="50">
        <f ca="1">((100/H97)*C103)/100</f>
        <v>0.85714285714285721</v>
      </c>
      <c r="E103" s="143"/>
      <c r="F103" s="143"/>
      <c r="G103" s="143"/>
      <c r="H103" s="143"/>
      <c r="I103" s="14" t="s">
        <v>105</v>
      </c>
      <c r="J103" s="27">
        <f ca="1">(IF(B97&gt;1,(H97/(B97+2)+J102),H97/4+J102))</f>
        <v>7</v>
      </c>
    </row>
    <row r="104" spans="1:10" ht="15.75" customHeight="1" x14ac:dyDescent="0.35">
      <c r="A104" s="93" t="s">
        <v>140</v>
      </c>
      <c r="B104" s="93" t="s">
        <v>133</v>
      </c>
      <c r="C104" s="64">
        <v>0</v>
      </c>
      <c r="D104" s="50">
        <f ca="1">((100/H97)*C104)/100</f>
        <v>0</v>
      </c>
      <c r="E104" s="143"/>
      <c r="F104" s="143"/>
      <c r="G104" s="143"/>
      <c r="H104" s="143"/>
      <c r="I104" s="14" t="s">
        <v>149</v>
      </c>
      <c r="J104" s="27">
        <f>(IF(B97&gt;1,(H97/(B97+2)+J103),0))</f>
        <v>0</v>
      </c>
    </row>
    <row r="105" spans="1:10" ht="15" customHeight="1" x14ac:dyDescent="0.35">
      <c r="A105" s="93" t="s">
        <v>138</v>
      </c>
      <c r="B105" s="93" t="s">
        <v>135</v>
      </c>
      <c r="C105" s="64">
        <v>3</v>
      </c>
      <c r="D105" s="50">
        <f ca="1">((100/(H97))*C105)/100</f>
        <v>0.2142857142857143</v>
      </c>
      <c r="E105" s="143"/>
      <c r="F105" s="143"/>
      <c r="G105" s="143"/>
      <c r="H105" s="143"/>
      <c r="I105" s="14" t="s">
        <v>146</v>
      </c>
      <c r="J105" s="27">
        <f>(IF(B97&gt;2,(H97/(B97+2)+J104),0))</f>
        <v>0</v>
      </c>
    </row>
    <row r="106" spans="1:10" ht="15.75" customHeight="1" x14ac:dyDescent="0.35">
      <c r="A106" s="93" t="s">
        <v>134</v>
      </c>
      <c r="B106" s="93" t="s">
        <v>134</v>
      </c>
      <c r="C106" s="64">
        <v>0</v>
      </c>
      <c r="D106" s="50">
        <f ca="1">((100/H97)*C106)/100</f>
        <v>0</v>
      </c>
      <c r="E106" s="143"/>
      <c r="F106" s="143"/>
      <c r="G106" s="143"/>
      <c r="H106" s="143"/>
      <c r="I106" s="14" t="s">
        <v>147</v>
      </c>
      <c r="J106" s="28">
        <f>(IF(B97&gt;3,(H97/(B97+2)+J105),0))</f>
        <v>0</v>
      </c>
    </row>
    <row r="107" spans="1:10" ht="15.75" customHeight="1" x14ac:dyDescent="0.35">
      <c r="A107" s="93" t="s">
        <v>141</v>
      </c>
      <c r="B107" s="93"/>
      <c r="C107" s="64">
        <v>0</v>
      </c>
      <c r="D107" s="50">
        <f ca="1">((100/H97)*C107)/100</f>
        <v>0</v>
      </c>
      <c r="E107" s="143"/>
      <c r="F107" s="143"/>
      <c r="G107" s="143"/>
      <c r="H107" s="143"/>
      <c r="I107" s="14" t="s">
        <v>148</v>
      </c>
      <c r="J107" s="27">
        <f>(IF(B97&gt;4,(H97/(B97+2)+J106),0))</f>
        <v>0</v>
      </c>
    </row>
    <row r="108" spans="1:10" ht="15.75" customHeight="1" x14ac:dyDescent="0.35">
      <c r="A108" s="93" t="s">
        <v>136</v>
      </c>
      <c r="B108" s="93" t="s">
        <v>136</v>
      </c>
      <c r="C108" s="64">
        <v>0</v>
      </c>
      <c r="D108" s="50">
        <f ca="1">((100/(H97))*C108)/100</f>
        <v>0</v>
      </c>
      <c r="E108" s="143"/>
      <c r="F108" s="143"/>
      <c r="G108" s="143"/>
      <c r="H108" s="143"/>
      <c r="I108" s="14" t="s">
        <v>150</v>
      </c>
      <c r="J108" s="27">
        <f ca="1">(IF(B97=1,(H97/(B97+3)+J103),IF(B97=0,(H97/4+J103),IF(B97&gt;1,0))))</f>
        <v>10.5</v>
      </c>
    </row>
    <row r="109" spans="1:10" ht="16" thickBot="1" x14ac:dyDescent="0.4">
      <c r="A109" s="93" t="s">
        <v>137</v>
      </c>
      <c r="B109" s="93"/>
      <c r="C109" s="64">
        <v>0</v>
      </c>
      <c r="D109" s="50">
        <f ca="1">((100/(H97))*C109)/100</f>
        <v>0</v>
      </c>
      <c r="E109" s="143"/>
      <c r="F109" s="143"/>
      <c r="G109" s="143"/>
      <c r="H109" s="143"/>
      <c r="I109" s="15" t="s">
        <v>106</v>
      </c>
      <c r="J109" s="29">
        <f ca="1">(IF(B97&gt;1.5,(H97/(B97+2)+J103+MAX(0,J104-J103)+MAX(0,J105-J104)+MAX(0,J106-J105)+MAX(0,J107-J106)+MAX(0,J108-J107)),IF(B97=1,(H97/(B97+3)+J108),IF(B97=0,H97/4+J108))))</f>
        <v>14</v>
      </c>
    </row>
    <row r="110" spans="1:10" ht="16" hidden="1" thickBot="1" x14ac:dyDescent="0.4">
      <c r="A110" s="176" t="s">
        <v>267</v>
      </c>
      <c r="B110" s="177"/>
      <c r="C110" s="180">
        <f ca="1">AVERAGE(E86,E100)</f>
        <v>0.31702380952380949</v>
      </c>
      <c r="D110" s="181"/>
      <c r="E110" s="176" t="s">
        <v>268</v>
      </c>
      <c r="F110" s="177"/>
      <c r="G110" s="180">
        <f ca="1">AVERAGE(G86,G100)</f>
        <v>0.58553571428571427</v>
      </c>
      <c r="H110" s="181"/>
    </row>
    <row r="111" spans="1:10" ht="16" hidden="1" thickBot="1" x14ac:dyDescent="0.4">
      <c r="A111" s="178"/>
      <c r="B111" s="179"/>
      <c r="C111" s="182"/>
      <c r="D111" s="183"/>
      <c r="E111" s="178"/>
      <c r="F111" s="179"/>
      <c r="G111" s="182"/>
      <c r="H111" s="183"/>
    </row>
    <row r="112" spans="1:10" ht="15.75" customHeight="1" x14ac:dyDescent="0.35">
      <c r="A112" s="156" t="s">
        <v>143</v>
      </c>
      <c r="B112" s="157"/>
      <c r="C112" s="158" t="str">
        <f>D59</f>
        <v>Building C = Gr + 1st to 7th Floor</v>
      </c>
      <c r="D112" s="159"/>
      <c r="E112" s="159"/>
      <c r="F112" s="159"/>
      <c r="G112" s="159"/>
      <c r="H112" s="160"/>
      <c r="I112" s="43" t="str">
        <f ca="1">IF(D125=100%,"All work Completed. Possession granted to the Building.",IF(D124=100%,"All work Completed, Waiting for OC",I113&amp;""&amp;I114&amp;""&amp;J113&amp;""&amp;J112&amp;" "&amp;J114))</f>
        <v>Excavation, Plinth, RCC Slab, Brickwork, Internal Plaster, External Plaster, Flooring Completed, Painting upto 6 Floor, Finishing upto 1 Floor Completed</v>
      </c>
      <c r="J112" s="44" t="str">
        <f ca="1">(IF(C118=(D113+F113+H113),"",IF(C118&gt;0,", RCC upto "&amp;C118&amp;" Slab","")))&amp;(IF(C119=H113,"",IF(C119&gt;0,", Brickwork upto "&amp;C119&amp;" Floor","")))&amp;(IF(C120=H113,"",IF(C120&gt;0,", Internal Plaster upto "&amp;C120&amp;" Floor","")))&amp;(IF(C121=H113,"",IF(C121&gt;0,", External Plaster upto "&amp;C121&amp;" Floor","")))&amp;(IF(C122=H113,"",IF(C122&gt;0,", Flooring upto "&amp;C122&amp;" Floor","")))&amp;(IF(C123=H113,"",IF(C123&gt;0,", Painting upto "&amp;C123&amp;" Floor","")))&amp;(IF(C124=H113,"",IF(C124&gt;0,", Finishing upto "&amp;C124&amp;" Floor","")))&amp;(IF(C125=H113,"",IF(C125&gt;0,", Possession upto "&amp;C125&amp;" Floor","")))</f>
        <v>, Painting upto 6 Floor, Finishing upto 1 Floor</v>
      </c>
    </row>
    <row r="113" spans="1:10" x14ac:dyDescent="0.35">
      <c r="A113" s="16" t="s">
        <v>145</v>
      </c>
      <c r="B113" s="47">
        <v>0</v>
      </c>
      <c r="C113" s="47" t="s">
        <v>73</v>
      </c>
      <c r="D113" s="47">
        <v>1</v>
      </c>
      <c r="E113" s="47" t="s">
        <v>72</v>
      </c>
      <c r="F113" s="47">
        <v>0</v>
      </c>
      <c r="G113" s="47" t="s">
        <v>82</v>
      </c>
      <c r="H113" s="17">
        <f ca="1">--TRIM(RIGHT(SUBSTITUTE(LEFT(C112,_xlfn.AGGREGATE(16,6,FIND({0,1,2,3,4,5,6,7,8,9},C112,ROW(INDIRECT("1:"&amp;LEN(C112)))),1))," ",REPT(" ",LEN(C112))),LEN(C112)))</f>
        <v>7</v>
      </c>
      <c r="I113" s="45" t="str">
        <f ca="1">IF(D116=100%,"Excavation","")&amp;IF(D117=100%,", Plinth","")&amp;IF(D118=100%,", RCC Slab","")&amp;IF(D119=100%,", Brickwork","")&amp;IF(D120=100%,", Internal Plaster","")&amp;IF(D121=100%,", External Plaster","")&amp;IF(D122=100%,", Flooring","")&amp;IF(D123=100%,", Painting","")&amp;IF(D124=100%,", Building common Amenities","")</f>
        <v>Excavation, Plinth, RCC Slab, Brickwork, Internal Plaster, External Plaster, Flooring</v>
      </c>
      <c r="J113" s="46" t="str">
        <f ca="1">(IF(C116=0,"Work not yet Started.",IF(D116=25%,"Piling work in process",IF(D116=50%,"Excavation work in process",IF(D116=100%,"","0")))))&amp;(IF(C117=0%,"",IF(C117=J118,", Footing work is process",IF(C117=J119,", Footing work Completed",IF(C117=J120,", 1st Basement Completed",IF(C117=J121,", 1st &amp; 2nd Basement Completed",IF(C117=J122,", 1st to 3rd Basement Completed",IF(C117=J123,", 1st to 4th Basement Completed",IF(C117=J124,", Plinth work is process",IF(C117=J125,"","0"))))))))))</f>
        <v/>
      </c>
    </row>
    <row r="114" spans="1:10" ht="32" customHeight="1" x14ac:dyDescent="0.35">
      <c r="A114" s="169" t="s">
        <v>92</v>
      </c>
      <c r="B114" s="130"/>
      <c r="C114" s="92" t="str">
        <f ca="1">I112</f>
        <v>Excavation, Plinth, RCC Slab, Brickwork, Internal Plaster, External Plaster, Flooring Completed, Painting upto 6 Floor, Finishing upto 1 Floor Completed</v>
      </c>
      <c r="D114" s="92"/>
      <c r="E114" s="92"/>
      <c r="F114" s="92"/>
      <c r="G114" s="92"/>
      <c r="H114" s="170"/>
      <c r="I114" s="45" t="str">
        <f ca="1">IF(I113&lt;&gt;""," Completed","")</f>
        <v xml:space="preserve"> Completed</v>
      </c>
      <c r="J114" s="46" t="str">
        <f ca="1">IF(J112&lt;&gt;"","Completed","")</f>
        <v>Completed</v>
      </c>
    </row>
    <row r="115" spans="1:10" ht="15.75" customHeight="1" x14ac:dyDescent="0.35">
      <c r="A115" s="109" t="s">
        <v>49</v>
      </c>
      <c r="B115" s="93"/>
      <c r="C115" s="49" t="s">
        <v>142</v>
      </c>
      <c r="D115" s="49" t="s">
        <v>85</v>
      </c>
      <c r="E115" s="93" t="s">
        <v>87</v>
      </c>
      <c r="F115" s="93"/>
      <c r="G115" s="93" t="s">
        <v>86</v>
      </c>
      <c r="H115" s="168"/>
      <c r="I115" s="14" t="s">
        <v>144</v>
      </c>
      <c r="J115" s="25">
        <f ca="1">H113*25%</f>
        <v>1.75</v>
      </c>
    </row>
    <row r="116" spans="1:10" x14ac:dyDescent="0.35">
      <c r="A116" s="109" t="s">
        <v>131</v>
      </c>
      <c r="B116" s="93"/>
      <c r="C116" s="49">
        <v>7</v>
      </c>
      <c r="D116" s="50">
        <f ca="1">((100/H113)*C116)/100</f>
        <v>1</v>
      </c>
      <c r="E116" s="161">
        <f ca="1">(((C117/H113*10)+(40/(D113+F113+H113)*C118)+(7.5/(H113)*C119)+(7.5/(H113)*C120)+(10/H113*C121)+(10/H113*C122)+(5/H113*C123)+(5/H113*C124)+(5/H113*C125))/100)</f>
        <v>0.9</v>
      </c>
      <c r="F116" s="162"/>
      <c r="G116" s="161">
        <f ca="1">((((C116/H113)*20)+((C117/H113)*25)+(30/(H113+F113+D113)*C118)+(5/H113*C119)+(5/H113*C120)+(5/H113*C121)+(5/H113*C122)+(0/H113*C123)+(0/H113*C124)+(5/H113*C125))/100)</f>
        <v>0.95</v>
      </c>
      <c r="H116" s="173"/>
      <c r="I116" s="14" t="s">
        <v>102</v>
      </c>
      <c r="J116" s="26">
        <f ca="1">H113*50%</f>
        <v>3.5</v>
      </c>
    </row>
    <row r="117" spans="1:10" x14ac:dyDescent="0.35">
      <c r="A117" s="109" t="s">
        <v>50</v>
      </c>
      <c r="B117" s="93"/>
      <c r="C117" s="51">
        <v>7</v>
      </c>
      <c r="D117" s="50">
        <f ca="1">((100/H113)*C117)/100</f>
        <v>1</v>
      </c>
      <c r="E117" s="163"/>
      <c r="F117" s="164"/>
      <c r="G117" s="163"/>
      <c r="H117" s="174"/>
      <c r="I117" s="14" t="s">
        <v>103</v>
      </c>
      <c r="J117" s="26">
        <f ca="1">H113</f>
        <v>7</v>
      </c>
    </row>
    <row r="118" spans="1:10" ht="15.75" customHeight="1" x14ac:dyDescent="0.35">
      <c r="A118" s="109" t="s">
        <v>132</v>
      </c>
      <c r="B118" s="93"/>
      <c r="C118" s="49">
        <v>8</v>
      </c>
      <c r="D118" s="50">
        <f ca="1">((100/(D113+F113+H113))*C118)/100</f>
        <v>1</v>
      </c>
      <c r="E118" s="163"/>
      <c r="F118" s="164"/>
      <c r="G118" s="163"/>
      <c r="H118" s="174"/>
      <c r="I118" s="14" t="s">
        <v>104</v>
      </c>
      <c r="J118" s="27">
        <f ca="1">(IF(B113&gt;1,(H113/(B113+2)),H113/4))</f>
        <v>1.75</v>
      </c>
    </row>
    <row r="119" spans="1:10" ht="15.75" customHeight="1" x14ac:dyDescent="0.35">
      <c r="A119" s="109" t="s">
        <v>139</v>
      </c>
      <c r="B119" s="93" t="s">
        <v>133</v>
      </c>
      <c r="C119" s="49">
        <v>7</v>
      </c>
      <c r="D119" s="50">
        <f ca="1">((100/H113)*C119)/100</f>
        <v>1</v>
      </c>
      <c r="E119" s="163"/>
      <c r="F119" s="164"/>
      <c r="G119" s="163"/>
      <c r="H119" s="174"/>
      <c r="I119" s="14" t="s">
        <v>105</v>
      </c>
      <c r="J119" s="27">
        <f ca="1">(IF(B113&gt;1,(H113/(B113+2)+J118),H113/4+J118))</f>
        <v>3.5</v>
      </c>
    </row>
    <row r="120" spans="1:10" ht="15.75" customHeight="1" x14ac:dyDescent="0.35">
      <c r="A120" s="109" t="s">
        <v>140</v>
      </c>
      <c r="B120" s="93" t="s">
        <v>133</v>
      </c>
      <c r="C120" s="49">
        <v>7</v>
      </c>
      <c r="D120" s="50">
        <f ca="1">((100/H113)*C120)/100</f>
        <v>1</v>
      </c>
      <c r="E120" s="163"/>
      <c r="F120" s="164"/>
      <c r="G120" s="163"/>
      <c r="H120" s="174"/>
      <c r="I120" s="14" t="s">
        <v>149</v>
      </c>
      <c r="J120" s="27">
        <f>(IF(B113&gt;1,(H113/(B113+2)+J119),0))</f>
        <v>0</v>
      </c>
    </row>
    <row r="121" spans="1:10" ht="15" customHeight="1" x14ac:dyDescent="0.35">
      <c r="A121" s="109" t="s">
        <v>138</v>
      </c>
      <c r="B121" s="93" t="s">
        <v>135</v>
      </c>
      <c r="C121" s="49">
        <v>7</v>
      </c>
      <c r="D121" s="50">
        <f ca="1">((100/(H113))*C121)/100</f>
        <v>1</v>
      </c>
      <c r="E121" s="163"/>
      <c r="F121" s="164"/>
      <c r="G121" s="163"/>
      <c r="H121" s="174"/>
      <c r="I121" s="14" t="s">
        <v>146</v>
      </c>
      <c r="J121" s="27">
        <f>(IF(B113&gt;2,(H113/(B113+2)+J120),0))</f>
        <v>0</v>
      </c>
    </row>
    <row r="122" spans="1:10" ht="15.75" customHeight="1" x14ac:dyDescent="0.35">
      <c r="A122" s="109" t="s">
        <v>134</v>
      </c>
      <c r="B122" s="93" t="s">
        <v>134</v>
      </c>
      <c r="C122" s="49">
        <v>7</v>
      </c>
      <c r="D122" s="50">
        <f ca="1">((100/H113)*C122)/100</f>
        <v>1</v>
      </c>
      <c r="E122" s="163"/>
      <c r="F122" s="164"/>
      <c r="G122" s="163"/>
      <c r="H122" s="174"/>
      <c r="I122" s="14" t="s">
        <v>147</v>
      </c>
      <c r="J122" s="28">
        <f>(IF(B113&gt;3,(H113/(B113+2)+J121),0))</f>
        <v>0</v>
      </c>
    </row>
    <row r="123" spans="1:10" ht="15.75" customHeight="1" x14ac:dyDescent="0.35">
      <c r="A123" s="109" t="s">
        <v>141</v>
      </c>
      <c r="B123" s="93"/>
      <c r="C123" s="49">
        <v>6</v>
      </c>
      <c r="D123" s="50">
        <f ca="1">((100/H113)*C123)/100</f>
        <v>0.85714285714285721</v>
      </c>
      <c r="E123" s="163"/>
      <c r="F123" s="164"/>
      <c r="G123" s="163"/>
      <c r="H123" s="174"/>
      <c r="I123" s="14" t="s">
        <v>148</v>
      </c>
      <c r="J123" s="27">
        <f>(IF(B113&gt;4,(H113/(B113+2)+J122),0))</f>
        <v>0</v>
      </c>
    </row>
    <row r="124" spans="1:10" ht="15.75" customHeight="1" x14ac:dyDescent="0.35">
      <c r="A124" s="109" t="s">
        <v>136</v>
      </c>
      <c r="B124" s="93" t="s">
        <v>136</v>
      </c>
      <c r="C124" s="49">
        <v>1</v>
      </c>
      <c r="D124" s="50">
        <f ca="1">((100/(H113))*C124)/100</f>
        <v>0.14285714285714288</v>
      </c>
      <c r="E124" s="163"/>
      <c r="F124" s="164"/>
      <c r="G124" s="163"/>
      <c r="H124" s="174"/>
      <c r="I124" s="14" t="s">
        <v>150</v>
      </c>
      <c r="J124" s="27">
        <f ca="1">(IF(B113=1,(H113/(B113+3)+J119),IF(B113=0,(H113/4+J119),IF(B113&gt;1,0))))</f>
        <v>5.25</v>
      </c>
    </row>
    <row r="125" spans="1:10" ht="16" thickBot="1" x14ac:dyDescent="0.4">
      <c r="A125" s="112" t="s">
        <v>137</v>
      </c>
      <c r="B125" s="113"/>
      <c r="C125" s="52">
        <v>0</v>
      </c>
      <c r="D125" s="53">
        <f ca="1">((100/(H113))*C125)/100</f>
        <v>0</v>
      </c>
      <c r="E125" s="165"/>
      <c r="F125" s="166"/>
      <c r="G125" s="165"/>
      <c r="H125" s="175"/>
      <c r="I125" s="15" t="s">
        <v>106</v>
      </c>
      <c r="J125" s="29">
        <f ca="1">(IF(B113&gt;1.5,(H113/(B113+2)+J119+MAX(0,J120-J119)+MAX(0,J121-J120)+MAX(0,J122-J121)+MAX(0,J123-J122)+MAX(0,J124-J123)),IF(B113=1,(H113/(B113+3)+J124),IF(B113=0,H113/4+J124))))</f>
        <v>7</v>
      </c>
    </row>
    <row r="126" spans="1:10" x14ac:dyDescent="0.35">
      <c r="A126" s="172" t="s">
        <v>161</v>
      </c>
      <c r="B126" s="172"/>
      <c r="C126" s="172"/>
      <c r="D126" s="172"/>
      <c r="E126" s="172"/>
      <c r="F126" s="167" t="s">
        <v>166</v>
      </c>
      <c r="G126" s="167"/>
      <c r="H126" s="167"/>
      <c r="I126" s="18" t="s">
        <v>274</v>
      </c>
    </row>
    <row r="127" spans="1:10" ht="15.75" customHeight="1" x14ac:dyDescent="0.35">
      <c r="A127" s="98" t="s">
        <v>164</v>
      </c>
      <c r="B127" s="98"/>
      <c r="C127" s="98"/>
      <c r="D127" s="98"/>
      <c r="E127" s="98"/>
      <c r="F127" s="110">
        <v>4900</v>
      </c>
      <c r="G127" s="110"/>
      <c r="H127" s="110"/>
      <c r="J127" s="18" t="s">
        <v>270</v>
      </c>
    </row>
    <row r="128" spans="1:10" x14ac:dyDescent="0.35">
      <c r="A128" s="98" t="s">
        <v>163</v>
      </c>
      <c r="B128" s="98"/>
      <c r="C128" s="98"/>
      <c r="D128" s="98"/>
      <c r="E128" s="98"/>
      <c r="F128" s="110">
        <v>8500</v>
      </c>
      <c r="G128" s="110"/>
      <c r="H128" s="110"/>
    </row>
    <row r="129" spans="1:11" hidden="1" x14ac:dyDescent="0.35">
      <c r="A129" s="98" t="s">
        <v>165</v>
      </c>
      <c r="B129" s="98"/>
      <c r="C129" s="98"/>
      <c r="D129" s="98"/>
      <c r="E129" s="98"/>
      <c r="F129" s="110"/>
      <c r="G129" s="110"/>
      <c r="H129" s="110"/>
    </row>
    <row r="130" spans="1:11" s="30" customFormat="1" hidden="1" x14ac:dyDescent="0.3">
      <c r="A130" s="98" t="s">
        <v>162</v>
      </c>
      <c r="B130" s="98"/>
      <c r="C130" s="98"/>
      <c r="D130" s="98"/>
      <c r="E130" s="98"/>
      <c r="F130" s="110"/>
      <c r="G130" s="110"/>
      <c r="H130" s="110"/>
    </row>
    <row r="131" spans="1:11" s="30" customFormat="1" x14ac:dyDescent="0.3">
      <c r="A131" s="98" t="s">
        <v>256</v>
      </c>
      <c r="B131" s="98"/>
      <c r="C131" s="98"/>
      <c r="D131" s="98"/>
      <c r="E131" s="98"/>
      <c r="F131" s="110">
        <v>250000</v>
      </c>
      <c r="G131" s="110"/>
      <c r="H131" s="110"/>
      <c r="I131" s="57" t="s">
        <v>254</v>
      </c>
      <c r="J131" s="58">
        <v>45076</v>
      </c>
      <c r="K131" s="57" t="s">
        <v>255</v>
      </c>
    </row>
    <row r="132" spans="1:11" s="30" customFormat="1" hidden="1" x14ac:dyDescent="0.3">
      <c r="A132" s="98" t="s">
        <v>97</v>
      </c>
      <c r="B132" s="98"/>
      <c r="C132" s="98"/>
      <c r="D132" s="98"/>
      <c r="E132" s="98"/>
      <c r="F132" s="110"/>
      <c r="G132" s="110"/>
      <c r="H132" s="110"/>
    </row>
    <row r="133" spans="1:11" s="30" customFormat="1" hidden="1" x14ac:dyDescent="0.3">
      <c r="A133" s="98" t="s">
        <v>167</v>
      </c>
      <c r="B133" s="98"/>
      <c r="C133" s="98"/>
      <c r="D133" s="98"/>
      <c r="E133" s="98"/>
      <c r="F133" s="110"/>
      <c r="G133" s="110"/>
      <c r="H133" s="110"/>
    </row>
    <row r="134" spans="1:11" s="30" customFormat="1" hidden="1" x14ac:dyDescent="0.3">
      <c r="A134" s="98" t="s">
        <v>98</v>
      </c>
      <c r="B134" s="98"/>
      <c r="C134" s="98"/>
      <c r="D134" s="98"/>
      <c r="E134" s="98"/>
      <c r="F134" s="110"/>
      <c r="G134" s="110"/>
      <c r="H134" s="110"/>
    </row>
    <row r="135" spans="1:11" s="30" customFormat="1" hidden="1" x14ac:dyDescent="0.3">
      <c r="A135" s="98" t="s">
        <v>99</v>
      </c>
      <c r="B135" s="98"/>
      <c r="C135" s="98"/>
      <c r="D135" s="98"/>
      <c r="E135" s="98"/>
      <c r="F135" s="110"/>
      <c r="G135" s="110"/>
      <c r="H135" s="110"/>
    </row>
    <row r="136" spans="1:11" s="30" customFormat="1" hidden="1" x14ac:dyDescent="0.3">
      <c r="A136" s="98" t="s">
        <v>100</v>
      </c>
      <c r="B136" s="98"/>
      <c r="C136" s="98"/>
      <c r="D136" s="98"/>
      <c r="E136" s="98"/>
      <c r="F136" s="110"/>
      <c r="G136" s="110"/>
      <c r="H136" s="110"/>
    </row>
    <row r="137" spans="1:11" s="30" customFormat="1" hidden="1" x14ac:dyDescent="0.3">
      <c r="A137" s="98" t="s">
        <v>101</v>
      </c>
      <c r="B137" s="98"/>
      <c r="C137" s="98"/>
      <c r="D137" s="98"/>
      <c r="E137" s="98"/>
      <c r="F137" s="110"/>
      <c r="G137" s="110"/>
      <c r="H137" s="110"/>
    </row>
    <row r="138" spans="1:11" s="30" customFormat="1" x14ac:dyDescent="0.3">
      <c r="A138" s="98" t="s">
        <v>257</v>
      </c>
      <c r="B138" s="98"/>
      <c r="C138" s="98"/>
      <c r="D138" s="98"/>
      <c r="E138" s="98"/>
      <c r="F138" s="110">
        <v>400000</v>
      </c>
      <c r="G138" s="110"/>
      <c r="H138" s="110"/>
      <c r="I138" s="57" t="s">
        <v>258</v>
      </c>
      <c r="J138" s="58">
        <v>45104</v>
      </c>
      <c r="K138" s="57" t="s">
        <v>255</v>
      </c>
    </row>
    <row r="139" spans="1:11" x14ac:dyDescent="0.35">
      <c r="A139" s="98" t="s">
        <v>51</v>
      </c>
      <c r="B139" s="98"/>
      <c r="C139" s="98"/>
      <c r="D139" s="98"/>
      <c r="E139" s="98"/>
      <c r="F139" s="110">
        <v>300000</v>
      </c>
      <c r="G139" s="110"/>
      <c r="H139" s="110"/>
    </row>
    <row r="140" spans="1:11" s="31" customFormat="1" x14ac:dyDescent="0.35">
      <c r="A140" s="129" t="s">
        <v>52</v>
      </c>
      <c r="B140" s="129"/>
      <c r="C140" s="129"/>
      <c r="D140" s="129"/>
      <c r="E140" s="129"/>
      <c r="F140" s="110">
        <f>F127*0.8</f>
        <v>3920</v>
      </c>
      <c r="G140" s="110"/>
      <c r="H140" s="110"/>
    </row>
    <row r="141" spans="1:11" s="32" customFormat="1" ht="15.75" customHeight="1" x14ac:dyDescent="0.35">
      <c r="A141" s="124" t="s">
        <v>77</v>
      </c>
      <c r="B141" s="124"/>
      <c r="C141" s="124"/>
      <c r="D141" s="124"/>
      <c r="E141" s="124"/>
      <c r="F141" s="124"/>
      <c r="G141" s="124"/>
      <c r="H141" s="124"/>
    </row>
    <row r="142" spans="1:11" s="32" customFormat="1" ht="15.75" customHeight="1" x14ac:dyDescent="0.35">
      <c r="A142" s="100" t="s">
        <v>53</v>
      </c>
      <c r="B142" s="100"/>
      <c r="C142" s="114" t="s">
        <v>80</v>
      </c>
      <c r="D142" s="114"/>
      <c r="E142" s="123" t="s">
        <v>54</v>
      </c>
      <c r="F142" s="123"/>
      <c r="G142" s="100" t="s">
        <v>55</v>
      </c>
      <c r="H142" s="100"/>
    </row>
    <row r="143" spans="1:11" s="32" customFormat="1" x14ac:dyDescent="0.35">
      <c r="A143" s="85" t="s">
        <v>246</v>
      </c>
      <c r="B143" s="85"/>
      <c r="C143" s="115">
        <f>COUNT(D156:D157)</f>
        <v>2</v>
      </c>
      <c r="D143" s="86"/>
      <c r="E143" s="87">
        <f>SUM(D156:D157)</f>
        <v>495.68219999999997</v>
      </c>
      <c r="F143" s="111"/>
      <c r="G143" s="87">
        <f>SUM(F156:F157)</f>
        <v>793.09151999999995</v>
      </c>
      <c r="H143" s="111"/>
    </row>
    <row r="144" spans="1:11" s="32" customFormat="1" x14ac:dyDescent="0.35">
      <c r="A144" s="124" t="s">
        <v>71</v>
      </c>
      <c r="B144" s="124"/>
      <c r="C144" s="124"/>
      <c r="D144" s="124"/>
      <c r="E144" s="124"/>
      <c r="F144" s="124"/>
      <c r="G144" s="124"/>
      <c r="H144" s="124"/>
      <c r="I144" s="32" t="s">
        <v>251</v>
      </c>
    </row>
    <row r="145" spans="1:14" s="32" customFormat="1" ht="15.75" customHeight="1" x14ac:dyDescent="0.35">
      <c r="A145" s="100" t="s">
        <v>53</v>
      </c>
      <c r="B145" s="100"/>
      <c r="C145" s="114" t="s">
        <v>80</v>
      </c>
      <c r="D145" s="114"/>
      <c r="E145" s="123" t="s">
        <v>54</v>
      </c>
      <c r="F145" s="123"/>
      <c r="G145" s="100" t="s">
        <v>55</v>
      </c>
      <c r="H145" s="100"/>
    </row>
    <row r="146" spans="1:14" s="32" customFormat="1" x14ac:dyDescent="0.35">
      <c r="A146" s="85" t="s">
        <v>246</v>
      </c>
      <c r="B146" s="85"/>
      <c r="C146" s="86">
        <f>COUNT(D163:D176)+COUNT(D178:D191)*10+COUNT(D208:D221)</f>
        <v>168</v>
      </c>
      <c r="D146" s="86"/>
      <c r="E146" s="87">
        <f>SUM(D163:D176)+SUM(D178:D191)*10+SUM(D208:D221)</f>
        <v>74472.240959999996</v>
      </c>
      <c r="F146" s="87"/>
      <c r="G146" s="87">
        <f>SUM(F163:F176)+SUM(F178:F191)*10+SUM(F208:F221)</f>
        <v>112002.49028999999</v>
      </c>
      <c r="H146" s="87"/>
    </row>
    <row r="147" spans="1:14" s="32" customFormat="1" x14ac:dyDescent="0.35">
      <c r="A147" s="85" t="s">
        <v>247</v>
      </c>
      <c r="B147" s="85"/>
      <c r="C147" s="86">
        <f>COUNT(D225:D236)*11+COUNT(D238:D239,D241:D249)*2+COUNT(D251:D260)</f>
        <v>164</v>
      </c>
      <c r="D147" s="86"/>
      <c r="E147" s="87">
        <f>SUM(D225:D236)*11+SUM(D238:D239,D241:D249)*2+SUM(D251:D260)</f>
        <v>80014.947479999988</v>
      </c>
      <c r="F147" s="87"/>
      <c r="G147" s="87">
        <f>SUM(F225:F236)*11+SUM(F238:F239,F241:F249)*2+SUM(F251:F260)</f>
        <v>120022.42122</v>
      </c>
      <c r="H147" s="87"/>
    </row>
    <row r="148" spans="1:14" s="32" customFormat="1" x14ac:dyDescent="0.35">
      <c r="A148" s="85" t="s">
        <v>248</v>
      </c>
      <c r="B148" s="85"/>
      <c r="C148" s="86">
        <f>COUNT(D264:D270)*7</f>
        <v>49</v>
      </c>
      <c r="D148" s="86"/>
      <c r="E148" s="87">
        <f>SUM(D264:D270)*7</f>
        <v>25685.94483</v>
      </c>
      <c r="F148" s="87"/>
      <c r="G148" s="87">
        <f>SUM(F264:F270)*7</f>
        <v>38528.917244999997</v>
      </c>
      <c r="H148" s="87"/>
      <c r="K148" s="32">
        <f>24+94+2+48+1+1</f>
        <v>170</v>
      </c>
    </row>
    <row r="149" spans="1:14" s="32" customFormat="1" x14ac:dyDescent="0.35">
      <c r="A149" s="124" t="s">
        <v>154</v>
      </c>
      <c r="B149" s="124"/>
      <c r="C149" s="114">
        <f>SUM(C146:D148)</f>
        <v>381</v>
      </c>
      <c r="D149" s="114"/>
      <c r="E149" s="125">
        <f>SUM(E146:F148)</f>
        <v>180173.13326999999</v>
      </c>
      <c r="F149" s="123"/>
      <c r="G149" s="100">
        <f>SUM(G146:H148)</f>
        <v>270553.82875500002</v>
      </c>
      <c r="H149" s="100"/>
      <c r="K149" s="32">
        <f>42+14+14+24+28+14+26+2</f>
        <v>164</v>
      </c>
    </row>
    <row r="150" spans="1:14" s="31" customFormat="1" x14ac:dyDescent="0.35">
      <c r="A150" s="71" t="s">
        <v>56</v>
      </c>
      <c r="B150" s="71"/>
      <c r="C150" s="71"/>
      <c r="D150" s="71"/>
      <c r="E150" s="71"/>
      <c r="F150" s="71"/>
      <c r="G150" s="71"/>
      <c r="H150" s="71"/>
      <c r="K150" s="56">
        <f>7+7+7+28</f>
        <v>49</v>
      </c>
    </row>
    <row r="151" spans="1:14" x14ac:dyDescent="0.35">
      <c r="A151" s="71" t="s">
        <v>57</v>
      </c>
      <c r="B151" s="71"/>
      <c r="C151" s="71"/>
      <c r="D151" s="71"/>
      <c r="E151" s="71"/>
      <c r="F151" s="71"/>
      <c r="G151" s="71"/>
      <c r="H151" s="71"/>
    </row>
    <row r="152" spans="1:14" ht="47.25" customHeight="1" x14ac:dyDescent="0.35">
      <c r="A152" s="101" t="s">
        <v>121</v>
      </c>
      <c r="B152" s="101" t="s">
        <v>120</v>
      </c>
      <c r="C152" s="101" t="s">
        <v>58</v>
      </c>
      <c r="D152" s="101" t="s">
        <v>59</v>
      </c>
      <c r="E152" s="103" t="s">
        <v>160</v>
      </c>
      <c r="F152" s="39" t="s">
        <v>153</v>
      </c>
      <c r="G152" s="105" t="s">
        <v>61</v>
      </c>
      <c r="H152" s="106"/>
    </row>
    <row r="153" spans="1:14" s="42" customFormat="1" x14ac:dyDescent="0.35">
      <c r="A153" s="102"/>
      <c r="B153" s="102"/>
      <c r="C153" s="102"/>
      <c r="D153" s="102"/>
      <c r="E153" s="104"/>
      <c r="F153" s="13">
        <v>0.6</v>
      </c>
      <c r="G153" s="107"/>
      <c r="H153" s="108"/>
    </row>
    <row r="154" spans="1:14" s="31" customFormat="1" x14ac:dyDescent="0.35">
      <c r="A154" s="71" t="s">
        <v>200</v>
      </c>
      <c r="B154" s="71"/>
      <c r="C154" s="71"/>
      <c r="D154" s="71"/>
      <c r="E154" s="71"/>
      <c r="F154" s="71"/>
      <c r="G154" s="71"/>
      <c r="H154" s="71"/>
    </row>
    <row r="155" spans="1:14" s="42" customFormat="1" x14ac:dyDescent="0.35">
      <c r="A155" s="76" t="s">
        <v>198</v>
      </c>
      <c r="B155" s="77"/>
      <c r="C155" s="77"/>
      <c r="D155" s="77"/>
      <c r="E155" s="77"/>
      <c r="F155" s="77"/>
      <c r="G155" s="77"/>
      <c r="H155" s="78"/>
      <c r="J155" s="33"/>
    </row>
    <row r="156" spans="1:14" s="42" customFormat="1" x14ac:dyDescent="0.35">
      <c r="A156" s="72">
        <v>1</v>
      </c>
      <c r="B156" s="73"/>
      <c r="C156" s="38" t="s">
        <v>199</v>
      </c>
      <c r="D156" s="38">
        <f>23.21*10.764</f>
        <v>249.83243999999999</v>
      </c>
      <c r="E156" s="38">
        <v>0</v>
      </c>
      <c r="F156" s="38">
        <f>(D156+E156)*(($F$153)+1)</f>
        <v>399.73190399999999</v>
      </c>
      <c r="G156" s="72" t="str">
        <f>A155</f>
        <v>Ground Floor for Commercial</v>
      </c>
      <c r="H156" s="73"/>
      <c r="I156" s="33">
        <f>3.15*7.25</f>
        <v>22.837499999999999</v>
      </c>
      <c r="L156" s="74"/>
      <c r="M156" s="74"/>
      <c r="N156" s="33"/>
    </row>
    <row r="157" spans="1:14" s="42" customFormat="1" x14ac:dyDescent="0.35">
      <c r="A157" s="72">
        <f t="shared" ref="A157" si="0">A156+1</f>
        <v>2</v>
      </c>
      <c r="B157" s="73"/>
      <c r="C157" s="38" t="s">
        <v>199</v>
      </c>
      <c r="D157" s="38">
        <f>22.84*10.764</f>
        <v>245.84975999999997</v>
      </c>
      <c r="E157" s="38">
        <v>0</v>
      </c>
      <c r="F157" s="38">
        <f t="shared" ref="F157" si="1">(D157+E157)*(($F$153)+1)</f>
        <v>393.35961599999996</v>
      </c>
      <c r="G157" s="72" t="str">
        <f t="shared" ref="G157" si="2">G156</f>
        <v>Ground Floor for Commercial</v>
      </c>
      <c r="H157" s="73"/>
      <c r="I157" s="33"/>
      <c r="L157" s="74"/>
      <c r="M157" s="74"/>
      <c r="N157" s="33"/>
    </row>
    <row r="158" spans="1:14" s="42" customFormat="1" x14ac:dyDescent="0.35">
      <c r="A158" s="72"/>
      <c r="B158" s="88"/>
      <c r="C158" s="88"/>
      <c r="D158" s="88"/>
      <c r="E158" s="88"/>
      <c r="F158" s="88"/>
      <c r="G158" s="88"/>
      <c r="H158" s="73"/>
      <c r="I158" s="33"/>
      <c r="N158" s="33"/>
    </row>
    <row r="159" spans="1:14" ht="47.25" customHeight="1" x14ac:dyDescent="0.35">
      <c r="A159" s="105" t="s">
        <v>122</v>
      </c>
      <c r="B159" s="105" t="s">
        <v>123</v>
      </c>
      <c r="C159" s="101" t="s">
        <v>58</v>
      </c>
      <c r="D159" s="101" t="s">
        <v>59</v>
      </c>
      <c r="E159" s="103" t="s">
        <v>60</v>
      </c>
      <c r="F159" s="39" t="s">
        <v>153</v>
      </c>
      <c r="G159" s="105" t="s">
        <v>61</v>
      </c>
      <c r="H159" s="106"/>
      <c r="I159" s="33"/>
    </row>
    <row r="160" spans="1:14" s="42" customFormat="1" x14ac:dyDescent="0.35">
      <c r="A160" s="107"/>
      <c r="B160" s="107"/>
      <c r="C160" s="102"/>
      <c r="D160" s="102"/>
      <c r="E160" s="104"/>
      <c r="F160" s="13">
        <v>0.5</v>
      </c>
      <c r="G160" s="107"/>
      <c r="H160" s="108"/>
      <c r="I160" s="33"/>
    </row>
    <row r="161" spans="1:15" s="31" customFormat="1" x14ac:dyDescent="0.35">
      <c r="A161" s="71" t="s">
        <v>200</v>
      </c>
      <c r="B161" s="71"/>
      <c r="C161" s="71"/>
      <c r="D161" s="71"/>
      <c r="E161" s="71"/>
      <c r="F161" s="71"/>
      <c r="G161" s="71"/>
      <c r="H161" s="71"/>
    </row>
    <row r="162" spans="1:15" s="42" customFormat="1" x14ac:dyDescent="0.35">
      <c r="A162" s="76" t="s">
        <v>219</v>
      </c>
      <c r="B162" s="77"/>
      <c r="C162" s="77"/>
      <c r="D162" s="77"/>
      <c r="E162" s="77"/>
      <c r="F162" s="77"/>
      <c r="G162" s="77"/>
      <c r="H162" s="78"/>
      <c r="J162" s="54">
        <v>10.763999999999999</v>
      </c>
    </row>
    <row r="163" spans="1:15" s="42" customFormat="1" x14ac:dyDescent="0.35">
      <c r="A163" s="72">
        <v>101</v>
      </c>
      <c r="B163" s="73"/>
      <c r="C163" s="38" t="s">
        <v>203</v>
      </c>
      <c r="D163" s="54">
        <f>(29.45+5.5+0.75*2.13)*10.764</f>
        <v>393.39729</v>
      </c>
      <c r="E163" s="42">
        <v>0</v>
      </c>
      <c r="F163" s="38">
        <f>D163*(($F$160)+1)+(IF(E166&lt;101,E166,IF(E166&lt;201,E166/2,IF(E166&lt;=301,E166/3,E166/4))))</f>
        <v>672.97873500000003</v>
      </c>
      <c r="G163" s="72" t="str">
        <f>A162</f>
        <v>1st Floor for Residential</v>
      </c>
      <c r="H163" s="73"/>
      <c r="I163" s="33"/>
      <c r="J163" s="74"/>
      <c r="K163" s="74"/>
      <c r="L163" s="74"/>
      <c r="M163" s="74"/>
    </row>
    <row r="164" spans="1:15" s="42" customFormat="1" x14ac:dyDescent="0.35">
      <c r="A164" s="72">
        <v>102</v>
      </c>
      <c r="B164" s="73"/>
      <c r="C164" s="38" t="s">
        <v>203</v>
      </c>
      <c r="D164" s="54">
        <f>(29.45+5.5+0.75*2.13)*10.764</f>
        <v>393.39729</v>
      </c>
      <c r="E164" s="38">
        <v>0</v>
      </c>
      <c r="F164" s="38">
        <f t="shared" ref="F164:F176" si="3">D164*(($F$160)+1)+(IF(E164&lt;101,E164,IF(E164&lt;201,E164/2,IF(E164&lt;=301,E164/3,E164/4))))</f>
        <v>590.09593500000005</v>
      </c>
      <c r="G164" s="72" t="str">
        <f t="shared" ref="G164:G176" si="4">G163</f>
        <v>1st Floor for Residential</v>
      </c>
      <c r="H164" s="73"/>
      <c r="I164" s="33"/>
      <c r="J164" s="74"/>
      <c r="K164" s="74"/>
      <c r="L164" s="74"/>
      <c r="M164" s="74"/>
    </row>
    <row r="165" spans="1:15" s="42" customFormat="1" x14ac:dyDescent="0.35">
      <c r="A165" s="72">
        <v>103</v>
      </c>
      <c r="B165" s="73"/>
      <c r="C165" s="38" t="s">
        <v>203</v>
      </c>
      <c r="D165" s="54">
        <f>(29.36+5.78+0.75*2.13)*10.764</f>
        <v>395.44244999999995</v>
      </c>
      <c r="E165" s="38">
        <v>0</v>
      </c>
      <c r="F165" s="38">
        <f t="shared" si="3"/>
        <v>593.1636749999999</v>
      </c>
      <c r="G165" s="72" t="str">
        <f t="shared" si="4"/>
        <v>1st Floor for Residential</v>
      </c>
      <c r="H165" s="73"/>
      <c r="I165" s="33"/>
      <c r="J165" s="74"/>
      <c r="K165" s="74"/>
      <c r="L165" s="74"/>
      <c r="M165" s="74"/>
    </row>
    <row r="166" spans="1:15" s="42" customFormat="1" x14ac:dyDescent="0.35">
      <c r="A166" s="72">
        <v>104</v>
      </c>
      <c r="B166" s="73"/>
      <c r="C166" s="38" t="s">
        <v>204</v>
      </c>
      <c r="D166" s="54">
        <f>(44.77+3.06+0.75*(2.4+2.14+2.5))*10.764</f>
        <v>571.67604000000006</v>
      </c>
      <c r="E166" s="54">
        <f>(3.5*2.2)*10.764</f>
        <v>82.882800000000003</v>
      </c>
      <c r="F166" s="38">
        <f t="shared" si="3"/>
        <v>940.39686000000006</v>
      </c>
      <c r="G166" s="72" t="str">
        <f t="shared" si="4"/>
        <v>1st Floor for Residential</v>
      </c>
      <c r="H166" s="73"/>
      <c r="I166" s="33"/>
      <c r="J166" s="74"/>
      <c r="K166" s="74"/>
      <c r="L166" s="74"/>
      <c r="M166" s="74"/>
    </row>
    <row r="167" spans="1:15" s="42" customFormat="1" x14ac:dyDescent="0.35">
      <c r="A167" s="72">
        <v>105</v>
      </c>
      <c r="B167" s="73"/>
      <c r="C167" s="38" t="s">
        <v>204</v>
      </c>
      <c r="D167" s="54">
        <f>(44.77+3.06+0.75*(2.4+2.14+2.5))*10.764</f>
        <v>571.67604000000006</v>
      </c>
      <c r="E167" s="38">
        <v>0</v>
      </c>
      <c r="F167" s="38">
        <f t="shared" si="3"/>
        <v>857.51406000000009</v>
      </c>
      <c r="G167" s="72" t="str">
        <f t="shared" si="4"/>
        <v>1st Floor for Residential</v>
      </c>
      <c r="H167" s="73"/>
      <c r="I167" s="33"/>
      <c r="J167" s="74"/>
      <c r="K167" s="74"/>
      <c r="L167" s="74"/>
      <c r="M167" s="74"/>
    </row>
    <row r="168" spans="1:15" s="42" customFormat="1" x14ac:dyDescent="0.35">
      <c r="A168" s="72">
        <v>106</v>
      </c>
      <c r="B168" s="73"/>
      <c r="C168" s="38" t="s">
        <v>203</v>
      </c>
      <c r="D168" s="54">
        <f>(29.36+5.93+0.75*2.13)*10.764</f>
        <v>397.05704999999995</v>
      </c>
      <c r="E168" s="38">
        <v>0</v>
      </c>
      <c r="F168" s="38">
        <f t="shared" si="3"/>
        <v>595.58557499999995</v>
      </c>
      <c r="G168" s="72" t="str">
        <f t="shared" si="4"/>
        <v>1st Floor for Residential</v>
      </c>
      <c r="H168" s="73"/>
      <c r="I168" s="33"/>
      <c r="L168" s="74"/>
      <c r="M168" s="74"/>
      <c r="N168" s="74"/>
      <c r="O168" s="74"/>
    </row>
    <row r="169" spans="1:15" s="42" customFormat="1" x14ac:dyDescent="0.35">
      <c r="A169" s="72">
        <v>107</v>
      </c>
      <c r="B169" s="73"/>
      <c r="C169" s="38" t="s">
        <v>203</v>
      </c>
      <c r="D169" s="54">
        <f>(29.45+5.65+0.75*2.13)*10.764</f>
        <v>395.01188999999994</v>
      </c>
      <c r="E169" s="38">
        <v>0</v>
      </c>
      <c r="F169" s="38">
        <f t="shared" si="3"/>
        <v>592.51783499999988</v>
      </c>
      <c r="G169" s="72" t="str">
        <f t="shared" si="4"/>
        <v>1st Floor for Residential</v>
      </c>
      <c r="H169" s="73"/>
      <c r="I169" s="33"/>
      <c r="L169" s="74"/>
      <c r="M169" s="74"/>
      <c r="N169" s="74"/>
      <c r="O169" s="74"/>
    </row>
    <row r="170" spans="1:15" s="42" customFormat="1" x14ac:dyDescent="0.35">
      <c r="A170" s="72">
        <v>108</v>
      </c>
      <c r="B170" s="73"/>
      <c r="C170" s="38" t="s">
        <v>203</v>
      </c>
      <c r="D170" s="54">
        <f>(29.45+5.65+0.75*2.13)*10.764</f>
        <v>395.01188999999994</v>
      </c>
      <c r="E170" s="38">
        <v>0</v>
      </c>
      <c r="F170" s="38">
        <f t="shared" si="3"/>
        <v>592.51783499999988</v>
      </c>
      <c r="G170" s="72" t="str">
        <f t="shared" si="4"/>
        <v>1st Floor for Residential</v>
      </c>
      <c r="H170" s="73"/>
      <c r="I170" s="33"/>
      <c r="L170" s="74"/>
      <c r="M170" s="74"/>
      <c r="N170" s="74"/>
      <c r="O170" s="74"/>
    </row>
    <row r="171" spans="1:15" s="42" customFormat="1" x14ac:dyDescent="0.35">
      <c r="A171" s="72">
        <v>109</v>
      </c>
      <c r="B171" s="73"/>
      <c r="C171" s="38" t="s">
        <v>203</v>
      </c>
      <c r="D171" s="54">
        <f>(29.45+5.65+0.75*2.13)*10.764</f>
        <v>395.01188999999994</v>
      </c>
      <c r="E171" s="38">
        <v>0</v>
      </c>
      <c r="F171" s="38">
        <f t="shared" si="3"/>
        <v>592.51783499999988</v>
      </c>
      <c r="G171" s="72" t="str">
        <f t="shared" si="4"/>
        <v>1st Floor for Residential</v>
      </c>
      <c r="H171" s="73"/>
      <c r="I171" s="33"/>
      <c r="L171" s="74"/>
      <c r="M171" s="74"/>
      <c r="N171" s="74"/>
      <c r="O171" s="74"/>
    </row>
    <row r="172" spans="1:15" s="42" customFormat="1" x14ac:dyDescent="0.35">
      <c r="A172" s="72">
        <v>110</v>
      </c>
      <c r="B172" s="73"/>
      <c r="C172" s="38" t="s">
        <v>203</v>
      </c>
      <c r="D172" s="54">
        <f>(29.45+5.5+0.75*2.13)*10.764</f>
        <v>393.39729</v>
      </c>
      <c r="E172" s="38">
        <v>0</v>
      </c>
      <c r="F172" s="38">
        <f t="shared" si="3"/>
        <v>590.09593500000005</v>
      </c>
      <c r="G172" s="72" t="str">
        <f t="shared" si="4"/>
        <v>1st Floor for Residential</v>
      </c>
      <c r="H172" s="73"/>
      <c r="I172" s="33"/>
      <c r="L172" s="74"/>
      <c r="M172" s="74"/>
      <c r="N172" s="74"/>
      <c r="O172" s="74"/>
    </row>
    <row r="173" spans="1:15" s="42" customFormat="1" x14ac:dyDescent="0.35">
      <c r="A173" s="72">
        <v>111</v>
      </c>
      <c r="B173" s="73"/>
      <c r="C173" s="38" t="s">
        <v>204</v>
      </c>
      <c r="D173" s="54">
        <f>(44.77+3.06+0.75*(2.4+2.14+2.5))*10.764</f>
        <v>571.67604000000006</v>
      </c>
      <c r="E173" s="38">
        <v>0</v>
      </c>
      <c r="F173" s="38">
        <f t="shared" si="3"/>
        <v>857.51406000000009</v>
      </c>
      <c r="G173" s="72" t="str">
        <f t="shared" si="4"/>
        <v>1st Floor for Residential</v>
      </c>
      <c r="H173" s="73"/>
      <c r="I173" s="33"/>
      <c r="L173" s="74"/>
      <c r="M173" s="74"/>
      <c r="N173" s="74"/>
      <c r="O173" s="74"/>
    </row>
    <row r="174" spans="1:15" s="42" customFormat="1" x14ac:dyDescent="0.35">
      <c r="A174" s="72">
        <v>112</v>
      </c>
      <c r="B174" s="73"/>
      <c r="C174" s="38" t="s">
        <v>204</v>
      </c>
      <c r="D174" s="54">
        <f>(44.77+3.06+0.75*(2.4+2.14+2.5))*10.764</f>
        <v>571.67604000000006</v>
      </c>
      <c r="E174" s="38">
        <v>0</v>
      </c>
      <c r="F174" s="38">
        <f t="shared" si="3"/>
        <v>857.51406000000009</v>
      </c>
      <c r="G174" s="72" t="str">
        <f t="shared" si="4"/>
        <v>1st Floor for Residential</v>
      </c>
      <c r="H174" s="73"/>
      <c r="I174" s="33"/>
      <c r="L174" s="74"/>
      <c r="M174" s="74"/>
      <c r="N174" s="74"/>
      <c r="O174" s="74"/>
    </row>
    <row r="175" spans="1:15" s="42" customFormat="1" x14ac:dyDescent="0.35">
      <c r="A175" s="72">
        <v>113</v>
      </c>
      <c r="B175" s="73"/>
      <c r="C175" s="38" t="s">
        <v>203</v>
      </c>
      <c r="D175" s="54">
        <f>(29.45+5.5+0.75*2.13)*10.764</f>
        <v>393.39729</v>
      </c>
      <c r="E175" s="38">
        <v>0</v>
      </c>
      <c r="F175" s="38">
        <f t="shared" si="3"/>
        <v>590.09593500000005</v>
      </c>
      <c r="G175" s="72" t="str">
        <f t="shared" si="4"/>
        <v>1st Floor for Residential</v>
      </c>
      <c r="H175" s="73"/>
      <c r="I175" s="33"/>
      <c r="L175" s="74"/>
      <c r="M175" s="74"/>
      <c r="N175" s="74"/>
      <c r="O175" s="74"/>
    </row>
    <row r="176" spans="1:15" s="42" customFormat="1" x14ac:dyDescent="0.35">
      <c r="A176" s="72">
        <v>114</v>
      </c>
      <c r="B176" s="73"/>
      <c r="C176" s="38" t="s">
        <v>203</v>
      </c>
      <c r="D176" s="54">
        <f>(29.45+5.5+0.75*2.13)*10.764</f>
        <v>393.39729</v>
      </c>
      <c r="E176" s="38">
        <v>0</v>
      </c>
      <c r="F176" s="38">
        <f t="shared" si="3"/>
        <v>590.09593500000005</v>
      </c>
      <c r="G176" s="72" t="str">
        <f t="shared" si="4"/>
        <v>1st Floor for Residential</v>
      </c>
      <c r="H176" s="73"/>
      <c r="I176" s="33"/>
      <c r="L176" s="74"/>
      <c r="M176" s="74"/>
      <c r="N176" s="74"/>
      <c r="O176" s="74"/>
    </row>
    <row r="177" spans="1:15" s="42" customFormat="1" x14ac:dyDescent="0.35">
      <c r="A177" s="84" t="s">
        <v>272</v>
      </c>
      <c r="B177" s="84"/>
      <c r="C177" s="84"/>
      <c r="D177" s="84"/>
      <c r="E177" s="84"/>
      <c r="F177" s="84"/>
      <c r="G177" s="84"/>
      <c r="H177" s="84"/>
      <c r="J177" s="33"/>
    </row>
    <row r="178" spans="1:15" s="42" customFormat="1" x14ac:dyDescent="0.35">
      <c r="A178" s="82" t="s">
        <v>205</v>
      </c>
      <c r="B178" s="82"/>
      <c r="C178" s="38" t="s">
        <v>203</v>
      </c>
      <c r="D178" s="54">
        <f>(29.45+5.5+0.75*2.13)*10.764</f>
        <v>393.39729</v>
      </c>
      <c r="E178" s="38">
        <v>0</v>
      </c>
      <c r="F178" s="38">
        <f t="shared" ref="F178:F191" si="5">D178*(($F$160)+1)+(IF(E178&lt;101,E178,IF(E178&lt;201,E178/2,IF(E178&lt;=301,E178/3,E178/4))))</f>
        <v>590.09593500000005</v>
      </c>
      <c r="G178" s="82" t="str">
        <f>A177</f>
        <v>2nd Floor</v>
      </c>
      <c r="H178" s="82"/>
      <c r="I178" s="33"/>
      <c r="J178" s="74"/>
      <c r="K178" s="74"/>
      <c r="L178" s="74"/>
      <c r="M178" s="74"/>
    </row>
    <row r="179" spans="1:15" s="42" customFormat="1" x14ac:dyDescent="0.35">
      <c r="A179" s="82" t="s">
        <v>206</v>
      </c>
      <c r="B179" s="82"/>
      <c r="C179" s="38" t="s">
        <v>203</v>
      </c>
      <c r="D179" s="54">
        <f>(29.45+5.5+0.75*2.13)*10.764</f>
        <v>393.39729</v>
      </c>
      <c r="E179" s="38">
        <v>0</v>
      </c>
      <c r="F179" s="38">
        <f t="shared" si="5"/>
        <v>590.09593500000005</v>
      </c>
      <c r="G179" s="82" t="str">
        <f t="shared" ref="G179:G191" si="6">G178</f>
        <v>2nd Floor</v>
      </c>
      <c r="H179" s="82"/>
      <c r="I179" s="33"/>
      <c r="J179" s="74"/>
      <c r="K179" s="74"/>
      <c r="L179" s="74"/>
      <c r="M179" s="74"/>
    </row>
    <row r="180" spans="1:15" s="42" customFormat="1" x14ac:dyDescent="0.35">
      <c r="A180" s="82" t="s">
        <v>207</v>
      </c>
      <c r="B180" s="82"/>
      <c r="C180" s="38" t="s">
        <v>203</v>
      </c>
      <c r="D180" s="54">
        <f>(29.36+5.78+0.75*2.13)*10.764</f>
        <v>395.44244999999995</v>
      </c>
      <c r="E180" s="38">
        <v>0</v>
      </c>
      <c r="F180" s="62">
        <v>606</v>
      </c>
      <c r="G180" s="82" t="str">
        <f t="shared" si="6"/>
        <v>2nd Floor</v>
      </c>
      <c r="H180" s="82"/>
      <c r="I180" s="33">
        <f>F180*4900</f>
        <v>2969400</v>
      </c>
      <c r="J180" s="75">
        <f>5000*593</f>
        <v>2965000</v>
      </c>
      <c r="K180" s="75"/>
      <c r="L180" s="74"/>
      <c r="M180" s="74"/>
    </row>
    <row r="181" spans="1:15" s="42" customFormat="1" x14ac:dyDescent="0.35">
      <c r="A181" s="82" t="s">
        <v>208</v>
      </c>
      <c r="B181" s="82"/>
      <c r="C181" s="38" t="s">
        <v>204</v>
      </c>
      <c r="D181" s="54">
        <f>(44.77+3.06+0.75*(2.4+2.14+2.5))*10.764</f>
        <v>571.67604000000006</v>
      </c>
      <c r="E181" s="38">
        <v>0</v>
      </c>
      <c r="F181" s="38">
        <f t="shared" si="5"/>
        <v>857.51406000000009</v>
      </c>
      <c r="G181" s="82" t="str">
        <f t="shared" si="6"/>
        <v>2nd Floor</v>
      </c>
      <c r="H181" s="82"/>
      <c r="I181" s="33"/>
      <c r="J181" s="74"/>
      <c r="K181" s="74"/>
      <c r="L181" s="74"/>
      <c r="M181" s="74"/>
    </row>
    <row r="182" spans="1:15" s="42" customFormat="1" x14ac:dyDescent="0.35">
      <c r="A182" s="82" t="s">
        <v>209</v>
      </c>
      <c r="B182" s="82"/>
      <c r="C182" s="38" t="s">
        <v>204</v>
      </c>
      <c r="D182" s="54">
        <f>(44.77+3.06+0.75*(2.4+2.14+2.5))*10.764</f>
        <v>571.67604000000006</v>
      </c>
      <c r="E182" s="38">
        <v>0</v>
      </c>
      <c r="F182" s="38">
        <f t="shared" si="5"/>
        <v>857.51406000000009</v>
      </c>
      <c r="G182" s="82" t="str">
        <f t="shared" si="6"/>
        <v>2nd Floor</v>
      </c>
      <c r="H182" s="82"/>
      <c r="I182" s="33"/>
      <c r="J182" s="74"/>
      <c r="K182" s="74"/>
      <c r="L182" s="74"/>
      <c r="M182" s="74"/>
    </row>
    <row r="183" spans="1:15" s="42" customFormat="1" x14ac:dyDescent="0.35">
      <c r="A183" s="82" t="s">
        <v>210</v>
      </c>
      <c r="B183" s="82"/>
      <c r="C183" s="38" t="s">
        <v>203</v>
      </c>
      <c r="D183" s="54">
        <f>(29.36+5.93+0.75*2.13)*10.764</f>
        <v>397.05704999999995</v>
      </c>
      <c r="E183" s="38">
        <v>0</v>
      </c>
      <c r="F183" s="38">
        <f t="shared" si="5"/>
        <v>595.58557499999995</v>
      </c>
      <c r="G183" s="82" t="str">
        <f t="shared" si="6"/>
        <v>2nd Floor</v>
      </c>
      <c r="H183" s="82"/>
      <c r="I183" s="33"/>
      <c r="L183" s="74"/>
      <c r="M183" s="74"/>
      <c r="N183" s="74"/>
      <c r="O183" s="74"/>
    </row>
    <row r="184" spans="1:15" s="42" customFormat="1" x14ac:dyDescent="0.35">
      <c r="A184" s="82" t="s">
        <v>211</v>
      </c>
      <c r="B184" s="82"/>
      <c r="C184" s="38" t="s">
        <v>203</v>
      </c>
      <c r="D184" s="54">
        <f>(29.45+5.65+0.75*2.13)*10.764</f>
        <v>395.01188999999994</v>
      </c>
      <c r="E184" s="38">
        <v>0</v>
      </c>
      <c r="F184" s="38">
        <f t="shared" si="5"/>
        <v>592.51783499999988</v>
      </c>
      <c r="G184" s="82" t="str">
        <f t="shared" si="6"/>
        <v>2nd Floor</v>
      </c>
      <c r="H184" s="82"/>
      <c r="I184" s="33"/>
      <c r="L184" s="74"/>
      <c r="M184" s="74"/>
      <c r="N184" s="74"/>
      <c r="O184" s="74"/>
    </row>
    <row r="185" spans="1:15" s="42" customFormat="1" x14ac:dyDescent="0.35">
      <c r="A185" s="82" t="s">
        <v>212</v>
      </c>
      <c r="B185" s="82"/>
      <c r="C185" s="38" t="s">
        <v>203</v>
      </c>
      <c r="D185" s="54">
        <f>(29.45+5.65+0.75*2.13)*10.764</f>
        <v>395.01188999999994</v>
      </c>
      <c r="E185" s="38">
        <v>0</v>
      </c>
      <c r="F185" s="38">
        <f t="shared" si="5"/>
        <v>592.51783499999988</v>
      </c>
      <c r="G185" s="82" t="str">
        <f t="shared" si="6"/>
        <v>2nd Floor</v>
      </c>
      <c r="H185" s="82"/>
      <c r="I185" s="33"/>
      <c r="L185" s="74"/>
      <c r="M185" s="74"/>
      <c r="N185" s="74"/>
      <c r="O185" s="74"/>
    </row>
    <row r="186" spans="1:15" s="42" customFormat="1" x14ac:dyDescent="0.35">
      <c r="A186" s="82" t="s">
        <v>213</v>
      </c>
      <c r="B186" s="82"/>
      <c r="C186" s="38" t="s">
        <v>203</v>
      </c>
      <c r="D186" s="54">
        <f>(29.45+5.65+0.75*2.13)*10.764</f>
        <v>395.01188999999994</v>
      </c>
      <c r="E186" s="38">
        <v>0</v>
      </c>
      <c r="F186" s="38">
        <f t="shared" si="5"/>
        <v>592.51783499999988</v>
      </c>
      <c r="G186" s="82" t="str">
        <f t="shared" si="6"/>
        <v>2nd Floor</v>
      </c>
      <c r="H186" s="82"/>
      <c r="I186" s="33"/>
      <c r="L186" s="74"/>
      <c r="M186" s="74"/>
      <c r="N186" s="74"/>
      <c r="O186" s="74"/>
    </row>
    <row r="187" spans="1:15" s="42" customFormat="1" x14ac:dyDescent="0.35">
      <c r="A187" s="82" t="s">
        <v>214</v>
      </c>
      <c r="B187" s="82"/>
      <c r="C187" s="38" t="s">
        <v>203</v>
      </c>
      <c r="D187" s="54">
        <f>(29.45+5.5+0.75*2.13)*10.764</f>
        <v>393.39729</v>
      </c>
      <c r="E187" s="38">
        <v>0</v>
      </c>
      <c r="F187" s="38">
        <f t="shared" si="5"/>
        <v>590.09593500000005</v>
      </c>
      <c r="G187" s="82" t="str">
        <f t="shared" si="6"/>
        <v>2nd Floor</v>
      </c>
      <c r="H187" s="82"/>
      <c r="I187" s="33"/>
      <c r="L187" s="74"/>
      <c r="M187" s="74"/>
      <c r="N187" s="74"/>
      <c r="O187" s="74"/>
    </row>
    <row r="188" spans="1:15" s="42" customFormat="1" x14ac:dyDescent="0.35">
      <c r="A188" s="72" t="s">
        <v>215</v>
      </c>
      <c r="B188" s="73"/>
      <c r="C188" s="38" t="s">
        <v>204</v>
      </c>
      <c r="D188" s="54">
        <f>(44.77+3.06+0.75*(2.4+2.14+2.5))*10.764</f>
        <v>571.67604000000006</v>
      </c>
      <c r="E188" s="38">
        <v>0</v>
      </c>
      <c r="F188" s="38">
        <f t="shared" si="5"/>
        <v>857.51406000000009</v>
      </c>
      <c r="G188" s="72" t="str">
        <f t="shared" si="6"/>
        <v>2nd Floor</v>
      </c>
      <c r="H188" s="73"/>
      <c r="I188" s="33"/>
      <c r="L188" s="74"/>
      <c r="M188" s="74"/>
      <c r="N188" s="74"/>
      <c r="O188" s="74"/>
    </row>
    <row r="189" spans="1:15" s="42" customFormat="1" x14ac:dyDescent="0.35">
      <c r="A189" s="72" t="s">
        <v>216</v>
      </c>
      <c r="B189" s="73"/>
      <c r="C189" s="38" t="s">
        <v>204</v>
      </c>
      <c r="D189" s="54">
        <f>(44.77+3.06+0.75*(2.4+2.14+2.5))*10.764</f>
        <v>571.67604000000006</v>
      </c>
      <c r="E189" s="38">
        <v>0</v>
      </c>
      <c r="F189" s="38">
        <f t="shared" si="5"/>
        <v>857.51406000000009</v>
      </c>
      <c r="G189" s="72" t="str">
        <f t="shared" si="6"/>
        <v>2nd Floor</v>
      </c>
      <c r="H189" s="73"/>
      <c r="I189" s="33"/>
      <c r="L189" s="74"/>
      <c r="M189" s="74"/>
      <c r="N189" s="74"/>
      <c r="O189" s="74"/>
    </row>
    <row r="190" spans="1:15" s="42" customFormat="1" x14ac:dyDescent="0.35">
      <c r="A190" s="72" t="s">
        <v>217</v>
      </c>
      <c r="B190" s="73"/>
      <c r="C190" s="38" t="s">
        <v>203</v>
      </c>
      <c r="D190" s="54">
        <f>(29.45+5.5+0.75*2.13)*10.764</f>
        <v>393.39729</v>
      </c>
      <c r="E190" s="38">
        <v>0</v>
      </c>
      <c r="F190" s="38">
        <f t="shared" si="5"/>
        <v>590.09593500000005</v>
      </c>
      <c r="G190" s="72" t="str">
        <f t="shared" si="6"/>
        <v>2nd Floor</v>
      </c>
      <c r="H190" s="73"/>
      <c r="I190" s="33"/>
      <c r="L190" s="74"/>
      <c r="M190" s="74"/>
      <c r="N190" s="74"/>
      <c r="O190" s="74"/>
    </row>
    <row r="191" spans="1:15" s="42" customFormat="1" x14ac:dyDescent="0.35">
      <c r="A191" s="72" t="s">
        <v>218</v>
      </c>
      <c r="B191" s="73"/>
      <c r="C191" s="38" t="s">
        <v>203</v>
      </c>
      <c r="D191" s="54">
        <f>(29.45+5.5+0.75*2.13)*10.764</f>
        <v>393.39729</v>
      </c>
      <c r="E191" s="38">
        <v>0</v>
      </c>
      <c r="F191" s="38">
        <f t="shared" si="5"/>
        <v>590.09593500000005</v>
      </c>
      <c r="G191" s="72" t="str">
        <f t="shared" si="6"/>
        <v>2nd Floor</v>
      </c>
      <c r="H191" s="73"/>
      <c r="I191" s="33"/>
      <c r="L191" s="74"/>
      <c r="M191" s="74"/>
      <c r="N191" s="74"/>
      <c r="O191" s="74"/>
    </row>
    <row r="192" spans="1:15" s="60" customFormat="1" x14ac:dyDescent="0.35">
      <c r="A192" s="76" t="s">
        <v>273</v>
      </c>
      <c r="B192" s="77"/>
      <c r="C192" s="77"/>
      <c r="D192" s="77"/>
      <c r="E192" s="77"/>
      <c r="F192" s="77"/>
      <c r="G192" s="77"/>
      <c r="H192" s="78"/>
      <c r="J192" s="33"/>
    </row>
    <row r="193" spans="1:15" s="60" customFormat="1" x14ac:dyDescent="0.35">
      <c r="A193" s="72" t="s">
        <v>205</v>
      </c>
      <c r="B193" s="73"/>
      <c r="C193" s="38" t="s">
        <v>203</v>
      </c>
      <c r="D193" s="54">
        <f>(29.45+5.5+0.75*2.13)*10.764</f>
        <v>393.39729</v>
      </c>
      <c r="E193" s="38">
        <v>0</v>
      </c>
      <c r="F193" s="38">
        <f t="shared" ref="F193:F195" si="7">D193*(($F$160)+1)+(IF(E193&lt;101,E193,IF(E193&lt;201,E193/2,IF(E193&lt;=301,E193/3,E193/4))))</f>
        <v>590.09593500000005</v>
      </c>
      <c r="G193" s="72" t="str">
        <f>A192</f>
        <v>3rd to 7th &amp; 9th to 12th Floor</v>
      </c>
      <c r="H193" s="73"/>
      <c r="I193" s="33"/>
      <c r="J193" s="74"/>
      <c r="K193" s="74"/>
      <c r="L193" s="74"/>
      <c r="M193" s="74"/>
    </row>
    <row r="194" spans="1:15" s="60" customFormat="1" x14ac:dyDescent="0.35">
      <c r="A194" s="72" t="s">
        <v>206</v>
      </c>
      <c r="B194" s="73"/>
      <c r="C194" s="38" t="s">
        <v>203</v>
      </c>
      <c r="D194" s="54">
        <f>(29.45+5.5+0.75*2.13)*10.764</f>
        <v>393.39729</v>
      </c>
      <c r="E194" s="38">
        <v>0</v>
      </c>
      <c r="F194" s="38">
        <f t="shared" si="7"/>
        <v>590.09593500000005</v>
      </c>
      <c r="G194" s="72" t="str">
        <f t="shared" ref="G194:G206" si="8">G193</f>
        <v>3rd to 7th &amp; 9th to 12th Floor</v>
      </c>
      <c r="H194" s="73"/>
      <c r="I194" s="33"/>
      <c r="J194" s="74"/>
      <c r="K194" s="74"/>
      <c r="L194" s="74"/>
      <c r="M194" s="74"/>
    </row>
    <row r="195" spans="1:15" s="60" customFormat="1" x14ac:dyDescent="0.35">
      <c r="A195" s="72" t="s">
        <v>207</v>
      </c>
      <c r="B195" s="73"/>
      <c r="C195" s="38" t="s">
        <v>203</v>
      </c>
      <c r="D195" s="54">
        <f>(29.36+5.78+0.75*2.13)*10.764</f>
        <v>395.44244999999995</v>
      </c>
      <c r="E195" s="38">
        <v>0</v>
      </c>
      <c r="F195" s="38">
        <f t="shared" si="7"/>
        <v>593.1636749999999</v>
      </c>
      <c r="G195" s="72" t="str">
        <f t="shared" si="8"/>
        <v>3rd to 7th &amp; 9th to 12th Floor</v>
      </c>
      <c r="H195" s="73"/>
      <c r="I195" s="33">
        <f>F195*4900</f>
        <v>2906502.0074999994</v>
      </c>
      <c r="J195" s="75">
        <f>5000*593</f>
        <v>2965000</v>
      </c>
      <c r="K195" s="75"/>
      <c r="L195" s="74"/>
      <c r="M195" s="74"/>
    </row>
    <row r="196" spans="1:15" s="60" customFormat="1" x14ac:dyDescent="0.35">
      <c r="A196" s="72" t="s">
        <v>208</v>
      </c>
      <c r="B196" s="73"/>
      <c r="C196" s="38" t="s">
        <v>204</v>
      </c>
      <c r="D196" s="54">
        <f>(44.77+3.06+0.75*(2.4+2.14+2.5))*10.764</f>
        <v>571.67604000000006</v>
      </c>
      <c r="E196" s="38">
        <v>0</v>
      </c>
      <c r="F196" s="38">
        <f t="shared" ref="F196:F206" si="9">D196*(($F$160)+1)+(IF(E196&lt;101,E196,IF(E196&lt;201,E196/2,IF(E196&lt;=301,E196/3,E196/4))))</f>
        <v>857.51406000000009</v>
      </c>
      <c r="G196" s="72" t="str">
        <f t="shared" si="8"/>
        <v>3rd to 7th &amp; 9th to 12th Floor</v>
      </c>
      <c r="H196" s="73"/>
      <c r="I196" s="33"/>
      <c r="J196" s="74"/>
      <c r="K196" s="74"/>
      <c r="L196" s="74"/>
      <c r="M196" s="74"/>
    </row>
    <row r="197" spans="1:15" s="60" customFormat="1" x14ac:dyDescent="0.35">
      <c r="A197" s="72" t="s">
        <v>209</v>
      </c>
      <c r="B197" s="73"/>
      <c r="C197" s="38" t="s">
        <v>204</v>
      </c>
      <c r="D197" s="54">
        <f>(44.77+3.06+0.75*(2.4+2.14+2.5))*10.764</f>
        <v>571.67604000000006</v>
      </c>
      <c r="E197" s="38">
        <v>0</v>
      </c>
      <c r="F197" s="38">
        <f t="shared" si="9"/>
        <v>857.51406000000009</v>
      </c>
      <c r="G197" s="72" t="str">
        <f t="shared" si="8"/>
        <v>3rd to 7th &amp; 9th to 12th Floor</v>
      </c>
      <c r="H197" s="73"/>
      <c r="I197" s="33"/>
      <c r="J197" s="74"/>
      <c r="K197" s="74"/>
      <c r="L197" s="74"/>
      <c r="M197" s="74"/>
    </row>
    <row r="198" spans="1:15" s="60" customFormat="1" x14ac:dyDescent="0.35">
      <c r="A198" s="72" t="s">
        <v>210</v>
      </c>
      <c r="B198" s="73"/>
      <c r="C198" s="38" t="s">
        <v>203</v>
      </c>
      <c r="D198" s="54">
        <f>(29.36+5.93+0.75*2.13)*10.764</f>
        <v>397.05704999999995</v>
      </c>
      <c r="E198" s="38">
        <v>0</v>
      </c>
      <c r="F198" s="38">
        <f t="shared" si="9"/>
        <v>595.58557499999995</v>
      </c>
      <c r="G198" s="72" t="str">
        <f t="shared" si="8"/>
        <v>3rd to 7th &amp; 9th to 12th Floor</v>
      </c>
      <c r="H198" s="73"/>
      <c r="I198" s="33"/>
      <c r="L198" s="74"/>
      <c r="M198" s="74"/>
      <c r="N198" s="74"/>
      <c r="O198" s="74"/>
    </row>
    <row r="199" spans="1:15" s="60" customFormat="1" x14ac:dyDescent="0.35">
      <c r="A199" s="72" t="s">
        <v>211</v>
      </c>
      <c r="B199" s="73"/>
      <c r="C199" s="38" t="s">
        <v>203</v>
      </c>
      <c r="D199" s="54">
        <f>(29.45+5.65+0.75*2.13)*10.764</f>
        <v>395.01188999999994</v>
      </c>
      <c r="E199" s="38">
        <v>0</v>
      </c>
      <c r="F199" s="38">
        <f t="shared" si="9"/>
        <v>592.51783499999988</v>
      </c>
      <c r="G199" s="72" t="str">
        <f t="shared" si="8"/>
        <v>3rd to 7th &amp; 9th to 12th Floor</v>
      </c>
      <c r="H199" s="73"/>
      <c r="I199" s="33"/>
      <c r="L199" s="74"/>
      <c r="M199" s="74"/>
      <c r="N199" s="74"/>
      <c r="O199" s="74"/>
    </row>
    <row r="200" spans="1:15" s="60" customFormat="1" x14ac:dyDescent="0.35">
      <c r="A200" s="72" t="s">
        <v>212</v>
      </c>
      <c r="B200" s="73"/>
      <c r="C200" s="38" t="s">
        <v>203</v>
      </c>
      <c r="D200" s="54">
        <f>(29.45+5.65+0.75*2.13)*10.764</f>
        <v>395.01188999999994</v>
      </c>
      <c r="E200" s="38">
        <v>0</v>
      </c>
      <c r="F200" s="38">
        <f t="shared" si="9"/>
        <v>592.51783499999988</v>
      </c>
      <c r="G200" s="72" t="str">
        <f t="shared" si="8"/>
        <v>3rd to 7th &amp; 9th to 12th Floor</v>
      </c>
      <c r="H200" s="73"/>
      <c r="I200" s="33"/>
      <c r="L200" s="74"/>
      <c r="M200" s="74"/>
      <c r="N200" s="74"/>
      <c r="O200" s="74"/>
    </row>
    <row r="201" spans="1:15" s="60" customFormat="1" x14ac:dyDescent="0.35">
      <c r="A201" s="72" t="s">
        <v>213</v>
      </c>
      <c r="B201" s="73"/>
      <c r="C201" s="38" t="s">
        <v>203</v>
      </c>
      <c r="D201" s="54">
        <f>(29.45+5.65+0.75*2.13)*10.764</f>
        <v>395.01188999999994</v>
      </c>
      <c r="E201" s="38">
        <v>0</v>
      </c>
      <c r="F201" s="38">
        <f t="shared" si="9"/>
        <v>592.51783499999988</v>
      </c>
      <c r="G201" s="72" t="str">
        <f t="shared" si="8"/>
        <v>3rd to 7th &amp; 9th to 12th Floor</v>
      </c>
      <c r="H201" s="73"/>
      <c r="I201" s="33"/>
      <c r="L201" s="74"/>
      <c r="M201" s="74"/>
      <c r="N201" s="74"/>
      <c r="O201" s="74"/>
    </row>
    <row r="202" spans="1:15" s="60" customFormat="1" x14ac:dyDescent="0.35">
      <c r="A202" s="72" t="s">
        <v>214</v>
      </c>
      <c r="B202" s="73"/>
      <c r="C202" s="38" t="s">
        <v>203</v>
      </c>
      <c r="D202" s="54">
        <f>(29.45+5.5+0.75*2.13)*10.764</f>
        <v>393.39729</v>
      </c>
      <c r="E202" s="38">
        <v>0</v>
      </c>
      <c r="F202" s="38">
        <f t="shared" si="9"/>
        <v>590.09593500000005</v>
      </c>
      <c r="G202" s="72" t="str">
        <f t="shared" si="8"/>
        <v>3rd to 7th &amp; 9th to 12th Floor</v>
      </c>
      <c r="H202" s="73"/>
      <c r="I202" s="33"/>
      <c r="L202" s="74"/>
      <c r="M202" s="74"/>
      <c r="N202" s="74"/>
      <c r="O202" s="74"/>
    </row>
    <row r="203" spans="1:15" s="60" customFormat="1" x14ac:dyDescent="0.35">
      <c r="A203" s="72" t="s">
        <v>215</v>
      </c>
      <c r="B203" s="73"/>
      <c r="C203" s="38" t="s">
        <v>204</v>
      </c>
      <c r="D203" s="54">
        <f>(44.77+3.06+0.75*(2.4+2.14+2.5))*10.764</f>
        <v>571.67604000000006</v>
      </c>
      <c r="E203" s="38">
        <v>0</v>
      </c>
      <c r="F203" s="38">
        <f t="shared" si="9"/>
        <v>857.51406000000009</v>
      </c>
      <c r="G203" s="72" t="str">
        <f t="shared" si="8"/>
        <v>3rd to 7th &amp; 9th to 12th Floor</v>
      </c>
      <c r="H203" s="73"/>
      <c r="I203" s="33"/>
      <c r="L203" s="74"/>
      <c r="M203" s="74"/>
      <c r="N203" s="74"/>
      <c r="O203" s="74"/>
    </row>
    <row r="204" spans="1:15" s="60" customFormat="1" x14ac:dyDescent="0.35">
      <c r="A204" s="72" t="s">
        <v>216</v>
      </c>
      <c r="B204" s="73"/>
      <c r="C204" s="38" t="s">
        <v>204</v>
      </c>
      <c r="D204" s="54">
        <f>(44.77+3.06+0.75*(2.4+2.14+2.5))*10.764</f>
        <v>571.67604000000006</v>
      </c>
      <c r="E204" s="38">
        <v>0</v>
      </c>
      <c r="F204" s="38">
        <f t="shared" si="9"/>
        <v>857.51406000000009</v>
      </c>
      <c r="G204" s="72" t="str">
        <f t="shared" si="8"/>
        <v>3rd to 7th &amp; 9th to 12th Floor</v>
      </c>
      <c r="H204" s="73"/>
      <c r="I204" s="33"/>
      <c r="L204" s="74"/>
      <c r="M204" s="74"/>
      <c r="N204" s="74"/>
      <c r="O204" s="74"/>
    </row>
    <row r="205" spans="1:15" s="60" customFormat="1" x14ac:dyDescent="0.35">
      <c r="A205" s="72" t="s">
        <v>217</v>
      </c>
      <c r="B205" s="73"/>
      <c r="C205" s="38" t="s">
        <v>203</v>
      </c>
      <c r="D205" s="54">
        <f>(29.45+5.5+0.75*2.13)*10.764</f>
        <v>393.39729</v>
      </c>
      <c r="E205" s="38">
        <v>0</v>
      </c>
      <c r="F205" s="38">
        <f t="shared" si="9"/>
        <v>590.09593500000005</v>
      </c>
      <c r="G205" s="72" t="str">
        <f t="shared" si="8"/>
        <v>3rd to 7th &amp; 9th to 12th Floor</v>
      </c>
      <c r="H205" s="73"/>
      <c r="I205" s="33"/>
      <c r="L205" s="74"/>
      <c r="M205" s="74"/>
      <c r="N205" s="74"/>
      <c r="O205" s="74"/>
    </row>
    <row r="206" spans="1:15" s="60" customFormat="1" x14ac:dyDescent="0.35">
      <c r="A206" s="72" t="s">
        <v>218</v>
      </c>
      <c r="B206" s="73"/>
      <c r="C206" s="38" t="s">
        <v>203</v>
      </c>
      <c r="D206" s="54">
        <f>(29.45+5.5+0.75*2.13)*10.764</f>
        <v>393.39729</v>
      </c>
      <c r="E206" s="38">
        <v>0</v>
      </c>
      <c r="F206" s="38">
        <f t="shared" si="9"/>
        <v>590.09593500000005</v>
      </c>
      <c r="G206" s="72" t="str">
        <f t="shared" si="8"/>
        <v>3rd to 7th &amp; 9th to 12th Floor</v>
      </c>
      <c r="H206" s="73"/>
      <c r="I206" s="33"/>
      <c r="L206" s="74"/>
      <c r="M206" s="74"/>
      <c r="N206" s="74"/>
      <c r="O206" s="74"/>
    </row>
    <row r="207" spans="1:15" s="42" customFormat="1" x14ac:dyDescent="0.35">
      <c r="A207" s="76" t="s">
        <v>220</v>
      </c>
      <c r="B207" s="77"/>
      <c r="C207" s="77"/>
      <c r="D207" s="77"/>
      <c r="E207" s="77"/>
      <c r="F207" s="77"/>
      <c r="G207" s="77"/>
      <c r="H207" s="78"/>
      <c r="J207" s="54">
        <v>10.763999999999999</v>
      </c>
    </row>
    <row r="208" spans="1:15" s="42" customFormat="1" x14ac:dyDescent="0.35">
      <c r="A208" s="72">
        <v>801</v>
      </c>
      <c r="B208" s="73"/>
      <c r="C208" s="38" t="s">
        <v>221</v>
      </c>
      <c r="D208" s="54">
        <f>(19.11+1.79+0.75*2.13)*10.764</f>
        <v>242.16308999999998</v>
      </c>
      <c r="E208" s="54">
        <v>0</v>
      </c>
      <c r="F208" s="38">
        <f t="shared" ref="F208:F221" si="10">D208*(($F$160)+1)+(IF(E208&lt;101,E208,IF(E208&lt;201,E208/2,IF(E208&lt;=301,E208/3,E208/4))))</f>
        <v>363.24463499999996</v>
      </c>
      <c r="G208" s="72" t="str">
        <f>A207</f>
        <v>8th Floor (Part Refuge Area)</v>
      </c>
      <c r="H208" s="73"/>
      <c r="I208" s="33"/>
      <c r="J208" s="74"/>
      <c r="K208" s="74"/>
      <c r="L208" s="74"/>
      <c r="M208" s="74"/>
    </row>
    <row r="209" spans="1:15" s="42" customFormat="1" x14ac:dyDescent="0.35">
      <c r="A209" s="72">
        <v>802</v>
      </c>
      <c r="B209" s="73"/>
      <c r="C209" s="38" t="s">
        <v>221</v>
      </c>
      <c r="D209" s="54">
        <f>(19.11+1.79+0.75*2.13)*10.764</f>
        <v>242.16308999999998</v>
      </c>
      <c r="E209" s="38">
        <v>0</v>
      </c>
      <c r="F209" s="38">
        <f t="shared" si="10"/>
        <v>363.24463499999996</v>
      </c>
      <c r="G209" s="72" t="str">
        <f t="shared" ref="G209:G221" si="11">G208</f>
        <v>8th Floor (Part Refuge Area)</v>
      </c>
      <c r="H209" s="73"/>
      <c r="I209" s="33"/>
      <c r="J209" s="74"/>
      <c r="K209" s="74"/>
      <c r="L209" s="74"/>
      <c r="M209" s="74"/>
    </row>
    <row r="210" spans="1:15" s="42" customFormat="1" x14ac:dyDescent="0.35">
      <c r="A210" s="72">
        <v>803</v>
      </c>
      <c r="B210" s="73"/>
      <c r="C210" s="38" t="s">
        <v>203</v>
      </c>
      <c r="D210" s="54">
        <f>(29.36+5.78+0.75*2.13)*10.764</f>
        <v>395.44244999999995</v>
      </c>
      <c r="E210" s="38">
        <v>0</v>
      </c>
      <c r="F210" s="38">
        <f t="shared" si="10"/>
        <v>593.1636749999999</v>
      </c>
      <c r="G210" s="72" t="str">
        <f t="shared" si="11"/>
        <v>8th Floor (Part Refuge Area)</v>
      </c>
      <c r="H210" s="73"/>
      <c r="I210" s="33"/>
      <c r="J210" s="74"/>
      <c r="K210" s="74"/>
      <c r="L210" s="74"/>
      <c r="M210" s="74"/>
    </row>
    <row r="211" spans="1:15" s="42" customFormat="1" x14ac:dyDescent="0.35">
      <c r="A211" s="72">
        <v>804</v>
      </c>
      <c r="B211" s="73"/>
      <c r="C211" s="38" t="s">
        <v>204</v>
      </c>
      <c r="D211" s="54">
        <f>(44.77+3.06+0.75*(2.4+2.14+2.5))*10.764</f>
        <v>571.67604000000006</v>
      </c>
      <c r="E211" s="38">
        <v>0</v>
      </c>
      <c r="F211" s="38">
        <f t="shared" si="10"/>
        <v>857.51406000000009</v>
      </c>
      <c r="G211" s="72" t="str">
        <f t="shared" si="11"/>
        <v>8th Floor (Part Refuge Area)</v>
      </c>
      <c r="H211" s="73"/>
      <c r="I211" s="33"/>
      <c r="J211" s="74"/>
      <c r="K211" s="74"/>
      <c r="L211" s="74"/>
      <c r="M211" s="74"/>
    </row>
    <row r="212" spans="1:15" s="42" customFormat="1" x14ac:dyDescent="0.35">
      <c r="A212" s="72">
        <v>805</v>
      </c>
      <c r="B212" s="73"/>
      <c r="C212" s="38" t="s">
        <v>204</v>
      </c>
      <c r="D212" s="54">
        <f>(44.77+3.06+0.75*(2.4+2.14+2.5))*10.764</f>
        <v>571.67604000000006</v>
      </c>
      <c r="E212" s="38">
        <v>0</v>
      </c>
      <c r="F212" s="38">
        <f t="shared" si="10"/>
        <v>857.51406000000009</v>
      </c>
      <c r="G212" s="72" t="str">
        <f t="shared" si="11"/>
        <v>8th Floor (Part Refuge Area)</v>
      </c>
      <c r="H212" s="73"/>
      <c r="I212" s="33"/>
      <c r="J212" s="74"/>
      <c r="K212" s="74"/>
      <c r="L212" s="74"/>
      <c r="M212" s="74"/>
    </row>
    <row r="213" spans="1:15" s="42" customFormat="1" x14ac:dyDescent="0.35">
      <c r="A213" s="72">
        <v>806</v>
      </c>
      <c r="B213" s="73"/>
      <c r="C213" s="38" t="s">
        <v>203</v>
      </c>
      <c r="D213" s="54">
        <f>(29.36+5.93+0.75*2.13)*10.764</f>
        <v>397.05704999999995</v>
      </c>
      <c r="E213" s="38">
        <v>0</v>
      </c>
      <c r="F213" s="38">
        <f t="shared" si="10"/>
        <v>595.58557499999995</v>
      </c>
      <c r="G213" s="72" t="str">
        <f t="shared" si="11"/>
        <v>8th Floor (Part Refuge Area)</v>
      </c>
      <c r="H213" s="73"/>
      <c r="I213" s="33"/>
      <c r="L213" s="74"/>
      <c r="M213" s="74"/>
      <c r="N213" s="74"/>
      <c r="O213" s="74"/>
    </row>
    <row r="214" spans="1:15" s="42" customFormat="1" x14ac:dyDescent="0.35">
      <c r="A214" s="72">
        <v>807</v>
      </c>
      <c r="B214" s="73"/>
      <c r="C214" s="38" t="s">
        <v>203</v>
      </c>
      <c r="D214" s="54">
        <f>(29.45+5.65+0.75*2.13)*10.764</f>
        <v>395.01188999999994</v>
      </c>
      <c r="E214" s="38">
        <v>0</v>
      </c>
      <c r="F214" s="38">
        <f t="shared" si="10"/>
        <v>592.51783499999988</v>
      </c>
      <c r="G214" s="72" t="str">
        <f t="shared" si="11"/>
        <v>8th Floor (Part Refuge Area)</v>
      </c>
      <c r="H214" s="73"/>
      <c r="I214" s="33"/>
      <c r="L214" s="74"/>
      <c r="M214" s="74"/>
      <c r="N214" s="74"/>
      <c r="O214" s="74"/>
    </row>
    <row r="215" spans="1:15" s="42" customFormat="1" x14ac:dyDescent="0.35">
      <c r="A215" s="72">
        <v>808</v>
      </c>
      <c r="B215" s="73"/>
      <c r="C215" s="38" t="s">
        <v>203</v>
      </c>
      <c r="D215" s="54">
        <f>(29.45+5.65+0.75*2.13)*10.764</f>
        <v>395.01188999999994</v>
      </c>
      <c r="E215" s="38">
        <v>0</v>
      </c>
      <c r="F215" s="38">
        <f t="shared" si="10"/>
        <v>592.51783499999988</v>
      </c>
      <c r="G215" s="72" t="str">
        <f t="shared" si="11"/>
        <v>8th Floor (Part Refuge Area)</v>
      </c>
      <c r="H215" s="73"/>
      <c r="I215" s="33"/>
      <c r="L215" s="74"/>
      <c r="M215" s="74"/>
      <c r="N215" s="74"/>
      <c r="O215" s="74"/>
    </row>
    <row r="216" spans="1:15" s="42" customFormat="1" x14ac:dyDescent="0.35">
      <c r="A216" s="72">
        <v>809</v>
      </c>
      <c r="B216" s="73"/>
      <c r="C216" s="38" t="s">
        <v>203</v>
      </c>
      <c r="D216" s="54">
        <f>(29.45+5.65+0.75*2.13)*10.764</f>
        <v>395.01188999999994</v>
      </c>
      <c r="E216" s="38">
        <v>0</v>
      </c>
      <c r="F216" s="38">
        <f t="shared" si="10"/>
        <v>592.51783499999988</v>
      </c>
      <c r="G216" s="72" t="str">
        <f t="shared" si="11"/>
        <v>8th Floor (Part Refuge Area)</v>
      </c>
      <c r="H216" s="73"/>
      <c r="I216" s="33"/>
      <c r="L216" s="74"/>
      <c r="M216" s="74"/>
      <c r="N216" s="74"/>
      <c r="O216" s="74"/>
    </row>
    <row r="217" spans="1:15" s="42" customFormat="1" x14ac:dyDescent="0.35">
      <c r="A217" s="72">
        <v>810</v>
      </c>
      <c r="B217" s="73"/>
      <c r="C217" s="38" t="s">
        <v>203</v>
      </c>
      <c r="D217" s="54">
        <f>(29.45+5.5+0.75*2.13)*10.764</f>
        <v>393.39729</v>
      </c>
      <c r="E217" s="38">
        <v>0</v>
      </c>
      <c r="F217" s="38">
        <f t="shared" si="10"/>
        <v>590.09593500000005</v>
      </c>
      <c r="G217" s="72" t="str">
        <f t="shared" si="11"/>
        <v>8th Floor (Part Refuge Area)</v>
      </c>
      <c r="H217" s="73"/>
      <c r="I217" s="33"/>
      <c r="L217" s="74"/>
      <c r="M217" s="74"/>
      <c r="N217" s="74"/>
      <c r="O217" s="74"/>
    </row>
    <row r="218" spans="1:15" s="42" customFormat="1" x14ac:dyDescent="0.35">
      <c r="A218" s="72">
        <v>811</v>
      </c>
      <c r="B218" s="73"/>
      <c r="C218" s="38" t="s">
        <v>204</v>
      </c>
      <c r="D218" s="54">
        <f>(44.77+3.06+0.75*(2.4+2.14+2.5))*10.764</f>
        <v>571.67604000000006</v>
      </c>
      <c r="E218" s="38">
        <v>0</v>
      </c>
      <c r="F218" s="38">
        <f t="shared" si="10"/>
        <v>857.51406000000009</v>
      </c>
      <c r="G218" s="72" t="str">
        <f t="shared" si="11"/>
        <v>8th Floor (Part Refuge Area)</v>
      </c>
      <c r="H218" s="73"/>
      <c r="I218" s="33"/>
      <c r="L218" s="74"/>
      <c r="M218" s="74"/>
      <c r="N218" s="74"/>
      <c r="O218" s="74"/>
    </row>
    <row r="219" spans="1:15" s="42" customFormat="1" x14ac:dyDescent="0.35">
      <c r="A219" s="72">
        <v>812</v>
      </c>
      <c r="B219" s="73"/>
      <c r="C219" s="38" t="s">
        <v>204</v>
      </c>
      <c r="D219" s="54">
        <f>(44.77+3.06+0.75*(2.4+2.14+2.5))*10.764</f>
        <v>571.67604000000006</v>
      </c>
      <c r="E219" s="38">
        <v>0</v>
      </c>
      <c r="F219" s="38">
        <f t="shared" si="10"/>
        <v>857.51406000000009</v>
      </c>
      <c r="G219" s="72" t="str">
        <f t="shared" si="11"/>
        <v>8th Floor (Part Refuge Area)</v>
      </c>
      <c r="H219" s="73"/>
      <c r="I219" s="33"/>
      <c r="L219" s="74"/>
      <c r="M219" s="74"/>
      <c r="N219" s="74"/>
      <c r="O219" s="74"/>
    </row>
    <row r="220" spans="1:15" s="42" customFormat="1" x14ac:dyDescent="0.35">
      <c r="A220" s="72">
        <v>813</v>
      </c>
      <c r="B220" s="73"/>
      <c r="C220" s="38" t="s">
        <v>203</v>
      </c>
      <c r="D220" s="54">
        <f>(29.45+5.5+0.75*2.13)*10.764</f>
        <v>393.39729</v>
      </c>
      <c r="E220" s="38">
        <v>0</v>
      </c>
      <c r="F220" s="38">
        <f t="shared" si="10"/>
        <v>590.09593500000005</v>
      </c>
      <c r="G220" s="72" t="str">
        <f t="shared" si="11"/>
        <v>8th Floor (Part Refuge Area)</v>
      </c>
      <c r="H220" s="73"/>
      <c r="I220" s="33"/>
      <c r="L220" s="74"/>
      <c r="M220" s="74"/>
      <c r="N220" s="74"/>
      <c r="O220" s="74"/>
    </row>
    <row r="221" spans="1:15" s="42" customFormat="1" x14ac:dyDescent="0.35">
      <c r="A221" s="72">
        <v>814</v>
      </c>
      <c r="B221" s="73"/>
      <c r="C221" s="38" t="s">
        <v>203</v>
      </c>
      <c r="D221" s="54">
        <f>(29.45+5.5+0.75*2.13)*10.764</f>
        <v>393.39729</v>
      </c>
      <c r="E221" s="38">
        <v>0</v>
      </c>
      <c r="F221" s="38">
        <f t="shared" si="10"/>
        <v>590.09593500000005</v>
      </c>
      <c r="G221" s="72" t="str">
        <f t="shared" si="11"/>
        <v>8th Floor (Part Refuge Area)</v>
      </c>
      <c r="H221" s="73"/>
      <c r="I221" s="33"/>
      <c r="L221" s="74"/>
      <c r="M221" s="74"/>
      <c r="N221" s="74"/>
      <c r="O221" s="74"/>
    </row>
    <row r="222" spans="1:15" s="31" customFormat="1" x14ac:dyDescent="0.35">
      <c r="A222" s="71" t="s">
        <v>222</v>
      </c>
      <c r="B222" s="71"/>
      <c r="C222" s="71"/>
      <c r="D222" s="71"/>
      <c r="E222" s="71"/>
      <c r="F222" s="71"/>
      <c r="G222" s="71"/>
      <c r="H222" s="71"/>
    </row>
    <row r="223" spans="1:15" s="31" customFormat="1" x14ac:dyDescent="0.35">
      <c r="A223" s="71" t="s">
        <v>198</v>
      </c>
      <c r="B223" s="71"/>
      <c r="C223" s="71"/>
      <c r="D223" s="71"/>
      <c r="E223" s="71"/>
      <c r="F223" s="71"/>
      <c r="G223" s="71"/>
      <c r="H223" s="71"/>
    </row>
    <row r="224" spans="1:15" s="42" customFormat="1" x14ac:dyDescent="0.35">
      <c r="A224" s="84" t="s">
        <v>202</v>
      </c>
      <c r="B224" s="84"/>
      <c r="C224" s="84"/>
      <c r="D224" s="84"/>
      <c r="E224" s="84"/>
      <c r="F224" s="84"/>
      <c r="G224" s="84"/>
      <c r="H224" s="84"/>
    </row>
    <row r="225" spans="1:15" s="42" customFormat="1" x14ac:dyDescent="0.35">
      <c r="A225" s="82" t="s">
        <v>223</v>
      </c>
      <c r="B225" s="82"/>
      <c r="C225" s="38" t="s">
        <v>203</v>
      </c>
      <c r="D225" s="54">
        <f>(43.43+3.24+0.75*2.5)*10.764</f>
        <v>522.53837999999996</v>
      </c>
      <c r="E225" s="68">
        <v>0</v>
      </c>
      <c r="F225" s="38">
        <f>D225*(($F$160)+1)+(IF(E228&lt;101,E228,IF(E228&lt;201,E228/2,IF(E228&lt;=301,E228/3,E228/4))))</f>
        <v>783.80756999999994</v>
      </c>
      <c r="G225" s="82" t="str">
        <f>A224</f>
        <v>1st to 7th &amp; 9th to 12th Floor for Residential</v>
      </c>
      <c r="H225" s="82"/>
      <c r="I225" s="33"/>
      <c r="J225" s="74"/>
      <c r="K225" s="74"/>
    </row>
    <row r="226" spans="1:15" s="42" customFormat="1" x14ac:dyDescent="0.35">
      <c r="A226" s="82" t="s">
        <v>224</v>
      </c>
      <c r="B226" s="82"/>
      <c r="C226" s="38" t="s">
        <v>204</v>
      </c>
      <c r="D226" s="54">
        <f>(42.98+6.63+0.75*(2.5+2.14))*10.764</f>
        <v>571.46076000000005</v>
      </c>
      <c r="E226" s="38">
        <v>0</v>
      </c>
      <c r="F226" s="38">
        <f t="shared" ref="F226:F236" si="12">D226*(($F$160)+1)+(IF(E226&lt;101,E226,IF(E226&lt;201,E226/2,IF(E226&lt;=301,E226/3,E226/4))))</f>
        <v>857.19114000000013</v>
      </c>
      <c r="G226" s="82" t="str">
        <f t="shared" ref="G226:G236" si="13">G225</f>
        <v>1st to 7th &amp; 9th to 12th Floor for Residential</v>
      </c>
      <c r="H226" s="82"/>
      <c r="I226" s="33"/>
      <c r="J226" s="74"/>
      <c r="K226" s="74"/>
    </row>
    <row r="227" spans="1:15" s="42" customFormat="1" x14ac:dyDescent="0.35">
      <c r="A227" s="82" t="s">
        <v>225</v>
      </c>
      <c r="B227" s="82"/>
      <c r="C227" s="38" t="s">
        <v>203</v>
      </c>
      <c r="D227" s="54">
        <f>(37.93+7.09+0.75*2.13)*10.764</f>
        <v>501.7907699999999</v>
      </c>
      <c r="E227" s="38">
        <v>0</v>
      </c>
      <c r="F227" s="38">
        <f t="shared" si="12"/>
        <v>752.68615499999987</v>
      </c>
      <c r="G227" s="82" t="str">
        <f t="shared" si="13"/>
        <v>1st to 7th &amp; 9th to 12th Floor for Residential</v>
      </c>
      <c r="H227" s="82"/>
      <c r="I227" s="33"/>
      <c r="J227" s="74"/>
      <c r="K227" s="74"/>
      <c r="L227" s="74"/>
      <c r="M227" s="74"/>
    </row>
    <row r="228" spans="1:15" s="42" customFormat="1" x14ac:dyDescent="0.35">
      <c r="A228" s="82" t="s">
        <v>226</v>
      </c>
      <c r="B228" s="82"/>
      <c r="C228" s="38" t="s">
        <v>203</v>
      </c>
      <c r="D228" s="54">
        <f>(37.93+7.09+0.75*2.13)*10.764</f>
        <v>501.7907699999999</v>
      </c>
      <c r="E228" s="54">
        <v>0</v>
      </c>
      <c r="F228" s="38">
        <f t="shared" si="12"/>
        <v>752.68615499999987</v>
      </c>
      <c r="G228" s="82" t="str">
        <f t="shared" si="13"/>
        <v>1st to 7th &amp; 9th to 12th Floor for Residential</v>
      </c>
      <c r="H228" s="82"/>
      <c r="I228" s="33"/>
      <c r="J228" s="74"/>
      <c r="K228" s="74"/>
      <c r="L228" s="74"/>
      <c r="M228" s="74"/>
    </row>
    <row r="229" spans="1:15" s="42" customFormat="1" x14ac:dyDescent="0.35">
      <c r="A229" s="82" t="s">
        <v>227</v>
      </c>
      <c r="B229" s="82"/>
      <c r="C229" s="38" t="s">
        <v>204</v>
      </c>
      <c r="D229" s="54">
        <f>(42.97+6.63+0.75*(2.5+2.14))*10.764</f>
        <v>571.35311999999999</v>
      </c>
      <c r="E229" s="38">
        <v>0</v>
      </c>
      <c r="F229" s="38">
        <f t="shared" si="12"/>
        <v>857.02967999999998</v>
      </c>
      <c r="G229" s="82" t="str">
        <f t="shared" si="13"/>
        <v>1st to 7th &amp; 9th to 12th Floor for Residential</v>
      </c>
      <c r="H229" s="82"/>
      <c r="I229" s="33"/>
      <c r="J229" s="74"/>
      <c r="K229" s="74"/>
      <c r="L229" s="74"/>
      <c r="M229" s="74"/>
    </row>
    <row r="230" spans="1:15" s="42" customFormat="1" x14ac:dyDescent="0.35">
      <c r="A230" s="82" t="s">
        <v>228</v>
      </c>
      <c r="B230" s="82"/>
      <c r="C230" s="38" t="s">
        <v>203</v>
      </c>
      <c r="D230" s="54">
        <f>(34.77+3.24+0.75*(2.14+2.32))*10.764</f>
        <v>445.14521999999999</v>
      </c>
      <c r="E230" s="38">
        <v>0</v>
      </c>
      <c r="F230" s="38">
        <f t="shared" si="12"/>
        <v>667.71783000000005</v>
      </c>
      <c r="G230" s="82" t="str">
        <f t="shared" si="13"/>
        <v>1st to 7th &amp; 9th to 12th Floor for Residential</v>
      </c>
      <c r="H230" s="82"/>
      <c r="I230" s="33"/>
      <c r="L230" s="74"/>
      <c r="M230" s="74"/>
      <c r="N230" s="74"/>
      <c r="O230" s="74"/>
    </row>
    <row r="231" spans="1:15" s="42" customFormat="1" x14ac:dyDescent="0.35">
      <c r="A231" s="82" t="s">
        <v>229</v>
      </c>
      <c r="B231" s="82"/>
      <c r="C231" s="38" t="s">
        <v>203</v>
      </c>
      <c r="D231" s="54">
        <f>(29.01+5.45+0.75*2.13)*10.764</f>
        <v>388.12292999999994</v>
      </c>
      <c r="E231" s="38">
        <v>0</v>
      </c>
      <c r="F231" s="38">
        <f t="shared" si="12"/>
        <v>582.18439499999988</v>
      </c>
      <c r="G231" s="82" t="str">
        <f t="shared" si="13"/>
        <v>1st to 7th &amp; 9th to 12th Floor for Residential</v>
      </c>
      <c r="H231" s="82"/>
      <c r="I231" s="33"/>
      <c r="L231" s="74"/>
      <c r="M231" s="74"/>
      <c r="N231" s="74"/>
      <c r="O231" s="74"/>
    </row>
    <row r="232" spans="1:15" s="42" customFormat="1" x14ac:dyDescent="0.35">
      <c r="A232" s="82" t="s">
        <v>230</v>
      </c>
      <c r="B232" s="82"/>
      <c r="C232" s="38" t="s">
        <v>203</v>
      </c>
      <c r="D232" s="54">
        <f>(29.01+5.3+0.75*2.13)*10.764</f>
        <v>386.50832999999994</v>
      </c>
      <c r="E232" s="38">
        <v>0</v>
      </c>
      <c r="F232" s="38">
        <f t="shared" si="12"/>
        <v>579.76249499999994</v>
      </c>
      <c r="G232" s="82" t="str">
        <f t="shared" si="13"/>
        <v>1st to 7th &amp; 9th to 12th Floor for Residential</v>
      </c>
      <c r="H232" s="82"/>
      <c r="I232" s="33"/>
      <c r="L232" s="74"/>
      <c r="M232" s="74"/>
      <c r="N232" s="74"/>
      <c r="O232" s="74"/>
    </row>
    <row r="233" spans="1:15" s="42" customFormat="1" x14ac:dyDescent="0.35">
      <c r="A233" s="82" t="s">
        <v>231</v>
      </c>
      <c r="B233" s="82"/>
      <c r="C233" s="38" t="s">
        <v>204</v>
      </c>
      <c r="D233" s="54">
        <f>(44.77+3.06+0.75*(2.13+2.5+2.5))*10.764</f>
        <v>572.4026100000001</v>
      </c>
      <c r="E233" s="38">
        <v>0</v>
      </c>
      <c r="F233" s="38">
        <f t="shared" si="12"/>
        <v>858.60391500000014</v>
      </c>
      <c r="G233" s="82" t="str">
        <f t="shared" si="13"/>
        <v>1st to 7th &amp; 9th to 12th Floor for Residential</v>
      </c>
      <c r="H233" s="82"/>
      <c r="I233" s="33"/>
      <c r="L233" s="74"/>
      <c r="M233" s="74"/>
      <c r="N233" s="74"/>
      <c r="O233" s="74"/>
    </row>
    <row r="234" spans="1:15" s="42" customFormat="1" x14ac:dyDescent="0.35">
      <c r="A234" s="82" t="s">
        <v>232</v>
      </c>
      <c r="B234" s="82"/>
      <c r="C234" s="38" t="s">
        <v>204</v>
      </c>
      <c r="D234" s="54">
        <f>(44.77+3.06+0.75*(2.13+2.5+2.5))*10.764</f>
        <v>572.4026100000001</v>
      </c>
      <c r="E234" s="38">
        <v>0</v>
      </c>
      <c r="F234" s="38">
        <f t="shared" si="12"/>
        <v>858.60391500000014</v>
      </c>
      <c r="G234" s="82" t="str">
        <f t="shared" si="13"/>
        <v>1st to 7th &amp; 9th to 12th Floor for Residential</v>
      </c>
      <c r="H234" s="82"/>
      <c r="I234" s="33"/>
      <c r="L234" s="74"/>
      <c r="M234" s="74"/>
      <c r="N234" s="74"/>
      <c r="O234" s="74"/>
    </row>
    <row r="235" spans="1:15" s="42" customFormat="1" x14ac:dyDescent="0.35">
      <c r="A235" s="82" t="s">
        <v>233</v>
      </c>
      <c r="B235" s="82"/>
      <c r="C235" s="38" t="s">
        <v>203</v>
      </c>
      <c r="D235" s="54">
        <f>(29.01+5.3+0.75*(2.13))*10.764</f>
        <v>386.50832999999994</v>
      </c>
      <c r="E235" s="38">
        <v>0</v>
      </c>
      <c r="F235" s="38">
        <f t="shared" si="12"/>
        <v>579.76249499999994</v>
      </c>
      <c r="G235" s="82" t="str">
        <f t="shared" si="13"/>
        <v>1st to 7th &amp; 9th to 12th Floor for Residential</v>
      </c>
      <c r="H235" s="82"/>
      <c r="I235" s="33"/>
      <c r="J235" s="74"/>
      <c r="K235" s="74"/>
      <c r="L235" s="74"/>
      <c r="M235" s="74"/>
    </row>
    <row r="236" spans="1:15" s="42" customFormat="1" x14ac:dyDescent="0.35">
      <c r="A236" s="72" t="s">
        <v>234</v>
      </c>
      <c r="B236" s="73"/>
      <c r="C236" s="38" t="s">
        <v>203</v>
      </c>
      <c r="D236" s="54">
        <f>(31.54+6.44+0.75*(2.13))*10.764</f>
        <v>426.01220999999993</v>
      </c>
      <c r="E236" s="38">
        <v>0</v>
      </c>
      <c r="F236" s="38">
        <f t="shared" si="12"/>
        <v>639.01831499999992</v>
      </c>
      <c r="G236" s="72" t="str">
        <f t="shared" si="13"/>
        <v>1st to 7th &amp; 9th to 12th Floor for Residential</v>
      </c>
      <c r="H236" s="73"/>
      <c r="I236" s="33"/>
      <c r="J236" s="74"/>
      <c r="K236" s="74"/>
      <c r="L236" s="74"/>
      <c r="M236" s="74"/>
    </row>
    <row r="237" spans="1:15" s="42" customFormat="1" x14ac:dyDescent="0.35">
      <c r="A237" s="76" t="s">
        <v>236</v>
      </c>
      <c r="B237" s="77"/>
      <c r="C237" s="77"/>
      <c r="D237" s="77"/>
      <c r="E237" s="77"/>
      <c r="F237" s="77"/>
      <c r="G237" s="77"/>
      <c r="H237" s="78"/>
    </row>
    <row r="238" spans="1:15" s="42" customFormat="1" x14ac:dyDescent="0.35">
      <c r="A238" s="72">
        <v>801</v>
      </c>
      <c r="B238" s="73"/>
      <c r="C238" s="38" t="s">
        <v>203</v>
      </c>
      <c r="D238" s="54">
        <f>(43.43+3.24+0.75*2.5)*10.764</f>
        <v>522.53837999999996</v>
      </c>
      <c r="E238" s="54">
        <v>0</v>
      </c>
      <c r="F238" s="38">
        <f>D238*(($F$160)+1)+(IF(E238&lt;101,E238,IF(E238&lt;201,E238/2,IF(E238&lt;=301,E238/3,E238/4))))</f>
        <v>783.80756999999994</v>
      </c>
      <c r="G238" s="72" t="str">
        <f>A237</f>
        <v>8th &amp; 13th Floor (Part Refuge Area)</v>
      </c>
      <c r="H238" s="73"/>
      <c r="I238" s="33"/>
      <c r="J238" s="74"/>
      <c r="K238" s="74"/>
    </row>
    <row r="239" spans="1:15" s="42" customFormat="1" x14ac:dyDescent="0.35">
      <c r="A239" s="72">
        <v>802</v>
      </c>
      <c r="B239" s="73"/>
      <c r="C239" s="38" t="s">
        <v>204</v>
      </c>
      <c r="D239" s="54">
        <f>(42.98+6.63+0.75*(2.5+2.14))*10.764</f>
        <v>571.46076000000005</v>
      </c>
      <c r="E239" s="38">
        <v>0</v>
      </c>
      <c r="F239" s="38">
        <f>D239*(($F$160)+1)+(IF(E239&lt;101,E239,IF(E239&lt;201,E239/2,IF(E239&lt;=301,E239/3,E239/4))))</f>
        <v>857.19114000000013</v>
      </c>
      <c r="G239" s="72" t="str">
        <f t="shared" ref="G239:G249" si="14">G238</f>
        <v>8th &amp; 13th Floor (Part Refuge Area)</v>
      </c>
      <c r="H239" s="73"/>
      <c r="I239" s="33"/>
      <c r="J239" s="74"/>
      <c r="K239" s="74"/>
      <c r="L239" s="74"/>
      <c r="M239" s="74"/>
    </row>
    <row r="240" spans="1:15" s="42" customFormat="1" x14ac:dyDescent="0.35">
      <c r="A240" s="72">
        <v>803</v>
      </c>
      <c r="B240" s="73"/>
      <c r="C240" s="72" t="s">
        <v>235</v>
      </c>
      <c r="D240" s="88"/>
      <c r="E240" s="88"/>
      <c r="F240" s="73"/>
      <c r="G240" s="72" t="str">
        <f t="shared" si="14"/>
        <v>8th &amp; 13th Floor (Part Refuge Area)</v>
      </c>
      <c r="H240" s="73"/>
      <c r="I240" s="33"/>
      <c r="J240" s="74"/>
      <c r="K240" s="74"/>
      <c r="L240" s="74"/>
      <c r="M240" s="74"/>
    </row>
    <row r="241" spans="1:15" s="42" customFormat="1" x14ac:dyDescent="0.35">
      <c r="A241" s="72">
        <v>804</v>
      </c>
      <c r="B241" s="73"/>
      <c r="C241" s="38" t="s">
        <v>204</v>
      </c>
      <c r="D241" s="54">
        <f>(49.49+10.34+0.75*2.13)*10.764</f>
        <v>661.20560999999987</v>
      </c>
      <c r="E241" s="38">
        <v>0</v>
      </c>
      <c r="F241" s="38">
        <f t="shared" ref="F241:F249" si="15">D241*(($F$160)+1)+(IF(E241&lt;101,E241,IF(E241&lt;201,E241/2,IF(E241&lt;=301,E241/3,E241/4))))</f>
        <v>991.80841499999974</v>
      </c>
      <c r="G241" s="72" t="str">
        <f t="shared" si="14"/>
        <v>8th &amp; 13th Floor (Part Refuge Area)</v>
      </c>
      <c r="H241" s="73"/>
      <c r="I241" s="33"/>
      <c r="J241" s="74"/>
      <c r="K241" s="74"/>
      <c r="L241" s="74"/>
      <c r="M241" s="74"/>
    </row>
    <row r="242" spans="1:15" s="42" customFormat="1" x14ac:dyDescent="0.35">
      <c r="A242" s="72">
        <v>805</v>
      </c>
      <c r="B242" s="73"/>
      <c r="C242" s="38" t="s">
        <v>204</v>
      </c>
      <c r="D242" s="54">
        <f>(42.97+6.63+0.75*(2.5+2.14))*10.764</f>
        <v>571.35311999999999</v>
      </c>
      <c r="E242" s="38">
        <v>0</v>
      </c>
      <c r="F242" s="38">
        <f t="shared" si="15"/>
        <v>857.02967999999998</v>
      </c>
      <c r="G242" s="72" t="str">
        <f t="shared" si="14"/>
        <v>8th &amp; 13th Floor (Part Refuge Area)</v>
      </c>
      <c r="H242" s="73"/>
      <c r="I242" s="33"/>
      <c r="J242" s="74"/>
      <c r="K242" s="74"/>
      <c r="L242" s="74"/>
      <c r="M242" s="74"/>
    </row>
    <row r="243" spans="1:15" s="42" customFormat="1" x14ac:dyDescent="0.35">
      <c r="A243" s="72">
        <v>806</v>
      </c>
      <c r="B243" s="73"/>
      <c r="C243" s="38" t="s">
        <v>203</v>
      </c>
      <c r="D243" s="54">
        <f>(34.77+3.24+0.75*(2.14+2.32))*10.764</f>
        <v>445.14521999999999</v>
      </c>
      <c r="E243" s="38">
        <v>0</v>
      </c>
      <c r="F243" s="38">
        <f t="shared" si="15"/>
        <v>667.71783000000005</v>
      </c>
      <c r="G243" s="72" t="str">
        <f t="shared" si="14"/>
        <v>8th &amp; 13th Floor (Part Refuge Area)</v>
      </c>
      <c r="H243" s="73"/>
      <c r="I243" s="33"/>
      <c r="L243" s="74"/>
      <c r="M243" s="74"/>
      <c r="N243" s="74"/>
      <c r="O243" s="74"/>
    </row>
    <row r="244" spans="1:15" s="42" customFormat="1" x14ac:dyDescent="0.35">
      <c r="A244" s="72">
        <v>807</v>
      </c>
      <c r="B244" s="73"/>
      <c r="C244" s="38" t="s">
        <v>203</v>
      </c>
      <c r="D244" s="54">
        <f>(29.01+5.45+0.75*2.13)*10.764</f>
        <v>388.12292999999994</v>
      </c>
      <c r="E244" s="38">
        <v>0</v>
      </c>
      <c r="F244" s="38">
        <f t="shared" si="15"/>
        <v>582.18439499999988</v>
      </c>
      <c r="G244" s="72" t="str">
        <f t="shared" si="14"/>
        <v>8th &amp; 13th Floor (Part Refuge Area)</v>
      </c>
      <c r="H244" s="73"/>
      <c r="I244" s="33"/>
      <c r="L244" s="74"/>
      <c r="M244" s="74"/>
      <c r="N244" s="74"/>
      <c r="O244" s="74"/>
    </row>
    <row r="245" spans="1:15" s="42" customFormat="1" x14ac:dyDescent="0.35">
      <c r="A245" s="72">
        <v>808</v>
      </c>
      <c r="B245" s="73"/>
      <c r="C245" s="38" t="s">
        <v>203</v>
      </c>
      <c r="D245" s="54">
        <f>(29.01+5.3+0.75*2.13)*10.764</f>
        <v>386.50832999999994</v>
      </c>
      <c r="E245" s="38">
        <v>0</v>
      </c>
      <c r="F245" s="38">
        <f t="shared" si="15"/>
        <v>579.76249499999994</v>
      </c>
      <c r="G245" s="72" t="str">
        <f t="shared" si="14"/>
        <v>8th &amp; 13th Floor (Part Refuge Area)</v>
      </c>
      <c r="H245" s="73"/>
      <c r="I245" s="33"/>
      <c r="L245" s="74"/>
      <c r="M245" s="74"/>
      <c r="N245" s="74"/>
      <c r="O245" s="74"/>
    </row>
    <row r="246" spans="1:15" s="42" customFormat="1" x14ac:dyDescent="0.35">
      <c r="A246" s="72">
        <v>809</v>
      </c>
      <c r="B246" s="73"/>
      <c r="C246" s="38" t="s">
        <v>204</v>
      </c>
      <c r="D246" s="54">
        <f>(44.77+3.06+0.75*(2.13+2.5+2.5))*10.764</f>
        <v>572.4026100000001</v>
      </c>
      <c r="E246" s="38">
        <v>0</v>
      </c>
      <c r="F246" s="38">
        <f t="shared" si="15"/>
        <v>858.60391500000014</v>
      </c>
      <c r="G246" s="72" t="str">
        <f t="shared" si="14"/>
        <v>8th &amp; 13th Floor (Part Refuge Area)</v>
      </c>
      <c r="H246" s="73"/>
      <c r="I246" s="33"/>
      <c r="L246" s="74"/>
      <c r="M246" s="74"/>
      <c r="N246" s="74"/>
      <c r="O246" s="74"/>
    </row>
    <row r="247" spans="1:15" s="42" customFormat="1" x14ac:dyDescent="0.35">
      <c r="A247" s="72">
        <v>810</v>
      </c>
      <c r="B247" s="73"/>
      <c r="C247" s="38" t="s">
        <v>204</v>
      </c>
      <c r="D247" s="54">
        <f>(44.77+3.06+0.75*(2.13+2.5+2.5))*10.764</f>
        <v>572.4026100000001</v>
      </c>
      <c r="E247" s="38">
        <v>0</v>
      </c>
      <c r="F247" s="38">
        <f t="shared" si="15"/>
        <v>858.60391500000014</v>
      </c>
      <c r="G247" s="72" t="str">
        <f t="shared" si="14"/>
        <v>8th &amp; 13th Floor (Part Refuge Area)</v>
      </c>
      <c r="H247" s="73"/>
      <c r="I247" s="33"/>
      <c r="L247" s="74"/>
      <c r="M247" s="74"/>
      <c r="N247" s="74"/>
      <c r="O247" s="74"/>
    </row>
    <row r="248" spans="1:15" s="42" customFormat="1" x14ac:dyDescent="0.35">
      <c r="A248" s="72">
        <v>811</v>
      </c>
      <c r="B248" s="73"/>
      <c r="C248" s="38" t="s">
        <v>203</v>
      </c>
      <c r="D248" s="54">
        <f>(29.01+5.3+0.75*(2.13))*10.764</f>
        <v>386.50832999999994</v>
      </c>
      <c r="E248" s="38">
        <v>0</v>
      </c>
      <c r="F248" s="38">
        <f t="shared" si="15"/>
        <v>579.76249499999994</v>
      </c>
      <c r="G248" s="72" t="str">
        <f t="shared" si="14"/>
        <v>8th &amp; 13th Floor (Part Refuge Area)</v>
      </c>
      <c r="H248" s="73"/>
      <c r="I248" s="33"/>
      <c r="J248" s="74"/>
      <c r="K248" s="74"/>
      <c r="L248" s="74"/>
      <c r="M248" s="74"/>
    </row>
    <row r="249" spans="1:15" s="42" customFormat="1" x14ac:dyDescent="0.35">
      <c r="A249" s="72">
        <v>812</v>
      </c>
      <c r="B249" s="73"/>
      <c r="C249" s="38" t="s">
        <v>203</v>
      </c>
      <c r="D249" s="54">
        <f>(31.54+6.44+0.75*(2.13))*10.764</f>
        <v>426.01220999999993</v>
      </c>
      <c r="E249" s="38">
        <v>0</v>
      </c>
      <c r="F249" s="38">
        <f t="shared" si="15"/>
        <v>639.01831499999992</v>
      </c>
      <c r="G249" s="72" t="str">
        <f t="shared" si="14"/>
        <v>8th &amp; 13th Floor (Part Refuge Area)</v>
      </c>
      <c r="H249" s="73"/>
      <c r="I249" s="33"/>
      <c r="J249" s="74"/>
      <c r="K249" s="74"/>
      <c r="L249" s="74"/>
      <c r="M249" s="74"/>
    </row>
    <row r="250" spans="1:15" s="42" customFormat="1" x14ac:dyDescent="0.35">
      <c r="A250" s="76" t="s">
        <v>249</v>
      </c>
      <c r="B250" s="77"/>
      <c r="C250" s="77"/>
      <c r="D250" s="77"/>
      <c r="E250" s="77"/>
      <c r="F250" s="77"/>
      <c r="G250" s="77"/>
      <c r="H250" s="78"/>
    </row>
    <row r="251" spans="1:15" s="42" customFormat="1" x14ac:dyDescent="0.35">
      <c r="A251" s="72">
        <v>1401</v>
      </c>
      <c r="B251" s="73"/>
      <c r="C251" s="38" t="s">
        <v>203</v>
      </c>
      <c r="D251" s="54">
        <f>(43.43+3.24+0.75*2.5)*10.764</f>
        <v>522.53837999999996</v>
      </c>
      <c r="E251" s="42">
        <v>0</v>
      </c>
      <c r="F251" s="38">
        <f>D251*(($F$160)+1)+(IF(E254&lt;101,E254,IF(E254&lt;201,E254/2,IF(E254&lt;=301,E254/3,E254/4))))</f>
        <v>783.80756999999994</v>
      </c>
      <c r="G251" s="72" t="str">
        <f>A250</f>
        <v>14th Floor (Part Terrace Area)</v>
      </c>
      <c r="H251" s="73"/>
      <c r="I251" s="33"/>
      <c r="J251" s="74"/>
      <c r="K251" s="74"/>
    </row>
    <row r="252" spans="1:15" s="42" customFormat="1" x14ac:dyDescent="0.35">
      <c r="A252" s="72">
        <v>1402</v>
      </c>
      <c r="B252" s="73"/>
      <c r="C252" s="38" t="s">
        <v>204</v>
      </c>
      <c r="D252" s="54">
        <f>(42.98+6.63+0.75*(2.5+2.14))*10.764</f>
        <v>571.46076000000005</v>
      </c>
      <c r="E252" s="38">
        <v>0</v>
      </c>
      <c r="F252" s="38">
        <f t="shared" ref="F252:F260" si="16">D252*(($F$160)+1)+(IF(E252&lt;101,E252,IF(E252&lt;201,E252/2,IF(E252&lt;=301,E252/3,E252/4))))</f>
        <v>857.19114000000013</v>
      </c>
      <c r="G252" s="72" t="str">
        <f t="shared" ref="G252:G260" si="17">G251</f>
        <v>14th Floor (Part Terrace Area)</v>
      </c>
      <c r="H252" s="73"/>
      <c r="I252" s="33"/>
      <c r="J252" s="74"/>
      <c r="K252" s="74"/>
    </row>
    <row r="253" spans="1:15" s="42" customFormat="1" x14ac:dyDescent="0.35">
      <c r="A253" s="72">
        <v>1403</v>
      </c>
      <c r="B253" s="73"/>
      <c r="C253" s="38" t="s">
        <v>203</v>
      </c>
      <c r="D253" s="54">
        <f>(37.93+7.09+0.75*2.13)*10.764</f>
        <v>501.7907699999999</v>
      </c>
      <c r="E253" s="38">
        <v>0</v>
      </c>
      <c r="F253" s="38">
        <f t="shared" si="16"/>
        <v>752.68615499999987</v>
      </c>
      <c r="G253" s="72" t="str">
        <f t="shared" si="17"/>
        <v>14th Floor (Part Terrace Area)</v>
      </c>
      <c r="H253" s="73"/>
      <c r="I253" s="33"/>
      <c r="J253" s="74"/>
      <c r="K253" s="74"/>
      <c r="L253" s="74"/>
      <c r="M253" s="74"/>
    </row>
    <row r="254" spans="1:15" s="42" customFormat="1" x14ac:dyDescent="0.35">
      <c r="A254" s="72">
        <v>1404</v>
      </c>
      <c r="B254" s="73"/>
      <c r="C254" s="38" t="s">
        <v>203</v>
      </c>
      <c r="D254" s="54">
        <f>(37.93+7.09+0.75*2.13)*10.764</f>
        <v>501.7907699999999</v>
      </c>
      <c r="E254" s="54">
        <v>0</v>
      </c>
      <c r="F254" s="38">
        <f t="shared" si="16"/>
        <v>752.68615499999987</v>
      </c>
      <c r="G254" s="72" t="str">
        <f t="shared" si="17"/>
        <v>14th Floor (Part Terrace Area)</v>
      </c>
      <c r="H254" s="73"/>
      <c r="I254" s="33"/>
      <c r="J254" s="74"/>
      <c r="K254" s="74"/>
      <c r="L254" s="74"/>
      <c r="M254" s="74"/>
    </row>
    <row r="255" spans="1:15" s="42" customFormat="1" x14ac:dyDescent="0.35">
      <c r="A255" s="72">
        <v>1405</v>
      </c>
      <c r="B255" s="73"/>
      <c r="C255" s="38" t="s">
        <v>204</v>
      </c>
      <c r="D255" s="54">
        <f>(42.97+6.63+0.75*(2.5+2.14))*10.764</f>
        <v>571.35311999999999</v>
      </c>
      <c r="E255" s="38">
        <v>0</v>
      </c>
      <c r="F255" s="38">
        <f t="shared" si="16"/>
        <v>857.02967999999998</v>
      </c>
      <c r="G255" s="72" t="str">
        <f t="shared" si="17"/>
        <v>14th Floor (Part Terrace Area)</v>
      </c>
      <c r="H255" s="73"/>
      <c r="I255" s="33"/>
      <c r="J255" s="74"/>
      <c r="K255" s="74"/>
      <c r="L255" s="74"/>
      <c r="M255" s="74"/>
    </row>
    <row r="256" spans="1:15" s="42" customFormat="1" x14ac:dyDescent="0.35">
      <c r="A256" s="72">
        <v>1406</v>
      </c>
      <c r="B256" s="73"/>
      <c r="C256" s="38" t="s">
        <v>203</v>
      </c>
      <c r="D256" s="54">
        <f>(34.77+3.24+0.75*(2.14+2.32))*10.764</f>
        <v>445.14521999999999</v>
      </c>
      <c r="E256" s="38">
        <v>0</v>
      </c>
      <c r="F256" s="38">
        <f t="shared" si="16"/>
        <v>667.71783000000005</v>
      </c>
      <c r="G256" s="72" t="str">
        <f t="shared" si="17"/>
        <v>14th Floor (Part Terrace Area)</v>
      </c>
      <c r="H256" s="73"/>
      <c r="I256" s="33"/>
      <c r="L256" s="74"/>
      <c r="M256" s="74"/>
      <c r="N256" s="74"/>
      <c r="O256" s="74"/>
    </row>
    <row r="257" spans="1:15" s="42" customFormat="1" x14ac:dyDescent="0.35">
      <c r="A257" s="72">
        <v>1407</v>
      </c>
      <c r="B257" s="73"/>
      <c r="C257" s="38" t="s">
        <v>203</v>
      </c>
      <c r="D257" s="54">
        <f>(29.01+5.45+0.75*2.13)*10.764</f>
        <v>388.12292999999994</v>
      </c>
      <c r="E257" s="38">
        <v>0</v>
      </c>
      <c r="F257" s="38">
        <f t="shared" si="16"/>
        <v>582.18439499999988</v>
      </c>
      <c r="G257" s="72" t="str">
        <f t="shared" si="17"/>
        <v>14th Floor (Part Terrace Area)</v>
      </c>
      <c r="H257" s="73"/>
      <c r="I257" s="33"/>
      <c r="L257" s="74"/>
      <c r="M257" s="74"/>
      <c r="N257" s="74"/>
      <c r="O257" s="74"/>
    </row>
    <row r="258" spans="1:15" s="42" customFormat="1" x14ac:dyDescent="0.35">
      <c r="A258" s="72">
        <v>1408</v>
      </c>
      <c r="B258" s="73"/>
      <c r="C258" s="38" t="s">
        <v>203</v>
      </c>
      <c r="D258" s="54">
        <f>(29.01+5.3+0.75*2.13)*10.764</f>
        <v>386.50832999999994</v>
      </c>
      <c r="E258" s="38">
        <v>0</v>
      </c>
      <c r="F258" s="38">
        <f t="shared" si="16"/>
        <v>579.76249499999994</v>
      </c>
      <c r="G258" s="72" t="str">
        <f t="shared" si="17"/>
        <v>14th Floor (Part Terrace Area)</v>
      </c>
      <c r="H258" s="73"/>
      <c r="I258" s="33"/>
      <c r="L258" s="74"/>
      <c r="M258" s="74"/>
      <c r="N258" s="74"/>
      <c r="O258" s="74"/>
    </row>
    <row r="259" spans="1:15" s="42" customFormat="1" x14ac:dyDescent="0.35">
      <c r="A259" s="72">
        <v>1409</v>
      </c>
      <c r="B259" s="73"/>
      <c r="C259" s="38" t="s">
        <v>203</v>
      </c>
      <c r="D259" s="54">
        <f>(29.01+5.3+0.75*(2.13))*10.764</f>
        <v>386.50832999999994</v>
      </c>
      <c r="E259" s="38">
        <v>0</v>
      </c>
      <c r="F259" s="38">
        <f t="shared" si="16"/>
        <v>579.76249499999994</v>
      </c>
      <c r="G259" s="72" t="str">
        <f t="shared" si="17"/>
        <v>14th Floor (Part Terrace Area)</v>
      </c>
      <c r="H259" s="73"/>
      <c r="I259" s="33"/>
      <c r="L259" s="74"/>
      <c r="M259" s="74"/>
      <c r="N259" s="74"/>
      <c r="O259" s="74"/>
    </row>
    <row r="260" spans="1:15" s="42" customFormat="1" x14ac:dyDescent="0.35">
      <c r="A260" s="72">
        <v>1410</v>
      </c>
      <c r="B260" s="73"/>
      <c r="C260" s="38" t="s">
        <v>203</v>
      </c>
      <c r="D260" s="54">
        <f>(31.54+6.44+0.75*(2.13))*10.764</f>
        <v>426.01220999999993</v>
      </c>
      <c r="E260" s="38">
        <v>0</v>
      </c>
      <c r="F260" s="38">
        <f t="shared" si="16"/>
        <v>639.01831499999992</v>
      </c>
      <c r="G260" s="72" t="str">
        <f t="shared" si="17"/>
        <v>14th Floor (Part Terrace Area)</v>
      </c>
      <c r="H260" s="73"/>
      <c r="I260" s="33"/>
      <c r="L260" s="74"/>
      <c r="M260" s="74"/>
      <c r="N260" s="74"/>
      <c r="O260" s="74"/>
    </row>
    <row r="261" spans="1:15" s="31" customFormat="1" x14ac:dyDescent="0.35">
      <c r="A261" s="71" t="s">
        <v>245</v>
      </c>
      <c r="B261" s="71"/>
      <c r="C261" s="71"/>
      <c r="D261" s="71"/>
      <c r="E261" s="71"/>
      <c r="F261" s="71"/>
      <c r="G261" s="71"/>
      <c r="H261" s="71"/>
    </row>
    <row r="262" spans="1:15" s="31" customFormat="1" x14ac:dyDescent="0.35">
      <c r="A262" s="71" t="s">
        <v>198</v>
      </c>
      <c r="B262" s="71"/>
      <c r="C262" s="71"/>
      <c r="D262" s="71"/>
      <c r="E262" s="71"/>
      <c r="F262" s="71"/>
      <c r="G262" s="71"/>
      <c r="H262" s="71"/>
    </row>
    <row r="263" spans="1:15" s="42" customFormat="1" x14ac:dyDescent="0.35">
      <c r="A263" s="84" t="s">
        <v>237</v>
      </c>
      <c r="B263" s="84"/>
      <c r="C263" s="84"/>
      <c r="D263" s="84"/>
      <c r="E263" s="84"/>
      <c r="F263" s="84"/>
      <c r="G263" s="84"/>
      <c r="H263" s="84"/>
    </row>
    <row r="264" spans="1:15" s="42" customFormat="1" x14ac:dyDescent="0.35">
      <c r="A264" s="82" t="s">
        <v>238</v>
      </c>
      <c r="B264" s="82"/>
      <c r="C264" s="38" t="s">
        <v>203</v>
      </c>
      <c r="D264" s="54">
        <f>(33.51+3.24+0.75*(2.74+2.13))*10.764</f>
        <v>434.89251000000002</v>
      </c>
      <c r="E264" s="68">
        <v>0</v>
      </c>
      <c r="F264" s="38">
        <f>D264*(($F$160)+1)+(IF(E267&lt;101,E267,IF(E267&lt;201,E267/2,IF(E267&lt;=301,E267/3,E267/4))))</f>
        <v>652.33876499999997</v>
      </c>
      <c r="G264" s="82" t="str">
        <f>A263</f>
        <v>1st to 7th Floor for Residential</v>
      </c>
      <c r="H264" s="82"/>
      <c r="I264" s="33"/>
      <c r="J264" s="74"/>
      <c r="K264" s="74"/>
    </row>
    <row r="265" spans="1:15" s="42" customFormat="1" x14ac:dyDescent="0.35">
      <c r="A265" s="82" t="s">
        <v>239</v>
      </c>
      <c r="B265" s="82"/>
      <c r="C265" s="38" t="s">
        <v>204</v>
      </c>
      <c r="D265" s="54">
        <f>(45.88+3.06+0.75*(2.4+2.14+3.1))*10.764</f>
        <v>588.46788000000004</v>
      </c>
      <c r="E265" s="38">
        <v>0</v>
      </c>
      <c r="F265" s="38">
        <f t="shared" ref="F265:F270" si="18">D265*(($F$160)+1)+(IF(E265&lt;101,E265,IF(E265&lt;201,E265/2,IF(E265&lt;=301,E265/3,E265/4))))</f>
        <v>882.70182</v>
      </c>
      <c r="G265" s="82" t="str">
        <f t="shared" ref="G265:G270" si="19">G264</f>
        <v>1st to 7th Floor for Residential</v>
      </c>
      <c r="H265" s="82"/>
      <c r="I265" s="33"/>
      <c r="J265" s="74"/>
      <c r="K265" s="74"/>
    </row>
    <row r="266" spans="1:15" s="42" customFormat="1" x14ac:dyDescent="0.35">
      <c r="A266" s="82" t="s">
        <v>240</v>
      </c>
      <c r="B266" s="82"/>
      <c r="C266" s="38" t="s">
        <v>204</v>
      </c>
      <c r="D266" s="54">
        <f>(45.88+3.06+0.75*(2.4+2.14+3.1))*10.764</f>
        <v>588.46788000000004</v>
      </c>
      <c r="E266" s="38">
        <v>0</v>
      </c>
      <c r="F266" s="38">
        <f t="shared" si="18"/>
        <v>882.70182</v>
      </c>
      <c r="G266" s="82" t="str">
        <f t="shared" si="19"/>
        <v>1st to 7th Floor for Residential</v>
      </c>
      <c r="H266" s="82"/>
      <c r="I266" s="33"/>
      <c r="J266" s="74"/>
      <c r="K266" s="74"/>
      <c r="L266" s="74"/>
      <c r="M266" s="74"/>
    </row>
    <row r="267" spans="1:15" s="42" customFormat="1" x14ac:dyDescent="0.35">
      <c r="A267" s="82" t="s">
        <v>241</v>
      </c>
      <c r="B267" s="82"/>
      <c r="C267" s="38" t="s">
        <v>203</v>
      </c>
      <c r="D267" s="54">
        <f>(29.01+5.44+0.75*(2.13))*10.764</f>
        <v>388.01528999999999</v>
      </c>
      <c r="E267" s="54">
        <v>0</v>
      </c>
      <c r="F267" s="38">
        <f t="shared" si="18"/>
        <v>582.02293499999996</v>
      </c>
      <c r="G267" s="82" t="str">
        <f t="shared" si="19"/>
        <v>1st to 7th Floor for Residential</v>
      </c>
      <c r="H267" s="82"/>
      <c r="I267" s="33"/>
      <c r="J267" s="74"/>
      <c r="K267" s="74"/>
      <c r="L267" s="74"/>
      <c r="M267" s="74"/>
    </row>
    <row r="268" spans="1:15" s="42" customFormat="1" x14ac:dyDescent="0.35">
      <c r="A268" s="82" t="s">
        <v>242</v>
      </c>
      <c r="B268" s="82"/>
      <c r="C268" s="38" t="s">
        <v>204</v>
      </c>
      <c r="D268" s="54">
        <f>(39.93+5.29+0.75*(2.13))*10.764</f>
        <v>503.94356999999991</v>
      </c>
      <c r="E268" s="38">
        <v>0</v>
      </c>
      <c r="F268" s="38">
        <f t="shared" si="18"/>
        <v>755.91535499999986</v>
      </c>
      <c r="G268" s="82" t="str">
        <f t="shared" si="19"/>
        <v>1st to 7th Floor for Residential</v>
      </c>
      <c r="H268" s="82"/>
      <c r="I268" s="33"/>
      <c r="J268" s="74"/>
      <c r="K268" s="74"/>
      <c r="L268" s="74"/>
      <c r="M268" s="74"/>
    </row>
    <row r="269" spans="1:15" s="42" customFormat="1" x14ac:dyDescent="0.35">
      <c r="A269" s="82" t="s">
        <v>243</v>
      </c>
      <c r="B269" s="82"/>
      <c r="C269" s="38" t="s">
        <v>204</v>
      </c>
      <c r="D269" s="54">
        <f>(45.88+3.06+0.75*(2.4+2.14+2.4))*10.764</f>
        <v>582.81677999999999</v>
      </c>
      <c r="E269" s="38">
        <v>0</v>
      </c>
      <c r="F269" s="38">
        <f t="shared" si="18"/>
        <v>874.22516999999993</v>
      </c>
      <c r="G269" s="82" t="str">
        <f t="shared" si="19"/>
        <v>1st to 7th Floor for Residential</v>
      </c>
      <c r="H269" s="82"/>
      <c r="I269" s="33"/>
      <c r="L269" s="74"/>
      <c r="M269" s="74"/>
      <c r="N269" s="74"/>
      <c r="O269" s="74"/>
    </row>
    <row r="270" spans="1:15" s="42" customFormat="1" x14ac:dyDescent="0.35">
      <c r="A270" s="82" t="s">
        <v>244</v>
      </c>
      <c r="B270" s="82"/>
      <c r="C270" s="38" t="s">
        <v>204</v>
      </c>
      <c r="D270" s="54">
        <f>(45.88+3.06+0.75*(2.4+2.14+2.4))*10.764</f>
        <v>582.81677999999999</v>
      </c>
      <c r="E270" s="38">
        <v>0</v>
      </c>
      <c r="F270" s="38">
        <f t="shared" si="18"/>
        <v>874.22516999999993</v>
      </c>
      <c r="G270" s="82" t="str">
        <f t="shared" si="19"/>
        <v>1st to 7th Floor for Residential</v>
      </c>
      <c r="H270" s="82"/>
      <c r="I270" s="33"/>
      <c r="L270" s="74"/>
      <c r="M270" s="74"/>
      <c r="N270" s="74"/>
      <c r="O270" s="74"/>
    </row>
    <row r="271" spans="1:15" s="32" customFormat="1" x14ac:dyDescent="0.35">
      <c r="A271" s="171" t="s">
        <v>69</v>
      </c>
      <c r="B271" s="171"/>
      <c r="C271" s="171"/>
      <c r="D271" s="171"/>
      <c r="E271" s="171"/>
      <c r="F271" s="171"/>
      <c r="G271" s="171"/>
      <c r="H271" s="171"/>
    </row>
    <row r="272" spans="1:15" s="32" customFormat="1" ht="62" customHeight="1" x14ac:dyDescent="0.35">
      <c r="A272" s="63" t="s">
        <v>157</v>
      </c>
      <c r="B272" s="128" t="s">
        <v>279</v>
      </c>
      <c r="C272" s="128"/>
      <c r="D272" s="128"/>
      <c r="E272" s="128"/>
      <c r="F272" s="128"/>
      <c r="G272" s="128"/>
      <c r="H272" s="128"/>
    </row>
    <row r="273" spans="1:8" s="32" customFormat="1" x14ac:dyDescent="0.35">
      <c r="A273" s="63" t="s">
        <v>157</v>
      </c>
      <c r="B273" s="128" t="str">
        <f>(IF(F159="Saleable area Loading :","We have considered Saleable area of Flats as per our Calculation.","We considered Saleable area of Flat as per Builder area Sheet."))</f>
        <v>We have considered Saleable area of Flats as per our Calculation.</v>
      </c>
      <c r="C273" s="128"/>
      <c r="D273" s="128"/>
      <c r="E273" s="128"/>
      <c r="F273" s="128"/>
      <c r="G273" s="128"/>
      <c r="H273" s="128"/>
    </row>
    <row r="274" spans="1:8" s="32" customFormat="1" x14ac:dyDescent="0.35">
      <c r="A274" s="63" t="s">
        <v>157</v>
      </c>
      <c r="B274" s="128" t="str">
        <f>(IF(F152="Saleable area Loading :","We have considered Saleable area of Commercial as per our Calculation.","We considered Saleable area of Commercial as per Builder area Sheet."))</f>
        <v>We have considered Saleable area of Commercial as per our Calculation.</v>
      </c>
      <c r="C274" s="128"/>
      <c r="D274" s="128"/>
      <c r="E274" s="128"/>
      <c r="F274" s="128"/>
      <c r="G274" s="128"/>
      <c r="H274" s="128"/>
    </row>
    <row r="275" spans="1:8" s="32" customFormat="1" x14ac:dyDescent="0.35">
      <c r="A275" s="63" t="s">
        <v>157</v>
      </c>
      <c r="B275" s="83" t="s">
        <v>125</v>
      </c>
      <c r="C275" s="83"/>
      <c r="D275" s="83"/>
      <c r="E275" s="83"/>
      <c r="F275" s="83"/>
      <c r="G275" s="83"/>
      <c r="H275" s="83"/>
    </row>
    <row r="276" spans="1:8" s="32" customFormat="1" x14ac:dyDescent="0.35">
      <c r="A276" s="41" t="s">
        <v>157</v>
      </c>
      <c r="B276" s="79" t="s">
        <v>126</v>
      </c>
      <c r="C276" s="80"/>
      <c r="D276" s="80"/>
      <c r="E276" s="80"/>
      <c r="F276" s="80"/>
      <c r="G276" s="80"/>
      <c r="H276" s="81"/>
    </row>
    <row r="277" spans="1:8" s="32" customFormat="1" x14ac:dyDescent="0.35">
      <c r="A277" s="41" t="s">
        <v>157</v>
      </c>
      <c r="B277" s="79" t="s">
        <v>156</v>
      </c>
      <c r="C277" s="80"/>
      <c r="D277" s="80"/>
      <c r="E277" s="80"/>
      <c r="F277" s="80"/>
      <c r="G277" s="80"/>
      <c r="H277" s="81"/>
    </row>
    <row r="278" spans="1:8" s="32" customFormat="1" x14ac:dyDescent="0.35">
      <c r="A278" s="41" t="s">
        <v>157</v>
      </c>
      <c r="B278" s="79" t="s">
        <v>127</v>
      </c>
      <c r="C278" s="80"/>
      <c r="D278" s="80"/>
      <c r="E278" s="80"/>
      <c r="F278" s="80"/>
      <c r="G278" s="80"/>
      <c r="H278" s="81"/>
    </row>
    <row r="279" spans="1:8" s="32" customFormat="1" ht="34.5" customHeight="1" x14ac:dyDescent="0.35">
      <c r="A279" s="41" t="s">
        <v>157</v>
      </c>
      <c r="B279" s="79" t="s">
        <v>158</v>
      </c>
      <c r="C279" s="80"/>
      <c r="D279" s="80"/>
      <c r="E279" s="80"/>
      <c r="F279" s="80"/>
      <c r="G279" s="80"/>
      <c r="H279" s="81"/>
    </row>
    <row r="280" spans="1:8" s="32" customFormat="1" x14ac:dyDescent="0.35">
      <c r="A280" s="41" t="s">
        <v>157</v>
      </c>
      <c r="B280" s="79" t="s">
        <v>128</v>
      </c>
      <c r="C280" s="80"/>
      <c r="D280" s="80"/>
      <c r="E280" s="80"/>
      <c r="F280" s="80"/>
      <c r="G280" s="80"/>
      <c r="H280" s="81"/>
    </row>
    <row r="281" spans="1:8" s="32" customFormat="1" ht="31" hidden="1" customHeight="1" x14ac:dyDescent="0.35">
      <c r="A281" s="41" t="s">
        <v>157</v>
      </c>
      <c r="B281" s="79" t="s">
        <v>262</v>
      </c>
      <c r="C281" s="80"/>
      <c r="D281" s="80"/>
      <c r="E281" s="80"/>
      <c r="F281" s="80"/>
      <c r="G281" s="80"/>
      <c r="H281" s="81"/>
    </row>
    <row r="282" spans="1:8" s="32" customFormat="1" x14ac:dyDescent="0.35">
      <c r="A282" s="61" t="s">
        <v>157</v>
      </c>
      <c r="B282" s="79" t="s">
        <v>271</v>
      </c>
      <c r="C282" s="80"/>
      <c r="D282" s="80"/>
      <c r="E282" s="80"/>
      <c r="F282" s="80"/>
      <c r="G282" s="80"/>
      <c r="H282" s="81"/>
    </row>
    <row r="283" spans="1:8" s="32" customFormat="1" x14ac:dyDescent="0.35">
      <c r="A283" s="59" t="s">
        <v>157</v>
      </c>
      <c r="B283" s="79" t="s">
        <v>278</v>
      </c>
      <c r="C283" s="80"/>
      <c r="D283" s="80"/>
      <c r="E283" s="80"/>
      <c r="F283" s="80"/>
      <c r="G283" s="80"/>
      <c r="H283" s="81"/>
    </row>
    <row r="284" spans="1:8" x14ac:dyDescent="0.35">
      <c r="A284" s="119" t="s">
        <v>62</v>
      </c>
      <c r="B284" s="119"/>
      <c r="C284" s="119"/>
      <c r="D284" s="119"/>
      <c r="E284" s="119"/>
      <c r="F284" s="119"/>
      <c r="G284" s="119"/>
      <c r="H284" s="119"/>
    </row>
    <row r="285" spans="1:8" x14ac:dyDescent="0.35">
      <c r="A285" s="98" t="s">
        <v>63</v>
      </c>
      <c r="B285" s="98"/>
      <c r="C285" s="98"/>
      <c r="D285" s="98"/>
      <c r="E285" s="98"/>
      <c r="F285" s="98"/>
      <c r="G285" s="98"/>
      <c r="H285" s="98"/>
    </row>
    <row r="286" spans="1:8" ht="15.75" customHeight="1" x14ac:dyDescent="0.35">
      <c r="A286" s="99" t="s">
        <v>64</v>
      </c>
      <c r="B286" s="99"/>
      <c r="C286" s="99"/>
      <c r="D286" s="99"/>
      <c r="E286" s="99"/>
      <c r="F286" s="99"/>
      <c r="G286" s="99"/>
      <c r="H286" s="99"/>
    </row>
    <row r="287" spans="1:8" x14ac:dyDescent="0.35">
      <c r="A287" s="98" t="s">
        <v>65</v>
      </c>
      <c r="B287" s="98"/>
      <c r="C287" s="98"/>
      <c r="D287" s="98"/>
      <c r="E287" s="98"/>
      <c r="F287" s="98"/>
      <c r="G287" s="98"/>
      <c r="H287" s="98"/>
    </row>
    <row r="288" spans="1:8" x14ac:dyDescent="0.35">
      <c r="A288" s="98" t="s">
        <v>66</v>
      </c>
      <c r="B288" s="98"/>
      <c r="C288" s="98"/>
      <c r="D288" s="98"/>
      <c r="E288" s="98"/>
      <c r="F288" s="98"/>
      <c r="G288" s="98"/>
      <c r="H288" s="98"/>
    </row>
    <row r="289" spans="1:8" x14ac:dyDescent="0.35">
      <c r="A289" s="98" t="s">
        <v>129</v>
      </c>
      <c r="B289" s="98"/>
      <c r="C289" s="98"/>
      <c r="D289" s="98"/>
      <c r="E289" s="98"/>
      <c r="F289" s="98"/>
      <c r="G289" s="98"/>
      <c r="H289" s="98"/>
    </row>
    <row r="290" spans="1:8" x14ac:dyDescent="0.35">
      <c r="A290" s="120" t="s">
        <v>130</v>
      </c>
      <c r="B290" s="120"/>
      <c r="C290" s="120"/>
      <c r="D290" s="120"/>
      <c r="E290" s="120"/>
      <c r="F290" s="120"/>
      <c r="G290" s="120"/>
      <c r="H290" s="120"/>
    </row>
    <row r="291" spans="1:8" x14ac:dyDescent="0.35">
      <c r="A291" s="127" t="s">
        <v>79</v>
      </c>
      <c r="B291" s="127"/>
      <c r="C291" s="127" t="s">
        <v>265</v>
      </c>
      <c r="D291" s="127"/>
      <c r="E291" s="127" t="s">
        <v>107</v>
      </c>
      <c r="F291" s="127"/>
      <c r="G291" s="127" t="s">
        <v>269</v>
      </c>
      <c r="H291" s="127"/>
    </row>
    <row r="292" spans="1:8" x14ac:dyDescent="0.35">
      <c r="A292" s="126" t="s">
        <v>81</v>
      </c>
      <c r="B292" s="126"/>
      <c r="C292" s="126"/>
      <c r="D292" s="126"/>
      <c r="E292" s="126"/>
      <c r="F292" s="126"/>
      <c r="G292" s="126"/>
      <c r="H292" s="126"/>
    </row>
    <row r="293" spans="1:8" x14ac:dyDescent="0.35">
      <c r="A293" s="126"/>
      <c r="B293" s="126"/>
      <c r="C293" s="126"/>
      <c r="D293" s="126"/>
      <c r="E293" s="126"/>
      <c r="F293" s="126"/>
      <c r="G293" s="126"/>
      <c r="H293" s="126"/>
    </row>
    <row r="294" spans="1:8" x14ac:dyDescent="0.35">
      <c r="A294" s="126"/>
      <c r="B294" s="126"/>
      <c r="C294" s="126"/>
      <c r="D294" s="126"/>
      <c r="E294" s="126"/>
      <c r="F294" s="126"/>
      <c r="G294" s="126"/>
      <c r="H294" s="126"/>
    </row>
    <row r="295" spans="1:8" x14ac:dyDescent="0.35">
      <c r="A295" s="126"/>
      <c r="B295" s="126"/>
      <c r="C295" s="126"/>
      <c r="D295" s="126"/>
      <c r="E295" s="126"/>
      <c r="F295" s="126"/>
      <c r="G295" s="126"/>
      <c r="H295" s="126"/>
    </row>
    <row r="296" spans="1:8" x14ac:dyDescent="0.35">
      <c r="A296" s="34" t="s">
        <v>67</v>
      </c>
      <c r="B296" s="35"/>
      <c r="C296" s="35"/>
      <c r="D296" s="34" t="str">
        <f>E8</f>
        <v>Shreeji Greens</v>
      </c>
      <c r="F296" s="35"/>
      <c r="G296" s="35"/>
      <c r="H296" s="35"/>
    </row>
    <row r="297" spans="1:8" x14ac:dyDescent="0.35">
      <c r="A297" s="35"/>
      <c r="B297" s="35"/>
      <c r="C297" s="35"/>
      <c r="D297" s="35"/>
      <c r="E297" s="35"/>
      <c r="F297" s="35"/>
      <c r="G297" s="35"/>
      <c r="H297" s="35"/>
    </row>
    <row r="298" spans="1:8" x14ac:dyDescent="0.35">
      <c r="A298" s="35"/>
      <c r="B298" s="35"/>
      <c r="C298" s="35"/>
      <c r="D298" s="35"/>
      <c r="E298" s="35"/>
      <c r="F298" s="35"/>
      <c r="G298" s="35"/>
      <c r="H298" s="35"/>
    </row>
    <row r="299" spans="1:8" ht="15" customHeight="1" x14ac:dyDescent="0.35"/>
    <row r="339" spans="1:1" x14ac:dyDescent="0.35">
      <c r="A339" s="37" t="s">
        <v>172</v>
      </c>
    </row>
    <row r="382" spans="1:1" x14ac:dyDescent="0.35">
      <c r="A382" s="37" t="s">
        <v>68</v>
      </c>
    </row>
  </sheetData>
  <mergeCells count="726">
    <mergeCell ref="B282:H282"/>
    <mergeCell ref="I61:M61"/>
    <mergeCell ref="A99:B99"/>
    <mergeCell ref="E99:F99"/>
    <mergeCell ref="G99:H99"/>
    <mergeCell ref="A82:B82"/>
    <mergeCell ref="C82:H82"/>
    <mergeCell ref="A84:B84"/>
    <mergeCell ref="C84:H84"/>
    <mergeCell ref="A85:B85"/>
    <mergeCell ref="E85:F85"/>
    <mergeCell ref="G85:H85"/>
    <mergeCell ref="A86:B86"/>
    <mergeCell ref="E86:F95"/>
    <mergeCell ref="G86:H95"/>
    <mergeCell ref="A87:B87"/>
    <mergeCell ref="A88:B88"/>
    <mergeCell ref="A89:B89"/>
    <mergeCell ref="A90:B90"/>
    <mergeCell ref="A91:B91"/>
    <mergeCell ref="A92:B92"/>
    <mergeCell ref="A93:B93"/>
    <mergeCell ref="A94:B94"/>
    <mergeCell ref="A95:B95"/>
    <mergeCell ref="G100:H109"/>
    <mergeCell ref="A101:B101"/>
    <mergeCell ref="A102:B102"/>
    <mergeCell ref="A103:B103"/>
    <mergeCell ref="F128:H128"/>
    <mergeCell ref="A128:E128"/>
    <mergeCell ref="G239:H239"/>
    <mergeCell ref="G226:H226"/>
    <mergeCell ref="G191:H191"/>
    <mergeCell ref="D152:D153"/>
    <mergeCell ref="A130:E130"/>
    <mergeCell ref="A156:B156"/>
    <mergeCell ref="A157:B157"/>
    <mergeCell ref="A131:E131"/>
    <mergeCell ref="A110:B111"/>
    <mergeCell ref="C110:D111"/>
    <mergeCell ref="E110:F111"/>
    <mergeCell ref="G110:H111"/>
    <mergeCell ref="A132:E132"/>
    <mergeCell ref="F132:H132"/>
    <mergeCell ref="A133:E133"/>
    <mergeCell ref="A135:E135"/>
    <mergeCell ref="F129:H129"/>
    <mergeCell ref="A134:E134"/>
    <mergeCell ref="A119:B119"/>
    <mergeCell ref="A120:B120"/>
    <mergeCell ref="A121:B121"/>
    <mergeCell ref="A123:B123"/>
    <mergeCell ref="A124:B124"/>
    <mergeCell ref="A129:E129"/>
    <mergeCell ref="A126:E126"/>
    <mergeCell ref="F130:H130"/>
    <mergeCell ref="G116:H125"/>
    <mergeCell ref="A117:B117"/>
    <mergeCell ref="A118:B118"/>
    <mergeCell ref="G115:H115"/>
    <mergeCell ref="A114:B114"/>
    <mergeCell ref="C114:H114"/>
    <mergeCell ref="A115:B115"/>
    <mergeCell ref="E115:F115"/>
    <mergeCell ref="A271:H271"/>
    <mergeCell ref="A247:B247"/>
    <mergeCell ref="A248:B248"/>
    <mergeCell ref="G246:H246"/>
    <mergeCell ref="C152:C153"/>
    <mergeCell ref="B159:B160"/>
    <mergeCell ref="A237:H237"/>
    <mergeCell ref="A181:B181"/>
    <mergeCell ref="G240:H240"/>
    <mergeCell ref="G238:H238"/>
    <mergeCell ref="A178:B178"/>
    <mergeCell ref="A154:H154"/>
    <mergeCell ref="A182:B182"/>
    <mergeCell ref="G182:H182"/>
    <mergeCell ref="A186:B186"/>
    <mergeCell ref="G186:H186"/>
    <mergeCell ref="A190:B190"/>
    <mergeCell ref="G190:H190"/>
    <mergeCell ref="A229:B229"/>
    <mergeCell ref="J181:K181"/>
    <mergeCell ref="G178:H178"/>
    <mergeCell ref="J178:K178"/>
    <mergeCell ref="A179:B179"/>
    <mergeCell ref="G179:H179"/>
    <mergeCell ref="J179:K179"/>
    <mergeCell ref="A180:B180"/>
    <mergeCell ref="G180:H180"/>
    <mergeCell ref="J180:K180"/>
    <mergeCell ref="L157:M157"/>
    <mergeCell ref="L156:M156"/>
    <mergeCell ref="A79:B79"/>
    <mergeCell ref="C146:D146"/>
    <mergeCell ref="E146:F146"/>
    <mergeCell ref="G146:H146"/>
    <mergeCell ref="F133:H133"/>
    <mergeCell ref="A127:E127"/>
    <mergeCell ref="A112:B112"/>
    <mergeCell ref="C112:H112"/>
    <mergeCell ref="A155:H155"/>
    <mergeCell ref="E152:E153"/>
    <mergeCell ref="G152:H153"/>
    <mergeCell ref="A100:B100"/>
    <mergeCell ref="E100:F109"/>
    <mergeCell ref="A107:B107"/>
    <mergeCell ref="A108:B108"/>
    <mergeCell ref="A109:B109"/>
    <mergeCell ref="A116:B116"/>
    <mergeCell ref="E116:F125"/>
    <mergeCell ref="F126:H126"/>
    <mergeCell ref="F131:H131"/>
    <mergeCell ref="A98:B98"/>
    <mergeCell ref="C98:H98"/>
    <mergeCell ref="A60:C60"/>
    <mergeCell ref="A61:C61"/>
    <mergeCell ref="D60:H60"/>
    <mergeCell ref="E72:F81"/>
    <mergeCell ref="G72:H81"/>
    <mergeCell ref="A80:B80"/>
    <mergeCell ref="A81:B81"/>
    <mergeCell ref="D61:H61"/>
    <mergeCell ref="A42:D42"/>
    <mergeCell ref="E42:H42"/>
    <mergeCell ref="E43:H43"/>
    <mergeCell ref="E44:H44"/>
    <mergeCell ref="E45:H45"/>
    <mergeCell ref="A43:D43"/>
    <mergeCell ref="A47:B47"/>
    <mergeCell ref="C47:H47"/>
    <mergeCell ref="A44:D44"/>
    <mergeCell ref="A45:D45"/>
    <mergeCell ref="A46:H46"/>
    <mergeCell ref="D56:H56"/>
    <mergeCell ref="A56:C56"/>
    <mergeCell ref="G49:H49"/>
    <mergeCell ref="A50:B51"/>
    <mergeCell ref="A78:B78"/>
    <mergeCell ref="A36:H36"/>
    <mergeCell ref="A35:B35"/>
    <mergeCell ref="C35:E35"/>
    <mergeCell ref="C37:H37"/>
    <mergeCell ref="A40:D40"/>
    <mergeCell ref="E40:H40"/>
    <mergeCell ref="F34:H34"/>
    <mergeCell ref="F33:H33"/>
    <mergeCell ref="A39:H39"/>
    <mergeCell ref="F35:H35"/>
    <mergeCell ref="A37:B37"/>
    <mergeCell ref="A38:B38"/>
    <mergeCell ref="C38:H38"/>
    <mergeCell ref="E25:H25"/>
    <mergeCell ref="A27:D27"/>
    <mergeCell ref="E27:H27"/>
    <mergeCell ref="A24:D24"/>
    <mergeCell ref="E24:H24"/>
    <mergeCell ref="A28:D28"/>
    <mergeCell ref="E28:H28"/>
    <mergeCell ref="A25:D25"/>
    <mergeCell ref="A34:B34"/>
    <mergeCell ref="C34:E34"/>
    <mergeCell ref="A29:D29"/>
    <mergeCell ref="E29:H29"/>
    <mergeCell ref="A30:D30"/>
    <mergeCell ref="E30:H30"/>
    <mergeCell ref="A26:D26"/>
    <mergeCell ref="E26:H26"/>
    <mergeCell ref="C31:E31"/>
    <mergeCell ref="F32:H32"/>
    <mergeCell ref="F31:H31"/>
    <mergeCell ref="A32:B32"/>
    <mergeCell ref="A31:B31"/>
    <mergeCell ref="C32:E32"/>
    <mergeCell ref="A33:B33"/>
    <mergeCell ref="C33:E33"/>
    <mergeCell ref="A21:D22"/>
    <mergeCell ref="E21:H22"/>
    <mergeCell ref="E13:H13"/>
    <mergeCell ref="A14:B14"/>
    <mergeCell ref="C14:H14"/>
    <mergeCell ref="C15:H15"/>
    <mergeCell ref="A23:D23"/>
    <mergeCell ref="E23:H23"/>
    <mergeCell ref="A17:B17"/>
    <mergeCell ref="C17:D17"/>
    <mergeCell ref="E17:F17"/>
    <mergeCell ref="G17:H17"/>
    <mergeCell ref="A18:B18"/>
    <mergeCell ref="C18:D18"/>
    <mergeCell ref="E18:F18"/>
    <mergeCell ref="G18:H18"/>
    <mergeCell ref="A19:B19"/>
    <mergeCell ref="C19:D19"/>
    <mergeCell ref="E19:F19"/>
    <mergeCell ref="G19:H19"/>
    <mergeCell ref="A20:B20"/>
    <mergeCell ref="C20:D20"/>
    <mergeCell ref="E20:F20"/>
    <mergeCell ref="G20:H20"/>
    <mergeCell ref="A11:D11"/>
    <mergeCell ref="E11:H11"/>
    <mergeCell ref="A5:D5"/>
    <mergeCell ref="E5:H5"/>
    <mergeCell ref="A6:D6"/>
    <mergeCell ref="E6:H6"/>
    <mergeCell ref="A7:D7"/>
    <mergeCell ref="E7:H7"/>
    <mergeCell ref="A15:B15"/>
    <mergeCell ref="A12:D12"/>
    <mergeCell ref="E12:H12"/>
    <mergeCell ref="A13:D13"/>
    <mergeCell ref="A10:D10"/>
    <mergeCell ref="E10:H10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71:B71"/>
    <mergeCell ref="A74:B74"/>
    <mergeCell ref="A69:B69"/>
    <mergeCell ref="A67:B67"/>
    <mergeCell ref="C67:H67"/>
    <mergeCell ref="A76:B76"/>
    <mergeCell ref="A62:C62"/>
    <mergeCell ref="D62:H62"/>
    <mergeCell ref="C69:H69"/>
    <mergeCell ref="A73:B73"/>
    <mergeCell ref="A75:B75"/>
    <mergeCell ref="E71:F71"/>
    <mergeCell ref="A63:C63"/>
    <mergeCell ref="D63:H63"/>
    <mergeCell ref="A66:C66"/>
    <mergeCell ref="D66:H66"/>
    <mergeCell ref="A64:C64"/>
    <mergeCell ref="D64:H64"/>
    <mergeCell ref="A65:C65"/>
    <mergeCell ref="D65:H65"/>
    <mergeCell ref="A72:B72"/>
    <mergeCell ref="G71:H71"/>
    <mergeCell ref="A70:B70"/>
    <mergeCell ref="A141:H141"/>
    <mergeCell ref="A139:E139"/>
    <mergeCell ref="F139:H139"/>
    <mergeCell ref="A140:E140"/>
    <mergeCell ref="F140:H140"/>
    <mergeCell ref="A146:B146"/>
    <mergeCell ref="A240:B240"/>
    <mergeCell ref="A143:B143"/>
    <mergeCell ref="A287:H287"/>
    <mergeCell ref="A144:H144"/>
    <mergeCell ref="A284:H284"/>
    <mergeCell ref="A285:H285"/>
    <mergeCell ref="E145:F145"/>
    <mergeCell ref="B280:H280"/>
    <mergeCell ref="G156:H156"/>
    <mergeCell ref="G157:H157"/>
    <mergeCell ref="B278:H278"/>
    <mergeCell ref="B283:H283"/>
    <mergeCell ref="A183:B183"/>
    <mergeCell ref="A184:B184"/>
    <mergeCell ref="A185:B185"/>
    <mergeCell ref="A162:H162"/>
    <mergeCell ref="A163:B163"/>
    <mergeCell ref="B152:B153"/>
    <mergeCell ref="A292:H295"/>
    <mergeCell ref="A291:B291"/>
    <mergeCell ref="E291:F291"/>
    <mergeCell ref="C291:D291"/>
    <mergeCell ref="G291:H291"/>
    <mergeCell ref="A290:H290"/>
    <mergeCell ref="A288:H288"/>
    <mergeCell ref="A210:B210"/>
    <mergeCell ref="B274:H274"/>
    <mergeCell ref="A252:B252"/>
    <mergeCell ref="G252:H252"/>
    <mergeCell ref="G251:H251"/>
    <mergeCell ref="A251:B251"/>
    <mergeCell ref="A254:B254"/>
    <mergeCell ref="G254:H254"/>
    <mergeCell ref="A253:B253"/>
    <mergeCell ref="G225:H225"/>
    <mergeCell ref="G253:H253"/>
    <mergeCell ref="B272:H272"/>
    <mergeCell ref="B273:H273"/>
    <mergeCell ref="G210:H210"/>
    <mergeCell ref="G229:H229"/>
    <mergeCell ref="A236:B236"/>
    <mergeCell ref="G236:H236"/>
    <mergeCell ref="A152:A153"/>
    <mergeCell ref="C159:C160"/>
    <mergeCell ref="C149:D149"/>
    <mergeCell ref="A177:H177"/>
    <mergeCell ref="G181:H181"/>
    <mergeCell ref="F136:H136"/>
    <mergeCell ref="E142:F142"/>
    <mergeCell ref="A142:B142"/>
    <mergeCell ref="A137:E137"/>
    <mergeCell ref="G149:H149"/>
    <mergeCell ref="A147:B147"/>
    <mergeCell ref="C147:D147"/>
    <mergeCell ref="E147:F147"/>
    <mergeCell ref="G147:H147"/>
    <mergeCell ref="C145:D145"/>
    <mergeCell ref="G145:H145"/>
    <mergeCell ref="A149:B149"/>
    <mergeCell ref="E149:F149"/>
    <mergeCell ref="A138:E138"/>
    <mergeCell ref="F138:H138"/>
    <mergeCell ref="A150:H150"/>
    <mergeCell ref="A158:H158"/>
    <mergeCell ref="A159:A160"/>
    <mergeCell ref="G163:H163"/>
    <mergeCell ref="A52:B52"/>
    <mergeCell ref="C52:E52"/>
    <mergeCell ref="A49:B49"/>
    <mergeCell ref="A53:H53"/>
    <mergeCell ref="A54:C54"/>
    <mergeCell ref="A55:C55"/>
    <mergeCell ref="D55:H55"/>
    <mergeCell ref="G52:H52"/>
    <mergeCell ref="D59:H59"/>
    <mergeCell ref="C51:H51"/>
    <mergeCell ref="A289:H289"/>
    <mergeCell ref="A286:H286"/>
    <mergeCell ref="G247:H247"/>
    <mergeCell ref="A191:B191"/>
    <mergeCell ref="A145:B145"/>
    <mergeCell ref="D159:D160"/>
    <mergeCell ref="E159:E160"/>
    <mergeCell ref="G159:H160"/>
    <mergeCell ref="A104:B104"/>
    <mergeCell ref="A105:B105"/>
    <mergeCell ref="A106:B106"/>
    <mergeCell ref="A122:B122"/>
    <mergeCell ref="F127:H127"/>
    <mergeCell ref="G143:H143"/>
    <mergeCell ref="A125:B125"/>
    <mergeCell ref="F134:H134"/>
    <mergeCell ref="C142:D142"/>
    <mergeCell ref="F137:H137"/>
    <mergeCell ref="F135:H135"/>
    <mergeCell ref="A151:H151"/>
    <mergeCell ref="G142:H142"/>
    <mergeCell ref="A136:E136"/>
    <mergeCell ref="C143:D143"/>
    <mergeCell ref="E143:F143"/>
    <mergeCell ref="J182:K182"/>
    <mergeCell ref="G183:H183"/>
    <mergeCell ref="L183:M183"/>
    <mergeCell ref="G184:H184"/>
    <mergeCell ref="L184:M184"/>
    <mergeCell ref="G185:H185"/>
    <mergeCell ref="L185:M185"/>
    <mergeCell ref="A16:B16"/>
    <mergeCell ref="C16:H16"/>
    <mergeCell ref="E41:H41"/>
    <mergeCell ref="A41:D41"/>
    <mergeCell ref="A96:B96"/>
    <mergeCell ref="C96:H96"/>
    <mergeCell ref="A77:B77"/>
    <mergeCell ref="A48:B48"/>
    <mergeCell ref="C48:E48"/>
    <mergeCell ref="G48:H48"/>
    <mergeCell ref="G50:H50"/>
    <mergeCell ref="D54:H54"/>
    <mergeCell ref="C50:E50"/>
    <mergeCell ref="A57:C59"/>
    <mergeCell ref="D57:H57"/>
    <mergeCell ref="D58:H58"/>
    <mergeCell ref="C49:E49"/>
    <mergeCell ref="J210:K210"/>
    <mergeCell ref="L210:M210"/>
    <mergeCell ref="A211:B211"/>
    <mergeCell ref="G211:H211"/>
    <mergeCell ref="L186:M186"/>
    <mergeCell ref="G187:H187"/>
    <mergeCell ref="L187:M187"/>
    <mergeCell ref="G188:H188"/>
    <mergeCell ref="L188:M188"/>
    <mergeCell ref="G189:H189"/>
    <mergeCell ref="L189:M189"/>
    <mergeCell ref="L190:M190"/>
    <mergeCell ref="A207:H207"/>
    <mergeCell ref="A208:B208"/>
    <mergeCell ref="G208:H208"/>
    <mergeCell ref="J208:K208"/>
    <mergeCell ref="L208:M208"/>
    <mergeCell ref="A209:B209"/>
    <mergeCell ref="G209:H209"/>
    <mergeCell ref="J209:K209"/>
    <mergeCell ref="L209:M209"/>
    <mergeCell ref="A187:B187"/>
    <mergeCell ref="A188:B188"/>
    <mergeCell ref="A189:B189"/>
    <mergeCell ref="L229:M229"/>
    <mergeCell ref="A230:B230"/>
    <mergeCell ref="G230:H230"/>
    <mergeCell ref="L230:M230"/>
    <mergeCell ref="A231:B231"/>
    <mergeCell ref="G231:H231"/>
    <mergeCell ref="L231:M231"/>
    <mergeCell ref="A232:B232"/>
    <mergeCell ref="G232:H232"/>
    <mergeCell ref="L232:M232"/>
    <mergeCell ref="J236:K236"/>
    <mergeCell ref="A233:B233"/>
    <mergeCell ref="G233:H233"/>
    <mergeCell ref="L233:M233"/>
    <mergeCell ref="A234:B234"/>
    <mergeCell ref="G234:H234"/>
    <mergeCell ref="L234:M234"/>
    <mergeCell ref="A235:B235"/>
    <mergeCell ref="G235:H235"/>
    <mergeCell ref="J235:K235"/>
    <mergeCell ref="N187:O187"/>
    <mergeCell ref="N188:O188"/>
    <mergeCell ref="N189:O189"/>
    <mergeCell ref="N190:O190"/>
    <mergeCell ref="N191:O191"/>
    <mergeCell ref="L178:M178"/>
    <mergeCell ref="L179:M179"/>
    <mergeCell ref="L180:M180"/>
    <mergeCell ref="L181:M181"/>
    <mergeCell ref="L182:M182"/>
    <mergeCell ref="N183:O183"/>
    <mergeCell ref="N184:O184"/>
    <mergeCell ref="N185:O185"/>
    <mergeCell ref="N186:O186"/>
    <mergeCell ref="L191:M191"/>
    <mergeCell ref="A166:B166"/>
    <mergeCell ref="G166:H166"/>
    <mergeCell ref="A171:B171"/>
    <mergeCell ref="G171:H171"/>
    <mergeCell ref="A174:B174"/>
    <mergeCell ref="G174:H174"/>
    <mergeCell ref="J163:K163"/>
    <mergeCell ref="L163:M163"/>
    <mergeCell ref="A164:B164"/>
    <mergeCell ref="G164:H164"/>
    <mergeCell ref="J164:K164"/>
    <mergeCell ref="L164:M164"/>
    <mergeCell ref="A165:B165"/>
    <mergeCell ref="G165:H165"/>
    <mergeCell ref="J165:K165"/>
    <mergeCell ref="L165:M165"/>
    <mergeCell ref="J166:K166"/>
    <mergeCell ref="L166:M166"/>
    <mergeCell ref="A167:B167"/>
    <mergeCell ref="G167:H167"/>
    <mergeCell ref="J167:K167"/>
    <mergeCell ref="L167:M167"/>
    <mergeCell ref="A168:B168"/>
    <mergeCell ref="G168:H168"/>
    <mergeCell ref="L168:M168"/>
    <mergeCell ref="N168:O168"/>
    <mergeCell ref="A169:B169"/>
    <mergeCell ref="G169:H169"/>
    <mergeCell ref="L169:M169"/>
    <mergeCell ref="N169:O169"/>
    <mergeCell ref="A170:B170"/>
    <mergeCell ref="G170:H170"/>
    <mergeCell ref="L170:M170"/>
    <mergeCell ref="N170:O170"/>
    <mergeCell ref="L171:M171"/>
    <mergeCell ref="N171:O171"/>
    <mergeCell ref="A172:B172"/>
    <mergeCell ref="G172:H172"/>
    <mergeCell ref="L172:M172"/>
    <mergeCell ref="N172:O172"/>
    <mergeCell ref="A173:B173"/>
    <mergeCell ref="G173:H173"/>
    <mergeCell ref="L173:M173"/>
    <mergeCell ref="N173:O173"/>
    <mergeCell ref="L174:M174"/>
    <mergeCell ref="N174:O174"/>
    <mergeCell ref="A175:B175"/>
    <mergeCell ref="G175:H175"/>
    <mergeCell ref="L175:M175"/>
    <mergeCell ref="N175:O175"/>
    <mergeCell ref="A176:B176"/>
    <mergeCell ref="G176:H176"/>
    <mergeCell ref="L176:M176"/>
    <mergeCell ref="N176:O176"/>
    <mergeCell ref="J211:K211"/>
    <mergeCell ref="L211:M211"/>
    <mergeCell ref="A212:B212"/>
    <mergeCell ref="G212:H212"/>
    <mergeCell ref="J212:K212"/>
    <mergeCell ref="L212:M212"/>
    <mergeCell ref="A213:B213"/>
    <mergeCell ref="G213:H213"/>
    <mergeCell ref="L213:M213"/>
    <mergeCell ref="N213:O213"/>
    <mergeCell ref="A214:B214"/>
    <mergeCell ref="G214:H214"/>
    <mergeCell ref="L214:M214"/>
    <mergeCell ref="N214:O214"/>
    <mergeCell ref="A215:B215"/>
    <mergeCell ref="G215:H215"/>
    <mergeCell ref="L215:M215"/>
    <mergeCell ref="N215:O215"/>
    <mergeCell ref="A216:B216"/>
    <mergeCell ref="G216:H216"/>
    <mergeCell ref="L216:M216"/>
    <mergeCell ref="N216:O216"/>
    <mergeCell ref="A217:B217"/>
    <mergeCell ref="G217:H217"/>
    <mergeCell ref="L217:M217"/>
    <mergeCell ref="N217:O217"/>
    <mergeCell ref="A218:B218"/>
    <mergeCell ref="G218:H218"/>
    <mergeCell ref="L218:M218"/>
    <mergeCell ref="N218:O218"/>
    <mergeCell ref="L227:M227"/>
    <mergeCell ref="A219:B219"/>
    <mergeCell ref="G219:H219"/>
    <mergeCell ref="L219:M219"/>
    <mergeCell ref="N219:O219"/>
    <mergeCell ref="A220:B220"/>
    <mergeCell ref="G220:H220"/>
    <mergeCell ref="L220:M220"/>
    <mergeCell ref="N220:O220"/>
    <mergeCell ref="A221:B221"/>
    <mergeCell ref="G221:H221"/>
    <mergeCell ref="L221:M221"/>
    <mergeCell ref="N221:O221"/>
    <mergeCell ref="N234:O234"/>
    <mergeCell ref="L235:M235"/>
    <mergeCell ref="L236:M236"/>
    <mergeCell ref="A222:H222"/>
    <mergeCell ref="A223:H223"/>
    <mergeCell ref="A238:B238"/>
    <mergeCell ref="J238:K238"/>
    <mergeCell ref="A228:B228"/>
    <mergeCell ref="G228:H228"/>
    <mergeCell ref="J228:K228"/>
    <mergeCell ref="L228:M228"/>
    <mergeCell ref="J229:K229"/>
    <mergeCell ref="N230:O230"/>
    <mergeCell ref="N231:O231"/>
    <mergeCell ref="N232:O232"/>
    <mergeCell ref="N233:O233"/>
    <mergeCell ref="A224:H224"/>
    <mergeCell ref="A225:B225"/>
    <mergeCell ref="J225:K225"/>
    <mergeCell ref="A226:B226"/>
    <mergeCell ref="J226:K226"/>
    <mergeCell ref="A227:B227"/>
    <mergeCell ref="G227:H227"/>
    <mergeCell ref="J227:K227"/>
    <mergeCell ref="A239:B239"/>
    <mergeCell ref="J239:K239"/>
    <mergeCell ref="L239:M239"/>
    <mergeCell ref="J240:K240"/>
    <mergeCell ref="L240:M240"/>
    <mergeCell ref="A241:B241"/>
    <mergeCell ref="G241:H241"/>
    <mergeCell ref="J241:K241"/>
    <mergeCell ref="L241:M241"/>
    <mergeCell ref="C240:F240"/>
    <mergeCell ref="L245:M245"/>
    <mergeCell ref="N245:O245"/>
    <mergeCell ref="A246:B246"/>
    <mergeCell ref="L246:M246"/>
    <mergeCell ref="N246:O246"/>
    <mergeCell ref="L247:M247"/>
    <mergeCell ref="N247:O247"/>
    <mergeCell ref="A242:B242"/>
    <mergeCell ref="G242:H242"/>
    <mergeCell ref="J242:K242"/>
    <mergeCell ref="L242:M242"/>
    <mergeCell ref="A243:B243"/>
    <mergeCell ref="G243:H243"/>
    <mergeCell ref="L243:M243"/>
    <mergeCell ref="N243:O243"/>
    <mergeCell ref="A244:B244"/>
    <mergeCell ref="G244:H244"/>
    <mergeCell ref="L244:M244"/>
    <mergeCell ref="N244:O244"/>
    <mergeCell ref="L253:M253"/>
    <mergeCell ref="J254:K254"/>
    <mergeCell ref="L254:M254"/>
    <mergeCell ref="J248:K248"/>
    <mergeCell ref="L248:M248"/>
    <mergeCell ref="A249:B249"/>
    <mergeCell ref="G249:H249"/>
    <mergeCell ref="J249:K249"/>
    <mergeCell ref="L249:M249"/>
    <mergeCell ref="G248:H248"/>
    <mergeCell ref="L255:M255"/>
    <mergeCell ref="A256:B256"/>
    <mergeCell ref="G256:H256"/>
    <mergeCell ref="L256:M256"/>
    <mergeCell ref="N256:O256"/>
    <mergeCell ref="A257:B257"/>
    <mergeCell ref="G257:H257"/>
    <mergeCell ref="L257:M257"/>
    <mergeCell ref="N257:O257"/>
    <mergeCell ref="L258:M258"/>
    <mergeCell ref="N258:O258"/>
    <mergeCell ref="A259:B259"/>
    <mergeCell ref="G259:H259"/>
    <mergeCell ref="L259:M259"/>
    <mergeCell ref="N259:O259"/>
    <mergeCell ref="A260:B260"/>
    <mergeCell ref="G260:H260"/>
    <mergeCell ref="L260:M260"/>
    <mergeCell ref="N260:O260"/>
    <mergeCell ref="A262:H262"/>
    <mergeCell ref="A263:H263"/>
    <mergeCell ref="A264:B264"/>
    <mergeCell ref="G264:H264"/>
    <mergeCell ref="J264:K264"/>
    <mergeCell ref="A265:B265"/>
    <mergeCell ref="G265:H265"/>
    <mergeCell ref="J265:K265"/>
    <mergeCell ref="A148:B148"/>
    <mergeCell ref="C148:D148"/>
    <mergeCell ref="E148:F148"/>
    <mergeCell ref="G148:H148"/>
    <mergeCell ref="A261:H261"/>
    <mergeCell ref="A258:B258"/>
    <mergeCell ref="G258:H258"/>
    <mergeCell ref="A255:B255"/>
    <mergeCell ref="G255:H255"/>
    <mergeCell ref="J255:K255"/>
    <mergeCell ref="A250:H250"/>
    <mergeCell ref="J251:K251"/>
    <mergeCell ref="J252:K252"/>
    <mergeCell ref="J253:K253"/>
    <mergeCell ref="A245:B245"/>
    <mergeCell ref="G245:H245"/>
    <mergeCell ref="A266:B266"/>
    <mergeCell ref="G266:H266"/>
    <mergeCell ref="J266:K266"/>
    <mergeCell ref="L266:M266"/>
    <mergeCell ref="A267:B267"/>
    <mergeCell ref="G267:H267"/>
    <mergeCell ref="J267:K267"/>
    <mergeCell ref="L267:M267"/>
    <mergeCell ref="A268:B268"/>
    <mergeCell ref="G268:H268"/>
    <mergeCell ref="J268:K268"/>
    <mergeCell ref="L268:M268"/>
    <mergeCell ref="B281:H281"/>
    <mergeCell ref="A269:B269"/>
    <mergeCell ref="G269:H269"/>
    <mergeCell ref="L269:M269"/>
    <mergeCell ref="N269:O269"/>
    <mergeCell ref="A270:B270"/>
    <mergeCell ref="G270:H270"/>
    <mergeCell ref="L270:M270"/>
    <mergeCell ref="N270:O270"/>
    <mergeCell ref="B279:H279"/>
    <mergeCell ref="B277:H277"/>
    <mergeCell ref="B275:H275"/>
    <mergeCell ref="B276:H276"/>
    <mergeCell ref="A197:B197"/>
    <mergeCell ref="G197:H197"/>
    <mergeCell ref="J197:K197"/>
    <mergeCell ref="L197:M197"/>
    <mergeCell ref="A192:H192"/>
    <mergeCell ref="A193:B193"/>
    <mergeCell ref="G193:H193"/>
    <mergeCell ref="J193:K193"/>
    <mergeCell ref="L193:M193"/>
    <mergeCell ref="A194:B194"/>
    <mergeCell ref="G194:H194"/>
    <mergeCell ref="J194:K194"/>
    <mergeCell ref="L194:M194"/>
    <mergeCell ref="A195:B195"/>
    <mergeCell ref="G195:H195"/>
    <mergeCell ref="J195:K195"/>
    <mergeCell ref="A206:B206"/>
    <mergeCell ref="G206:H206"/>
    <mergeCell ref="L206:M206"/>
    <mergeCell ref="N206:O206"/>
    <mergeCell ref="A201:B201"/>
    <mergeCell ref="G201:H201"/>
    <mergeCell ref="L201:M201"/>
    <mergeCell ref="N201:O201"/>
    <mergeCell ref="A202:B202"/>
    <mergeCell ref="G202:H202"/>
    <mergeCell ref="L202:M202"/>
    <mergeCell ref="N202:O202"/>
    <mergeCell ref="A203:B203"/>
    <mergeCell ref="G203:H203"/>
    <mergeCell ref="L203:M203"/>
    <mergeCell ref="N203:O203"/>
    <mergeCell ref="L195:M195"/>
    <mergeCell ref="A196:B196"/>
    <mergeCell ref="G196:H196"/>
    <mergeCell ref="J196:K196"/>
    <mergeCell ref="L196:M196"/>
    <mergeCell ref="C70:D70"/>
    <mergeCell ref="E70:F70"/>
    <mergeCell ref="G70:H70"/>
    <mergeCell ref="A161:H161"/>
    <mergeCell ref="A204:B204"/>
    <mergeCell ref="G204:H204"/>
    <mergeCell ref="L204:M204"/>
    <mergeCell ref="N204:O204"/>
    <mergeCell ref="A205:B205"/>
    <mergeCell ref="G205:H205"/>
    <mergeCell ref="L205:M205"/>
    <mergeCell ref="N205:O205"/>
    <mergeCell ref="A198:B198"/>
    <mergeCell ref="G198:H198"/>
    <mergeCell ref="L198:M198"/>
    <mergeCell ref="N198:O198"/>
    <mergeCell ref="A199:B199"/>
    <mergeCell ref="G199:H199"/>
    <mergeCell ref="L199:M199"/>
    <mergeCell ref="N199:O199"/>
    <mergeCell ref="A200:B200"/>
    <mergeCell ref="G200:H200"/>
    <mergeCell ref="L200:M200"/>
    <mergeCell ref="N200:O200"/>
  </mergeCells>
  <hyperlinks>
    <hyperlink ref="C38" r:id="rId1"/>
  </hyperlinks>
  <printOptions horizontalCentered="1"/>
  <pageMargins left="0.39370078740157483" right="0.39370078740157483" top="0.78740157480314965" bottom="0.78740157480314965" header="0.15748031496062992" footer="0.19685039370078741"/>
  <pageSetup paperSize="2" fitToHeight="0" orientation="portrait" r:id="rId2"/>
  <headerFooter>
    <oddHeader>&amp;C&amp;G</oddHeader>
    <oddFooter>&amp;L&amp;"Times New Roman,Bold"&amp;12Ref No: &amp;F&amp;C&amp;G&amp;R&amp;"Times New Roman,Bold"&amp;12&amp;P</oddFooter>
  </headerFooter>
  <rowBreaks count="5" manualBreakCount="5">
    <brk id="95" max="16383" man="1"/>
    <brk id="270" max="16383" man="1"/>
    <brk id="295" max="16383" man="1"/>
    <brk id="338" max="16383" man="1"/>
    <brk id="381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6"/>
  <sheetViews>
    <sheetView zoomScale="85" zoomScaleNormal="85" workbookViewId="0">
      <selection activeCell="C20" sqref="C20"/>
    </sheetView>
  </sheetViews>
  <sheetFormatPr defaultColWidth="8.54296875" defaultRowHeight="14.5" x14ac:dyDescent="0.35"/>
  <cols>
    <col min="1" max="1" width="8.54296875" style="1"/>
    <col min="2" max="2" width="22.1796875" style="1" customWidth="1"/>
    <col min="3" max="3" width="37" style="1" customWidth="1"/>
    <col min="4" max="5" width="11.453125" style="1" customWidth="1"/>
    <col min="6" max="6" width="14" style="1" customWidth="1"/>
    <col min="7" max="7" width="20" style="1" customWidth="1"/>
    <col min="8" max="8" width="16.453125" style="1" customWidth="1"/>
    <col min="9" max="16384" width="8.54296875" style="1"/>
  </cols>
  <sheetData>
    <row r="1" spans="1:9" ht="15" customHeight="1" x14ac:dyDescent="0.35"/>
    <row r="2" spans="1:9" ht="15" customHeight="1" x14ac:dyDescent="0.35">
      <c r="A2" s="2"/>
      <c r="B2" s="2"/>
      <c r="C2" s="2"/>
      <c r="D2" s="2"/>
      <c r="E2" s="2"/>
      <c r="F2" s="2"/>
      <c r="G2" s="2"/>
      <c r="H2" s="2"/>
    </row>
    <row r="3" spans="1:9" ht="15.75" customHeight="1" x14ac:dyDescent="0.35">
      <c r="A3" s="2"/>
      <c r="B3" s="185" t="s">
        <v>108</v>
      </c>
      <c r="C3" s="185"/>
      <c r="D3" s="185"/>
      <c r="E3" s="185"/>
      <c r="F3" s="185"/>
      <c r="G3" s="185"/>
      <c r="H3" s="185"/>
    </row>
    <row r="4" spans="1:9" x14ac:dyDescent="0.35">
      <c r="A4" s="2"/>
      <c r="B4" s="3" t="s">
        <v>109</v>
      </c>
      <c r="C4" s="3" t="s">
        <v>110</v>
      </c>
      <c r="D4" s="3" t="s">
        <v>70</v>
      </c>
      <c r="E4" s="3" t="s">
        <v>111</v>
      </c>
      <c r="F4" s="3" t="s">
        <v>117</v>
      </c>
      <c r="G4" s="3" t="s">
        <v>118</v>
      </c>
      <c r="H4" s="3" t="s">
        <v>112</v>
      </c>
    </row>
    <row r="5" spans="1:9" ht="15" customHeight="1" x14ac:dyDescent="0.35">
      <c r="A5" s="2"/>
      <c r="B5" s="5" t="s">
        <v>113</v>
      </c>
      <c r="C5" s="6"/>
      <c r="D5" s="5"/>
      <c r="E5" s="5"/>
      <c r="F5" s="7">
        <f>E5*1.6</f>
        <v>0</v>
      </c>
      <c r="G5" s="7" t="e">
        <f>H5/F5</f>
        <v>#DIV/0!</v>
      </c>
      <c r="H5" s="8"/>
    </row>
    <row r="6" spans="1:9" x14ac:dyDescent="0.35">
      <c r="A6" s="2"/>
      <c r="B6" s="5" t="s">
        <v>113</v>
      </c>
      <c r="C6" s="9"/>
      <c r="D6" s="5"/>
      <c r="E6" s="5"/>
      <c r="F6" s="7">
        <f t="shared" ref="F6:F11" si="0">E6*1.6</f>
        <v>0</v>
      </c>
      <c r="G6" s="7" t="e">
        <f t="shared" ref="G6:G11" si="1">H6/F6</f>
        <v>#DIV/0!</v>
      </c>
      <c r="H6" s="8"/>
    </row>
    <row r="7" spans="1:9" ht="15" customHeight="1" x14ac:dyDescent="0.35">
      <c r="A7" s="2"/>
      <c r="B7" s="5" t="s">
        <v>113</v>
      </c>
      <c r="C7" s="6"/>
      <c r="D7" s="5"/>
      <c r="E7" s="5"/>
      <c r="F7" s="7">
        <f t="shared" si="0"/>
        <v>0</v>
      </c>
      <c r="G7" s="7" t="e">
        <f t="shared" si="1"/>
        <v>#DIV/0!</v>
      </c>
      <c r="H7" s="8"/>
    </row>
    <row r="8" spans="1:9" x14ac:dyDescent="0.35">
      <c r="A8" s="2"/>
      <c r="B8" s="5" t="s">
        <v>113</v>
      </c>
      <c r="C8" s="9"/>
      <c r="D8" s="5"/>
      <c r="E8" s="5"/>
      <c r="F8" s="7">
        <f t="shared" si="0"/>
        <v>0</v>
      </c>
      <c r="G8" s="7" t="e">
        <f t="shared" si="1"/>
        <v>#DIV/0!</v>
      </c>
      <c r="H8" s="8"/>
    </row>
    <row r="9" spans="1:9" ht="15" customHeight="1" x14ac:dyDescent="0.35">
      <c r="A9" s="2"/>
      <c r="B9" s="5" t="s">
        <v>113</v>
      </c>
      <c r="C9" s="9"/>
      <c r="D9" s="5"/>
      <c r="E9" s="5"/>
      <c r="F9" s="7">
        <f t="shared" si="0"/>
        <v>0</v>
      </c>
      <c r="G9" s="7" t="e">
        <f t="shared" si="1"/>
        <v>#DIV/0!</v>
      </c>
      <c r="H9" s="8"/>
    </row>
    <row r="10" spans="1:9" ht="15" customHeight="1" x14ac:dyDescent="0.35">
      <c r="A10" s="2"/>
      <c r="B10" s="5" t="s">
        <v>114</v>
      </c>
      <c r="C10" s="6"/>
      <c r="D10" s="5"/>
      <c r="E10" s="5"/>
      <c r="F10" s="7">
        <f t="shared" si="0"/>
        <v>0</v>
      </c>
      <c r="G10" s="7" t="e">
        <f t="shared" si="1"/>
        <v>#DIV/0!</v>
      </c>
      <c r="H10" s="8"/>
    </row>
    <row r="11" spans="1:9" ht="15" customHeight="1" x14ac:dyDescent="0.35">
      <c r="A11" s="2"/>
      <c r="B11" s="5" t="s">
        <v>114</v>
      </c>
      <c r="C11" s="6"/>
      <c r="D11" s="5"/>
      <c r="E11" s="5"/>
      <c r="F11" s="7">
        <f t="shared" si="0"/>
        <v>0</v>
      </c>
      <c r="G11" s="7" t="e">
        <f t="shared" si="1"/>
        <v>#DIV/0!</v>
      </c>
      <c r="H11" s="8"/>
    </row>
    <row r="12" spans="1:9" ht="15" customHeight="1" x14ac:dyDescent="0.35">
      <c r="A12" s="2"/>
      <c r="B12" s="10" t="s">
        <v>115</v>
      </c>
      <c r="C12" s="5"/>
      <c r="D12" s="5"/>
      <c r="E12" s="5"/>
      <c r="F12" s="5"/>
      <c r="G12" s="11" t="e">
        <f>AVERAGE(G5:G11)</f>
        <v>#DIV/0!</v>
      </c>
      <c r="H12" s="5"/>
    </row>
    <row r="13" spans="1:9" ht="15" customHeight="1" x14ac:dyDescent="0.35">
      <c r="B13" s="10" t="s">
        <v>116</v>
      </c>
      <c r="C13" s="5"/>
      <c r="D13" s="5"/>
      <c r="E13" s="5"/>
      <c r="F13" s="12"/>
      <c r="G13" s="10"/>
      <c r="H13" s="10"/>
      <c r="I13" s="4"/>
    </row>
    <row r="14" spans="1:9" ht="15" customHeight="1" x14ac:dyDescent="0.35"/>
    <row r="15" spans="1:9" ht="15" customHeight="1" x14ac:dyDescent="0.35"/>
    <row r="16" spans="1:9" ht="15" customHeight="1" x14ac:dyDescent="0.35"/>
  </sheetData>
  <mergeCells count="1">
    <mergeCell ref="B3:H3"/>
  </mergeCell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F5:P18"/>
  <sheetViews>
    <sheetView zoomScale="70" zoomScaleNormal="70" workbookViewId="0">
      <selection activeCell="O5" sqref="O5:P16"/>
    </sheetView>
  </sheetViews>
  <sheetFormatPr defaultRowHeight="14.5" x14ac:dyDescent="0.35"/>
  <cols>
    <col min="9" max="9" width="22.81640625" customWidth="1"/>
  </cols>
  <sheetData>
    <row r="5" spans="6:16" x14ac:dyDescent="0.35">
      <c r="F5" s="55">
        <v>201</v>
      </c>
      <c r="G5" s="55">
        <v>1201</v>
      </c>
      <c r="I5" t="str">
        <f>F5&amp;""&amp;",..,"&amp;""&amp;G5</f>
        <v>201,..,1201</v>
      </c>
      <c r="J5" s="186" t="str">
        <f>F5&amp;""&amp;",.."&amp;""&amp;G5</f>
        <v>201,..1201</v>
      </c>
      <c r="K5" s="186"/>
      <c r="L5" s="55">
        <v>101</v>
      </c>
      <c r="M5" s="55">
        <v>701</v>
      </c>
      <c r="O5" s="186" t="str">
        <f>L5&amp;""&amp;",..,"&amp;""&amp;M5</f>
        <v>101,..,701</v>
      </c>
      <c r="P5" s="186"/>
    </row>
    <row r="6" spans="6:16" x14ac:dyDescent="0.35">
      <c r="F6" s="55">
        <v>202</v>
      </c>
      <c r="G6" s="55">
        <v>1202</v>
      </c>
      <c r="I6" t="str">
        <f t="shared" ref="I6:I18" si="0">F6&amp;""&amp;",..,"&amp;""&amp;G6</f>
        <v>202,..,1202</v>
      </c>
      <c r="J6" s="186" t="str">
        <f t="shared" ref="J6:J18" si="1">F6&amp;""&amp;",.."&amp;""&amp;G6</f>
        <v>202,..1202</v>
      </c>
      <c r="K6" s="186"/>
      <c r="L6" s="55">
        <v>102</v>
      </c>
      <c r="M6" s="55">
        <v>702</v>
      </c>
      <c r="O6" s="186" t="str">
        <f t="shared" ref="O6:O17" si="2">L6&amp;""&amp;",..,"&amp;""&amp;M6</f>
        <v>102,..,702</v>
      </c>
      <c r="P6" s="186"/>
    </row>
    <row r="7" spans="6:16" x14ac:dyDescent="0.35">
      <c r="F7" s="55">
        <v>203</v>
      </c>
      <c r="G7" s="55">
        <v>1203</v>
      </c>
      <c r="I7" t="str">
        <f t="shared" si="0"/>
        <v>203,..,1203</v>
      </c>
      <c r="J7" s="186" t="str">
        <f t="shared" si="1"/>
        <v>203,..1203</v>
      </c>
      <c r="K7" s="186"/>
      <c r="L7" s="55">
        <v>103</v>
      </c>
      <c r="M7" s="55">
        <v>703</v>
      </c>
      <c r="O7" s="186" t="str">
        <f t="shared" si="2"/>
        <v>103,..,703</v>
      </c>
      <c r="P7" s="186"/>
    </row>
    <row r="8" spans="6:16" x14ac:dyDescent="0.35">
      <c r="F8" s="55">
        <v>204</v>
      </c>
      <c r="G8" s="55">
        <v>1204</v>
      </c>
      <c r="I8" t="str">
        <f t="shared" si="0"/>
        <v>204,..,1204</v>
      </c>
      <c r="J8" s="186" t="str">
        <f t="shared" si="1"/>
        <v>204,..1204</v>
      </c>
      <c r="K8" s="186"/>
      <c r="L8" s="55">
        <v>104</v>
      </c>
      <c r="M8" s="55">
        <v>704</v>
      </c>
      <c r="O8" s="186" t="str">
        <f t="shared" si="2"/>
        <v>104,..,704</v>
      </c>
      <c r="P8" s="186"/>
    </row>
    <row r="9" spans="6:16" x14ac:dyDescent="0.35">
      <c r="F9" s="55">
        <v>205</v>
      </c>
      <c r="G9" s="55">
        <v>1205</v>
      </c>
      <c r="I9" t="str">
        <f t="shared" si="0"/>
        <v>205,..,1205</v>
      </c>
      <c r="J9" s="186" t="str">
        <f t="shared" si="1"/>
        <v>205,..1205</v>
      </c>
      <c r="K9" s="186"/>
      <c r="L9" s="55">
        <v>105</v>
      </c>
      <c r="M9" s="55">
        <v>705</v>
      </c>
      <c r="O9" s="186" t="str">
        <f t="shared" si="2"/>
        <v>105,..,705</v>
      </c>
      <c r="P9" s="186"/>
    </row>
    <row r="10" spans="6:16" x14ac:dyDescent="0.35">
      <c r="F10" s="55">
        <v>206</v>
      </c>
      <c r="G10" s="55">
        <v>1206</v>
      </c>
      <c r="I10" t="str">
        <f t="shared" si="0"/>
        <v>206,..,1206</v>
      </c>
      <c r="J10" s="186" t="str">
        <f t="shared" si="1"/>
        <v>206,..1206</v>
      </c>
      <c r="K10" s="186"/>
      <c r="L10" s="55">
        <v>106</v>
      </c>
      <c r="M10" s="55">
        <v>706</v>
      </c>
      <c r="O10" s="186" t="str">
        <f t="shared" si="2"/>
        <v>106,..,706</v>
      </c>
      <c r="P10" s="186"/>
    </row>
    <row r="11" spans="6:16" x14ac:dyDescent="0.35">
      <c r="F11" s="55">
        <v>207</v>
      </c>
      <c r="G11" s="55">
        <v>1207</v>
      </c>
      <c r="I11" t="str">
        <f t="shared" si="0"/>
        <v>207,..,1207</v>
      </c>
      <c r="J11" s="186" t="str">
        <f t="shared" si="1"/>
        <v>207,..1207</v>
      </c>
      <c r="K11" s="186"/>
      <c r="L11" s="55">
        <v>107</v>
      </c>
      <c r="M11" s="55">
        <v>707</v>
      </c>
      <c r="O11" s="186" t="str">
        <f t="shared" si="2"/>
        <v>107,..,707</v>
      </c>
      <c r="P11" s="186"/>
    </row>
    <row r="12" spans="6:16" x14ac:dyDescent="0.35">
      <c r="F12" s="55">
        <v>208</v>
      </c>
      <c r="G12" s="55">
        <v>1208</v>
      </c>
      <c r="I12" t="str">
        <f t="shared" si="0"/>
        <v>208,..,1208</v>
      </c>
      <c r="J12" s="186" t="str">
        <f t="shared" si="1"/>
        <v>208,..1208</v>
      </c>
      <c r="K12" s="186"/>
      <c r="L12" s="55">
        <v>108</v>
      </c>
      <c r="M12" s="55">
        <v>708</v>
      </c>
      <c r="O12" s="186" t="str">
        <f t="shared" si="2"/>
        <v>108,..,708</v>
      </c>
      <c r="P12" s="186"/>
    </row>
    <row r="13" spans="6:16" x14ac:dyDescent="0.35">
      <c r="F13" s="55">
        <v>209</v>
      </c>
      <c r="G13" s="55">
        <v>1209</v>
      </c>
      <c r="I13" t="str">
        <f t="shared" si="0"/>
        <v>209,..,1209</v>
      </c>
      <c r="J13" s="186" t="str">
        <f t="shared" si="1"/>
        <v>209,..1209</v>
      </c>
      <c r="K13" s="186"/>
      <c r="L13" s="55">
        <v>109</v>
      </c>
      <c r="M13" s="55">
        <v>709</v>
      </c>
      <c r="O13" s="186" t="str">
        <f t="shared" si="2"/>
        <v>109,..,709</v>
      </c>
      <c r="P13" s="186"/>
    </row>
    <row r="14" spans="6:16" x14ac:dyDescent="0.35">
      <c r="F14" s="55">
        <v>210</v>
      </c>
      <c r="G14" s="55">
        <v>1210</v>
      </c>
      <c r="I14" t="str">
        <f t="shared" si="0"/>
        <v>210,..,1210</v>
      </c>
      <c r="J14" s="186" t="str">
        <f t="shared" si="1"/>
        <v>210,..1210</v>
      </c>
      <c r="K14" s="186"/>
      <c r="L14" s="55">
        <v>110</v>
      </c>
      <c r="M14" s="55">
        <v>710</v>
      </c>
      <c r="O14" s="186" t="str">
        <f t="shared" si="2"/>
        <v>110,..,710</v>
      </c>
      <c r="P14" s="186"/>
    </row>
    <row r="15" spans="6:16" x14ac:dyDescent="0.35">
      <c r="F15" s="55">
        <v>211</v>
      </c>
      <c r="G15" s="55">
        <v>1211</v>
      </c>
      <c r="I15" t="str">
        <f t="shared" si="0"/>
        <v>211,..,1211</v>
      </c>
      <c r="J15" s="186" t="str">
        <f t="shared" si="1"/>
        <v>211,..1211</v>
      </c>
      <c r="K15" s="186"/>
      <c r="L15" s="55">
        <v>111</v>
      </c>
      <c r="M15" s="55">
        <v>711</v>
      </c>
      <c r="O15" s="186" t="str">
        <f t="shared" si="2"/>
        <v>111,..,711</v>
      </c>
      <c r="P15" s="186"/>
    </row>
    <row r="16" spans="6:16" x14ac:dyDescent="0.35">
      <c r="F16" s="55">
        <v>212</v>
      </c>
      <c r="G16" s="55">
        <v>1212</v>
      </c>
      <c r="I16" t="str">
        <f t="shared" si="0"/>
        <v>212,..,1212</v>
      </c>
      <c r="J16" s="186" t="str">
        <f t="shared" si="1"/>
        <v>212,..1212</v>
      </c>
      <c r="K16" s="186"/>
      <c r="L16" s="55">
        <v>112</v>
      </c>
      <c r="M16" s="55">
        <v>712</v>
      </c>
      <c r="O16" s="186" t="str">
        <f t="shared" si="2"/>
        <v>112,..,712</v>
      </c>
      <c r="P16" s="186"/>
    </row>
    <row r="17" spans="6:16" x14ac:dyDescent="0.35">
      <c r="F17" s="55">
        <v>213</v>
      </c>
      <c r="G17" s="55">
        <v>1213</v>
      </c>
      <c r="I17" t="str">
        <f t="shared" si="0"/>
        <v>213,..,1213</v>
      </c>
      <c r="J17" s="186" t="str">
        <f t="shared" si="1"/>
        <v>213,..1213</v>
      </c>
      <c r="K17" s="186"/>
      <c r="L17" s="55">
        <v>113</v>
      </c>
      <c r="M17" s="55">
        <v>713</v>
      </c>
      <c r="O17" s="186" t="str">
        <f t="shared" si="2"/>
        <v>113,..,713</v>
      </c>
      <c r="P17" s="186"/>
    </row>
    <row r="18" spans="6:16" x14ac:dyDescent="0.35">
      <c r="F18" s="55">
        <v>214</v>
      </c>
      <c r="G18" s="55">
        <v>1214</v>
      </c>
      <c r="I18" t="str">
        <f t="shared" si="0"/>
        <v>214,..,1214</v>
      </c>
      <c r="J18" s="186" t="str">
        <f t="shared" si="1"/>
        <v>214,..1214</v>
      </c>
      <c r="K18" s="186"/>
      <c r="L18" s="55">
        <v>114</v>
      </c>
      <c r="M18" s="55">
        <v>714</v>
      </c>
      <c r="O18" s="186"/>
      <c r="P18" s="186"/>
    </row>
  </sheetData>
  <mergeCells count="28">
    <mergeCell ref="J10:K10"/>
    <mergeCell ref="J11:K11"/>
    <mergeCell ref="J12:K12"/>
    <mergeCell ref="J13:K13"/>
    <mergeCell ref="J5:K5"/>
    <mergeCell ref="J6:K6"/>
    <mergeCell ref="J7:K7"/>
    <mergeCell ref="J8:K8"/>
    <mergeCell ref="J9:K9"/>
    <mergeCell ref="O5:P5"/>
    <mergeCell ref="O6:P6"/>
    <mergeCell ref="O7:P7"/>
    <mergeCell ref="O8:P8"/>
    <mergeCell ref="O9:P9"/>
    <mergeCell ref="J14:K14"/>
    <mergeCell ref="J15:K15"/>
    <mergeCell ref="J16:K16"/>
    <mergeCell ref="J17:K17"/>
    <mergeCell ref="J18:K18"/>
    <mergeCell ref="O16:P16"/>
    <mergeCell ref="O17:P17"/>
    <mergeCell ref="O18:P18"/>
    <mergeCell ref="O10:P10"/>
    <mergeCell ref="O11:P11"/>
    <mergeCell ref="O12:P12"/>
    <mergeCell ref="O13:P13"/>
    <mergeCell ref="O14:P14"/>
    <mergeCell ref="O15:P1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Hp Elitebook 840 G6</cp:lastModifiedBy>
  <cp:lastPrinted>2024-12-26T12:28:15Z</cp:lastPrinted>
  <dcterms:created xsi:type="dcterms:W3CDTF">2019-07-16T09:29:46Z</dcterms:created>
  <dcterms:modified xsi:type="dcterms:W3CDTF">2025-09-22T12:31:06Z</dcterms:modified>
</cp:coreProperties>
</file>