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PC-51\Downloads\22474 - Konnark Stellar\"/>
    </mc:Choice>
  </mc:AlternateContent>
  <bookViews>
    <workbookView xWindow="0" yWindow="0" windowWidth="20490" windowHeight="6855" tabRatio="725"/>
  </bookViews>
  <sheets>
    <sheet name="Report" sheetId="1" r:id="rId1"/>
    <sheet name="valuation" sheetId="5" r:id="rId2"/>
    <sheet name="Research" sheetId="4" r:id="rId3"/>
    <sheet name="Remarks" sheetId="6" r:id="rId4"/>
    <sheet name="Area Calculation" sheetId="7" r:id="rId5"/>
  </sheets>
  <definedNames>
    <definedName name="_xlnm.Print_Area" localSheetId="0">Report!$A$1:$H$344</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43" i="1" l="1"/>
  <c r="J144" i="1"/>
  <c r="J145" i="1"/>
  <c r="J146" i="1"/>
  <c r="J147" i="1"/>
  <c r="J148" i="1"/>
  <c r="J149" i="1"/>
  <c r="J150" i="1"/>
  <c r="J151" i="1"/>
  <c r="J152" i="1"/>
  <c r="J153" i="1"/>
  <c r="J154" i="1"/>
  <c r="J155" i="1"/>
  <c r="J156" i="1"/>
  <c r="J142" i="1"/>
  <c r="J64" i="1" l="1"/>
  <c r="E185" i="1" l="1"/>
  <c r="D185" i="1"/>
  <c r="E182" i="1"/>
  <c r="D182" i="1"/>
  <c r="E181" i="1"/>
  <c r="D181" i="1"/>
  <c r="E180" i="1"/>
  <c r="D180" i="1"/>
  <c r="E179" i="1"/>
  <c r="F179" i="1" s="1"/>
  <c r="H179" i="1" s="1"/>
  <c r="D179" i="1"/>
  <c r="E176" i="1"/>
  <c r="D176" i="1"/>
  <c r="F176" i="1" s="1"/>
  <c r="H176" i="1" s="1"/>
  <c r="E173" i="1"/>
  <c r="D173" i="1"/>
  <c r="F173" i="1" s="1"/>
  <c r="H173" i="1" s="1"/>
  <c r="E172" i="1"/>
  <c r="D172" i="1"/>
  <c r="F172" i="1" s="1"/>
  <c r="H172" i="1" s="1"/>
  <c r="E171" i="1"/>
  <c r="D171" i="1"/>
  <c r="F171" i="1" s="1"/>
  <c r="H171" i="1" s="1"/>
  <c r="E170" i="1"/>
  <c r="D170" i="1"/>
  <c r="E169" i="1"/>
  <c r="D169" i="1"/>
  <c r="F169" i="1" s="1"/>
  <c r="H169" i="1" s="1"/>
  <c r="E167" i="1"/>
  <c r="D167" i="1"/>
  <c r="E166" i="1"/>
  <c r="D166" i="1"/>
  <c r="E165" i="1"/>
  <c r="D165" i="1"/>
  <c r="E164" i="1"/>
  <c r="D164" i="1"/>
  <c r="E162" i="1"/>
  <c r="D162" i="1"/>
  <c r="E161" i="1"/>
  <c r="D161" i="1"/>
  <c r="E160" i="1"/>
  <c r="D160" i="1"/>
  <c r="E159" i="1"/>
  <c r="D159" i="1"/>
  <c r="E158" i="1"/>
  <c r="D158" i="1"/>
  <c r="E157" i="1"/>
  <c r="D157" i="1"/>
  <c r="E156" i="1"/>
  <c r="D156" i="1"/>
  <c r="E155" i="1"/>
  <c r="F155" i="1" s="1"/>
  <c r="H155" i="1" s="1"/>
  <c r="D155" i="1"/>
  <c r="E154" i="1"/>
  <c r="D154" i="1"/>
  <c r="E153" i="1"/>
  <c r="F153" i="1" s="1"/>
  <c r="H153" i="1" s="1"/>
  <c r="D153" i="1"/>
  <c r="F157" i="1"/>
  <c r="H157" i="1" s="1"/>
  <c r="E151" i="1"/>
  <c r="D151" i="1"/>
  <c r="F151" i="1" s="1"/>
  <c r="H151" i="1" s="1"/>
  <c r="E150" i="1"/>
  <c r="D150" i="1"/>
  <c r="E149" i="1"/>
  <c r="D149" i="1"/>
  <c r="E148" i="1"/>
  <c r="D148" i="1"/>
  <c r="F148" i="1" s="1"/>
  <c r="H148" i="1" s="1"/>
  <c r="E147" i="1"/>
  <c r="D147" i="1"/>
  <c r="F147" i="1" s="1"/>
  <c r="H147" i="1" s="1"/>
  <c r="E146" i="1"/>
  <c r="D146" i="1"/>
  <c r="F146" i="1" s="1"/>
  <c r="H146" i="1" s="1"/>
  <c r="E145" i="1"/>
  <c r="D145" i="1"/>
  <c r="E144" i="1"/>
  <c r="D144" i="1"/>
  <c r="E143" i="1"/>
  <c r="D143" i="1"/>
  <c r="E142" i="1"/>
  <c r="D142" i="1"/>
  <c r="C122" i="1" s="1"/>
  <c r="C123" i="1" s="1"/>
  <c r="I141" i="1"/>
  <c r="E134" i="1"/>
  <c r="D134" i="1"/>
  <c r="E133" i="1"/>
  <c r="D133" i="1"/>
  <c r="E132" i="1"/>
  <c r="D132" i="1"/>
  <c r="E131" i="1"/>
  <c r="D131" i="1"/>
  <c r="C118" i="1" s="1"/>
  <c r="C119" i="1" s="1"/>
  <c r="E43" i="1"/>
  <c r="F170" i="1" l="1"/>
  <c r="H170" i="1" s="1"/>
  <c r="F159" i="1"/>
  <c r="H159" i="1" s="1"/>
  <c r="F161" i="1"/>
  <c r="H161" i="1" s="1"/>
  <c r="F154" i="1"/>
  <c r="H154" i="1" s="1"/>
  <c r="F156" i="1"/>
  <c r="H156" i="1" s="1"/>
  <c r="F158" i="1"/>
  <c r="H158" i="1" s="1"/>
  <c r="F160" i="1"/>
  <c r="H160" i="1" s="1"/>
  <c r="F162" i="1"/>
  <c r="H162" i="1" s="1"/>
  <c r="F150" i="1"/>
  <c r="H150" i="1" s="1"/>
  <c r="F180" i="1"/>
  <c r="H180" i="1" s="1"/>
  <c r="F149" i="1"/>
  <c r="H149" i="1" s="1"/>
  <c r="B38" i="6" l="1"/>
  <c r="B39" i="6" s="1"/>
  <c r="B40" i="6" s="1"/>
  <c r="B41" i="6" s="1"/>
  <c r="B42" i="6" s="1"/>
  <c r="B43" i="6" s="1"/>
  <c r="B44" i="6" s="1"/>
  <c r="B45" i="6" s="1"/>
  <c r="B46" i="6" s="1"/>
  <c r="B47" i="6" s="1"/>
  <c r="B48" i="6" s="1"/>
  <c r="B49" i="6" s="1"/>
  <c r="B50" i="6" s="1"/>
  <c r="B51" i="6" s="1"/>
  <c r="B52" i="6" s="1"/>
  <c r="B53" i="6" s="1"/>
  <c r="B54" i="6" s="1"/>
  <c r="F131" i="1" l="1"/>
  <c r="I131" i="1" l="1"/>
  <c r="H131" i="1"/>
  <c r="J131" i="1" s="1"/>
  <c r="L41" i="7"/>
  <c r="I41" i="7"/>
  <c r="E41" i="7"/>
  <c r="L40" i="7"/>
  <c r="I40" i="7"/>
  <c r="E40" i="7"/>
  <c r="L39" i="7"/>
  <c r="I39" i="7"/>
  <c r="E39" i="7"/>
  <c r="L38" i="7"/>
  <c r="I38" i="7"/>
  <c r="E38" i="7"/>
  <c r="L37" i="7"/>
  <c r="I37" i="7"/>
  <c r="E37" i="7"/>
  <c r="L36" i="7"/>
  <c r="I36" i="7"/>
  <c r="E36" i="7"/>
  <c r="L35" i="7"/>
  <c r="I35" i="7"/>
  <c r="E35" i="7"/>
  <c r="L34" i="7"/>
  <c r="I34" i="7"/>
  <c r="E34" i="7"/>
  <c r="L33" i="7"/>
  <c r="I33" i="7"/>
  <c r="E33" i="7"/>
  <c r="L32" i="7"/>
  <c r="I32" i="7"/>
  <c r="E32" i="7"/>
  <c r="L31" i="7"/>
  <c r="I31" i="7"/>
  <c r="E31" i="7"/>
  <c r="L30" i="7"/>
  <c r="I30" i="7"/>
  <c r="E30" i="7"/>
  <c r="L29" i="7"/>
  <c r="I29" i="7"/>
  <c r="E29" i="7"/>
  <c r="L28" i="7"/>
  <c r="I28" i="7"/>
  <c r="E28" i="7"/>
  <c r="L27" i="7"/>
  <c r="I27" i="7"/>
  <c r="E27" i="7"/>
  <c r="L26" i="7"/>
  <c r="I26" i="7"/>
  <c r="E26" i="7"/>
  <c r="L25" i="7"/>
  <c r="I25" i="7"/>
  <c r="E25" i="7"/>
  <c r="L24" i="7"/>
  <c r="I24" i="7"/>
  <c r="E24" i="7"/>
  <c r="L23" i="7"/>
  <c r="I23" i="7"/>
  <c r="E23" i="7"/>
  <c r="L22" i="7"/>
  <c r="I22" i="7"/>
  <c r="E22" i="7"/>
  <c r="L21" i="7"/>
  <c r="I21" i="7"/>
  <c r="E21" i="7"/>
  <c r="L20" i="7"/>
  <c r="I20" i="7"/>
  <c r="E20" i="7"/>
  <c r="L19" i="7"/>
  <c r="I19" i="7"/>
  <c r="E19" i="7"/>
  <c r="L18" i="7"/>
  <c r="I18" i="7"/>
  <c r="E18" i="7"/>
  <c r="L17" i="7"/>
  <c r="I17" i="7"/>
  <c r="E17" i="7"/>
  <c r="L16" i="7"/>
  <c r="I16" i="7"/>
  <c r="E16" i="7"/>
  <c r="L15" i="7"/>
  <c r="I15" i="7"/>
  <c r="E15" i="7"/>
  <c r="L14" i="7"/>
  <c r="I14" i="7"/>
  <c r="E14" i="7"/>
  <c r="L13" i="7"/>
  <c r="I13" i="7"/>
  <c r="E13" i="7"/>
  <c r="L12" i="7"/>
  <c r="I12" i="7"/>
  <c r="E12" i="7"/>
  <c r="L11" i="7"/>
  <c r="I11" i="7"/>
  <c r="E11" i="7"/>
  <c r="L10" i="7"/>
  <c r="I10" i="7"/>
  <c r="E10" i="7"/>
  <c r="L9" i="7"/>
  <c r="I9" i="7"/>
  <c r="E9" i="7"/>
  <c r="L8" i="7"/>
  <c r="I8" i="7"/>
  <c r="E8" i="7"/>
  <c r="L7" i="7"/>
  <c r="I7" i="7"/>
  <c r="E7" i="7"/>
  <c r="L6" i="7"/>
  <c r="I6" i="7"/>
  <c r="E6" i="7"/>
  <c r="F11" i="5"/>
  <c r="G11" i="5" s="1"/>
  <c r="F10" i="5"/>
  <c r="G10" i="5" s="1"/>
  <c r="F9" i="5"/>
  <c r="G9" i="5" s="1"/>
  <c r="F8" i="5"/>
  <c r="G8" i="5" s="1"/>
  <c r="F7" i="5"/>
  <c r="G7" i="5" s="1"/>
  <c r="F6" i="5"/>
  <c r="G6" i="5" s="1"/>
  <c r="F5" i="5"/>
  <c r="G5" i="5" s="1"/>
  <c r="G12" i="5" s="1"/>
  <c r="D213" i="1"/>
  <c r="B189" i="1"/>
  <c r="B188" i="1"/>
  <c r="F185" i="1"/>
  <c r="H185" i="1" s="1"/>
  <c r="F182" i="1"/>
  <c r="H182" i="1" s="1"/>
  <c r="F181" i="1"/>
  <c r="H181" i="1" s="1"/>
  <c r="F167" i="1"/>
  <c r="H167" i="1" s="1"/>
  <c r="F166" i="1"/>
  <c r="H166" i="1" s="1"/>
  <c r="F165" i="1"/>
  <c r="H165" i="1" s="1"/>
  <c r="F164" i="1"/>
  <c r="H164" i="1" s="1"/>
  <c r="F145" i="1"/>
  <c r="H145" i="1" s="1"/>
  <c r="F144" i="1"/>
  <c r="H144" i="1" s="1"/>
  <c r="F143" i="1"/>
  <c r="H143" i="1" s="1"/>
  <c r="F142" i="1"/>
  <c r="F134" i="1"/>
  <c r="F133" i="1"/>
  <c r="F132" i="1"/>
  <c r="A132" i="1"/>
  <c r="A133" i="1" s="1"/>
  <c r="A134" i="1" s="1"/>
  <c r="C124" i="1"/>
  <c r="F115" i="1"/>
  <c r="C89" i="1"/>
  <c r="C75" i="1"/>
  <c r="B76" i="1" s="1"/>
  <c r="D69" i="1"/>
  <c r="D63" i="1"/>
  <c r="G56" i="1"/>
  <c r="C56" i="1"/>
  <c r="K54" i="1"/>
  <c r="G51" i="1"/>
  <c r="C51" i="1"/>
  <c r="C52" i="1" s="1"/>
  <c r="E44" i="1"/>
  <c r="E45" i="1" s="1"/>
  <c r="S33" i="1"/>
  <c r="E31" i="1"/>
  <c r="E28" i="1"/>
  <c r="E26" i="1"/>
  <c r="C16" i="1"/>
  <c r="I15" i="1"/>
  <c r="Z13" i="1"/>
  <c r="E8" i="1"/>
  <c r="E3" i="1"/>
  <c r="B199" i="1" s="1"/>
  <c r="H90" i="1"/>
  <c r="H142" i="1" l="1"/>
  <c r="G122" i="1" s="1"/>
  <c r="G123" i="1" s="1"/>
  <c r="E122" i="1"/>
  <c r="E123" i="1" s="1"/>
  <c r="H132" i="1"/>
  <c r="J132" i="1" s="1"/>
  <c r="I132" i="1"/>
  <c r="E118" i="1"/>
  <c r="E119" i="1" s="1"/>
  <c r="H133" i="1"/>
  <c r="J133" i="1" s="1"/>
  <c r="I133" i="1"/>
  <c r="H134" i="1"/>
  <c r="J134" i="1" s="1"/>
  <c r="I134" i="1"/>
  <c r="E42" i="7"/>
  <c r="J83" i="1"/>
  <c r="J84" i="1"/>
  <c r="I42" i="7"/>
  <c r="H42" i="7" s="1"/>
  <c r="L42" i="7"/>
  <c r="K42" i="7" s="1"/>
  <c r="J89" i="1"/>
  <c r="J91" i="1" s="1"/>
  <c r="D98" i="1"/>
  <c r="D97" i="1"/>
  <c r="D102" i="1"/>
  <c r="D96" i="1"/>
  <c r="J92" i="1"/>
  <c r="D101" i="1"/>
  <c r="J94" i="1"/>
  <c r="C93" i="1" s="1"/>
  <c r="D95" i="1"/>
  <c r="D100" i="1"/>
  <c r="J93" i="1"/>
  <c r="D99" i="1"/>
  <c r="D42" i="7"/>
  <c r="L54" i="1"/>
  <c r="B90" i="1"/>
  <c r="J85" i="1"/>
  <c r="J86" i="1"/>
  <c r="I52" i="1"/>
  <c r="H76" i="1"/>
  <c r="G118" i="1" l="1"/>
  <c r="G119" i="1" s="1"/>
  <c r="G124" i="1" s="1"/>
  <c r="E124" i="1"/>
  <c r="D87" i="1"/>
  <c r="D81" i="1"/>
  <c r="J81" i="1"/>
  <c r="J80" i="1"/>
  <c r="D86" i="1"/>
  <c r="D85" i="1"/>
  <c r="J75" i="1"/>
  <c r="J77" i="1" s="1"/>
  <c r="D84" i="1"/>
  <c r="D88" i="1"/>
  <c r="D82" i="1"/>
  <c r="J79" i="1"/>
  <c r="J78" i="1"/>
  <c r="D83" i="1"/>
  <c r="D44" i="7"/>
  <c r="E44" i="7"/>
  <c r="D93" i="1"/>
  <c r="J98" i="1"/>
  <c r="J95" i="1"/>
  <c r="J100" i="1"/>
  <c r="J97" i="1"/>
  <c r="J99" i="1"/>
  <c r="J82" i="1" l="1"/>
  <c r="J87" i="1" s="1"/>
  <c r="J88" i="1" s="1"/>
  <c r="C80" i="1" s="1"/>
  <c r="E79" i="1" s="1"/>
  <c r="C79" i="1"/>
  <c r="D79" i="1" s="1"/>
  <c r="J96" i="1"/>
  <c r="J101" i="1" l="1"/>
  <c r="J102" i="1" s="1"/>
  <c r="C94" i="1"/>
  <c r="D94" i="1" s="1"/>
  <c r="I90" i="1" s="1"/>
  <c r="I91" i="1" s="1"/>
  <c r="G79" i="1"/>
  <c r="D73" i="1" s="1"/>
  <c r="F74" i="1" s="1"/>
  <c r="D80" i="1"/>
  <c r="I76" i="1" s="1"/>
  <c r="I77" i="1" s="1"/>
  <c r="J76" i="1"/>
  <c r="G93" i="1" l="1"/>
  <c r="J90" i="1"/>
  <c r="I89" i="1" s="1"/>
  <c r="C91" i="1" s="1"/>
  <c r="E93" i="1"/>
  <c r="D74" i="1"/>
  <c r="I75" i="1"/>
  <c r="C77" i="1" s="1"/>
</calcChain>
</file>

<file path=xl/comments1.xml><?xml version="1.0" encoding="utf-8"?>
<comments xmlns="http://schemas.openxmlformats.org/spreadsheetml/2006/main">
  <authors>
    <author>Sachin</author>
    <author>SACHIN</author>
  </authors>
  <commentList>
    <comment ref="E13" authorId="0" shapeId="0">
      <text>
        <r>
          <rPr>
            <b/>
            <sz val="9"/>
            <color indexed="81"/>
            <rFont val="Tahoma"/>
            <family val="2"/>
          </rPr>
          <t>Sachin:</t>
        </r>
        <r>
          <rPr>
            <sz val="9"/>
            <color indexed="81"/>
            <rFont val="Tahoma"/>
            <family val="2"/>
          </rPr>
          <t xml:space="preserve">
If exisiting Building is provided write it or else
NA</t>
        </r>
      </text>
    </comment>
    <comment ref="C55" authorId="1" shapeId="0">
      <text>
        <r>
          <rPr>
            <b/>
            <sz val="9"/>
            <color indexed="81"/>
            <rFont val="Tahoma"/>
            <family val="2"/>
          </rPr>
          <t>SACHIN:</t>
        </r>
        <r>
          <rPr>
            <sz val="9"/>
            <color indexed="81"/>
            <rFont val="Tahoma"/>
            <family val="2"/>
          </rPr>
          <t xml:space="preserve">
Floor with height</t>
        </r>
      </text>
    </comment>
    <comment ref="C57" authorId="1" shapeId="0">
      <text>
        <r>
          <rPr>
            <b/>
            <sz val="9"/>
            <color indexed="81"/>
            <rFont val="Tahoma"/>
            <family val="2"/>
          </rPr>
          <t>SACHIN:</t>
        </r>
        <r>
          <rPr>
            <sz val="9"/>
            <color indexed="81"/>
            <rFont val="Tahoma"/>
            <family val="2"/>
          </rPr>
          <t xml:space="preserve">
Survey Nos.</t>
        </r>
      </text>
    </comment>
    <comment ref="D63" authorId="0" shapeId="0">
      <text>
        <r>
          <rPr>
            <b/>
            <sz val="9"/>
            <color indexed="81"/>
            <rFont val="Tahoma"/>
            <family val="2"/>
          </rPr>
          <t>Sachin:</t>
        </r>
        <r>
          <rPr>
            <sz val="9"/>
            <color indexed="81"/>
            <rFont val="Tahoma"/>
            <family val="2"/>
          </rPr>
          <t xml:space="preserve">
If multiple building in project or complex just mention builtup of required building</t>
        </r>
      </text>
    </comment>
    <comment ref="F108" authorId="1" shapeId="0">
      <text>
        <r>
          <rPr>
            <b/>
            <sz val="9"/>
            <color indexed="81"/>
            <rFont val="Tahoma"/>
            <family val="2"/>
          </rPr>
          <t>SACHIN:</t>
        </r>
        <r>
          <rPr>
            <sz val="9"/>
            <color indexed="81"/>
            <rFont val="Tahoma"/>
            <family val="2"/>
          </rPr>
          <t xml:space="preserve">
Other charges should be given on basis of location amenties builder type n should not exceed above 12 lakhs or 8% of flat value</t>
        </r>
      </text>
    </comment>
    <comment ref="H138" authorId="1" shapeId="0">
      <text>
        <r>
          <rPr>
            <b/>
            <sz val="9"/>
            <color indexed="81"/>
            <rFont val="Tahoma"/>
            <family val="2"/>
          </rPr>
          <t>SACHIN:</t>
        </r>
        <r>
          <rPr>
            <sz val="9"/>
            <color indexed="81"/>
            <rFont val="Tahoma"/>
            <family val="2"/>
          </rPr>
          <t xml:space="preserve">
Give loading of 50% for A Category</t>
        </r>
      </text>
    </comment>
  </commentList>
</comments>
</file>

<file path=xl/comments2.xml><?xml version="1.0" encoding="utf-8"?>
<comments xmlns="http://schemas.openxmlformats.org/spreadsheetml/2006/main">
  <authors>
    <author>SACHIN</author>
  </authors>
  <commentList>
    <comment ref="C9" authorId="0" shapeId="0">
      <text>
        <r>
          <rPr>
            <b/>
            <sz val="9"/>
            <color indexed="81"/>
            <rFont val="Tahoma"/>
            <family val="2"/>
          </rPr>
          <t>SACHIN:</t>
        </r>
        <r>
          <rPr>
            <sz val="9"/>
            <color indexed="81"/>
            <rFont val="Tahoma"/>
            <family val="2"/>
          </rPr>
          <t xml:space="preserve">
If banker changes the rate</t>
        </r>
      </text>
    </comment>
    <comment ref="C10" authorId="0" shapeId="0">
      <text>
        <r>
          <rPr>
            <b/>
            <sz val="9"/>
            <color indexed="81"/>
            <rFont val="Tahoma"/>
            <family val="2"/>
          </rPr>
          <t>SACHIN:</t>
        </r>
        <r>
          <rPr>
            <sz val="9"/>
            <color indexed="81"/>
            <rFont val="Tahoma"/>
            <family val="2"/>
          </rPr>
          <t xml:space="preserve">
If we change the rate</t>
        </r>
      </text>
    </comment>
  </commentList>
</comments>
</file>

<file path=xl/sharedStrings.xml><?xml version="1.0" encoding="utf-8"?>
<sst xmlns="http://schemas.openxmlformats.org/spreadsheetml/2006/main" count="709" uniqueCount="434">
  <si>
    <t xml:space="preserve">Valuation Report </t>
  </si>
  <si>
    <t>Date:</t>
  </si>
  <si>
    <t>CPC Name:</t>
  </si>
  <si>
    <t>Date Of Property Visit</t>
  </si>
  <si>
    <t>Name of the builder group</t>
  </si>
  <si>
    <t>Name of the builder company</t>
  </si>
  <si>
    <t>Name of the Project</t>
  </si>
  <si>
    <t>Name / No of the Building</t>
  </si>
  <si>
    <t>RERA No.</t>
  </si>
  <si>
    <t xml:space="preserve">Project location details       </t>
  </si>
  <si>
    <t>Road</t>
  </si>
  <si>
    <t>District</t>
  </si>
  <si>
    <t>City</t>
  </si>
  <si>
    <t>Pin Code</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</si>
  <si>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</si>
  <si>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</si>
  <si>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</si>
  <si>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</si>
  <si>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</si>
  <si>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</si>
  <si>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</si>
  <si>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</si>
  <si>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</si>
  <si>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</si>
  <si>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East</t>
  </si>
  <si>
    <t>West</t>
  </si>
  <si>
    <t>South</t>
  </si>
  <si>
    <t>North</t>
  </si>
  <si>
    <t>NA</t>
  </si>
  <si>
    <t>At site</t>
  </si>
  <si>
    <t xml:space="preserve">Approved usage of the Property:                                                                                                                                             </t>
  </si>
  <si>
    <t>No</t>
  </si>
  <si>
    <t>Area Statement Details :</t>
  </si>
  <si>
    <t>Total land area of the project in Sq. Mt.</t>
  </si>
  <si>
    <t>Permissible FSI</t>
  </si>
  <si>
    <t>Permissible TDR/Paid FSI</t>
  </si>
  <si>
    <t>Total FSI availaible for the project</t>
  </si>
  <si>
    <t>Total number of Buildings</t>
  </si>
  <si>
    <t xml:space="preserve">Approval Detail : Plan approval </t>
  </si>
  <si>
    <t xml:space="preserve">Layout Approval No     </t>
  </si>
  <si>
    <t>Dated</t>
  </si>
  <si>
    <t xml:space="preserve">Approved Floor plan No.  </t>
  </si>
  <si>
    <t xml:space="preserve">O. Certificate No.: </t>
  </si>
  <si>
    <t>Expected Completion</t>
  </si>
  <si>
    <t>Building wise Construction details</t>
  </si>
  <si>
    <t>Approved no of units</t>
  </si>
  <si>
    <t>Approved no of Floors</t>
  </si>
  <si>
    <t>Type of Work</t>
  </si>
  <si>
    <t>Plinth</t>
  </si>
  <si>
    <t xml:space="preserve">Recommended rate of Parking </t>
  </si>
  <si>
    <t>Distressed valuation of the Property</t>
  </si>
  <si>
    <t>Building &amp; Wing</t>
  </si>
  <si>
    <t>Total Carpet Area</t>
  </si>
  <si>
    <t>Total Saleable Area</t>
  </si>
  <si>
    <t>Description</t>
  </si>
  <si>
    <t>Gross Carpet area</t>
  </si>
  <si>
    <t>Attached Terrace area</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</si>
  <si>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</si>
  <si>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</si>
  <si>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</si>
  <si>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</si>
  <si>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</si>
  <si>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 xml:space="preserve">PHOTOGRAPHS OF PROPERTY : 
</t>
  </si>
  <si>
    <t>Google Map :</t>
  </si>
  <si>
    <t xml:space="preserve">Remarks:  </t>
  </si>
  <si>
    <t>Flat</t>
  </si>
  <si>
    <t>Residential Area Details :</t>
  </si>
  <si>
    <t>Podium</t>
  </si>
  <si>
    <t>Ground</t>
  </si>
  <si>
    <t>Locality/Village</t>
  </si>
  <si>
    <t>Taluka</t>
  </si>
  <si>
    <t>Commercial Area Details :</t>
  </si>
  <si>
    <t>Accessibility to the Project from the City: (Proximity to civic amenities like school, hospital, market, etc.)</t>
  </si>
  <si>
    <t>Inspected By :</t>
  </si>
  <si>
    <t>No. of Units</t>
  </si>
  <si>
    <t>Authorized Signatory
Name &amp; Seal of the agency</t>
  </si>
  <si>
    <t>Floors</t>
  </si>
  <si>
    <t>Type of Structure</t>
  </si>
  <si>
    <t>RCC Frame Structure</t>
  </si>
  <si>
    <t>Complition %</t>
  </si>
  <si>
    <t>Disbursement %</t>
  </si>
  <si>
    <t>Progress %</t>
  </si>
  <si>
    <t xml:space="preserve">Material laying at Site: </t>
  </si>
  <si>
    <t>Projected life of the structure</t>
  </si>
  <si>
    <t xml:space="preserve">Quality of construction: </t>
  </si>
  <si>
    <t>Proposed no of Floors</t>
  </si>
  <si>
    <t xml:space="preserve">Stage of construction: </t>
  </si>
  <si>
    <t>Approved area of building (Sq.Mt)</t>
  </si>
  <si>
    <t>Total Approved Builtup area of the project (Sq.Mt)</t>
  </si>
  <si>
    <t>Restrictive Covenants in regard to Land Use</t>
  </si>
  <si>
    <t>Boundries</t>
  </si>
  <si>
    <t>Development Charges</t>
  </si>
  <si>
    <t>Club Charges</t>
  </si>
  <si>
    <t>Gas Connection Charges</t>
  </si>
  <si>
    <t>Water, Electricity, Drainages, Sewerage Connection</t>
  </si>
  <si>
    <t>Society Formation Charges</t>
  </si>
  <si>
    <t>Advance Maintenance Charges</t>
  </si>
  <si>
    <t>Excavation in process</t>
  </si>
  <si>
    <t>Excavation Completed</t>
  </si>
  <si>
    <t>Footing in Process</t>
  </si>
  <si>
    <t>Footing Completed</t>
  </si>
  <si>
    <t>Plinth completed</t>
  </si>
  <si>
    <t>NA
Approved upto : NA</t>
  </si>
  <si>
    <t>Report By :</t>
  </si>
  <si>
    <t>Market Research Data</t>
  </si>
  <si>
    <t>Source</t>
  </si>
  <si>
    <t>Distance from proposed property</t>
  </si>
  <si>
    <t>Net Carpet</t>
  </si>
  <si>
    <t>Market Value</t>
  </si>
  <si>
    <t>Magic Brick</t>
  </si>
  <si>
    <t>99 Acres</t>
  </si>
  <si>
    <t>Average</t>
  </si>
  <si>
    <t xml:space="preserve">Valuation Adopted </t>
  </si>
  <si>
    <t>Saleable Area</t>
  </si>
  <si>
    <t>Rate on Saleable</t>
  </si>
  <si>
    <t xml:space="preserve">Wheather the construction is as per approved Building plan : </t>
  </si>
  <si>
    <t>Nearby Landmark</t>
  </si>
  <si>
    <t>We considered Carpet area as per Approved Plan.</t>
  </si>
  <si>
    <t>We have considered rate by verifying it from market inquire.</t>
  </si>
  <si>
    <t>Car parking is subjected to authentic documentation.</t>
  </si>
  <si>
    <t>5) Gross carpet area =  Net Carpet area + Fungible area.</t>
  </si>
  <si>
    <t>6) Fungible Area= Enclosed Balcony + Flower Bed + Covered Balcony + Service Slab + Duct + Chajja + Wheather Shed area.</t>
  </si>
  <si>
    <t>Excavation</t>
  </si>
  <si>
    <t>RCC (Including podiums)</t>
  </si>
  <si>
    <t>Brickwork &amp; Internal Plaster</t>
  </si>
  <si>
    <t>Flooring &amp; Fitting</t>
  </si>
  <si>
    <t>External Plaster &amp; Plumbing</t>
  </si>
  <si>
    <t>Building Common Amenities</t>
  </si>
  <si>
    <t>Possession</t>
  </si>
  <si>
    <t>Ext. Plaster &amp; Plumbing</t>
  </si>
  <si>
    <t>Brickwork</t>
  </si>
  <si>
    <t>Internal Plaster</t>
  </si>
  <si>
    <t>Painting &amp; Wooden</t>
  </si>
  <si>
    <t>Slab/Floor</t>
  </si>
  <si>
    <t>Construction details:</t>
  </si>
  <si>
    <t>Piling Work in process</t>
  </si>
  <si>
    <t>Basement</t>
  </si>
  <si>
    <t>Basement 2</t>
  </si>
  <si>
    <t>Basement 3</t>
  </si>
  <si>
    <t>Basement 4</t>
  </si>
  <si>
    <t>Basement 1</t>
  </si>
  <si>
    <t>Plinth in process</t>
  </si>
  <si>
    <t xml:space="preserve">Violations Observed if any : </t>
  </si>
  <si>
    <t>Saleable area Loading :</t>
  </si>
  <si>
    <t>Total</t>
  </si>
  <si>
    <t>Name of Municipal Corporation/Authority</t>
  </si>
  <si>
    <t>We have considered proposed No. of Floor for Stage Calculation.</t>
  </si>
  <si>
    <t>*</t>
  </si>
  <si>
    <t>Recommended rate should be considered as all inclusive rate if other charges are not mentioned. (Excluding GST &amp; other government Taxes)</t>
  </si>
  <si>
    <t xml:space="preserve">Commencement-CC No
Valid Up to: </t>
  </si>
  <si>
    <t xml:space="preserve">Recommended Rates of the Property : </t>
  </si>
  <si>
    <t>Recommended rate of the Shop Per Sq. Ft.</t>
  </si>
  <si>
    <t>Recommended rate of the Flat Per Sq. Ft.</t>
  </si>
  <si>
    <t>Recommended rate of the Office Per Sq. Ft.</t>
  </si>
  <si>
    <t>On Saleable Area</t>
  </si>
  <si>
    <t>Location Link</t>
  </si>
  <si>
    <t>Locality</t>
  </si>
  <si>
    <t>Layout :</t>
  </si>
  <si>
    <t>Latitude, Longitude</t>
  </si>
  <si>
    <t>Grand Total</t>
  </si>
  <si>
    <t>Provided Contact Details (Name &amp; Contact No.)</t>
  </si>
  <si>
    <t>Site Person - Contact Details (Name &amp; Contact No.)</t>
  </si>
  <si>
    <t>Approved Plans, CC, Sale Plans, Builder Saleable Area, Cost Sheet, Airport Noc, Railway Noc, OC</t>
  </si>
  <si>
    <t>Axis Goregaon</t>
  </si>
  <si>
    <t>Name / No of the Existing Building</t>
  </si>
  <si>
    <t>Mumbai</t>
  </si>
  <si>
    <t>As per Layout</t>
  </si>
  <si>
    <t xml:space="preserve">Details of Residential &amp; Commercials in Building   </t>
  </si>
  <si>
    <t>Floor Rise Rate from    Floor</t>
  </si>
  <si>
    <t>Shop No. (Sale Plan)</t>
  </si>
  <si>
    <t>Flat No. (Sale Plan)</t>
  </si>
  <si>
    <t xml:space="preserve">Thane </t>
  </si>
  <si>
    <t>Thane</t>
  </si>
  <si>
    <t>Shahpur</t>
  </si>
  <si>
    <t>Kalyan</t>
  </si>
  <si>
    <t>Bhiwandi</t>
  </si>
  <si>
    <t>Ulhasnagar</t>
  </si>
  <si>
    <t>Ambernath</t>
  </si>
  <si>
    <t>Murbad</t>
  </si>
  <si>
    <t>Mokhada</t>
  </si>
  <si>
    <t>Talasari</t>
  </si>
  <si>
    <t>Palghar</t>
  </si>
  <si>
    <t>Vasai</t>
  </si>
  <si>
    <t>Vikramgad</t>
  </si>
  <si>
    <t>Dahanu</t>
  </si>
  <si>
    <t>Wada</t>
  </si>
  <si>
    <t>Raigad</t>
  </si>
  <si>
    <t>Alibag</t>
  </si>
  <si>
    <t>Panvel</t>
  </si>
  <si>
    <t>Uran</t>
  </si>
  <si>
    <t>Karjat</t>
  </si>
  <si>
    <t>Khalapur</t>
  </si>
  <si>
    <t>Pen</t>
  </si>
  <si>
    <t>Sudhagad</t>
  </si>
  <si>
    <t>Mahad</t>
  </si>
  <si>
    <t>Roha</t>
  </si>
  <si>
    <t>Mangaon</t>
  </si>
  <si>
    <t>Poladpur</t>
  </si>
  <si>
    <t>Mahasala</t>
  </si>
  <si>
    <t>Shriwardhan</t>
  </si>
  <si>
    <t>Murud</t>
  </si>
  <si>
    <t>Andheri</t>
  </si>
  <si>
    <t>Borivali</t>
  </si>
  <si>
    <t>Kurla</t>
  </si>
  <si>
    <t>Pune</t>
  </si>
  <si>
    <t>Pune City</t>
  </si>
  <si>
    <t>Khed</t>
  </si>
  <si>
    <t>Baramati</t>
  </si>
  <si>
    <t>Junnar</t>
  </si>
  <si>
    <t>Shirur</t>
  </si>
  <si>
    <t>Indapur</t>
  </si>
  <si>
    <t>Daund</t>
  </si>
  <si>
    <t>Mawal</t>
  </si>
  <si>
    <t>Ambegaon</t>
  </si>
  <si>
    <t>Purandhar</t>
  </si>
  <si>
    <t>Bhor</t>
  </si>
  <si>
    <t>Mulshi</t>
  </si>
  <si>
    <t>Velhe</t>
  </si>
  <si>
    <t>Haveli</t>
  </si>
  <si>
    <t>Approved Plans, CC</t>
  </si>
  <si>
    <t>Approved Plans, CC, Sale Plans</t>
  </si>
  <si>
    <t>Approved Plans, CC, Sale Plans, Builder Saleable Area</t>
  </si>
  <si>
    <t>Approved Plans, CC, Sale Plans, Builder Saleable Area, Cost Sheet,</t>
  </si>
  <si>
    <t>Approved Plans, CC, Builder Saleable Area,</t>
  </si>
  <si>
    <t>Carpet area</t>
  </si>
  <si>
    <t>Bank Name:</t>
  </si>
  <si>
    <t>Axis Bank</t>
  </si>
  <si>
    <t>Branch</t>
  </si>
  <si>
    <t>Bank</t>
  </si>
  <si>
    <t>Cent Bank</t>
  </si>
  <si>
    <t>Indiabulls Housing Finance Ltd</t>
  </si>
  <si>
    <t>PNB Housing Finance Limited</t>
  </si>
  <si>
    <t>ABFHL</t>
  </si>
  <si>
    <t>Axis Thane</t>
  </si>
  <si>
    <t>Axis Sanpada</t>
  </si>
  <si>
    <t>Axis Badlapur</t>
  </si>
  <si>
    <t>PNB Thane</t>
  </si>
  <si>
    <t>PNB Borivali</t>
  </si>
  <si>
    <t>Cent Kalyan</t>
  </si>
  <si>
    <t>Cent Belapur</t>
  </si>
  <si>
    <t>IBHF Kalyan</t>
  </si>
  <si>
    <t>IBHF Badlapur</t>
  </si>
  <si>
    <t>IBHF Vashi</t>
  </si>
  <si>
    <t>IBHF Thane</t>
  </si>
  <si>
    <t>IBHF Andheri</t>
  </si>
  <si>
    <t>Authorites</t>
  </si>
  <si>
    <t>Slum Rehabilitation Authority (SRA)</t>
  </si>
  <si>
    <t>Municipal Corporation of Greater Mumbai (MCGM)</t>
  </si>
  <si>
    <t>Maharashtra Housing and Area Development Authority(MHADA)</t>
  </si>
  <si>
    <t>Mumbai Metropolitan Region Development Authority (MMRDA)</t>
  </si>
  <si>
    <t>Maharashtra State Road Development Corporation Limited (MSRDC)</t>
  </si>
  <si>
    <t>Navi Mumbai Municipal Corporation (NMMC)</t>
  </si>
  <si>
    <t>Thane Muncipal Cooperation (TMC)</t>
  </si>
  <si>
    <t>Kalyan Dombivli Municipal Corporation (KMDC)</t>
  </si>
  <si>
    <t>Kulgoan Badlapur Municipal Council</t>
  </si>
  <si>
    <t>Town Planning Thane</t>
  </si>
  <si>
    <t>Ambernath Municipal Council (AMC)</t>
  </si>
  <si>
    <t>Ulhasnagar Municipal Corporation</t>
  </si>
  <si>
    <t>Nagar Rachana Ani Mulya Nirdharan Vibhag Thane</t>
  </si>
  <si>
    <t>Bhiwandi Nizampur City Municipal Corporation</t>
  </si>
  <si>
    <t>City and Industrial Development Corporation (CIDCO)</t>
  </si>
  <si>
    <t>Maharashtra Industrial Development Corporation (MIDC)</t>
  </si>
  <si>
    <t>Panvel Municipal Corporation</t>
  </si>
  <si>
    <t>Navi Mumbai Airport Influence Notified Area (NAINA)</t>
  </si>
  <si>
    <t>Pen Municipal Council</t>
  </si>
  <si>
    <t>Raigad Zilha Parishad</t>
  </si>
  <si>
    <t>Roha Municipal Council</t>
  </si>
  <si>
    <t>Vasai-Virar City Municipal Corporation. (VVCMC)</t>
  </si>
  <si>
    <t>Collector Of Palghar</t>
  </si>
  <si>
    <t>Town Planner, Palghar</t>
  </si>
  <si>
    <t>Mira-Bhayandar Municipal Corporation</t>
  </si>
  <si>
    <t>Documents Provided</t>
  </si>
  <si>
    <t>Does the boundaries at site match, as mentioned in the Documentation: NA</t>
  </si>
  <si>
    <t xml:space="preserve">Fire Noc No
Valid Up to: </t>
  </si>
  <si>
    <t xml:space="preserve">Environmental Clearance Certificate (EC) No
Valid Up for: </t>
  </si>
  <si>
    <t xml:space="preserve">As per RERA, completion period of project Yashwant Height is expired on 30/06/2021 but still project is under construction.
</t>
  </si>
  <si>
    <t>Validity of CC is expired on 31/01/2021. Please provide latest CC.</t>
  </si>
  <si>
    <t>Construction work is same as last visit but work is in process at the time of visit. (Slow Speed)</t>
  </si>
  <si>
    <t>As per CRZ Norms, The said plot is coming under list of plots affected by CRZ. Ref Letter No. CIDCO/PLNG/ACP(BP)/2021/895/E-19416 Date : 09/03/2021.</t>
  </si>
  <si>
    <t>Construction work has increased from last visit but no active work was found during site visit</t>
  </si>
  <si>
    <t>As per Approved Floor plan, Wing A consist of 62 units ( Rehab = 40 units &amp; Sale = 22 Units),  but which unit no should be considered as rehab or sale is not mentioned in Approved plan.</t>
  </si>
  <si>
    <t>If stage is not identifibale due to external Visit,
1. Confirm with visitor that internal visit was possible or not, if internal visit possible ask visitor to to revisit
2. If internal visit not possible in category A Builders, if stage is not possible to increase mention below remark Since internal visit were not permitted, we were unable to determine building progress from an external visit; so, we are maintaining the same progress as in the previous report (dtd.    )
3. If Stage is identifiable increase the stage. Mention internal visit is not allowed in Remark</t>
  </si>
  <si>
    <r>
      <t xml:space="preserve">Recommended Rates / Other charges of the Property have been revised on </t>
    </r>
    <r>
      <rPr>
        <b/>
        <sz val="11"/>
        <color rgb="FF000000"/>
        <rFont val="Calibri"/>
        <family val="2"/>
      </rPr>
      <t>23/10/2023</t>
    </r>
    <r>
      <rPr>
        <sz val="11"/>
        <color rgb="FF000000"/>
        <rFont val="Calibri"/>
        <family val="2"/>
      </rPr>
      <t>.</t>
    </r>
  </si>
  <si>
    <t>Other charges/ Rate has been revised as per market inquiry (on 12/10/2023)</t>
  </si>
  <si>
    <t>Cementry of Hindu, Muslim, &amp; Christian Religion is located in 150 to 200m from project</t>
  </si>
  <si>
    <t>There is a road on the west side of the project, and a creek is next to the other side of the road.</t>
  </si>
  <si>
    <t>We have updated revised approved plans &amp; CC (on 15/12/2022).</t>
  </si>
  <si>
    <t>High Tension lines are passing through project (name)</t>
  </si>
  <si>
    <t>Collector Of Raigad</t>
  </si>
  <si>
    <t>As the project is redevelopement project but rehab statement or rehab flats is not mentioned approved layout plan &amp; floor plan.</t>
  </si>
  <si>
    <t>Construction work was stopped since visit 04/12/2017, but during 07/10/2021 site visit some construction activity was seen on site (Single room flooring work was seen)</t>
  </si>
  <si>
    <t>Builder is selling Bare Shell Office units</t>
  </si>
  <si>
    <t>We did not consider the terrace area attached to the 1st floor flats because it was not shown in the approved plans. However, it was shown in the sale plan.</t>
  </si>
  <si>
    <t>Since the project has received first CC on 17/01/2020, But construction work of Wing A is not yet started. Please provide revised approved CC for Wing A.</t>
  </si>
  <si>
    <t xml:space="preserve">Floor No </t>
  </si>
  <si>
    <t>Discription</t>
  </si>
  <si>
    <t>Carpet</t>
  </si>
  <si>
    <t>Fungible</t>
  </si>
  <si>
    <t>Terrace</t>
  </si>
  <si>
    <t>L</t>
  </si>
  <si>
    <t>W</t>
  </si>
  <si>
    <t>A</t>
  </si>
  <si>
    <t>Hall</t>
  </si>
  <si>
    <t>CB</t>
  </si>
  <si>
    <t>kitch</t>
  </si>
  <si>
    <t>FB</t>
  </si>
  <si>
    <t>Bed1</t>
  </si>
  <si>
    <t>Bed2</t>
  </si>
  <si>
    <t>Bed3</t>
  </si>
  <si>
    <t>Bed4</t>
  </si>
  <si>
    <t>DB</t>
  </si>
  <si>
    <t>toilet2</t>
  </si>
  <si>
    <t>toilet3</t>
  </si>
  <si>
    <t>passage1</t>
  </si>
  <si>
    <t>passage3</t>
  </si>
  <si>
    <t>passage4</t>
  </si>
  <si>
    <t>toilet4</t>
  </si>
  <si>
    <t>passage2</t>
  </si>
  <si>
    <t>Servant room</t>
  </si>
  <si>
    <t>Balcony</t>
  </si>
  <si>
    <r>
      <t xml:space="preserve">A sale or rehab statement is not provided along with approved floor plans. But as per a letter provided by the Bank Official on </t>
    </r>
    <r>
      <rPr>
        <b/>
        <sz val="11"/>
        <color rgb="FF000000"/>
        <rFont val="Calibri"/>
        <family val="2"/>
      </rPr>
      <t>whatsapp</t>
    </r>
    <r>
      <rPr>
        <sz val="11"/>
        <color rgb="FF000000"/>
        <rFont val="Calibri"/>
        <family val="2"/>
      </rPr>
      <t xml:space="preserve"> A wing is a rehab wing, and B wing is a sale wing. The same letter is attached below.</t>
    </r>
  </si>
  <si>
    <r>
      <t xml:space="preserve">A sale or rehab statement is not provided along with approved floor plans. But as per a letter provided by the Bank Official on </t>
    </r>
    <r>
      <rPr>
        <b/>
        <sz val="11"/>
        <color rgb="FF000000"/>
        <rFont val="Calibri"/>
        <family val="2"/>
      </rPr>
      <t>whatsapp</t>
    </r>
    <r>
      <rPr>
        <sz val="11"/>
        <color rgb="FF000000"/>
        <rFont val="Calibri"/>
        <family val="2"/>
      </rPr>
      <t>, 5 shops &amp; 6 Flats are Rehab Flats. The same letter is attached below.</t>
    </r>
  </si>
  <si>
    <t>As Flat No. 201, 202, 203 &amp; 204 consists of large terrace area but dimension of that area is not mentioned. Therefore we have not considered terrace area for that flat.</t>
  </si>
  <si>
    <t>Electric Lines are passing above the project</t>
  </si>
  <si>
    <t>High tension lines are passing nearby project Project Name. Please provide Power Noc.</t>
  </si>
  <si>
    <t>We have release report on the basis of other vendor report.</t>
  </si>
  <si>
    <t>As per the last site visit dtd. 06/03/2024, internal visit was not allowed. Hence, the construction percentage given in the report was as per site met person i.e. 1st slab completed.
As per the visit dtd 10/06/2024, we have observed that only plinth work is completed. But higher construction stage is already given in last report i.e. 1st slab completed Hence, we are maintaining the same construction percentage as of previous report.</t>
  </si>
  <si>
    <t>Recommended Rates / Other charges of the Property (Commercial) have been revised on 23/10/2023 on basis of Cost sheet provided to us on mail by bank official, which is attached below</t>
  </si>
  <si>
    <t>As building have received First CC on 08/05/2015 still building is still under construction.</t>
  </si>
  <si>
    <t>Provided plans doesnot consist of Owner &amp; Architect Signature, 
We are releasing report after verbel discussion with Bank Officials about above Query.</t>
  </si>
  <si>
    <t>We have not drafted Unit No. 4, Office No. 107, 207, 307 &amp; 407 due to improper dimentions n shape of that unit.</t>
  </si>
  <si>
    <t>We are releasing report on MIDC Approved plans &amp; Combined Approval Letter.</t>
  </si>
  <si>
    <t>As the project is redevelopement project but rehab statement or rehab flats is not mentioned approved layout plan &amp; floor plan. But builder rehab tenant list is provided on mail by bank officials which is attached below</t>
  </si>
  <si>
    <t>SCL Kalyan</t>
  </si>
  <si>
    <t>SCL Badlapur</t>
  </si>
  <si>
    <t>SCL Vashi</t>
  </si>
  <si>
    <t>SCL Thane</t>
  </si>
  <si>
    <t>SCL Andheri</t>
  </si>
  <si>
    <t>SCL Borivali</t>
  </si>
  <si>
    <t>SCL Virar</t>
  </si>
  <si>
    <t>As per Approved Floor Plan, In C to E wing on Ground floor Shop No. 19 &amp; 20 are merged into single shop.</t>
  </si>
  <si>
    <t xml:space="preserve">We have given Valuation for Sale Flats and Shops only.
</t>
  </si>
  <si>
    <t>There are guest houses, villas, resorts, etc. in a range of 200 to 300 meters.
There are few residential buildings available in the surrounding areas. (within 500 meters)
There are inadequate transportation options to get to the project and the area is not
developed</t>
  </si>
  <si>
    <t xml:space="preserve">Airport Noc No
Valid Up for: 
</t>
  </si>
  <si>
    <t xml:space="preserve">Valid upto Dated </t>
  </si>
  <si>
    <t>PNB Panvel</t>
  </si>
  <si>
    <t>Building Details Floor Wise</t>
  </si>
  <si>
    <t>Sammaan Capital Limited</t>
  </si>
  <si>
    <t>Thane Municipal Corporation (TMC)</t>
  </si>
  <si>
    <t>Construction stage is reduced due to revision in proposed structure of project.</t>
  </si>
  <si>
    <t>Construction percentage has been reduced due to the construction work being processed in two parts.</t>
  </si>
  <si>
    <t xml:space="preserve">The project has received CC on 07/06/2019, But construction work is not yet Completed. </t>
  </si>
  <si>
    <t>Some flats are occupied by tenants but finishing work is in process at the time of visit.</t>
  </si>
  <si>
    <t>The       project is not registered on RERA site, Beacause land area of project is less than 500 Sq.Mt</t>
  </si>
  <si>
    <t>As per site visit dtd.23/01/2025 we have observed that the construction work is not done as per approved floor plan. (Extra Terrace Area are Constructed for flats)
According to the approved 1st floor plan, terrace area is not attached to Flat No.3, 4 &amp; 5, But on site terrace area is already constructed.</t>
  </si>
  <si>
    <t>Remark No. 42 is resolved by corrigendum (i.e. correction letter) provided by authority regarding survey nos. letter attached below.</t>
  </si>
  <si>
    <t>As per approved Floor plans does not consist of Unit Numbering, We have considered unit numbering from sale plan provided by site meet person during site visit.</t>
  </si>
  <si>
    <t>As per New version of RERA portal project consist of single building - Hasha Heights
As per Old version of RERA portal project consist of Two buildings- Hasha Heights &amp; Kunti Heights</t>
  </si>
  <si>
    <t>Remark No.11 is solved. we were asked to follow the old version of RERA by the bank official builder letter provided on the mail is attached below.</t>
  </si>
  <si>
    <t xml:space="preserve">As per approved plan &amp; CC,  project consists of Survey No.40, H.No.2A, Plot No.3 &amp; 4.  
But as per RERA, project consists of Survey No.40/B, Plot No.3 &amp; 4.  </t>
  </si>
  <si>
    <t>Vishw apartment</t>
  </si>
  <si>
    <t>The approved large land parcel layout plan does not consist of survey number, therefore we have referred Survey No. from Title Certificate.</t>
  </si>
  <si>
    <t>As per the discussion with the bank official, Builder provided approved EC on whatsapp for a large land parcel.</t>
  </si>
  <si>
    <t>Mahindra Vista Phase 1 &amp; 2</t>
  </si>
  <si>
    <t>As per the approved floor plan, out of 1199 flats, there are 132 flats that are "I to R" flats. Please check from your end.</t>
  </si>
  <si>
    <t>As per the approved plans &amp; RERA in the project Shikara Heights Phase I consist of " Wing A, B, C " for Sale &amp; " Wing D " for Rehab
Therefore we have not considered Rehab Wing D in APF Report.</t>
  </si>
  <si>
    <t xml:space="preserve">Site Elevation (AMSL) = 
Permissible Top Elevation (AMSL) = </t>
  </si>
  <si>
    <t>Carpet Area</t>
  </si>
  <si>
    <t>As per Google Maps, we have observed that some plants or trees are surrounding of theproject (it plants might be mangroves also).</t>
  </si>
  <si>
    <t>The Royal Bay</t>
  </si>
  <si>
    <t>Office No. 1031, Wing J, Akshar Business Park, Plot No. 03 Sector 25, Near APMC Market, Vashi, Navi Mumbai, Maharashtra 400703 TEL: 022-46090378/79/80
E mail : vsjcapf@gmail.com. Web site : www.vsjadon.com</t>
  </si>
  <si>
    <t xml:space="preserve">As per the revised approved plan dated 08/09/2022, the approved structure of Wing A is reduced to Gr + 1st to 14th Floor (earlier it was Wing A = Gr + 1st to 15th Floor) </t>
  </si>
  <si>
    <t>Balaji Govind</t>
  </si>
  <si>
    <t>Masjid is located in 150 to 200m from project</t>
  </si>
  <si>
    <t>Konnark Stellar</t>
  </si>
  <si>
    <t>Mr. Krunal 7977074609</t>
  </si>
  <si>
    <t>Buillding 1 &amp; 2</t>
  </si>
  <si>
    <t>P52000080382</t>
  </si>
  <si>
    <t>Gut No</t>
  </si>
  <si>
    <t>Mumbai Goa Highway</t>
  </si>
  <si>
    <t>Giravale</t>
  </si>
  <si>
    <t>Today Global Codename Goldrush Panvel</t>
  </si>
  <si>
    <t>5.40 KM from Somatne Railway Station</t>
  </si>
  <si>
    <t>Adj Gut. No. 53</t>
  </si>
  <si>
    <t>Adj Gut. No. 62/A/1</t>
  </si>
  <si>
    <t>Other Plot</t>
  </si>
  <si>
    <t xml:space="preserve">Open Plot </t>
  </si>
  <si>
    <t>Open Plot</t>
  </si>
  <si>
    <t>https://maps.app.goo.gl/M95znj2q98SF8A48A</t>
  </si>
  <si>
    <t xml:space="preserve">12.00 M Wide Plot </t>
  </si>
  <si>
    <t>Kuchcha Road</t>
  </si>
  <si>
    <t>02 Buildings</t>
  </si>
  <si>
    <t>MSRDC/SPA/Girvale/BP-529/CC/2025/1474</t>
  </si>
  <si>
    <t>Building No. 1 = G + 1st Floor (Total BUA = 324.796 Sq. M)
Building No. 2 = G + 1st to 26th Floor (Total BUA = 13622.27 Sq. M)</t>
  </si>
  <si>
    <t>Building No. 1 = G + 1st Floor 
Building No. 2 = G + 1st to 26th Floor</t>
  </si>
  <si>
    <t>Building No. 2 = G + 1st to 27th Floor</t>
  </si>
  <si>
    <t>As per RERA - 30/12/2032</t>
  </si>
  <si>
    <t xml:space="preserve">Vitrified tiles flooring, Granite Kitchen Platform, Decorative Entrance etc.                                                                                                                                                                                                                                                                                   </t>
  </si>
  <si>
    <r>
      <t xml:space="preserve">Proposed Amenities :                                                                                                                                                                                                                         </t>
    </r>
    <r>
      <rPr>
        <b/>
        <sz val="12"/>
        <rFont val="Times New Roman"/>
        <family val="1"/>
      </rPr>
      <t xml:space="preserve">                                               </t>
    </r>
  </si>
  <si>
    <t>Building No. 1</t>
  </si>
  <si>
    <t>Building No. 2</t>
  </si>
  <si>
    <t>Shop</t>
  </si>
  <si>
    <t>Attached Otla area</t>
  </si>
  <si>
    <r>
      <t xml:space="preserve">Shop No.
</t>
    </r>
    <r>
      <rPr>
        <b/>
        <sz val="11"/>
        <rFont val="Times New Roman"/>
        <family val="1"/>
      </rPr>
      <t>(Approved Plan)</t>
    </r>
  </si>
  <si>
    <t xml:space="preserve">Ground Floor For Commercial &amp; Entrance Lobby </t>
  </si>
  <si>
    <t>1st Floor For Multipurpose Hall</t>
  </si>
  <si>
    <t>Ground Floor For Parking, Entrance Lobby, Telecom Room, Meter Room &amp; Society Office</t>
  </si>
  <si>
    <t>1st to 4th Floor For Residential</t>
  </si>
  <si>
    <t>1BHK</t>
  </si>
  <si>
    <t>Balcony Area</t>
  </si>
  <si>
    <t>5th, 6th, 8th, 9th, 11th, 13th to 16th, 18th to 21st, 23rd to 25th Floor</t>
  </si>
  <si>
    <t>7th, 12th, 17th &amp; 22nd Floor For Residential (Part Refuge Area)</t>
  </si>
  <si>
    <t xml:space="preserve"> - </t>
  </si>
  <si>
    <t>Refuge Area</t>
  </si>
  <si>
    <t>10th Floor For Recreational Floor</t>
  </si>
  <si>
    <t>26th Floor For Residential (Part Terrace Area)</t>
  </si>
  <si>
    <t>Terrace Area</t>
  </si>
  <si>
    <r>
      <t xml:space="preserve">Flat No.
</t>
    </r>
    <r>
      <rPr>
        <b/>
        <sz val="11"/>
        <rFont val="Times New Roman"/>
        <family val="1"/>
      </rPr>
      <t>(Approved Plan)</t>
    </r>
  </si>
  <si>
    <t>OK</t>
  </si>
  <si>
    <t>We considered Gross carpet area = Net carpet + Balcony Area.</t>
  </si>
  <si>
    <t>Flats - 242, Shops - 4</t>
  </si>
  <si>
    <t>M/s. Konnark Stays</t>
  </si>
  <si>
    <t>MSRDC/FIRE/PFA/00425/1153</t>
  </si>
  <si>
    <t>Bldg No. 1 &amp; 2 = Gr + 1st to 26th Floor (83.15M Height)</t>
  </si>
  <si>
    <t>We have updated Fire Noc on 23/06/2025.</t>
  </si>
  <si>
    <t>18.945556,73.136611</t>
  </si>
  <si>
    <t>Building No. 1 = G + 1st Floor</t>
  </si>
  <si>
    <t>Truhome finance</t>
  </si>
  <si>
    <t>Belapur</t>
  </si>
  <si>
    <t>Ravindra vishwakarma</t>
  </si>
  <si>
    <t>Shruti Fule</t>
  </si>
  <si>
    <t>Miss. Mitali Mokal 8928459306</t>
  </si>
  <si>
    <t>Construction work is in process at the time of Visit.(Labour Found)</t>
  </si>
  <si>
    <t>Please check for Airport Noc &amp; Fire Noc.</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</si>
</sst>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 #,##0.00_ ;_ * \-#,##0.00_ ;_ * &quot;-&quot;??_ ;_ @_ "/>
    <numFmt numFmtId="164" formatCode="0.0"/>
    <numFmt numFmtId="165" formatCode="_(* #,##0.00_);_(* \(#,##0.00\);_(* &quot;-&quot;??_);_(@_)"/>
    <numFmt numFmtId="166" formatCode="_(* #,##0_);_(* \(#,##0\);_(* &quot;-&quot;??_);_(@_)"/>
    <numFmt numFmtId="167" formatCode="_ * #,##0_ ;_ * \-#,##0_ ;_ * &quot;-&quot;??_ ;_ @_ "/>
  </numFmts>
  <fonts count="32"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b/>
      <sz val="11"/>
      <color indexed="8"/>
      <name val="Times New Roman"/>
      <family val="1"/>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b/>
      <sz val="11.5"/>
      <color indexed="8"/>
      <name val="Times New Roman"/>
      <family val="1"/>
    </font>
    <font>
      <sz val="12"/>
      <name val="Times New Roman"/>
      <family val="1"/>
    </font>
    <font>
      <b/>
      <sz val="12"/>
      <name val="Times New Roman"/>
      <family val="1"/>
    </font>
    <font>
      <sz val="11"/>
      <name val="Times New Roman"/>
      <family val="1"/>
    </font>
    <font>
      <sz val="12"/>
      <color rgb="FFFF0000"/>
      <name val="Times New Roman"/>
      <family val="1"/>
    </font>
    <font>
      <sz val="11"/>
      <color theme="1"/>
      <name val="Times New Roman"/>
      <family val="1"/>
    </font>
    <font>
      <b/>
      <sz val="12"/>
      <color rgb="FFFF0000"/>
      <name val="Times New Roman"/>
      <family val="1"/>
    </font>
    <font>
      <sz val="11"/>
      <color rgb="FF000000"/>
      <name val="Times New Roman"/>
      <family val="1"/>
    </font>
    <font>
      <sz val="11"/>
      <color rgb="FFFF0000"/>
      <name val="Calibri"/>
      <family val="2"/>
      <scheme val="minor"/>
    </font>
    <font>
      <sz val="11"/>
      <color rgb="FFFF0000"/>
      <name val="Calibri"/>
      <family val="2"/>
    </font>
    <font>
      <sz val="10"/>
      <name val="Arial"/>
      <family val="2"/>
    </font>
    <font>
      <sz val="11"/>
      <color rgb="FF000000"/>
      <name val="Calibri"/>
      <family val="2"/>
    </font>
    <font>
      <sz val="10"/>
      <color theme="1"/>
      <name val="Times New Roman"/>
      <family val="1"/>
    </font>
    <font>
      <sz val="11"/>
      <name val="Calibri"/>
      <family val="2"/>
    </font>
    <font>
      <sz val="11"/>
      <color theme="0"/>
      <name val="Calibri"/>
      <family val="2"/>
    </font>
    <font>
      <u/>
      <sz val="11"/>
      <color theme="10"/>
      <name val="Calibri"/>
      <family val="2"/>
    </font>
    <font>
      <sz val="9"/>
      <color indexed="81"/>
      <name val="Tahoma"/>
      <family val="2"/>
    </font>
    <font>
      <b/>
      <sz val="9"/>
      <color indexed="81"/>
      <name val="Tahoma"/>
      <family val="2"/>
    </font>
    <font>
      <b/>
      <sz val="11"/>
      <color rgb="FF000000"/>
      <name val="Calibri"/>
      <family val="2"/>
    </font>
    <font>
      <sz val="11"/>
      <color indexed="8"/>
      <name val="Times New Roman"/>
      <family val="1"/>
    </font>
    <font>
      <b/>
      <sz val="11"/>
      <name val="Times New Roman"/>
      <family val="1"/>
    </font>
  </fonts>
  <fills count="6">
    <fill>
      <patternFill patternType="none"/>
    </fill>
    <fill>
      <patternFill patternType="gray125"/>
    </fill>
    <fill>
      <patternFill patternType="solid">
        <fgColor rgb="FFFFFF00"/>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9" tint="0.79998168889431442"/>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style="medium">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s>
  <cellStyleXfs count="11">
    <xf numFmtId="0" fontId="0" fillId="0" borderId="0"/>
    <xf numFmtId="0" fontId="3" fillId="0" borderId="0"/>
    <xf numFmtId="0" fontId="5" fillId="0" borderId="0"/>
    <xf numFmtId="0" fontId="2" fillId="0" borderId="0"/>
    <xf numFmtId="0" fontId="5" fillId="0" borderId="0"/>
    <xf numFmtId="0" fontId="1" fillId="0" borderId="0"/>
    <xf numFmtId="165" fontId="5" fillId="0" borderId="0" applyFont="0" applyFill="0" applyBorder="0" applyAlignment="0" applyProtection="0"/>
    <xf numFmtId="0" fontId="21" fillId="0" borderId="0"/>
    <xf numFmtId="9" fontId="22" fillId="0" borderId="0" applyFont="0" applyFill="0" applyBorder="0" applyAlignment="0" applyProtection="0"/>
    <xf numFmtId="43" fontId="22" fillId="0" borderId="0" applyFont="0" applyFill="0" applyBorder="0" applyAlignment="0" applyProtection="0"/>
    <xf numFmtId="0" fontId="26" fillId="0" borderId="0" applyNumberFormat="0" applyFill="0" applyBorder="0" applyAlignment="0" applyProtection="0"/>
  </cellStyleXfs>
  <cellXfs count="269">
    <xf numFmtId="0" fontId="0" fillId="0" borderId="0" xfId="0"/>
    <xf numFmtId="0" fontId="5" fillId="0" borderId="0" xfId="4"/>
    <xf numFmtId="0" fontId="1" fillId="0" borderId="0" xfId="5"/>
    <xf numFmtId="0" fontId="9" fillId="0" borderId="1" xfId="5" applyFont="1" applyBorder="1" applyAlignment="1">
      <alignment horizontal="center" vertical="top" wrapText="1"/>
    </xf>
    <xf numFmtId="0" fontId="20" fillId="0" borderId="0" xfId="4" applyFont="1"/>
    <xf numFmtId="0" fontId="1" fillId="0" borderId="1" xfId="5" applyBorder="1" applyAlignment="1">
      <alignment horizontal="center" vertical="center"/>
    </xf>
    <xf numFmtId="0" fontId="1" fillId="0" borderId="1" xfId="5" applyBorder="1" applyAlignment="1">
      <alignment horizontal="left" vertical="center"/>
    </xf>
    <xf numFmtId="1" fontId="1" fillId="0" borderId="1" xfId="5" applyNumberFormat="1" applyBorder="1" applyAlignment="1">
      <alignment horizontal="center" vertical="center"/>
    </xf>
    <xf numFmtId="166" fontId="1" fillId="0" borderId="1" xfId="6" applyNumberFormat="1" applyFont="1" applyBorder="1" applyAlignment="1">
      <alignment horizontal="right" vertical="center"/>
    </xf>
    <xf numFmtId="0" fontId="1" fillId="0" borderId="1" xfId="5" applyBorder="1" applyAlignment="1">
      <alignment horizontal="left" vertical="center" wrapText="1"/>
    </xf>
    <xf numFmtId="0" fontId="9" fillId="0" borderId="1" xfId="5" applyFont="1" applyBorder="1" applyAlignment="1">
      <alignment horizontal="center" vertical="center"/>
    </xf>
    <xf numFmtId="1" fontId="19" fillId="0" borderId="1" xfId="5" applyNumberFormat="1" applyFont="1" applyBorder="1" applyAlignment="1">
      <alignment horizontal="center" vertical="center"/>
    </xf>
    <xf numFmtId="0" fontId="5" fillId="0" borderId="1" xfId="4" applyBorder="1" applyAlignment="1">
      <alignment horizontal="center" vertical="center"/>
    </xf>
    <xf numFmtId="0" fontId="18" fillId="0" borderId="0" xfId="0" applyFont="1" applyProtection="1">
      <protection hidden="1"/>
    </xf>
    <xf numFmtId="0" fontId="18" fillId="0" borderId="11" xfId="0" applyFont="1" applyBorder="1" applyProtection="1">
      <protection hidden="1"/>
    </xf>
    <xf numFmtId="0" fontId="12" fillId="0" borderId="4" xfId="1" applyFont="1" applyBorder="1" applyAlignment="1" applyProtection="1">
      <alignment horizontal="center" vertical="top"/>
      <protection locked="0"/>
    </xf>
    <xf numFmtId="0" fontId="12" fillId="0" borderId="5" xfId="1" applyFont="1" applyBorder="1" applyAlignment="1" applyProtection="1">
      <alignment horizontal="center" vertical="top"/>
      <protection locked="0"/>
    </xf>
    <xf numFmtId="0" fontId="6" fillId="0" borderId="1" xfId="1" applyFont="1" applyBorder="1" applyAlignment="1" applyProtection="1">
      <alignment vertical="top" wrapText="1"/>
      <protection locked="0"/>
    </xf>
    <xf numFmtId="9" fontId="7" fillId="0" borderId="1" xfId="8" applyFont="1" applyFill="1" applyBorder="1" applyAlignment="1" applyProtection="1">
      <alignment horizontal="center" vertical="top" wrapText="1"/>
      <protection locked="0"/>
    </xf>
    <xf numFmtId="9" fontId="7" fillId="0" borderId="7" xfId="8" applyFont="1" applyFill="1" applyBorder="1" applyAlignment="1" applyProtection="1">
      <alignment horizontal="center" vertical="top" wrapText="1"/>
      <protection locked="0"/>
    </xf>
    <xf numFmtId="0" fontId="7" fillId="0" borderId="0" xfId="1" applyFont="1"/>
    <xf numFmtId="0" fontId="15" fillId="0" borderId="0" xfId="1" applyFont="1"/>
    <xf numFmtId="0" fontId="12" fillId="0" borderId="0" xfId="1" applyFont="1"/>
    <xf numFmtId="1" fontId="7" fillId="0" borderId="0" xfId="1" applyNumberFormat="1" applyFont="1"/>
    <xf numFmtId="14" fontId="7" fillId="0" borderId="0" xfId="1" applyNumberFormat="1" applyFont="1"/>
    <xf numFmtId="0" fontId="7" fillId="0" borderId="0" xfId="1" applyFont="1" applyProtection="1">
      <protection hidden="1"/>
    </xf>
    <xf numFmtId="0" fontId="23" fillId="0" borderId="0" xfId="1" applyFont="1"/>
    <xf numFmtId="0" fontId="7" fillId="0" borderId="10" xfId="1" applyFont="1" applyBorder="1"/>
    <xf numFmtId="0" fontId="18" fillId="0" borderId="10" xfId="0" applyFont="1" applyBorder="1" applyProtection="1">
      <protection hidden="1"/>
    </xf>
    <xf numFmtId="1" fontId="0" fillId="0" borderId="10" xfId="0" applyNumberFormat="1" applyBorder="1"/>
    <xf numFmtId="1" fontId="0" fillId="0" borderId="10" xfId="0" applyNumberFormat="1" applyBorder="1" applyAlignment="1">
      <alignment horizontal="right"/>
    </xf>
    <xf numFmtId="1" fontId="0" fillId="0" borderId="12" xfId="0" applyNumberFormat="1" applyBorder="1"/>
    <xf numFmtId="0" fontId="16" fillId="0" borderId="0" xfId="1" applyFont="1"/>
    <xf numFmtId="0" fontId="6" fillId="0" borderId="0" xfId="2" applyFont="1"/>
    <xf numFmtId="0" fontId="7" fillId="0" borderId="0" xfId="0" applyFont="1" applyAlignment="1">
      <alignment horizontal="center" vertical="center"/>
    </xf>
    <xf numFmtId="1" fontId="7" fillId="0" borderId="0" xfId="1" applyNumberFormat="1" applyFont="1" applyAlignment="1">
      <alignment horizontal="center" vertical="center"/>
    </xf>
    <xf numFmtId="0" fontId="7" fillId="0" borderId="0" xfId="1" applyFont="1" applyAlignment="1">
      <alignment horizontal="center" vertical="center"/>
    </xf>
    <xf numFmtId="0" fontId="8" fillId="0" borderId="0" xfId="1" applyFont="1" applyAlignment="1" applyProtection="1">
      <alignment vertical="top"/>
      <protection locked="0"/>
    </xf>
    <xf numFmtId="0" fontId="8" fillId="0" borderId="0" xfId="1" applyFont="1" applyAlignment="1" applyProtection="1">
      <alignment vertical="top" wrapText="1"/>
      <protection locked="0"/>
    </xf>
    <xf numFmtId="0" fontId="7" fillId="0" borderId="0" xfId="1" applyFont="1" applyProtection="1">
      <protection locked="0"/>
    </xf>
    <xf numFmtId="0" fontId="10" fillId="0" borderId="0" xfId="1" applyFont="1" applyProtection="1">
      <protection locked="0"/>
    </xf>
    <xf numFmtId="1" fontId="6" fillId="0" borderId="1" xfId="1" applyNumberFormat="1" applyFont="1" applyBorder="1" applyAlignment="1" applyProtection="1">
      <alignment horizontal="center" vertical="center" wrapText="1"/>
      <protection locked="0"/>
    </xf>
    <xf numFmtId="0" fontId="7" fillId="0" borderId="1" xfId="1" applyFont="1" applyBorder="1" applyAlignment="1" applyProtection="1">
      <alignment horizontal="center" vertical="top" wrapText="1"/>
      <protection locked="0"/>
    </xf>
    <xf numFmtId="0" fontId="7" fillId="0" borderId="7" xfId="1" applyFont="1" applyBorder="1" applyAlignment="1" applyProtection="1">
      <alignment horizontal="center" vertical="top" wrapText="1"/>
      <protection locked="0"/>
    </xf>
    <xf numFmtId="0" fontId="8" fillId="0" borderId="1" xfId="1" applyFont="1" applyBorder="1" applyAlignment="1" applyProtection="1">
      <alignment vertical="top"/>
      <protection locked="0"/>
    </xf>
    <xf numFmtId="1" fontId="6" fillId="0" borderId="1" xfId="0" applyNumberFormat="1" applyFont="1" applyBorder="1" applyAlignment="1" applyProtection="1">
      <alignment horizontal="center" vertical="center" wrapText="1"/>
      <protection locked="0"/>
    </xf>
    <xf numFmtId="0" fontId="12" fillId="0" borderId="1" xfId="1" applyFont="1" applyBorder="1" applyAlignment="1" applyProtection="1">
      <alignment horizontal="center" vertical="top"/>
      <protection locked="0"/>
    </xf>
    <xf numFmtId="0" fontId="6" fillId="0" borderId="1" xfId="1" applyFont="1" applyBorder="1" applyAlignment="1" applyProtection="1">
      <alignment horizontal="center" vertical="top"/>
      <protection locked="0"/>
    </xf>
    <xf numFmtId="0" fontId="24" fillId="2" borderId="30" xfId="0" applyFont="1" applyFill="1" applyBorder="1"/>
    <xf numFmtId="0" fontId="25" fillId="0" borderId="31" xfId="0" applyFont="1" applyBorder="1"/>
    <xf numFmtId="0" fontId="25" fillId="0" borderId="1" xfId="0" applyFont="1" applyBorder="1"/>
    <xf numFmtId="0" fontId="25" fillId="0" borderId="5" xfId="0" applyFont="1" applyBorder="1"/>
    <xf numFmtId="0" fontId="0" fillId="0" borderId="0" xfId="0" applyAlignment="1">
      <alignment horizontal="center" vertical="center"/>
    </xf>
    <xf numFmtId="0" fontId="0" fillId="0" borderId="1" xfId="0" applyBorder="1" applyAlignment="1">
      <alignment horizontal="center" vertical="center"/>
    </xf>
    <xf numFmtId="0" fontId="0" fillId="0" borderId="0" xfId="0" applyAlignment="1">
      <alignment horizontal="center"/>
    </xf>
    <xf numFmtId="0" fontId="0" fillId="0" borderId="1" xfId="0" applyBorder="1"/>
    <xf numFmtId="0" fontId="0" fillId="0" borderId="1" xfId="0" applyBorder="1" applyAlignment="1">
      <alignment wrapText="1"/>
    </xf>
    <xf numFmtId="0" fontId="0" fillId="0" borderId="1" xfId="0" applyBorder="1" applyAlignment="1">
      <alignment horizontal="left" vertical="top" wrapText="1"/>
    </xf>
    <xf numFmtId="0" fontId="0" fillId="0" borderId="25" xfId="0" applyBorder="1"/>
    <xf numFmtId="0" fontId="0" fillId="0" borderId="8" xfId="0" applyBorder="1"/>
    <xf numFmtId="0" fontId="0" fillId="0" borderId="1" xfId="0" applyBorder="1" applyAlignment="1">
      <alignment vertical="top" wrapText="1"/>
    </xf>
    <xf numFmtId="0" fontId="0" fillId="2" borderId="1" xfId="0" applyFill="1" applyBorder="1" applyAlignment="1">
      <alignment horizontal="center" vertical="center"/>
    </xf>
    <xf numFmtId="0" fontId="0" fillId="0" borderId="2" xfId="0" applyBorder="1" applyAlignment="1">
      <alignment horizontal="center" vertical="center"/>
    </xf>
    <xf numFmtId="0" fontId="9" fillId="0" borderId="1" xfId="0" applyFont="1" applyBorder="1" applyAlignment="1">
      <alignment horizontal="center" vertical="center"/>
    </xf>
    <xf numFmtId="0" fontId="0" fillId="5" borderId="1" xfId="0" applyFill="1" applyBorder="1" applyAlignment="1">
      <alignment horizontal="center" vertical="center"/>
    </xf>
    <xf numFmtId="0" fontId="0" fillId="3" borderId="1" xfId="0" applyFill="1" applyBorder="1" applyAlignment="1">
      <alignment horizontal="center" vertical="center"/>
    </xf>
    <xf numFmtId="0" fontId="0" fillId="4" borderId="1" xfId="0" applyFill="1" applyBorder="1" applyAlignment="1">
      <alignment horizontal="center" vertical="center"/>
    </xf>
    <xf numFmtId="0" fontId="0" fillId="0" borderId="1" xfId="0" applyBorder="1" applyAlignment="1">
      <alignment horizontal="left" vertical="top"/>
    </xf>
    <xf numFmtId="0" fontId="0" fillId="0" borderId="0" xfId="0" applyAlignment="1">
      <alignment horizontal="left" vertical="top"/>
    </xf>
    <xf numFmtId="0" fontId="0" fillId="0" borderId="8" xfId="0" applyBorder="1" applyAlignment="1">
      <alignment horizontal="left" vertical="top"/>
    </xf>
    <xf numFmtId="0" fontId="12" fillId="0" borderId="1" xfId="1" applyFont="1" applyBorder="1"/>
    <xf numFmtId="0" fontId="7" fillId="0" borderId="1" xfId="1" applyFont="1" applyBorder="1"/>
    <xf numFmtId="0" fontId="0" fillId="0" borderId="8" xfId="0" applyBorder="1" applyAlignment="1">
      <alignment vertical="top"/>
    </xf>
    <xf numFmtId="0" fontId="0" fillId="0" borderId="25" xfId="0" applyBorder="1" applyAlignment="1">
      <alignment horizontal="center" vertical="top"/>
    </xf>
    <xf numFmtId="0" fontId="15" fillId="2" borderId="0" xfId="1" applyFont="1" applyFill="1"/>
    <xf numFmtId="14" fontId="12" fillId="0" borderId="0" xfId="1" applyNumberFormat="1" applyFont="1"/>
    <xf numFmtId="0" fontId="0" fillId="0" borderId="3" xfId="0" applyBorder="1" applyAlignment="1">
      <alignment vertical="top"/>
    </xf>
    <xf numFmtId="0" fontId="0" fillId="0" borderId="3" xfId="0" applyBorder="1" applyAlignment="1">
      <alignment wrapText="1"/>
    </xf>
    <xf numFmtId="0" fontId="0" fillId="0" borderId="25" xfId="0" applyBorder="1" applyAlignment="1">
      <alignment vertical="top"/>
    </xf>
    <xf numFmtId="0" fontId="0" fillId="0" borderId="26" xfId="0" applyBorder="1" applyAlignment="1">
      <alignment vertical="top" wrapText="1"/>
    </xf>
    <xf numFmtId="0" fontId="0" fillId="0" borderId="35" xfId="0" applyBorder="1" applyAlignment="1">
      <alignment vertical="top"/>
    </xf>
    <xf numFmtId="0" fontId="0" fillId="0" borderId="36" xfId="0" applyBorder="1" applyAlignment="1">
      <alignment vertical="top" wrapText="1"/>
    </xf>
    <xf numFmtId="0" fontId="0" fillId="0" borderId="37" xfId="0" applyBorder="1" applyAlignment="1">
      <alignment vertical="top"/>
    </xf>
    <xf numFmtId="0" fontId="0" fillId="0" borderId="12" xfId="0" applyBorder="1" applyAlignment="1">
      <alignment vertical="top" wrapText="1"/>
    </xf>
    <xf numFmtId="0" fontId="0" fillId="0" borderId="12" xfId="0" applyBorder="1" applyAlignment="1">
      <alignment vertical="top"/>
    </xf>
    <xf numFmtId="0" fontId="0" fillId="0" borderId="36" xfId="0" applyBorder="1" applyAlignment="1">
      <alignment horizontal="left" wrapText="1"/>
    </xf>
    <xf numFmtId="0" fontId="0" fillId="0" borderId="16" xfId="0" applyBorder="1" applyAlignment="1">
      <alignment vertical="top"/>
    </xf>
    <xf numFmtId="0" fontId="0" fillId="0" borderId="16" xfId="0" applyBorder="1" applyAlignment="1">
      <alignment vertical="top" wrapText="1"/>
    </xf>
    <xf numFmtId="0" fontId="0" fillId="0" borderId="1" xfId="0" applyBorder="1" applyAlignment="1">
      <alignment vertical="top"/>
    </xf>
    <xf numFmtId="0" fontId="0" fillId="0" borderId="9" xfId="0" applyBorder="1" applyAlignment="1">
      <alignment wrapText="1"/>
    </xf>
    <xf numFmtId="0" fontId="0" fillId="0" borderId="9" xfId="0" applyBorder="1" applyAlignment="1">
      <alignment vertical="top" wrapText="1"/>
    </xf>
    <xf numFmtId="0" fontId="7" fillId="0" borderId="0" xfId="1" applyFont="1" applyAlignment="1">
      <alignment horizontal="center" vertical="center"/>
    </xf>
    <xf numFmtId="1" fontId="6" fillId="0" borderId="1" xfId="1" applyNumberFormat="1" applyFont="1" applyBorder="1" applyAlignment="1" applyProtection="1">
      <alignment horizontal="center" vertical="center" wrapText="1"/>
      <protection locked="0"/>
    </xf>
    <xf numFmtId="0" fontId="7" fillId="0" borderId="0" xfId="1" applyFont="1" applyAlignment="1">
      <alignment horizontal="center" vertical="center"/>
    </xf>
    <xf numFmtId="1" fontId="13" fillId="0" borderId="3" xfId="1" applyNumberFormat="1" applyFont="1" applyBorder="1" applyAlignment="1" applyProtection="1">
      <alignment horizontal="center" vertical="top" wrapText="1"/>
      <protection locked="0"/>
    </xf>
    <xf numFmtId="9" fontId="13" fillId="0" borderId="16" xfId="8" applyFont="1" applyFill="1" applyBorder="1" applyAlignment="1" applyProtection="1">
      <alignment horizontal="center" vertical="top" wrapText="1"/>
      <protection locked="0"/>
    </xf>
    <xf numFmtId="0" fontId="16" fillId="0" borderId="0" xfId="1" applyFont="1" applyFill="1" applyAlignment="1">
      <alignment horizontal="center" vertical="center"/>
    </xf>
    <xf numFmtId="1" fontId="16" fillId="0" borderId="0" xfId="1" applyNumberFormat="1" applyFont="1" applyFill="1" applyAlignment="1">
      <alignment horizontal="center" vertical="center"/>
    </xf>
    <xf numFmtId="0" fontId="12" fillId="0" borderId="1" xfId="1" applyFont="1" applyBorder="1" applyAlignment="1" applyProtection="1">
      <alignment horizontal="center" vertical="top" wrapText="1"/>
      <protection locked="0"/>
    </xf>
    <xf numFmtId="1" fontId="12" fillId="0" borderId="1" xfId="1" applyNumberFormat="1" applyFont="1" applyBorder="1" applyAlignment="1" applyProtection="1">
      <alignment horizontal="center" vertical="top" wrapText="1"/>
      <protection locked="0"/>
    </xf>
    <xf numFmtId="1" fontId="7" fillId="0" borderId="1" xfId="1" applyNumberFormat="1" applyFont="1" applyBorder="1" applyAlignment="1" applyProtection="1">
      <alignment horizontal="center" vertical="top" wrapText="1"/>
      <protection locked="0"/>
    </xf>
    <xf numFmtId="0" fontId="7" fillId="0" borderId="0" xfId="1" applyFont="1" applyAlignment="1">
      <alignment horizontal="center" vertical="center"/>
    </xf>
    <xf numFmtId="0" fontId="7" fillId="0" borderId="0" xfId="1" applyFont="1" applyAlignment="1">
      <alignment horizontal="center" vertical="center"/>
    </xf>
    <xf numFmtId="1" fontId="6" fillId="0" borderId="8" xfId="1" applyNumberFormat="1" applyFont="1" applyBorder="1" applyAlignment="1" applyProtection="1">
      <alignment horizontal="center" vertical="center" wrapText="1"/>
      <protection locked="0"/>
    </xf>
    <xf numFmtId="1" fontId="6" fillId="0" borderId="9" xfId="1" applyNumberFormat="1" applyFont="1" applyBorder="1" applyAlignment="1" applyProtection="1">
      <alignment horizontal="center" vertical="center" wrapText="1"/>
      <protection locked="0"/>
    </xf>
    <xf numFmtId="1" fontId="6" fillId="0" borderId="21" xfId="1" applyNumberFormat="1" applyFont="1" applyBorder="1" applyAlignment="1" applyProtection="1">
      <alignment horizontal="center" vertical="center" wrapText="1"/>
      <protection locked="0"/>
    </xf>
    <xf numFmtId="1" fontId="8" fillId="0" borderId="8" xfId="1" applyNumberFormat="1" applyFont="1" applyBorder="1" applyAlignment="1" applyProtection="1">
      <alignment horizontal="center" vertical="center" wrapText="1"/>
      <protection locked="0"/>
    </xf>
    <xf numFmtId="1" fontId="8" fillId="0" borderId="21" xfId="1" applyNumberFormat="1" applyFont="1" applyBorder="1" applyAlignment="1" applyProtection="1">
      <alignment horizontal="center" vertical="center" wrapText="1"/>
      <protection locked="0"/>
    </xf>
    <xf numFmtId="1" fontId="8" fillId="0" borderId="9" xfId="1" applyNumberFormat="1" applyFont="1" applyBorder="1" applyAlignment="1" applyProtection="1">
      <alignment horizontal="center" vertical="center" wrapText="1"/>
      <protection locked="0"/>
    </xf>
    <xf numFmtId="0" fontId="16" fillId="0" borderId="0" xfId="1" applyFont="1" applyFill="1" applyAlignment="1">
      <alignment horizontal="center" vertical="center"/>
    </xf>
    <xf numFmtId="1" fontId="17" fillId="0" borderId="8" xfId="0" applyNumberFormat="1" applyFont="1" applyBorder="1" applyAlignment="1" applyProtection="1">
      <alignment vertical="top" wrapText="1"/>
      <protection locked="0"/>
    </xf>
    <xf numFmtId="1" fontId="17" fillId="0" borderId="21" xfId="0" applyNumberFormat="1" applyFont="1" applyBorder="1" applyAlignment="1" applyProtection="1">
      <alignment vertical="top" wrapText="1"/>
      <protection locked="0"/>
    </xf>
    <xf numFmtId="1" fontId="17" fillId="0" borderId="9" xfId="0" applyNumberFormat="1" applyFont="1" applyBorder="1" applyAlignment="1" applyProtection="1">
      <alignment vertical="top" wrapText="1"/>
      <protection locked="0"/>
    </xf>
    <xf numFmtId="1" fontId="13" fillId="0" borderId="3" xfId="1" applyNumberFormat="1" applyFont="1" applyBorder="1" applyAlignment="1" applyProtection="1">
      <alignment horizontal="center" vertical="top" wrapText="1"/>
      <protection locked="0"/>
    </xf>
    <xf numFmtId="1" fontId="13" fillId="0" borderId="16" xfId="1" applyNumberFormat="1" applyFont="1" applyBorder="1" applyAlignment="1" applyProtection="1">
      <alignment horizontal="center" vertical="top" wrapText="1"/>
      <protection locked="0"/>
    </xf>
    <xf numFmtId="1" fontId="13" fillId="0" borderId="8" xfId="0" applyNumberFormat="1" applyFont="1" applyBorder="1" applyAlignment="1" applyProtection="1">
      <alignment vertical="top" wrapText="1"/>
      <protection locked="0"/>
    </xf>
    <xf numFmtId="1" fontId="13" fillId="0" borderId="21" xfId="0" applyNumberFormat="1" applyFont="1" applyBorder="1" applyAlignment="1" applyProtection="1">
      <alignment vertical="top" wrapText="1"/>
      <protection locked="0"/>
    </xf>
    <xf numFmtId="1" fontId="13" fillId="0" borderId="9" xfId="0" applyNumberFormat="1" applyFont="1" applyBorder="1" applyAlignment="1" applyProtection="1">
      <alignment vertical="top" wrapText="1"/>
      <protection locked="0"/>
    </xf>
    <xf numFmtId="0" fontId="7" fillId="0" borderId="4" xfId="1" applyFont="1" applyBorder="1" applyAlignment="1" applyProtection="1">
      <alignment horizontal="center" vertical="top" wrapText="1"/>
      <protection locked="0"/>
    </xf>
    <xf numFmtId="0" fontId="7" fillId="0" borderId="1" xfId="1" applyFont="1" applyBorder="1" applyAlignment="1" applyProtection="1">
      <alignment horizontal="center" vertical="top" wrapText="1"/>
      <protection locked="0"/>
    </xf>
    <xf numFmtId="9" fontId="7" fillId="0" borderId="17" xfId="8" applyFont="1" applyFill="1" applyBorder="1" applyAlignment="1" applyProtection="1">
      <alignment horizontal="center" vertical="center" wrapText="1"/>
      <protection locked="0"/>
    </xf>
    <xf numFmtId="9" fontId="7" fillId="0" borderId="18" xfId="8" applyFont="1" applyFill="1" applyBorder="1" applyAlignment="1" applyProtection="1">
      <alignment horizontal="center" vertical="center" wrapText="1"/>
      <protection locked="0"/>
    </xf>
    <xf numFmtId="9" fontId="7" fillId="0" borderId="25" xfId="8" applyFont="1" applyFill="1" applyBorder="1" applyAlignment="1" applyProtection="1">
      <alignment horizontal="center" vertical="center" wrapText="1"/>
      <protection locked="0"/>
    </xf>
    <xf numFmtId="9" fontId="7" fillId="0" borderId="26" xfId="8" applyFont="1" applyFill="1" applyBorder="1" applyAlignment="1" applyProtection="1">
      <alignment horizontal="center" vertical="center" wrapText="1"/>
      <protection locked="0"/>
    </xf>
    <xf numFmtId="9" fontId="7" fillId="0" borderId="28" xfId="8" applyFont="1" applyFill="1" applyBorder="1" applyAlignment="1" applyProtection="1">
      <alignment horizontal="center" vertical="center" wrapText="1"/>
      <protection locked="0"/>
    </xf>
    <xf numFmtId="9" fontId="7" fillId="0" borderId="29" xfId="8" applyFont="1" applyFill="1" applyBorder="1" applyAlignment="1" applyProtection="1">
      <alignment horizontal="center" vertical="center" wrapText="1"/>
      <protection locked="0"/>
    </xf>
    <xf numFmtId="1" fontId="6" fillId="0" borderId="1" xfId="0" applyNumberFormat="1" applyFont="1" applyBorder="1" applyAlignment="1" applyProtection="1">
      <alignment horizontal="center" vertical="top" wrapText="1"/>
      <protection locked="0"/>
    </xf>
    <xf numFmtId="1" fontId="8" fillId="0" borderId="32" xfId="0" applyNumberFormat="1" applyFont="1" applyBorder="1" applyAlignment="1" applyProtection="1">
      <alignment horizontal="center" vertical="center" wrapText="1"/>
      <protection locked="0"/>
    </xf>
    <xf numFmtId="1" fontId="8" fillId="0" borderId="33" xfId="0" applyNumberFormat="1" applyFont="1" applyBorder="1" applyAlignment="1" applyProtection="1">
      <alignment horizontal="center" vertical="center" wrapText="1"/>
      <protection locked="0"/>
    </xf>
    <xf numFmtId="0" fontId="6" fillId="0" borderId="1" xfId="1" applyFont="1" applyBorder="1" applyAlignment="1" applyProtection="1">
      <alignment horizontal="left" vertical="top"/>
      <protection locked="0"/>
    </xf>
    <xf numFmtId="0" fontId="8" fillId="0" borderId="16" xfId="1" applyFont="1" applyBorder="1" applyAlignment="1" applyProtection="1">
      <alignment horizontal="left" vertical="top"/>
      <protection locked="0"/>
    </xf>
    <xf numFmtId="167" fontId="7" fillId="0" borderId="1" xfId="9" applyNumberFormat="1" applyFont="1" applyFill="1" applyBorder="1" applyAlignment="1" applyProtection="1">
      <alignment horizontal="left" vertical="top"/>
      <protection locked="0"/>
    </xf>
    <xf numFmtId="1" fontId="31" fillId="0" borderId="3" xfId="1" applyNumberFormat="1" applyFont="1" applyBorder="1" applyAlignment="1" applyProtection="1">
      <alignment horizontal="center" vertical="top" wrapText="1"/>
      <protection locked="0"/>
    </xf>
    <xf numFmtId="1" fontId="31" fillId="0" borderId="16" xfId="1" applyNumberFormat="1" applyFont="1" applyBorder="1" applyAlignment="1" applyProtection="1">
      <alignment horizontal="center" vertical="top" wrapText="1"/>
      <protection locked="0"/>
    </xf>
    <xf numFmtId="1" fontId="4" fillId="0" borderId="8" xfId="1" applyNumberFormat="1" applyFont="1" applyFill="1" applyBorder="1" applyAlignment="1" applyProtection="1">
      <alignment horizontal="center" vertical="center" wrapText="1"/>
      <protection locked="0"/>
    </xf>
    <xf numFmtId="1" fontId="4" fillId="0" borderId="21" xfId="1" applyNumberFormat="1" applyFont="1" applyFill="1" applyBorder="1" applyAlignment="1" applyProtection="1">
      <alignment horizontal="center" vertical="center" wrapText="1"/>
      <protection locked="0"/>
    </xf>
    <xf numFmtId="1" fontId="4" fillId="0" borderId="9" xfId="1" applyNumberFormat="1" applyFont="1" applyFill="1" applyBorder="1" applyAlignment="1" applyProtection="1">
      <alignment horizontal="center" vertical="center" wrapText="1"/>
      <protection locked="0"/>
    </xf>
    <xf numFmtId="0" fontId="7" fillId="0" borderId="5" xfId="1" applyFont="1" applyBorder="1" applyAlignment="1" applyProtection="1">
      <alignment horizontal="center" vertical="top" wrapText="1"/>
      <protection locked="0"/>
    </xf>
    <xf numFmtId="1" fontId="8" fillId="0" borderId="8" xfId="0" applyNumberFormat="1" applyFont="1" applyBorder="1" applyAlignment="1" applyProtection="1">
      <alignment vertical="top" wrapText="1"/>
      <protection locked="0"/>
    </xf>
    <xf numFmtId="1" fontId="8" fillId="0" borderId="21" xfId="0" applyNumberFormat="1" applyFont="1" applyBorder="1" applyAlignment="1" applyProtection="1">
      <alignment vertical="top" wrapText="1"/>
      <protection locked="0"/>
    </xf>
    <xf numFmtId="1" fontId="8" fillId="0" borderId="9" xfId="0" applyNumberFormat="1" applyFont="1" applyBorder="1" applyAlignment="1" applyProtection="1">
      <alignment vertical="top" wrapText="1"/>
      <protection locked="0"/>
    </xf>
    <xf numFmtId="0" fontId="10" fillId="0" borderId="33" xfId="0" applyFont="1" applyBorder="1" applyAlignment="1" applyProtection="1">
      <alignment horizontal="center" vertical="center"/>
      <protection locked="0"/>
    </xf>
    <xf numFmtId="0" fontId="26" fillId="0" borderId="1" xfId="10" applyFill="1" applyBorder="1" applyAlignment="1" applyProtection="1">
      <alignment horizontal="left" vertical="top" wrapText="1"/>
      <protection locked="0"/>
    </xf>
    <xf numFmtId="0" fontId="12" fillId="0" borderId="1" xfId="1" applyFont="1" applyBorder="1" applyAlignment="1" applyProtection="1">
      <alignment horizontal="left" vertical="top" wrapText="1"/>
      <protection locked="0"/>
    </xf>
    <xf numFmtId="1" fontId="8" fillId="0" borderId="33" xfId="0" applyNumberFormat="1" applyFont="1" applyBorder="1" applyAlignment="1" applyProtection="1">
      <alignment horizontal="center" vertical="top" wrapText="1"/>
      <protection locked="0"/>
    </xf>
    <xf numFmtId="1" fontId="8" fillId="0" borderId="34" xfId="0" applyNumberFormat="1" applyFont="1" applyBorder="1" applyAlignment="1" applyProtection="1">
      <alignment horizontal="center" vertical="top" wrapText="1"/>
      <protection locked="0"/>
    </xf>
    <xf numFmtId="0" fontId="12" fillId="0" borderId="16" xfId="1" applyFont="1" applyBorder="1" applyAlignment="1" applyProtection="1">
      <alignment horizontal="left" vertical="top" wrapText="1"/>
      <protection locked="0"/>
    </xf>
    <xf numFmtId="0" fontId="12" fillId="0" borderId="1" xfId="1" applyFont="1" applyBorder="1" applyAlignment="1" applyProtection="1">
      <alignment horizontal="left" vertical="top"/>
      <protection locked="0"/>
    </xf>
    <xf numFmtId="14" fontId="6" fillId="0" borderId="8" xfId="1" applyNumberFormat="1" applyFont="1" applyBorder="1" applyAlignment="1" applyProtection="1">
      <alignment horizontal="left" vertical="top" wrapText="1"/>
      <protection locked="0"/>
    </xf>
    <xf numFmtId="14" fontId="6" fillId="0" borderId="9" xfId="1" applyNumberFormat="1" applyFont="1" applyBorder="1" applyAlignment="1" applyProtection="1">
      <alignment horizontal="left" vertical="top" wrapText="1"/>
      <protection locked="0"/>
    </xf>
    <xf numFmtId="1" fontId="6" fillId="0" borderId="1" xfId="1" applyNumberFormat="1" applyFont="1" applyBorder="1" applyAlignment="1" applyProtection="1">
      <alignment horizontal="left" vertical="top" wrapText="1"/>
      <protection locked="0"/>
    </xf>
    <xf numFmtId="164" fontId="6" fillId="0" borderId="1" xfId="1" applyNumberFormat="1" applyFont="1" applyBorder="1" applyAlignment="1" applyProtection="1">
      <alignment horizontal="left" vertical="top"/>
      <protection locked="0"/>
    </xf>
    <xf numFmtId="2" fontId="6" fillId="0" borderId="1" xfId="1" applyNumberFormat="1" applyFont="1" applyBorder="1" applyAlignment="1" applyProtection="1">
      <alignment horizontal="left" vertical="top"/>
      <protection locked="0"/>
    </xf>
    <xf numFmtId="0" fontId="6" fillId="0" borderId="8" xfId="1" applyFont="1" applyBorder="1" applyAlignment="1" applyProtection="1">
      <alignment horizontal="left" vertical="top" wrapText="1"/>
      <protection locked="0"/>
    </xf>
    <xf numFmtId="0" fontId="6" fillId="0" borderId="21" xfId="1" applyFont="1" applyBorder="1" applyAlignment="1" applyProtection="1">
      <alignment horizontal="left" vertical="top" wrapText="1"/>
      <protection locked="0"/>
    </xf>
    <xf numFmtId="0" fontId="6" fillId="0" borderId="9" xfId="1" applyFont="1" applyBorder="1" applyAlignment="1" applyProtection="1">
      <alignment horizontal="left" vertical="top" wrapText="1"/>
      <protection locked="0"/>
    </xf>
    <xf numFmtId="0" fontId="8" fillId="0" borderId="1" xfId="1" applyFont="1" applyBorder="1" applyAlignment="1" applyProtection="1">
      <alignment horizontal="left" vertical="top"/>
      <protection locked="0"/>
    </xf>
    <xf numFmtId="0" fontId="12" fillId="0" borderId="3" xfId="1" applyFont="1" applyBorder="1" applyAlignment="1" applyProtection="1">
      <alignment horizontal="left" vertical="top" wrapText="1"/>
      <protection locked="0"/>
    </xf>
    <xf numFmtId="0" fontId="12" fillId="0" borderId="3" xfId="1" applyFont="1" applyBorder="1" applyAlignment="1" applyProtection="1">
      <alignment horizontal="left" vertical="top"/>
      <protection locked="0"/>
    </xf>
    <xf numFmtId="0" fontId="12" fillId="0" borderId="17" xfId="1" applyFont="1" applyBorder="1" applyAlignment="1" applyProtection="1">
      <alignment horizontal="left" vertical="top" wrapText="1"/>
      <protection locked="0"/>
    </xf>
    <xf numFmtId="0" fontId="12" fillId="0" borderId="24" xfId="1" applyFont="1" applyBorder="1" applyAlignment="1" applyProtection="1">
      <alignment horizontal="left" vertical="top" wrapText="1"/>
      <protection locked="0"/>
    </xf>
    <xf numFmtId="0" fontId="12" fillId="0" borderId="18" xfId="1" applyFont="1" applyBorder="1" applyAlignment="1" applyProtection="1">
      <alignment horizontal="left" vertical="top" wrapText="1"/>
      <protection locked="0"/>
    </xf>
    <xf numFmtId="0" fontId="8" fillId="0" borderId="22" xfId="1" applyFont="1" applyBorder="1" applyAlignment="1" applyProtection="1">
      <alignment horizontal="left" vertical="top" wrapText="1"/>
      <protection locked="0"/>
    </xf>
    <xf numFmtId="0" fontId="8" fillId="0" borderId="15" xfId="1" applyFont="1" applyBorder="1" applyAlignment="1" applyProtection="1">
      <alignment horizontal="left" vertical="top" wrapText="1"/>
      <protection locked="0"/>
    </xf>
    <xf numFmtId="0" fontId="13" fillId="0" borderId="1" xfId="1" applyFont="1" applyBorder="1" applyAlignment="1" applyProtection="1">
      <alignment horizontal="left" vertical="top" wrapText="1"/>
      <protection locked="0"/>
    </xf>
    <xf numFmtId="0" fontId="13" fillId="0" borderId="5" xfId="1" applyFont="1" applyBorder="1" applyAlignment="1" applyProtection="1">
      <alignment horizontal="left" vertical="top" wrapText="1"/>
      <protection locked="0"/>
    </xf>
    <xf numFmtId="9" fontId="7" fillId="0" borderId="27" xfId="8" applyFont="1" applyFill="1" applyBorder="1" applyAlignment="1" applyProtection="1">
      <alignment horizontal="center" vertical="center" wrapText="1"/>
      <protection locked="0"/>
    </xf>
    <xf numFmtId="9" fontId="7" fillId="0" borderId="10" xfId="8" applyFont="1" applyFill="1" applyBorder="1" applyAlignment="1" applyProtection="1">
      <alignment horizontal="center" vertical="center" wrapText="1"/>
      <protection locked="0"/>
    </xf>
    <xf numFmtId="9" fontId="7" fillId="0" borderId="12" xfId="8" applyFont="1" applyFill="1" applyBorder="1" applyAlignment="1" applyProtection="1">
      <alignment horizontal="center" vertical="center" wrapText="1"/>
      <protection locked="0"/>
    </xf>
    <xf numFmtId="1" fontId="10" fillId="0" borderId="33" xfId="0" applyNumberFormat="1" applyFont="1" applyBorder="1" applyAlignment="1" applyProtection="1">
      <alignment horizontal="center" vertical="top" wrapText="1"/>
      <protection locked="0"/>
    </xf>
    <xf numFmtId="0" fontId="13" fillId="0" borderId="4" xfId="1" applyFont="1" applyBorder="1" applyAlignment="1" applyProtection="1">
      <alignment horizontal="left" vertical="top"/>
      <protection locked="0"/>
    </xf>
    <xf numFmtId="0" fontId="13" fillId="0" borderId="1" xfId="1" applyFont="1" applyBorder="1" applyAlignment="1" applyProtection="1">
      <alignment horizontal="left" vertical="top"/>
      <protection locked="0"/>
    </xf>
    <xf numFmtId="0" fontId="6" fillId="0" borderId="1" xfId="1" applyFont="1" applyBorder="1" applyAlignment="1" applyProtection="1">
      <alignment horizontal="left" vertical="top" wrapText="1"/>
      <protection locked="0"/>
    </xf>
    <xf numFmtId="0" fontId="12" fillId="0" borderId="8" xfId="1" applyFont="1" applyBorder="1" applyAlignment="1" applyProtection="1">
      <alignment horizontal="center" vertical="top"/>
      <protection locked="0"/>
    </xf>
    <xf numFmtId="0" fontId="12" fillId="0" borderId="21" xfId="1" applyFont="1" applyBorder="1" applyAlignment="1" applyProtection="1">
      <alignment horizontal="center" vertical="top"/>
      <protection locked="0"/>
    </xf>
    <xf numFmtId="0" fontId="12" fillId="0" borderId="9" xfId="1" applyFont="1" applyBorder="1" applyAlignment="1" applyProtection="1">
      <alignment horizontal="center" vertical="top"/>
      <protection locked="0"/>
    </xf>
    <xf numFmtId="0" fontId="6" fillId="0" borderId="8" xfId="1" applyFont="1" applyBorder="1" applyAlignment="1" applyProtection="1">
      <alignment vertical="top" wrapText="1"/>
      <protection locked="0"/>
    </xf>
    <xf numFmtId="0" fontId="6" fillId="0" borderId="21" xfId="1" applyFont="1" applyBorder="1" applyAlignment="1" applyProtection="1">
      <alignment vertical="top" wrapText="1"/>
      <protection locked="0"/>
    </xf>
    <xf numFmtId="0" fontId="6" fillId="0" borderId="9" xfId="1" applyFont="1" applyBorder="1" applyAlignment="1" applyProtection="1">
      <alignment vertical="top" wrapText="1"/>
      <protection locked="0"/>
    </xf>
    <xf numFmtId="0" fontId="6" fillId="0" borderId="17" xfId="1" applyFont="1" applyBorder="1" applyAlignment="1" applyProtection="1">
      <alignment horizontal="left" vertical="top" wrapText="1"/>
      <protection locked="0"/>
    </xf>
    <xf numFmtId="0" fontId="6" fillId="0" borderId="18" xfId="1" applyFont="1" applyBorder="1" applyAlignment="1" applyProtection="1">
      <alignment horizontal="left" vertical="top" wrapText="1"/>
      <protection locked="0"/>
    </xf>
    <xf numFmtId="0" fontId="6" fillId="0" borderId="19" xfId="1" applyFont="1" applyBorder="1" applyAlignment="1" applyProtection="1">
      <alignment horizontal="left" vertical="top" wrapText="1"/>
      <protection locked="0"/>
    </xf>
    <xf numFmtId="0" fontId="6" fillId="0" borderId="20" xfId="1" applyFont="1" applyBorder="1" applyAlignment="1" applyProtection="1">
      <alignment horizontal="left" vertical="top" wrapText="1"/>
      <protection locked="0"/>
    </xf>
    <xf numFmtId="0" fontId="6" fillId="0" borderId="24" xfId="1" applyFont="1" applyBorder="1" applyAlignment="1" applyProtection="1">
      <alignment horizontal="left" vertical="top" wrapText="1"/>
      <protection locked="0"/>
    </xf>
    <xf numFmtId="0" fontId="15" fillId="0" borderId="17" xfId="1" applyFont="1" applyBorder="1" applyAlignment="1" applyProtection="1">
      <alignment horizontal="left" vertical="top" wrapText="1"/>
      <protection locked="0"/>
    </xf>
    <xf numFmtId="0" fontId="15" fillId="0" borderId="18" xfId="1" applyFont="1" applyBorder="1" applyAlignment="1" applyProtection="1">
      <alignment horizontal="left" vertical="top" wrapText="1"/>
      <protection locked="0"/>
    </xf>
    <xf numFmtId="0" fontId="15" fillId="0" borderId="19" xfId="1" applyFont="1" applyBorder="1" applyAlignment="1" applyProtection="1">
      <alignment horizontal="left" vertical="top" wrapText="1"/>
      <protection locked="0"/>
    </xf>
    <xf numFmtId="0" fontId="15" fillId="0" borderId="20" xfId="1" applyFont="1" applyBorder="1" applyAlignment="1" applyProtection="1">
      <alignment horizontal="left" vertical="top" wrapText="1"/>
      <protection locked="0"/>
    </xf>
    <xf numFmtId="2" fontId="6" fillId="0" borderId="1" xfId="1" applyNumberFormat="1" applyFont="1" applyBorder="1" applyAlignment="1" applyProtection="1">
      <alignment horizontal="left" vertical="top" wrapText="1"/>
      <protection locked="0"/>
    </xf>
    <xf numFmtId="0" fontId="12" fillId="0" borderId="1" xfId="1" applyFont="1" applyBorder="1" applyAlignment="1" applyProtection="1">
      <alignment horizontal="center"/>
      <protection locked="0"/>
    </xf>
    <xf numFmtId="0" fontId="13" fillId="0" borderId="8" xfId="1" applyFont="1" applyBorder="1" applyAlignment="1" applyProtection="1">
      <alignment horizontal="left" vertical="top"/>
      <protection locked="0"/>
    </xf>
    <xf numFmtId="0" fontId="13" fillId="0" borderId="21" xfId="1" applyFont="1" applyBorder="1" applyAlignment="1" applyProtection="1">
      <alignment horizontal="left" vertical="top"/>
      <protection locked="0"/>
    </xf>
    <xf numFmtId="0" fontId="13" fillId="0" borderId="9" xfId="1" applyFont="1" applyBorder="1" applyAlignment="1" applyProtection="1">
      <alignment horizontal="left" vertical="top"/>
      <protection locked="0"/>
    </xf>
    <xf numFmtId="0" fontId="12" fillId="0" borderId="25" xfId="1" applyFont="1" applyBorder="1" applyAlignment="1" applyProtection="1">
      <alignment horizontal="left" vertical="top" wrapText="1"/>
      <protection locked="0"/>
    </xf>
    <xf numFmtId="0" fontId="12" fillId="0" borderId="0" xfId="1" applyFont="1" applyAlignment="1" applyProtection="1">
      <alignment horizontal="left" vertical="top" wrapText="1"/>
      <protection locked="0"/>
    </xf>
    <xf numFmtId="0" fontId="12" fillId="0" borderId="17" xfId="1" applyFont="1" applyBorder="1" applyAlignment="1" applyProtection="1">
      <alignment horizontal="left" vertical="top"/>
      <protection locked="0"/>
    </xf>
    <xf numFmtId="0" fontId="12" fillId="0" borderId="24" xfId="1" applyFont="1" applyBorder="1" applyAlignment="1" applyProtection="1">
      <alignment horizontal="left" vertical="top"/>
      <protection locked="0"/>
    </xf>
    <xf numFmtId="0" fontId="12" fillId="0" borderId="18" xfId="1" applyFont="1" applyBorder="1" applyAlignment="1" applyProtection="1">
      <alignment horizontal="left" vertical="top"/>
      <protection locked="0"/>
    </xf>
    <xf numFmtId="0" fontId="12" fillId="0" borderId="19" xfId="1" applyFont="1" applyBorder="1" applyAlignment="1" applyProtection="1">
      <alignment horizontal="left" vertical="top"/>
      <protection locked="0"/>
    </xf>
    <xf numFmtId="0" fontId="12" fillId="0" borderId="2" xfId="1" applyFont="1" applyBorder="1" applyAlignment="1" applyProtection="1">
      <alignment horizontal="left" vertical="top"/>
      <protection locked="0"/>
    </xf>
    <xf numFmtId="0" fontId="12" fillId="0" borderId="20" xfId="1" applyFont="1" applyBorder="1" applyAlignment="1" applyProtection="1">
      <alignment horizontal="left" vertical="top"/>
      <protection locked="0"/>
    </xf>
    <xf numFmtId="0" fontId="8" fillId="0" borderId="1" xfId="1" applyFont="1" applyBorder="1" applyAlignment="1" applyProtection="1">
      <alignment vertical="top"/>
      <protection locked="0"/>
    </xf>
    <xf numFmtId="0" fontId="15" fillId="0" borderId="25" xfId="1" applyFont="1" applyBorder="1" applyAlignment="1" applyProtection="1">
      <alignment horizontal="left" vertical="top" wrapText="1"/>
      <protection locked="0"/>
    </xf>
    <xf numFmtId="0" fontId="15" fillId="0" borderId="26" xfId="1" applyFont="1" applyBorder="1" applyAlignment="1" applyProtection="1">
      <alignment horizontal="left" vertical="top" wrapText="1"/>
      <protection locked="0"/>
    </xf>
    <xf numFmtId="0" fontId="6" fillId="0" borderId="17" xfId="1" applyFont="1" applyBorder="1" applyAlignment="1" applyProtection="1">
      <alignment horizontal="center" vertical="top" wrapText="1"/>
      <protection locked="0"/>
    </xf>
    <xf numFmtId="0" fontId="6" fillId="0" borderId="24" xfId="1" applyFont="1" applyBorder="1" applyAlignment="1" applyProtection="1">
      <alignment horizontal="center" vertical="top" wrapText="1"/>
      <protection locked="0"/>
    </xf>
    <xf numFmtId="0" fontId="6" fillId="0" borderId="18" xfId="1" applyFont="1" applyBorder="1" applyAlignment="1" applyProtection="1">
      <alignment horizontal="center" vertical="top" wrapText="1"/>
      <protection locked="0"/>
    </xf>
    <xf numFmtId="0" fontId="6" fillId="0" borderId="19" xfId="1" applyFont="1" applyBorder="1" applyAlignment="1" applyProtection="1">
      <alignment horizontal="center" vertical="top" wrapText="1"/>
      <protection locked="0"/>
    </xf>
    <xf numFmtId="0" fontId="6" fillId="0" borderId="2" xfId="1" applyFont="1" applyBorder="1" applyAlignment="1" applyProtection="1">
      <alignment horizontal="center" vertical="top" wrapText="1"/>
      <protection locked="0"/>
    </xf>
    <xf numFmtId="0" fontId="6" fillId="0" borderId="20" xfId="1" applyFont="1" applyBorder="1" applyAlignment="1" applyProtection="1">
      <alignment horizontal="center" vertical="top" wrapText="1"/>
      <protection locked="0"/>
    </xf>
    <xf numFmtId="0" fontId="6" fillId="0" borderId="3" xfId="1" applyFont="1" applyBorder="1" applyAlignment="1" applyProtection="1">
      <alignment horizontal="left" vertical="top" wrapText="1"/>
      <protection locked="0"/>
    </xf>
    <xf numFmtId="0" fontId="6" fillId="0" borderId="3" xfId="1" applyFont="1" applyBorder="1" applyAlignment="1" applyProtection="1">
      <alignment horizontal="left" vertical="top"/>
      <protection locked="0"/>
    </xf>
    <xf numFmtId="0" fontId="13" fillId="0" borderId="8" xfId="1" applyFont="1" applyBorder="1" applyAlignment="1" applyProtection="1">
      <alignment horizontal="center" vertical="top"/>
      <protection locked="0"/>
    </xf>
    <xf numFmtId="0" fontId="13" fillId="0" borderId="21" xfId="1" applyFont="1" applyBorder="1" applyAlignment="1" applyProtection="1">
      <alignment horizontal="center" vertical="top"/>
      <protection locked="0"/>
    </xf>
    <xf numFmtId="0" fontId="13" fillId="0" borderId="9" xfId="1" applyFont="1" applyBorder="1" applyAlignment="1" applyProtection="1">
      <alignment horizontal="center" vertical="top"/>
      <protection locked="0"/>
    </xf>
    <xf numFmtId="0" fontId="13" fillId="0" borderId="1" xfId="1" applyFont="1" applyBorder="1" applyAlignment="1" applyProtection="1">
      <alignment horizontal="center"/>
      <protection locked="0"/>
    </xf>
    <xf numFmtId="0" fontId="12" fillId="0" borderId="1" xfId="1" applyFont="1" applyBorder="1" applyAlignment="1" applyProtection="1">
      <alignment horizontal="left"/>
      <protection locked="0"/>
    </xf>
    <xf numFmtId="0" fontId="11" fillId="0" borderId="1" xfId="1" applyFont="1" applyBorder="1" applyAlignment="1" applyProtection="1">
      <alignment horizontal="center" vertical="top" wrapText="1"/>
      <protection locked="0"/>
    </xf>
    <xf numFmtId="0" fontId="8" fillId="0" borderId="1" xfId="1" applyFont="1" applyBorder="1" applyAlignment="1" applyProtection="1">
      <alignment horizontal="center" vertical="top"/>
      <protection locked="0"/>
    </xf>
    <xf numFmtId="0" fontId="13" fillId="0" borderId="1" xfId="1" applyFont="1" applyBorder="1" applyAlignment="1" applyProtection="1">
      <alignment horizontal="center" vertical="top" wrapText="1"/>
      <protection locked="0"/>
    </xf>
    <xf numFmtId="0" fontId="14" fillId="0" borderId="1" xfId="1" applyFont="1" applyBorder="1" applyAlignment="1" applyProtection="1">
      <alignment horizontal="center" vertical="top" wrapText="1"/>
      <protection locked="0"/>
    </xf>
    <xf numFmtId="1" fontId="8" fillId="0" borderId="1" xfId="0" applyNumberFormat="1" applyFont="1" applyBorder="1" applyAlignment="1" applyProtection="1">
      <alignment horizontal="center" vertical="center" wrapText="1"/>
      <protection locked="0"/>
    </xf>
    <xf numFmtId="167" fontId="12" fillId="0" borderId="1" xfId="9" applyNumberFormat="1" applyFont="1" applyFill="1" applyBorder="1" applyAlignment="1" applyProtection="1">
      <alignment horizontal="left" vertical="top"/>
      <protection locked="0"/>
    </xf>
    <xf numFmtId="1" fontId="30" fillId="0" borderId="1" xfId="3" applyNumberFormat="1" applyFont="1" applyFill="1" applyBorder="1" applyAlignment="1" applyProtection="1">
      <alignment horizontal="center" vertical="center" wrapText="1"/>
      <protection locked="0"/>
    </xf>
    <xf numFmtId="1" fontId="8" fillId="0" borderId="1" xfId="0" applyNumberFormat="1" applyFont="1" applyBorder="1" applyAlignment="1" applyProtection="1">
      <alignment horizontal="center" vertical="top" wrapText="1"/>
      <protection locked="0"/>
    </xf>
    <xf numFmtId="1" fontId="8" fillId="0" borderId="3" xfId="0" applyNumberFormat="1" applyFont="1" applyBorder="1" applyAlignment="1" applyProtection="1">
      <alignment horizontal="center" vertical="center" wrapText="1"/>
      <protection locked="0"/>
    </xf>
    <xf numFmtId="1" fontId="10" fillId="0" borderId="3" xfId="0" applyNumberFormat="1" applyFont="1" applyBorder="1" applyAlignment="1" applyProtection="1">
      <alignment horizontal="center" vertical="top" wrapText="1"/>
      <protection locked="0"/>
    </xf>
    <xf numFmtId="0" fontId="10" fillId="0" borderId="3" xfId="0" applyFont="1" applyBorder="1" applyAlignment="1" applyProtection="1">
      <alignment horizontal="center" vertical="top" wrapText="1"/>
      <protection locked="0"/>
    </xf>
    <xf numFmtId="1" fontId="8" fillId="0" borderId="3" xfId="0" applyNumberFormat="1" applyFont="1" applyBorder="1" applyAlignment="1" applyProtection="1">
      <alignment horizontal="center" vertical="top" wrapText="1"/>
      <protection locked="0"/>
    </xf>
    <xf numFmtId="0" fontId="6" fillId="0" borderId="1" xfId="1" applyFont="1" applyBorder="1" applyAlignment="1" applyProtection="1">
      <alignment vertical="top"/>
      <protection locked="0"/>
    </xf>
    <xf numFmtId="1" fontId="8" fillId="0" borderId="1" xfId="0" applyNumberFormat="1" applyFont="1" applyBorder="1" applyAlignment="1" applyProtection="1">
      <alignment horizontal="left" vertical="top" wrapText="1"/>
      <protection locked="0"/>
    </xf>
    <xf numFmtId="1" fontId="13" fillId="0" borderId="17" xfId="1" applyNumberFormat="1" applyFont="1" applyBorder="1" applyAlignment="1" applyProtection="1">
      <alignment horizontal="center" vertical="top" wrapText="1"/>
      <protection locked="0"/>
    </xf>
    <xf numFmtId="1" fontId="13" fillId="0" borderId="19" xfId="1" applyNumberFormat="1" applyFont="1" applyBorder="1" applyAlignment="1" applyProtection="1">
      <alignment horizontal="center" vertical="top" wrapText="1"/>
      <protection locked="0"/>
    </xf>
    <xf numFmtId="1" fontId="10" fillId="0" borderId="1" xfId="0" applyNumberFormat="1" applyFont="1" applyBorder="1" applyAlignment="1" applyProtection="1">
      <alignment horizontal="center" vertical="center"/>
      <protection locked="0"/>
    </xf>
    <xf numFmtId="0" fontId="10" fillId="0" borderId="1" xfId="0" applyFont="1" applyBorder="1" applyAlignment="1" applyProtection="1">
      <alignment horizontal="center" vertical="center"/>
      <protection locked="0"/>
    </xf>
    <xf numFmtId="1" fontId="10" fillId="0" borderId="1" xfId="0" applyNumberFormat="1" applyFont="1" applyBorder="1" applyAlignment="1" applyProtection="1">
      <alignment horizontal="center" vertical="top" wrapText="1"/>
      <protection locked="0"/>
    </xf>
    <xf numFmtId="0" fontId="10" fillId="0" borderId="1" xfId="0" applyFont="1" applyBorder="1" applyAlignment="1" applyProtection="1">
      <alignment horizontal="center" vertical="top" wrapText="1"/>
      <protection locked="0"/>
    </xf>
    <xf numFmtId="0" fontId="7" fillId="0" borderId="25" xfId="1" applyFont="1" applyBorder="1" applyAlignment="1">
      <alignment horizontal="center"/>
    </xf>
    <xf numFmtId="0" fontId="7" fillId="0" borderId="0" xfId="1" applyFont="1" applyAlignment="1">
      <alignment horizontal="center"/>
    </xf>
    <xf numFmtId="0" fontId="13" fillId="0" borderId="1" xfId="1" applyFont="1" applyBorder="1" applyAlignment="1" applyProtection="1">
      <alignment horizontal="center" vertical="top"/>
      <protection locked="0"/>
    </xf>
    <xf numFmtId="0" fontId="8" fillId="0" borderId="8" xfId="1" applyFont="1" applyBorder="1" applyAlignment="1" applyProtection="1">
      <alignment horizontal="left" vertical="top" wrapText="1"/>
      <protection locked="0"/>
    </xf>
    <xf numFmtId="0" fontId="8" fillId="0" borderId="9" xfId="1" applyFont="1" applyBorder="1" applyAlignment="1" applyProtection="1">
      <alignment horizontal="left" vertical="top" wrapText="1"/>
      <protection locked="0"/>
    </xf>
    <xf numFmtId="0" fontId="8" fillId="0" borderId="21" xfId="1" applyFont="1" applyBorder="1" applyAlignment="1" applyProtection="1">
      <alignment horizontal="left" vertical="top" wrapText="1"/>
      <protection locked="0"/>
    </xf>
    <xf numFmtId="14" fontId="8" fillId="0" borderId="8" xfId="1" applyNumberFormat="1" applyFont="1" applyBorder="1" applyAlignment="1" applyProtection="1">
      <alignment horizontal="left" vertical="top"/>
      <protection locked="0"/>
    </xf>
    <xf numFmtId="14" fontId="8" fillId="0" borderId="9" xfId="1" applyNumberFormat="1" applyFont="1" applyBorder="1" applyAlignment="1" applyProtection="1">
      <alignment horizontal="left" vertical="top"/>
      <protection locked="0"/>
    </xf>
    <xf numFmtId="0" fontId="7" fillId="0" borderId="17" xfId="1" applyFont="1" applyBorder="1" applyAlignment="1" applyProtection="1">
      <alignment horizontal="left" vertical="top" wrapText="1"/>
      <protection locked="0"/>
    </xf>
    <xf numFmtId="0" fontId="7" fillId="0" borderId="18" xfId="1" applyFont="1" applyBorder="1" applyAlignment="1" applyProtection="1">
      <alignment horizontal="left" vertical="top" wrapText="1"/>
      <protection locked="0"/>
    </xf>
    <xf numFmtId="0" fontId="7" fillId="0" borderId="19" xfId="1" applyFont="1" applyBorder="1" applyAlignment="1" applyProtection="1">
      <alignment horizontal="left" vertical="top" wrapText="1"/>
      <protection locked="0"/>
    </xf>
    <xf numFmtId="0" fontId="7" fillId="0" borderId="20" xfId="1" applyFont="1" applyBorder="1" applyAlignment="1" applyProtection="1">
      <alignment horizontal="left" vertical="top" wrapText="1"/>
      <protection locked="0"/>
    </xf>
    <xf numFmtId="0" fontId="7" fillId="0" borderId="6" xfId="1" applyFont="1" applyBorder="1" applyAlignment="1" applyProtection="1">
      <alignment horizontal="center" vertical="top" wrapText="1"/>
      <protection locked="0"/>
    </xf>
    <xf numFmtId="0" fontId="7" fillId="0" borderId="7" xfId="1" applyFont="1" applyBorder="1" applyAlignment="1" applyProtection="1">
      <alignment horizontal="center" vertical="top" wrapText="1"/>
      <protection locked="0"/>
    </xf>
    <xf numFmtId="0" fontId="8" fillId="0" borderId="16" xfId="1" applyFont="1" applyBorder="1" applyAlignment="1" applyProtection="1">
      <alignment horizontal="center" vertical="top"/>
      <protection locked="0"/>
    </xf>
    <xf numFmtId="1" fontId="10" fillId="0" borderId="3" xfId="0" applyNumberFormat="1" applyFont="1" applyBorder="1" applyAlignment="1" applyProtection="1">
      <alignment horizontal="center" vertical="center"/>
      <protection locked="0"/>
    </xf>
    <xf numFmtId="0" fontId="10" fillId="0" borderId="3" xfId="0" applyFont="1" applyBorder="1" applyAlignment="1" applyProtection="1">
      <alignment horizontal="center" vertical="center"/>
      <protection locked="0"/>
    </xf>
    <xf numFmtId="0" fontId="10" fillId="0" borderId="16" xfId="1" applyFont="1" applyBorder="1" applyAlignment="1" applyProtection="1">
      <alignment horizontal="center" vertical="top"/>
      <protection locked="0"/>
    </xf>
    <xf numFmtId="1" fontId="30" fillId="0" borderId="3" xfId="3" applyNumberFormat="1" applyFont="1" applyFill="1" applyBorder="1" applyAlignment="1" applyProtection="1">
      <alignment horizontal="center" vertical="center" wrapText="1"/>
      <protection locked="0"/>
    </xf>
    <xf numFmtId="0" fontId="9" fillId="0" borderId="1" xfId="5" applyFont="1" applyBorder="1" applyAlignment="1">
      <alignment horizontal="left"/>
    </xf>
    <xf numFmtId="0" fontId="0" fillId="2" borderId="1" xfId="0" applyFill="1" applyBorder="1" applyAlignment="1">
      <alignment horizontal="center" vertical="center" wrapText="1"/>
    </xf>
    <xf numFmtId="0" fontId="9" fillId="4" borderId="1" xfId="0" applyFont="1" applyFill="1" applyBorder="1" applyAlignment="1">
      <alignment horizontal="center" vertical="center"/>
    </xf>
    <xf numFmtId="0" fontId="9" fillId="3" borderId="1" xfId="0" applyFont="1" applyFill="1" applyBorder="1" applyAlignment="1">
      <alignment horizontal="center" vertical="center"/>
    </xf>
    <xf numFmtId="0" fontId="9" fillId="5" borderId="1" xfId="0" applyFont="1" applyFill="1" applyBorder="1" applyAlignment="1">
      <alignment horizontal="center" vertical="center"/>
    </xf>
    <xf numFmtId="14" fontId="7" fillId="0" borderId="1" xfId="1" applyNumberFormat="1" applyFont="1" applyBorder="1" applyAlignment="1" applyProtection="1">
      <alignment horizontal="left" vertical="top"/>
      <protection locked="0"/>
    </xf>
    <xf numFmtId="0" fontId="7" fillId="0" borderId="1" xfId="1" applyFont="1" applyBorder="1" applyAlignment="1" applyProtection="1">
      <alignment horizontal="left" vertical="top"/>
      <protection locked="0"/>
    </xf>
    <xf numFmtId="0" fontId="10" fillId="0" borderId="13" xfId="1" applyFont="1" applyBorder="1" applyAlignment="1" applyProtection="1">
      <alignment horizontal="left" vertical="top" wrapText="1"/>
      <protection locked="0"/>
    </xf>
    <xf numFmtId="0" fontId="10" fillId="0" borderId="14" xfId="1" applyFont="1" applyBorder="1" applyAlignment="1" applyProtection="1">
      <alignment horizontal="left" vertical="top" wrapText="1"/>
      <protection locked="0"/>
    </xf>
    <xf numFmtId="0" fontId="10" fillId="0" borderId="23" xfId="1" applyFont="1" applyBorder="1" applyAlignment="1" applyProtection="1">
      <alignment horizontal="left" vertical="top" wrapText="1"/>
      <protection locked="0"/>
    </xf>
    <xf numFmtId="1" fontId="10" fillId="0" borderId="8" xfId="0" applyNumberFormat="1" applyFont="1" applyBorder="1" applyAlignment="1" applyProtection="1">
      <alignment vertical="top" wrapText="1"/>
      <protection locked="0"/>
    </xf>
    <xf numFmtId="1" fontId="10" fillId="0" borderId="21" xfId="0" applyNumberFormat="1" applyFont="1" applyBorder="1" applyAlignment="1" applyProtection="1">
      <alignment vertical="top" wrapText="1"/>
      <protection locked="0"/>
    </xf>
    <xf numFmtId="1" fontId="10" fillId="0" borderId="9" xfId="0" applyNumberFormat="1" applyFont="1" applyBorder="1" applyAlignment="1" applyProtection="1">
      <alignment vertical="top" wrapText="1"/>
      <protection locked="0"/>
    </xf>
  </cellXfs>
  <cellStyles count="11">
    <cellStyle name="Comma" xfId="9" builtinId="3"/>
    <cellStyle name="Comma 2" xfId="6"/>
    <cellStyle name="Excel Built-in Normal" xfId="2"/>
    <cellStyle name="Excel Built-in Normal 2" xfId="4"/>
    <cellStyle name="Hyperlink" xfId="10" builtinId="8"/>
    <cellStyle name="Normal" xfId="0" builtinId="0"/>
    <cellStyle name="Normal 2" xfId="3"/>
    <cellStyle name="Normal 3" xfId="1"/>
    <cellStyle name="Normal 3 3" xfId="7"/>
    <cellStyle name="Normal 4" xfId="5"/>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jpeg"/><Relationship Id="rId3" Type="http://schemas.openxmlformats.org/officeDocument/2006/relationships/image" Target="../media/image3.png"/><Relationship Id="rId7" Type="http://schemas.openxmlformats.org/officeDocument/2006/relationships/image" Target="../media/image7.jpeg"/><Relationship Id="rId12" Type="http://schemas.openxmlformats.org/officeDocument/2006/relationships/image" Target="../media/image12.jpeg"/><Relationship Id="rId17" Type="http://schemas.openxmlformats.org/officeDocument/2006/relationships/image" Target="../media/image17.jpeg"/><Relationship Id="rId2" Type="http://schemas.openxmlformats.org/officeDocument/2006/relationships/image" Target="../media/image2.png"/><Relationship Id="rId16" Type="http://schemas.openxmlformats.org/officeDocument/2006/relationships/image" Target="../media/image16.jpeg"/><Relationship Id="rId1" Type="http://schemas.openxmlformats.org/officeDocument/2006/relationships/image" Target="../media/image1.png"/><Relationship Id="rId6" Type="http://schemas.openxmlformats.org/officeDocument/2006/relationships/image" Target="../media/image6.jpeg"/><Relationship Id="rId11" Type="http://schemas.openxmlformats.org/officeDocument/2006/relationships/image" Target="../media/image11.jpeg"/><Relationship Id="rId5" Type="http://schemas.openxmlformats.org/officeDocument/2006/relationships/image" Target="../media/image5.jpeg"/><Relationship Id="rId15" Type="http://schemas.openxmlformats.org/officeDocument/2006/relationships/image" Target="../media/image15.jpeg"/><Relationship Id="rId10" Type="http://schemas.openxmlformats.org/officeDocument/2006/relationships/image" Target="../media/image10.jpeg"/><Relationship Id="rId4" Type="http://schemas.openxmlformats.org/officeDocument/2006/relationships/image" Target="../media/image4.png"/><Relationship Id="rId9" Type="http://schemas.openxmlformats.org/officeDocument/2006/relationships/image" Target="../media/image9.jpeg"/><Relationship Id="rId14" Type="http://schemas.openxmlformats.org/officeDocument/2006/relationships/image" Target="../media/image14.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0.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19.png"/><Relationship Id="rId1" Type="http://schemas.openxmlformats.org/officeDocument/2006/relationships/image" Target="../media/image18.png"/></Relationships>
</file>

<file path=xl/drawings/drawing1.xml><?xml version="1.0" encoding="utf-8"?>
<xdr:wsDr xmlns:xdr="http://schemas.openxmlformats.org/drawingml/2006/spreadsheetDrawing" xmlns:a="http://schemas.openxmlformats.org/drawingml/2006/main">
  <xdr:twoCellAnchor>
    <xdr:from>
      <xdr:col>0</xdr:col>
      <xdr:colOff>104775</xdr:colOff>
      <xdr:row>257</xdr:row>
      <xdr:rowOff>85725</xdr:rowOff>
    </xdr:from>
    <xdr:to>
      <xdr:col>7</xdr:col>
      <xdr:colOff>643125</xdr:colOff>
      <xdr:row>295</xdr:row>
      <xdr:rowOff>44775</xdr:rowOff>
    </xdr:to>
    <xdr:grpSp>
      <xdr:nvGrpSpPr>
        <xdr:cNvPr id="9" name="Group 8"/>
        <xdr:cNvGrpSpPr/>
      </xdr:nvGrpSpPr>
      <xdr:grpSpPr>
        <a:xfrm>
          <a:off x="104775" y="51273075"/>
          <a:ext cx="6120000" cy="7560000"/>
          <a:chOff x="0" y="0"/>
          <a:chExt cx="6858000" cy="8192251"/>
        </a:xfrm>
      </xdr:grpSpPr>
      <xdr:pic>
        <xdr:nvPicPr>
          <xdr:cNvPr id="10" name="Picture 9"/>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858000" cy="8192251"/>
          </a:xfrm>
          <a:prstGeom prst="rect">
            <a:avLst/>
          </a:prstGeom>
          <a:ln>
            <a:solidFill>
              <a:schemeClr val="tx1"/>
            </a:solidFill>
          </a:ln>
        </xdr:spPr>
      </xdr:pic>
      <xdr:sp macro="" textlink="">
        <xdr:nvSpPr>
          <xdr:cNvPr id="11" name="Rectangle 10"/>
          <xdr:cNvSpPr/>
        </xdr:nvSpPr>
        <xdr:spPr>
          <a:xfrm rot="882602">
            <a:off x="2601081" y="6313524"/>
            <a:ext cx="645500" cy="738446"/>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12" name="Rectangle 11"/>
          <xdr:cNvSpPr/>
        </xdr:nvSpPr>
        <xdr:spPr>
          <a:xfrm rot="3466570">
            <a:off x="4372113" y="3271467"/>
            <a:ext cx="773340" cy="2321243"/>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13" name="TextBox 41"/>
          <xdr:cNvSpPr txBox="1"/>
        </xdr:nvSpPr>
        <xdr:spPr>
          <a:xfrm>
            <a:off x="3073400" y="3726793"/>
            <a:ext cx="1704881" cy="385840"/>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Building No. 2</a:t>
            </a:r>
            <a:endParaRPr lang="en-IN" b="1">
              <a:solidFill>
                <a:srgbClr val="FF0000"/>
              </a:solidFill>
            </a:endParaRPr>
          </a:p>
        </xdr:txBody>
      </xdr:sp>
      <xdr:sp macro="" textlink="">
        <xdr:nvSpPr>
          <xdr:cNvPr id="14" name="TextBox 42"/>
          <xdr:cNvSpPr txBox="1"/>
        </xdr:nvSpPr>
        <xdr:spPr>
          <a:xfrm>
            <a:off x="1871689" y="5774856"/>
            <a:ext cx="1704881" cy="385840"/>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Building No. 1</a:t>
            </a:r>
            <a:endParaRPr lang="en-IN" b="1">
              <a:solidFill>
                <a:srgbClr val="FF0000"/>
              </a:solidFill>
            </a:endParaRPr>
          </a:p>
        </xdr:txBody>
      </xdr:sp>
      <xdr:pic>
        <xdr:nvPicPr>
          <xdr:cNvPr id="15" name="Picture 14"/>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173681" y="6682747"/>
            <a:ext cx="1080000" cy="1080000"/>
          </a:xfrm>
          <a:prstGeom prst="rect">
            <a:avLst/>
          </a:prstGeom>
        </xdr:spPr>
      </xdr:pic>
    </xdr:grpSp>
    <xdr:clientData/>
  </xdr:twoCellAnchor>
  <xdr:twoCellAnchor>
    <xdr:from>
      <xdr:col>0</xdr:col>
      <xdr:colOff>742950</xdr:colOff>
      <xdr:row>301</xdr:row>
      <xdr:rowOff>19050</xdr:rowOff>
    </xdr:from>
    <xdr:to>
      <xdr:col>6</xdr:col>
      <xdr:colOff>723900</xdr:colOff>
      <xdr:row>340</xdr:row>
      <xdr:rowOff>152400</xdr:rowOff>
    </xdr:to>
    <xdr:grpSp>
      <xdr:nvGrpSpPr>
        <xdr:cNvPr id="16" name="Group 15"/>
        <xdr:cNvGrpSpPr/>
      </xdr:nvGrpSpPr>
      <xdr:grpSpPr>
        <a:xfrm>
          <a:off x="742950" y="60007500"/>
          <a:ext cx="4829175" cy="7934325"/>
          <a:chOff x="1089000" y="-155264"/>
          <a:chExt cx="4680000" cy="8068341"/>
        </a:xfrm>
      </xdr:grpSpPr>
      <xdr:pic>
        <xdr:nvPicPr>
          <xdr:cNvPr id="17" name="Picture 16"/>
          <xdr:cNvPicPr>
            <a:picLocks noChangeAspect="1"/>
          </xdr:cNvPicPr>
        </xdr:nvPicPr>
        <xdr:blipFill rotWithShape="1">
          <a:blip xmlns:r="http://schemas.openxmlformats.org/officeDocument/2006/relationships" r:embed="rId3"/>
          <a:srcRect l="20988" t="11618" r="20492" b="11218"/>
          <a:stretch/>
        </xdr:blipFill>
        <xdr:spPr>
          <a:xfrm>
            <a:off x="1089000" y="-155264"/>
            <a:ext cx="4680000" cy="3960000"/>
          </a:xfrm>
          <a:prstGeom prst="rect">
            <a:avLst/>
          </a:prstGeom>
          <a:ln>
            <a:solidFill>
              <a:schemeClr val="tx1"/>
            </a:solidFill>
          </a:ln>
        </xdr:spPr>
      </xdr:pic>
      <xdr:grpSp>
        <xdr:nvGrpSpPr>
          <xdr:cNvPr id="18" name="Group 17"/>
          <xdr:cNvGrpSpPr/>
        </xdr:nvGrpSpPr>
        <xdr:grpSpPr>
          <a:xfrm>
            <a:off x="1089000" y="3953077"/>
            <a:ext cx="4680000" cy="3960000"/>
            <a:chOff x="-685800" y="2180492"/>
            <a:chExt cx="9179170" cy="5134708"/>
          </a:xfrm>
        </xdr:grpSpPr>
        <xdr:pic>
          <xdr:nvPicPr>
            <xdr:cNvPr id="19" name="Picture 18"/>
            <xdr:cNvPicPr>
              <a:picLocks noChangeAspect="1"/>
            </xdr:cNvPicPr>
          </xdr:nvPicPr>
          <xdr:blipFill rotWithShape="1">
            <a:blip xmlns:r="http://schemas.openxmlformats.org/officeDocument/2006/relationships" r:embed="rId4"/>
            <a:srcRect l="18375" t="17308" r="11076" b="12500"/>
            <a:stretch/>
          </xdr:blipFill>
          <xdr:spPr>
            <a:xfrm>
              <a:off x="-685800" y="2180492"/>
              <a:ext cx="9179170" cy="5134708"/>
            </a:xfrm>
            <a:prstGeom prst="rect">
              <a:avLst/>
            </a:prstGeom>
            <a:ln>
              <a:solidFill>
                <a:schemeClr val="tx1"/>
              </a:solidFill>
            </a:ln>
          </xdr:spPr>
        </xdr:pic>
        <xdr:sp macro="" textlink="">
          <xdr:nvSpPr>
            <xdr:cNvPr id="20" name="Rectangle 19"/>
            <xdr:cNvSpPr/>
          </xdr:nvSpPr>
          <xdr:spPr>
            <a:xfrm rot="1750473">
              <a:off x="3104950" y="5407398"/>
              <a:ext cx="626503" cy="680984"/>
            </a:xfrm>
            <a:prstGeom prst="rect">
              <a:avLst/>
            </a:prstGeom>
            <a:noFill/>
            <a:ln w="38100">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21" name="Rectangle 20"/>
            <xdr:cNvSpPr/>
          </xdr:nvSpPr>
          <xdr:spPr>
            <a:xfrm rot="4025164">
              <a:off x="4415972" y="3749790"/>
              <a:ext cx="626503" cy="1627563"/>
            </a:xfrm>
            <a:prstGeom prst="rect">
              <a:avLst/>
            </a:prstGeom>
            <a:noFill/>
            <a:ln w="38100">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22" name="TextBox 21"/>
            <xdr:cNvSpPr txBox="1"/>
          </xdr:nvSpPr>
          <xdr:spPr>
            <a:xfrm>
              <a:off x="4729222" y="4928559"/>
              <a:ext cx="3246969" cy="49332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FF00"/>
                  </a:solidFill>
                </a:rPr>
                <a:t>Building No. 2</a:t>
              </a:r>
              <a:endParaRPr lang="en-IN" b="1">
                <a:solidFill>
                  <a:srgbClr val="FFFF00"/>
                </a:solidFill>
              </a:endParaRPr>
            </a:p>
          </xdr:txBody>
        </xdr:sp>
        <xdr:sp macro="" textlink="">
          <xdr:nvSpPr>
            <xdr:cNvPr id="23" name="TextBox 22"/>
            <xdr:cNvSpPr txBox="1"/>
          </xdr:nvSpPr>
          <xdr:spPr>
            <a:xfrm>
              <a:off x="3840144" y="5779938"/>
              <a:ext cx="3246969" cy="49332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FF00"/>
                  </a:solidFill>
                </a:rPr>
                <a:t>Building No. 1</a:t>
              </a:r>
              <a:endParaRPr lang="en-IN" b="1">
                <a:solidFill>
                  <a:srgbClr val="FFFF00"/>
                </a:solidFill>
              </a:endParaRPr>
            </a:p>
          </xdr:txBody>
        </xdr:sp>
        <xdr:sp macro="" textlink="">
          <xdr:nvSpPr>
            <xdr:cNvPr id="24" name="TextBox 23"/>
            <xdr:cNvSpPr txBox="1"/>
          </xdr:nvSpPr>
          <xdr:spPr>
            <a:xfrm>
              <a:off x="3232067" y="6246611"/>
              <a:ext cx="4808682" cy="740955"/>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3000" b="1">
                  <a:solidFill>
                    <a:srgbClr val="92D050"/>
                  </a:solidFill>
                </a:rPr>
                <a:t>Konark Stellar</a:t>
              </a:r>
              <a:endParaRPr lang="en-IN" sz="3000" b="1">
                <a:solidFill>
                  <a:srgbClr val="92D050"/>
                </a:solidFill>
              </a:endParaRPr>
            </a:p>
          </xdr:txBody>
        </xdr:sp>
      </xdr:grpSp>
    </xdr:grpSp>
    <xdr:clientData/>
  </xdr:twoCellAnchor>
  <xdr:twoCellAnchor>
    <xdr:from>
      <xdr:col>8</xdr:col>
      <xdr:colOff>342900</xdr:colOff>
      <xdr:row>213</xdr:row>
      <xdr:rowOff>104774</xdr:rowOff>
    </xdr:from>
    <xdr:to>
      <xdr:col>15</xdr:col>
      <xdr:colOff>276225</xdr:colOff>
      <xdr:row>245</xdr:row>
      <xdr:rowOff>142874</xdr:rowOff>
    </xdr:to>
    <xdr:grpSp>
      <xdr:nvGrpSpPr>
        <xdr:cNvPr id="35" name="Group 34"/>
        <xdr:cNvGrpSpPr/>
      </xdr:nvGrpSpPr>
      <xdr:grpSpPr>
        <a:xfrm>
          <a:off x="6657975" y="42500549"/>
          <a:ext cx="5972175" cy="6429375"/>
          <a:chOff x="123825" y="43062524"/>
          <a:chExt cx="5972175" cy="6429375"/>
        </a:xfrm>
      </xdr:grpSpPr>
      <xdr:grpSp>
        <xdr:nvGrpSpPr>
          <xdr:cNvPr id="25" name="Group 24"/>
          <xdr:cNvGrpSpPr/>
        </xdr:nvGrpSpPr>
        <xdr:grpSpPr>
          <a:xfrm>
            <a:off x="123825" y="43062524"/>
            <a:ext cx="5972175" cy="6429375"/>
            <a:chOff x="477030" y="289683"/>
            <a:chExt cx="5875752" cy="6082542"/>
          </a:xfrm>
        </xdr:grpSpPr>
        <xdr:pic>
          <xdr:nvPicPr>
            <xdr:cNvPr id="26" name="Picture 25" descr="https://vsjcllp.vsjadon.com/upload/insp-246837-1525.jpg"/>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4031953" y="4796373"/>
              <a:ext cx="2099190" cy="1575852"/>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27" name="Picture 26" descr="https://vsjcllp.vsjadon.com/upload/insp-246837-843.jpg"/>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477032" y="289683"/>
              <a:ext cx="2877333"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28" name="Picture 27" descr="https://vsjcllp.vsjadon.com/upload/insp-246837-925.jpg"/>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3475448" y="2552553"/>
              <a:ext cx="2877333"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29" name="Picture 28" descr="https://vsjcllp.vsjadon.com/upload/insp-246837-1512.jpg"/>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477030" y="2552553"/>
              <a:ext cx="2877333"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30" name="Picture 29" descr="https://vsjcllp.vsjadon.com/upload/insp-246837-916.jpg"/>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2754509" y="4796373"/>
              <a:ext cx="1180658" cy="1575852"/>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31" name="Picture 30" descr="https://vsjcllp.vsjadon.com/upload/insp-246837-844.jpg"/>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3475449" y="289683"/>
              <a:ext cx="2877333"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32" name="Picture 31" descr="https://vsjcllp.vsjadon.com/upload/insp-246837-849.jpg"/>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572032" y="4796373"/>
              <a:ext cx="2099190" cy="1575852"/>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grpSp>
      <xdr:sp macro="" textlink="">
        <xdr:nvSpPr>
          <xdr:cNvPr id="33" name="TextBox 48"/>
          <xdr:cNvSpPr txBox="1"/>
        </xdr:nvSpPr>
        <xdr:spPr>
          <a:xfrm>
            <a:off x="1028699" y="44586525"/>
            <a:ext cx="1152667" cy="269304"/>
          </a:xfrm>
          <a:prstGeom prst="rect">
            <a:avLst/>
          </a:prstGeom>
          <a:solidFill>
            <a:schemeClr val="bg1"/>
          </a:solidFill>
          <a:ln>
            <a:noFill/>
          </a:ln>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n-US" sz="1200" b="1">
                <a:latin typeface="Times New Roman" panose="02020603050405020304" pitchFamily="18" charset="0"/>
                <a:cs typeface="Times New Roman" panose="02020603050405020304" pitchFamily="18" charset="0"/>
              </a:rPr>
              <a:t>Building No.1</a:t>
            </a:r>
            <a:endParaRPr lang="en-IN" sz="1200" b="1">
              <a:latin typeface="Times New Roman" panose="02020603050405020304" pitchFamily="18" charset="0"/>
              <a:cs typeface="Times New Roman" panose="02020603050405020304" pitchFamily="18" charset="0"/>
            </a:endParaRPr>
          </a:p>
        </xdr:txBody>
      </xdr:sp>
      <xdr:sp macro="" textlink="">
        <xdr:nvSpPr>
          <xdr:cNvPr id="34" name="TextBox 48"/>
          <xdr:cNvSpPr txBox="1"/>
        </xdr:nvSpPr>
        <xdr:spPr>
          <a:xfrm>
            <a:off x="904874" y="44738925"/>
            <a:ext cx="1152667" cy="269304"/>
          </a:xfrm>
          <a:prstGeom prst="rect">
            <a:avLst/>
          </a:prstGeom>
          <a:solidFill>
            <a:schemeClr val="bg1"/>
          </a:solidFill>
          <a:ln>
            <a:noFill/>
          </a:ln>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n-US" sz="1200" b="1">
                <a:latin typeface="Times New Roman" panose="02020603050405020304" pitchFamily="18" charset="0"/>
                <a:cs typeface="Times New Roman" panose="02020603050405020304" pitchFamily="18" charset="0"/>
              </a:rPr>
              <a:t>Building No.2</a:t>
            </a:r>
            <a:endParaRPr lang="en-IN" sz="1200" b="1">
              <a:latin typeface="Times New Roman" panose="02020603050405020304" pitchFamily="18" charset="0"/>
              <a:cs typeface="Times New Roman" panose="02020603050405020304" pitchFamily="18" charset="0"/>
            </a:endParaRPr>
          </a:p>
        </xdr:txBody>
      </xdr:sp>
    </xdr:grpSp>
    <xdr:clientData/>
  </xdr:twoCellAnchor>
  <xdr:twoCellAnchor>
    <xdr:from>
      <xdr:col>0</xdr:col>
      <xdr:colOff>219075</xdr:colOff>
      <xdr:row>214</xdr:row>
      <xdr:rowOff>9525</xdr:rowOff>
    </xdr:from>
    <xdr:to>
      <xdr:col>7</xdr:col>
      <xdr:colOff>485164</xdr:colOff>
      <xdr:row>247</xdr:row>
      <xdr:rowOff>57122</xdr:rowOff>
    </xdr:to>
    <xdr:grpSp>
      <xdr:nvGrpSpPr>
        <xdr:cNvPr id="3" name="Group 2"/>
        <xdr:cNvGrpSpPr/>
      </xdr:nvGrpSpPr>
      <xdr:grpSpPr>
        <a:xfrm>
          <a:off x="219075" y="42605325"/>
          <a:ext cx="5847739" cy="6638897"/>
          <a:chOff x="219075" y="43005375"/>
          <a:chExt cx="5847739" cy="6638897"/>
        </a:xfrm>
      </xdr:grpSpPr>
      <xdr:grpSp>
        <xdr:nvGrpSpPr>
          <xdr:cNvPr id="2" name="Group 1"/>
          <xdr:cNvGrpSpPr/>
        </xdr:nvGrpSpPr>
        <xdr:grpSpPr>
          <a:xfrm>
            <a:off x="219075" y="43005375"/>
            <a:ext cx="5847739" cy="6638897"/>
            <a:chOff x="219075" y="43005375"/>
            <a:chExt cx="5847739" cy="6638897"/>
          </a:xfrm>
        </xdr:grpSpPr>
        <xdr:pic>
          <xdr:nvPicPr>
            <xdr:cNvPr id="36" name="Picture 35" descr="insp-248874-845.jpg (1079×810)"/>
            <xdr:cNvPicPr>
              <a:picLocks noChangeAspect="1" noChangeArrowheads="1"/>
            </xdr:cNvPicPr>
          </xdr:nvPicPr>
          <xdr:blipFill>
            <a:blip xmlns:r="http://schemas.openxmlformats.org/officeDocument/2006/relationships" r:embed="rId12" cstate="screen">
              <a:extLst>
                <a:ext uri="{28A0092B-C50C-407E-A947-70E740481C1C}">
                  <a14:useLocalDpi xmlns:a14="http://schemas.microsoft.com/office/drawing/2010/main"/>
                </a:ext>
              </a:extLst>
            </a:blip>
            <a:srcRect/>
            <a:stretch>
              <a:fillRect/>
            </a:stretch>
          </xdr:blipFill>
          <xdr:spPr bwMode="auto">
            <a:xfrm>
              <a:off x="862094" y="47484272"/>
              <a:ext cx="2877333"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37" name="Picture 36" descr="insp-248874-849.jpg (1079×810)"/>
            <xdr:cNvPicPr>
              <a:picLocks noChangeAspect="1" noChangeArrowheads="1"/>
            </xdr:cNvPicPr>
          </xdr:nvPicPr>
          <xdr:blipFill>
            <a:blip xmlns:r="http://schemas.openxmlformats.org/officeDocument/2006/relationships" r:embed="rId13" cstate="screen">
              <a:extLst>
                <a:ext uri="{28A0092B-C50C-407E-A947-70E740481C1C}">
                  <a14:useLocalDpi xmlns:a14="http://schemas.microsoft.com/office/drawing/2010/main"/>
                </a:ext>
              </a:extLst>
            </a:blip>
            <a:srcRect/>
            <a:stretch>
              <a:fillRect/>
            </a:stretch>
          </xdr:blipFill>
          <xdr:spPr bwMode="auto">
            <a:xfrm>
              <a:off x="219075" y="45236197"/>
              <a:ext cx="2877333"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38" name="Picture 37" descr="insp-248874-851.jpg (1079×810)"/>
            <xdr:cNvPicPr>
              <a:picLocks noChangeAspect="1" noChangeArrowheads="1"/>
            </xdr:cNvPicPr>
          </xdr:nvPicPr>
          <xdr:blipFill>
            <a:blip xmlns:r="http://schemas.openxmlformats.org/officeDocument/2006/relationships" r:embed="rId14" cstate="screen">
              <a:extLst>
                <a:ext uri="{28A0092B-C50C-407E-A947-70E740481C1C}">
                  <a14:useLocalDpi xmlns:a14="http://schemas.microsoft.com/office/drawing/2010/main"/>
                </a:ext>
              </a:extLst>
            </a:blip>
            <a:srcRect/>
            <a:stretch>
              <a:fillRect/>
            </a:stretch>
          </xdr:blipFill>
          <xdr:spPr bwMode="auto">
            <a:xfrm>
              <a:off x="3189481" y="45236197"/>
              <a:ext cx="2877333"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39" name="Picture 38" descr="insp-248874-862.jpg (1079×810)"/>
            <xdr:cNvPicPr>
              <a:picLocks noChangeAspect="1" noChangeArrowheads="1"/>
            </xdr:cNvPicPr>
          </xdr:nvPicPr>
          <xdr:blipFill>
            <a:blip xmlns:r="http://schemas.openxmlformats.org/officeDocument/2006/relationships" r:embed="rId15" cstate="screen">
              <a:extLst>
                <a:ext uri="{28A0092B-C50C-407E-A947-70E740481C1C}">
                  <a14:useLocalDpi xmlns:a14="http://schemas.microsoft.com/office/drawing/2010/main"/>
                </a:ext>
              </a:extLst>
            </a:blip>
            <a:srcRect/>
            <a:stretch>
              <a:fillRect/>
            </a:stretch>
          </xdr:blipFill>
          <xdr:spPr bwMode="auto">
            <a:xfrm>
              <a:off x="3189481" y="43005375"/>
              <a:ext cx="2877333"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40" name="Picture 39" descr="insp-248874-916.jpg (959×1280)"/>
            <xdr:cNvPicPr>
              <a:picLocks noChangeAspect="1" noChangeArrowheads="1"/>
            </xdr:cNvPicPr>
          </xdr:nvPicPr>
          <xdr:blipFill>
            <a:blip xmlns:r="http://schemas.openxmlformats.org/officeDocument/2006/relationships" r:embed="rId16" cstate="screen">
              <a:extLst>
                <a:ext uri="{28A0092B-C50C-407E-A947-70E740481C1C}">
                  <a14:useLocalDpi xmlns:a14="http://schemas.microsoft.com/office/drawing/2010/main"/>
                </a:ext>
              </a:extLst>
            </a:blip>
            <a:srcRect/>
            <a:stretch>
              <a:fillRect/>
            </a:stretch>
          </xdr:blipFill>
          <xdr:spPr bwMode="auto">
            <a:xfrm>
              <a:off x="3818991" y="47484272"/>
              <a:ext cx="1618312"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41" name="Picture 40" descr="insp-248874-925.jpg (1079×810)"/>
            <xdr:cNvPicPr>
              <a:picLocks noChangeAspect="1" noChangeArrowheads="1"/>
            </xdr:cNvPicPr>
          </xdr:nvPicPr>
          <xdr:blipFill>
            <a:blip xmlns:r="http://schemas.openxmlformats.org/officeDocument/2006/relationships" r:embed="rId17" cstate="screen">
              <a:extLst>
                <a:ext uri="{28A0092B-C50C-407E-A947-70E740481C1C}">
                  <a14:useLocalDpi xmlns:a14="http://schemas.microsoft.com/office/drawing/2010/main"/>
                </a:ext>
              </a:extLst>
            </a:blip>
            <a:srcRect/>
            <a:stretch>
              <a:fillRect/>
            </a:stretch>
          </xdr:blipFill>
          <xdr:spPr bwMode="auto">
            <a:xfrm>
              <a:off x="219076" y="43005375"/>
              <a:ext cx="2877333"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grpSp>
      <xdr:sp macro="" textlink="">
        <xdr:nvSpPr>
          <xdr:cNvPr id="42" name="TextBox 48"/>
          <xdr:cNvSpPr txBox="1"/>
        </xdr:nvSpPr>
        <xdr:spPr>
          <a:xfrm>
            <a:off x="752474" y="43043474"/>
            <a:ext cx="1152667" cy="269304"/>
          </a:xfrm>
          <a:prstGeom prst="rect">
            <a:avLst/>
          </a:prstGeom>
          <a:solidFill>
            <a:schemeClr val="bg1"/>
          </a:solidFill>
          <a:ln>
            <a:noFill/>
          </a:ln>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n-US" sz="1200" b="1">
                <a:latin typeface="Times New Roman" panose="02020603050405020304" pitchFamily="18" charset="0"/>
                <a:cs typeface="Times New Roman" panose="02020603050405020304" pitchFamily="18" charset="0"/>
              </a:rPr>
              <a:t>Building No.1</a:t>
            </a:r>
            <a:endParaRPr lang="en-IN" sz="1200" b="1">
              <a:latin typeface="Times New Roman" panose="02020603050405020304" pitchFamily="18" charset="0"/>
              <a:cs typeface="Times New Roman" panose="02020603050405020304" pitchFamily="18" charset="0"/>
            </a:endParaRPr>
          </a:p>
        </xdr:txBody>
      </xdr:sp>
      <xdr:sp macro="" textlink="">
        <xdr:nvSpPr>
          <xdr:cNvPr id="43" name="TextBox 48"/>
          <xdr:cNvSpPr txBox="1"/>
        </xdr:nvSpPr>
        <xdr:spPr>
          <a:xfrm>
            <a:off x="3800474" y="43072049"/>
            <a:ext cx="1152667" cy="269304"/>
          </a:xfrm>
          <a:prstGeom prst="rect">
            <a:avLst/>
          </a:prstGeom>
          <a:solidFill>
            <a:schemeClr val="bg1"/>
          </a:solidFill>
          <a:ln>
            <a:noFill/>
          </a:ln>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n-US" sz="1200" b="1">
                <a:latin typeface="Times New Roman" panose="02020603050405020304" pitchFamily="18" charset="0"/>
                <a:cs typeface="Times New Roman" panose="02020603050405020304" pitchFamily="18" charset="0"/>
              </a:rPr>
              <a:t>Building No.2</a:t>
            </a:r>
            <a:endParaRPr lang="en-IN" sz="1200" b="1">
              <a:latin typeface="Times New Roman" panose="02020603050405020304" pitchFamily="18" charset="0"/>
              <a:cs typeface="Times New Roman" panose="02020603050405020304" pitchFamily="18" charset="0"/>
            </a:endParaRPr>
          </a:p>
        </xdr:txBody>
      </xdr: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493058</xdr:colOff>
      <xdr:row>1</xdr:row>
      <xdr:rowOff>168088</xdr:rowOff>
    </xdr:from>
    <xdr:to>
      <xdr:col>14</xdr:col>
      <xdr:colOff>253521</xdr:colOff>
      <xdr:row>24</xdr:row>
      <xdr:rowOff>95382</xdr:rowOff>
    </xdr:to>
    <xdr:pic>
      <xdr:nvPicPr>
        <xdr:cNvPr id="2" name="Picture 1">
          <a:extLst>
            <a:ext uri="{FF2B5EF4-FFF2-40B4-BE49-F238E27FC236}">
              <a16:creationId xmlns:a16="http://schemas.microsoft.com/office/drawing/2014/main" xmlns="" id="{00000000-0008-0000-0100-000002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6269"/>
        <a:stretch/>
      </xdr:blipFill>
      <xdr:spPr>
        <a:xfrm>
          <a:off x="9905999" y="358588"/>
          <a:ext cx="3256698" cy="4320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maps.app.goo.gl/M95znj2q98SF8A48A" TargetMode="External"/><Relationship Id="rId6" Type="http://schemas.openxmlformats.org/officeDocument/2006/relationships/comments" Target="../comments1.xm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Z301"/>
  <sheetViews>
    <sheetView tabSelected="1" view="pageBreakPreview" zoomScaleNormal="100" zoomScaleSheetLayoutView="100" zoomScalePageLayoutView="85" workbookViewId="0">
      <selection activeCell="I9" sqref="I9"/>
    </sheetView>
  </sheetViews>
  <sheetFormatPr defaultColWidth="9.140625" defaultRowHeight="15.75" x14ac:dyDescent="0.25"/>
  <cols>
    <col min="1" max="1" width="11.42578125" style="39" customWidth="1"/>
    <col min="2" max="2" width="12" style="39" customWidth="1"/>
    <col min="3" max="3" width="12.7109375" style="39" customWidth="1"/>
    <col min="4" max="4" width="13.7109375" style="39" customWidth="1"/>
    <col min="5" max="5" width="11.7109375" style="39" customWidth="1"/>
    <col min="6" max="6" width="11.140625" style="39" customWidth="1"/>
    <col min="7" max="8" width="11" style="39" customWidth="1"/>
    <col min="9" max="9" width="17.42578125" style="20" customWidth="1"/>
    <col min="10" max="10" width="11.42578125" style="20" customWidth="1"/>
    <col min="11" max="11" width="11.28515625" style="20" bestFit="1" customWidth="1"/>
    <col min="12" max="12" width="13.85546875" style="20" bestFit="1" customWidth="1"/>
    <col min="13" max="13" width="11.85546875" style="20" customWidth="1"/>
    <col min="14" max="14" width="12.5703125" style="20" customWidth="1"/>
    <col min="15" max="15" width="12.140625" style="20" customWidth="1"/>
    <col min="16" max="16" width="11.7109375" style="20" customWidth="1"/>
    <col min="17" max="18" width="9.140625" style="20"/>
    <col min="19" max="19" width="10.85546875" style="20" bestFit="1" customWidth="1"/>
    <col min="20" max="20" width="10.7109375" style="20" customWidth="1"/>
    <col min="21" max="247" width="9.140625" style="20"/>
    <col min="248" max="248" width="8.7109375" style="20" customWidth="1"/>
    <col min="249" max="249" width="9.85546875" style="20" customWidth="1"/>
    <col min="250" max="250" width="14.42578125" style="20" customWidth="1"/>
    <col min="251" max="251" width="7.28515625" style="20" customWidth="1"/>
    <col min="252" max="252" width="5.5703125" style="20" customWidth="1"/>
    <col min="253" max="253" width="9" style="20" customWidth="1"/>
    <col min="254" max="255" width="9.85546875" style="20" customWidth="1"/>
    <col min="256" max="256" width="11.140625" style="20" customWidth="1"/>
    <col min="257" max="257" width="2.85546875" style="20" customWidth="1"/>
    <col min="258" max="258" width="3.5703125" style="20" customWidth="1"/>
    <col min="259" max="503" width="9.140625" style="20"/>
    <col min="504" max="504" width="8.7109375" style="20" customWidth="1"/>
    <col min="505" max="505" width="9.85546875" style="20" customWidth="1"/>
    <col min="506" max="506" width="14.42578125" style="20" customWidth="1"/>
    <col min="507" max="507" width="7.28515625" style="20" customWidth="1"/>
    <col min="508" max="508" width="5.5703125" style="20" customWidth="1"/>
    <col min="509" max="509" width="9" style="20" customWidth="1"/>
    <col min="510" max="511" width="9.85546875" style="20" customWidth="1"/>
    <col min="512" max="512" width="11.140625" style="20" customWidth="1"/>
    <col min="513" max="513" width="2.85546875" style="20" customWidth="1"/>
    <col min="514" max="514" width="3.5703125" style="20" customWidth="1"/>
    <col min="515" max="759" width="9.140625" style="20"/>
    <col min="760" max="760" width="8.7109375" style="20" customWidth="1"/>
    <col min="761" max="761" width="9.85546875" style="20" customWidth="1"/>
    <col min="762" max="762" width="14.42578125" style="20" customWidth="1"/>
    <col min="763" max="763" width="7.28515625" style="20" customWidth="1"/>
    <col min="764" max="764" width="5.5703125" style="20" customWidth="1"/>
    <col min="765" max="765" width="9" style="20" customWidth="1"/>
    <col min="766" max="767" width="9.85546875" style="20" customWidth="1"/>
    <col min="768" max="768" width="11.140625" style="20" customWidth="1"/>
    <col min="769" max="769" width="2.85546875" style="20" customWidth="1"/>
    <col min="770" max="770" width="3.5703125" style="20" customWidth="1"/>
    <col min="771" max="1015" width="9.140625" style="20"/>
    <col min="1016" max="1016" width="8.7109375" style="20" customWidth="1"/>
    <col min="1017" max="1017" width="9.85546875" style="20" customWidth="1"/>
    <col min="1018" max="1018" width="14.42578125" style="20" customWidth="1"/>
    <col min="1019" max="1019" width="7.28515625" style="20" customWidth="1"/>
    <col min="1020" max="1020" width="5.5703125" style="20" customWidth="1"/>
    <col min="1021" max="1021" width="9" style="20" customWidth="1"/>
    <col min="1022" max="1023" width="9.85546875" style="20" customWidth="1"/>
    <col min="1024" max="1024" width="11.140625" style="20" customWidth="1"/>
    <col min="1025" max="1025" width="2.85546875" style="20" customWidth="1"/>
    <col min="1026" max="1026" width="3.5703125" style="20" customWidth="1"/>
    <col min="1027" max="1271" width="9.140625" style="20"/>
    <col min="1272" max="1272" width="8.7109375" style="20" customWidth="1"/>
    <col min="1273" max="1273" width="9.85546875" style="20" customWidth="1"/>
    <col min="1274" max="1274" width="14.42578125" style="20" customWidth="1"/>
    <col min="1275" max="1275" width="7.28515625" style="20" customWidth="1"/>
    <col min="1276" max="1276" width="5.5703125" style="20" customWidth="1"/>
    <col min="1277" max="1277" width="9" style="20" customWidth="1"/>
    <col min="1278" max="1279" width="9.85546875" style="20" customWidth="1"/>
    <col min="1280" max="1280" width="11.140625" style="20" customWidth="1"/>
    <col min="1281" max="1281" width="2.85546875" style="20" customWidth="1"/>
    <col min="1282" max="1282" width="3.5703125" style="20" customWidth="1"/>
    <col min="1283" max="1527" width="9.140625" style="20"/>
    <col min="1528" max="1528" width="8.7109375" style="20" customWidth="1"/>
    <col min="1529" max="1529" width="9.85546875" style="20" customWidth="1"/>
    <col min="1530" max="1530" width="14.42578125" style="20" customWidth="1"/>
    <col min="1531" max="1531" width="7.28515625" style="20" customWidth="1"/>
    <col min="1532" max="1532" width="5.5703125" style="20" customWidth="1"/>
    <col min="1533" max="1533" width="9" style="20" customWidth="1"/>
    <col min="1534" max="1535" width="9.85546875" style="20" customWidth="1"/>
    <col min="1536" max="1536" width="11.140625" style="20" customWidth="1"/>
    <col min="1537" max="1537" width="2.85546875" style="20" customWidth="1"/>
    <col min="1538" max="1538" width="3.5703125" style="20" customWidth="1"/>
    <col min="1539" max="1783" width="9.140625" style="20"/>
    <col min="1784" max="1784" width="8.7109375" style="20" customWidth="1"/>
    <col min="1785" max="1785" width="9.85546875" style="20" customWidth="1"/>
    <col min="1786" max="1786" width="14.42578125" style="20" customWidth="1"/>
    <col min="1787" max="1787" width="7.28515625" style="20" customWidth="1"/>
    <col min="1788" max="1788" width="5.5703125" style="20" customWidth="1"/>
    <col min="1789" max="1789" width="9" style="20" customWidth="1"/>
    <col min="1790" max="1791" width="9.85546875" style="20" customWidth="1"/>
    <col min="1792" max="1792" width="11.140625" style="20" customWidth="1"/>
    <col min="1793" max="1793" width="2.85546875" style="20" customWidth="1"/>
    <col min="1794" max="1794" width="3.5703125" style="20" customWidth="1"/>
    <col min="1795" max="2039" width="9.140625" style="20"/>
    <col min="2040" max="2040" width="8.7109375" style="20" customWidth="1"/>
    <col min="2041" max="2041" width="9.85546875" style="20" customWidth="1"/>
    <col min="2042" max="2042" width="14.42578125" style="20" customWidth="1"/>
    <col min="2043" max="2043" width="7.28515625" style="20" customWidth="1"/>
    <col min="2044" max="2044" width="5.5703125" style="20" customWidth="1"/>
    <col min="2045" max="2045" width="9" style="20" customWidth="1"/>
    <col min="2046" max="2047" width="9.85546875" style="20" customWidth="1"/>
    <col min="2048" max="2048" width="11.140625" style="20" customWidth="1"/>
    <col min="2049" max="2049" width="2.85546875" style="20" customWidth="1"/>
    <col min="2050" max="2050" width="3.5703125" style="20" customWidth="1"/>
    <col min="2051" max="2295" width="9.140625" style="20"/>
    <col min="2296" max="2296" width="8.7109375" style="20" customWidth="1"/>
    <col min="2297" max="2297" width="9.85546875" style="20" customWidth="1"/>
    <col min="2298" max="2298" width="14.42578125" style="20" customWidth="1"/>
    <col min="2299" max="2299" width="7.28515625" style="20" customWidth="1"/>
    <col min="2300" max="2300" width="5.5703125" style="20" customWidth="1"/>
    <col min="2301" max="2301" width="9" style="20" customWidth="1"/>
    <col min="2302" max="2303" width="9.85546875" style="20" customWidth="1"/>
    <col min="2304" max="2304" width="11.140625" style="20" customWidth="1"/>
    <col min="2305" max="2305" width="2.85546875" style="20" customWidth="1"/>
    <col min="2306" max="2306" width="3.5703125" style="20" customWidth="1"/>
    <col min="2307" max="2551" width="9.140625" style="20"/>
    <col min="2552" max="2552" width="8.7109375" style="20" customWidth="1"/>
    <col min="2553" max="2553" width="9.85546875" style="20" customWidth="1"/>
    <col min="2554" max="2554" width="14.42578125" style="20" customWidth="1"/>
    <col min="2555" max="2555" width="7.28515625" style="20" customWidth="1"/>
    <col min="2556" max="2556" width="5.5703125" style="20" customWidth="1"/>
    <col min="2557" max="2557" width="9" style="20" customWidth="1"/>
    <col min="2558" max="2559" width="9.85546875" style="20" customWidth="1"/>
    <col min="2560" max="2560" width="11.140625" style="20" customWidth="1"/>
    <col min="2561" max="2561" width="2.85546875" style="20" customWidth="1"/>
    <col min="2562" max="2562" width="3.5703125" style="20" customWidth="1"/>
    <col min="2563" max="2807" width="9.140625" style="20"/>
    <col min="2808" max="2808" width="8.7109375" style="20" customWidth="1"/>
    <col min="2809" max="2809" width="9.85546875" style="20" customWidth="1"/>
    <col min="2810" max="2810" width="14.42578125" style="20" customWidth="1"/>
    <col min="2811" max="2811" width="7.28515625" style="20" customWidth="1"/>
    <col min="2812" max="2812" width="5.5703125" style="20" customWidth="1"/>
    <col min="2813" max="2813" width="9" style="20" customWidth="1"/>
    <col min="2814" max="2815" width="9.85546875" style="20" customWidth="1"/>
    <col min="2816" max="2816" width="11.140625" style="20" customWidth="1"/>
    <col min="2817" max="2817" width="2.85546875" style="20" customWidth="1"/>
    <col min="2818" max="2818" width="3.5703125" style="20" customWidth="1"/>
    <col min="2819" max="3063" width="9.140625" style="20"/>
    <col min="3064" max="3064" width="8.7109375" style="20" customWidth="1"/>
    <col min="3065" max="3065" width="9.85546875" style="20" customWidth="1"/>
    <col min="3066" max="3066" width="14.42578125" style="20" customWidth="1"/>
    <col min="3067" max="3067" width="7.28515625" style="20" customWidth="1"/>
    <col min="3068" max="3068" width="5.5703125" style="20" customWidth="1"/>
    <col min="3069" max="3069" width="9" style="20" customWidth="1"/>
    <col min="3070" max="3071" width="9.85546875" style="20" customWidth="1"/>
    <col min="3072" max="3072" width="11.140625" style="20" customWidth="1"/>
    <col min="3073" max="3073" width="2.85546875" style="20" customWidth="1"/>
    <col min="3074" max="3074" width="3.5703125" style="20" customWidth="1"/>
    <col min="3075" max="3319" width="9.140625" style="20"/>
    <col min="3320" max="3320" width="8.7109375" style="20" customWidth="1"/>
    <col min="3321" max="3321" width="9.85546875" style="20" customWidth="1"/>
    <col min="3322" max="3322" width="14.42578125" style="20" customWidth="1"/>
    <col min="3323" max="3323" width="7.28515625" style="20" customWidth="1"/>
    <col min="3324" max="3324" width="5.5703125" style="20" customWidth="1"/>
    <col min="3325" max="3325" width="9" style="20" customWidth="1"/>
    <col min="3326" max="3327" width="9.85546875" style="20" customWidth="1"/>
    <col min="3328" max="3328" width="11.140625" style="20" customWidth="1"/>
    <col min="3329" max="3329" width="2.85546875" style="20" customWidth="1"/>
    <col min="3330" max="3330" width="3.5703125" style="20" customWidth="1"/>
    <col min="3331" max="3575" width="9.140625" style="20"/>
    <col min="3576" max="3576" width="8.7109375" style="20" customWidth="1"/>
    <col min="3577" max="3577" width="9.85546875" style="20" customWidth="1"/>
    <col min="3578" max="3578" width="14.42578125" style="20" customWidth="1"/>
    <col min="3579" max="3579" width="7.28515625" style="20" customWidth="1"/>
    <col min="3580" max="3580" width="5.5703125" style="20" customWidth="1"/>
    <col min="3581" max="3581" width="9" style="20" customWidth="1"/>
    <col min="3582" max="3583" width="9.85546875" style="20" customWidth="1"/>
    <col min="3584" max="3584" width="11.140625" style="20" customWidth="1"/>
    <col min="3585" max="3585" width="2.85546875" style="20" customWidth="1"/>
    <col min="3586" max="3586" width="3.5703125" style="20" customWidth="1"/>
    <col min="3587" max="3831" width="9.140625" style="20"/>
    <col min="3832" max="3832" width="8.7109375" style="20" customWidth="1"/>
    <col min="3833" max="3833" width="9.85546875" style="20" customWidth="1"/>
    <col min="3834" max="3834" width="14.42578125" style="20" customWidth="1"/>
    <col min="3835" max="3835" width="7.28515625" style="20" customWidth="1"/>
    <col min="3836" max="3836" width="5.5703125" style="20" customWidth="1"/>
    <col min="3837" max="3837" width="9" style="20" customWidth="1"/>
    <col min="3838" max="3839" width="9.85546875" style="20" customWidth="1"/>
    <col min="3840" max="3840" width="11.140625" style="20" customWidth="1"/>
    <col min="3841" max="3841" width="2.85546875" style="20" customWidth="1"/>
    <col min="3842" max="3842" width="3.5703125" style="20" customWidth="1"/>
    <col min="3843" max="4087" width="9.140625" style="20"/>
    <col min="4088" max="4088" width="8.7109375" style="20" customWidth="1"/>
    <col min="4089" max="4089" width="9.85546875" style="20" customWidth="1"/>
    <col min="4090" max="4090" width="14.42578125" style="20" customWidth="1"/>
    <col min="4091" max="4091" width="7.28515625" style="20" customWidth="1"/>
    <col min="4092" max="4092" width="5.5703125" style="20" customWidth="1"/>
    <col min="4093" max="4093" width="9" style="20" customWidth="1"/>
    <col min="4094" max="4095" width="9.85546875" style="20" customWidth="1"/>
    <col min="4096" max="4096" width="11.140625" style="20" customWidth="1"/>
    <col min="4097" max="4097" width="2.85546875" style="20" customWidth="1"/>
    <col min="4098" max="4098" width="3.5703125" style="20" customWidth="1"/>
    <col min="4099" max="4343" width="9.140625" style="20"/>
    <col min="4344" max="4344" width="8.7109375" style="20" customWidth="1"/>
    <col min="4345" max="4345" width="9.85546875" style="20" customWidth="1"/>
    <col min="4346" max="4346" width="14.42578125" style="20" customWidth="1"/>
    <col min="4347" max="4347" width="7.28515625" style="20" customWidth="1"/>
    <col min="4348" max="4348" width="5.5703125" style="20" customWidth="1"/>
    <col min="4349" max="4349" width="9" style="20" customWidth="1"/>
    <col min="4350" max="4351" width="9.85546875" style="20" customWidth="1"/>
    <col min="4352" max="4352" width="11.140625" style="20" customWidth="1"/>
    <col min="4353" max="4353" width="2.85546875" style="20" customWidth="1"/>
    <col min="4354" max="4354" width="3.5703125" style="20" customWidth="1"/>
    <col min="4355" max="4599" width="9.140625" style="20"/>
    <col min="4600" max="4600" width="8.7109375" style="20" customWidth="1"/>
    <col min="4601" max="4601" width="9.85546875" style="20" customWidth="1"/>
    <col min="4602" max="4602" width="14.42578125" style="20" customWidth="1"/>
    <col min="4603" max="4603" width="7.28515625" style="20" customWidth="1"/>
    <col min="4604" max="4604" width="5.5703125" style="20" customWidth="1"/>
    <col min="4605" max="4605" width="9" style="20" customWidth="1"/>
    <col min="4606" max="4607" width="9.85546875" style="20" customWidth="1"/>
    <col min="4608" max="4608" width="11.140625" style="20" customWidth="1"/>
    <col min="4609" max="4609" width="2.85546875" style="20" customWidth="1"/>
    <col min="4610" max="4610" width="3.5703125" style="20" customWidth="1"/>
    <col min="4611" max="4855" width="9.140625" style="20"/>
    <col min="4856" max="4856" width="8.7109375" style="20" customWidth="1"/>
    <col min="4857" max="4857" width="9.85546875" style="20" customWidth="1"/>
    <col min="4858" max="4858" width="14.42578125" style="20" customWidth="1"/>
    <col min="4859" max="4859" width="7.28515625" style="20" customWidth="1"/>
    <col min="4860" max="4860" width="5.5703125" style="20" customWidth="1"/>
    <col min="4861" max="4861" width="9" style="20" customWidth="1"/>
    <col min="4862" max="4863" width="9.85546875" style="20" customWidth="1"/>
    <col min="4864" max="4864" width="11.140625" style="20" customWidth="1"/>
    <col min="4865" max="4865" width="2.85546875" style="20" customWidth="1"/>
    <col min="4866" max="4866" width="3.5703125" style="20" customWidth="1"/>
    <col min="4867" max="5111" width="9.140625" style="20"/>
    <col min="5112" max="5112" width="8.7109375" style="20" customWidth="1"/>
    <col min="5113" max="5113" width="9.85546875" style="20" customWidth="1"/>
    <col min="5114" max="5114" width="14.42578125" style="20" customWidth="1"/>
    <col min="5115" max="5115" width="7.28515625" style="20" customWidth="1"/>
    <col min="5116" max="5116" width="5.5703125" style="20" customWidth="1"/>
    <col min="5117" max="5117" width="9" style="20" customWidth="1"/>
    <col min="5118" max="5119" width="9.85546875" style="20" customWidth="1"/>
    <col min="5120" max="5120" width="11.140625" style="20" customWidth="1"/>
    <col min="5121" max="5121" width="2.85546875" style="20" customWidth="1"/>
    <col min="5122" max="5122" width="3.5703125" style="20" customWidth="1"/>
    <col min="5123" max="5367" width="9.140625" style="20"/>
    <col min="5368" max="5368" width="8.7109375" style="20" customWidth="1"/>
    <col min="5369" max="5369" width="9.85546875" style="20" customWidth="1"/>
    <col min="5370" max="5370" width="14.42578125" style="20" customWidth="1"/>
    <col min="5371" max="5371" width="7.28515625" style="20" customWidth="1"/>
    <col min="5372" max="5372" width="5.5703125" style="20" customWidth="1"/>
    <col min="5373" max="5373" width="9" style="20" customWidth="1"/>
    <col min="5374" max="5375" width="9.85546875" style="20" customWidth="1"/>
    <col min="5376" max="5376" width="11.140625" style="20" customWidth="1"/>
    <col min="5377" max="5377" width="2.85546875" style="20" customWidth="1"/>
    <col min="5378" max="5378" width="3.5703125" style="20" customWidth="1"/>
    <col min="5379" max="5623" width="9.140625" style="20"/>
    <col min="5624" max="5624" width="8.7109375" style="20" customWidth="1"/>
    <col min="5625" max="5625" width="9.85546875" style="20" customWidth="1"/>
    <col min="5626" max="5626" width="14.42578125" style="20" customWidth="1"/>
    <col min="5627" max="5627" width="7.28515625" style="20" customWidth="1"/>
    <col min="5628" max="5628" width="5.5703125" style="20" customWidth="1"/>
    <col min="5629" max="5629" width="9" style="20" customWidth="1"/>
    <col min="5630" max="5631" width="9.85546875" style="20" customWidth="1"/>
    <col min="5632" max="5632" width="11.140625" style="20" customWidth="1"/>
    <col min="5633" max="5633" width="2.85546875" style="20" customWidth="1"/>
    <col min="5634" max="5634" width="3.5703125" style="20" customWidth="1"/>
    <col min="5635" max="5879" width="9.140625" style="20"/>
    <col min="5880" max="5880" width="8.7109375" style="20" customWidth="1"/>
    <col min="5881" max="5881" width="9.85546875" style="20" customWidth="1"/>
    <col min="5882" max="5882" width="14.42578125" style="20" customWidth="1"/>
    <col min="5883" max="5883" width="7.28515625" style="20" customWidth="1"/>
    <col min="5884" max="5884" width="5.5703125" style="20" customWidth="1"/>
    <col min="5885" max="5885" width="9" style="20" customWidth="1"/>
    <col min="5886" max="5887" width="9.85546875" style="20" customWidth="1"/>
    <col min="5888" max="5888" width="11.140625" style="20" customWidth="1"/>
    <col min="5889" max="5889" width="2.85546875" style="20" customWidth="1"/>
    <col min="5890" max="5890" width="3.5703125" style="20" customWidth="1"/>
    <col min="5891" max="6135" width="9.140625" style="20"/>
    <col min="6136" max="6136" width="8.7109375" style="20" customWidth="1"/>
    <col min="6137" max="6137" width="9.85546875" style="20" customWidth="1"/>
    <col min="6138" max="6138" width="14.42578125" style="20" customWidth="1"/>
    <col min="6139" max="6139" width="7.28515625" style="20" customWidth="1"/>
    <col min="6140" max="6140" width="5.5703125" style="20" customWidth="1"/>
    <col min="6141" max="6141" width="9" style="20" customWidth="1"/>
    <col min="6142" max="6143" width="9.85546875" style="20" customWidth="1"/>
    <col min="6144" max="6144" width="11.140625" style="20" customWidth="1"/>
    <col min="6145" max="6145" width="2.85546875" style="20" customWidth="1"/>
    <col min="6146" max="6146" width="3.5703125" style="20" customWidth="1"/>
    <col min="6147" max="6391" width="9.140625" style="20"/>
    <col min="6392" max="6392" width="8.7109375" style="20" customWidth="1"/>
    <col min="6393" max="6393" width="9.85546875" style="20" customWidth="1"/>
    <col min="6394" max="6394" width="14.42578125" style="20" customWidth="1"/>
    <col min="6395" max="6395" width="7.28515625" style="20" customWidth="1"/>
    <col min="6396" max="6396" width="5.5703125" style="20" customWidth="1"/>
    <col min="6397" max="6397" width="9" style="20" customWidth="1"/>
    <col min="6398" max="6399" width="9.85546875" style="20" customWidth="1"/>
    <col min="6400" max="6400" width="11.140625" style="20" customWidth="1"/>
    <col min="6401" max="6401" width="2.85546875" style="20" customWidth="1"/>
    <col min="6402" max="6402" width="3.5703125" style="20" customWidth="1"/>
    <col min="6403" max="6647" width="9.140625" style="20"/>
    <col min="6648" max="6648" width="8.7109375" style="20" customWidth="1"/>
    <col min="6649" max="6649" width="9.85546875" style="20" customWidth="1"/>
    <col min="6650" max="6650" width="14.42578125" style="20" customWidth="1"/>
    <col min="6651" max="6651" width="7.28515625" style="20" customWidth="1"/>
    <col min="6652" max="6652" width="5.5703125" style="20" customWidth="1"/>
    <col min="6653" max="6653" width="9" style="20" customWidth="1"/>
    <col min="6654" max="6655" width="9.85546875" style="20" customWidth="1"/>
    <col min="6656" max="6656" width="11.140625" style="20" customWidth="1"/>
    <col min="6657" max="6657" width="2.85546875" style="20" customWidth="1"/>
    <col min="6658" max="6658" width="3.5703125" style="20" customWidth="1"/>
    <col min="6659" max="6903" width="9.140625" style="20"/>
    <col min="6904" max="6904" width="8.7109375" style="20" customWidth="1"/>
    <col min="6905" max="6905" width="9.85546875" style="20" customWidth="1"/>
    <col min="6906" max="6906" width="14.42578125" style="20" customWidth="1"/>
    <col min="6907" max="6907" width="7.28515625" style="20" customWidth="1"/>
    <col min="6908" max="6908" width="5.5703125" style="20" customWidth="1"/>
    <col min="6909" max="6909" width="9" style="20" customWidth="1"/>
    <col min="6910" max="6911" width="9.85546875" style="20" customWidth="1"/>
    <col min="6912" max="6912" width="11.140625" style="20" customWidth="1"/>
    <col min="6913" max="6913" width="2.85546875" style="20" customWidth="1"/>
    <col min="6914" max="6914" width="3.5703125" style="20" customWidth="1"/>
    <col min="6915" max="7159" width="9.140625" style="20"/>
    <col min="7160" max="7160" width="8.7109375" style="20" customWidth="1"/>
    <col min="7161" max="7161" width="9.85546875" style="20" customWidth="1"/>
    <col min="7162" max="7162" width="14.42578125" style="20" customWidth="1"/>
    <col min="7163" max="7163" width="7.28515625" style="20" customWidth="1"/>
    <col min="7164" max="7164" width="5.5703125" style="20" customWidth="1"/>
    <col min="7165" max="7165" width="9" style="20" customWidth="1"/>
    <col min="7166" max="7167" width="9.85546875" style="20" customWidth="1"/>
    <col min="7168" max="7168" width="11.140625" style="20" customWidth="1"/>
    <col min="7169" max="7169" width="2.85546875" style="20" customWidth="1"/>
    <col min="7170" max="7170" width="3.5703125" style="20" customWidth="1"/>
    <col min="7171" max="7415" width="9.140625" style="20"/>
    <col min="7416" max="7416" width="8.7109375" style="20" customWidth="1"/>
    <col min="7417" max="7417" width="9.85546875" style="20" customWidth="1"/>
    <col min="7418" max="7418" width="14.42578125" style="20" customWidth="1"/>
    <col min="7419" max="7419" width="7.28515625" style="20" customWidth="1"/>
    <col min="7420" max="7420" width="5.5703125" style="20" customWidth="1"/>
    <col min="7421" max="7421" width="9" style="20" customWidth="1"/>
    <col min="7422" max="7423" width="9.85546875" style="20" customWidth="1"/>
    <col min="7424" max="7424" width="11.140625" style="20" customWidth="1"/>
    <col min="7425" max="7425" width="2.85546875" style="20" customWidth="1"/>
    <col min="7426" max="7426" width="3.5703125" style="20" customWidth="1"/>
    <col min="7427" max="7671" width="9.140625" style="20"/>
    <col min="7672" max="7672" width="8.7109375" style="20" customWidth="1"/>
    <col min="7673" max="7673" width="9.85546875" style="20" customWidth="1"/>
    <col min="7674" max="7674" width="14.42578125" style="20" customWidth="1"/>
    <col min="7675" max="7675" width="7.28515625" style="20" customWidth="1"/>
    <col min="7676" max="7676" width="5.5703125" style="20" customWidth="1"/>
    <col min="7677" max="7677" width="9" style="20" customWidth="1"/>
    <col min="7678" max="7679" width="9.85546875" style="20" customWidth="1"/>
    <col min="7680" max="7680" width="11.140625" style="20" customWidth="1"/>
    <col min="7681" max="7681" width="2.85546875" style="20" customWidth="1"/>
    <col min="7682" max="7682" width="3.5703125" style="20" customWidth="1"/>
    <col min="7683" max="7927" width="9.140625" style="20"/>
    <col min="7928" max="7928" width="8.7109375" style="20" customWidth="1"/>
    <col min="7929" max="7929" width="9.85546875" style="20" customWidth="1"/>
    <col min="7930" max="7930" width="14.42578125" style="20" customWidth="1"/>
    <col min="7931" max="7931" width="7.28515625" style="20" customWidth="1"/>
    <col min="7932" max="7932" width="5.5703125" style="20" customWidth="1"/>
    <col min="7933" max="7933" width="9" style="20" customWidth="1"/>
    <col min="7934" max="7935" width="9.85546875" style="20" customWidth="1"/>
    <col min="7936" max="7936" width="11.140625" style="20" customWidth="1"/>
    <col min="7937" max="7937" width="2.85546875" style="20" customWidth="1"/>
    <col min="7938" max="7938" width="3.5703125" style="20" customWidth="1"/>
    <col min="7939" max="8183" width="9.140625" style="20"/>
    <col min="8184" max="8184" width="8.7109375" style="20" customWidth="1"/>
    <col min="8185" max="8185" width="9.85546875" style="20" customWidth="1"/>
    <col min="8186" max="8186" width="14.42578125" style="20" customWidth="1"/>
    <col min="8187" max="8187" width="7.28515625" style="20" customWidth="1"/>
    <col min="8188" max="8188" width="5.5703125" style="20" customWidth="1"/>
    <col min="8189" max="8189" width="9" style="20" customWidth="1"/>
    <col min="8190" max="8191" width="9.85546875" style="20" customWidth="1"/>
    <col min="8192" max="8192" width="11.140625" style="20" customWidth="1"/>
    <col min="8193" max="8193" width="2.85546875" style="20" customWidth="1"/>
    <col min="8194" max="8194" width="3.5703125" style="20" customWidth="1"/>
    <col min="8195" max="8439" width="9.140625" style="20"/>
    <col min="8440" max="8440" width="8.7109375" style="20" customWidth="1"/>
    <col min="8441" max="8441" width="9.85546875" style="20" customWidth="1"/>
    <col min="8442" max="8442" width="14.42578125" style="20" customWidth="1"/>
    <col min="8443" max="8443" width="7.28515625" style="20" customWidth="1"/>
    <col min="8444" max="8444" width="5.5703125" style="20" customWidth="1"/>
    <col min="8445" max="8445" width="9" style="20" customWidth="1"/>
    <col min="8446" max="8447" width="9.85546875" style="20" customWidth="1"/>
    <col min="8448" max="8448" width="11.140625" style="20" customWidth="1"/>
    <col min="8449" max="8449" width="2.85546875" style="20" customWidth="1"/>
    <col min="8450" max="8450" width="3.5703125" style="20" customWidth="1"/>
    <col min="8451" max="8695" width="9.140625" style="20"/>
    <col min="8696" max="8696" width="8.7109375" style="20" customWidth="1"/>
    <col min="8697" max="8697" width="9.85546875" style="20" customWidth="1"/>
    <col min="8698" max="8698" width="14.42578125" style="20" customWidth="1"/>
    <col min="8699" max="8699" width="7.28515625" style="20" customWidth="1"/>
    <col min="8700" max="8700" width="5.5703125" style="20" customWidth="1"/>
    <col min="8701" max="8701" width="9" style="20" customWidth="1"/>
    <col min="8702" max="8703" width="9.85546875" style="20" customWidth="1"/>
    <col min="8704" max="8704" width="11.140625" style="20" customWidth="1"/>
    <col min="8705" max="8705" width="2.85546875" style="20" customWidth="1"/>
    <col min="8706" max="8706" width="3.5703125" style="20" customWidth="1"/>
    <col min="8707" max="8951" width="9.140625" style="20"/>
    <col min="8952" max="8952" width="8.7109375" style="20" customWidth="1"/>
    <col min="8953" max="8953" width="9.85546875" style="20" customWidth="1"/>
    <col min="8954" max="8954" width="14.42578125" style="20" customWidth="1"/>
    <col min="8955" max="8955" width="7.28515625" style="20" customWidth="1"/>
    <col min="8956" max="8956" width="5.5703125" style="20" customWidth="1"/>
    <col min="8957" max="8957" width="9" style="20" customWidth="1"/>
    <col min="8958" max="8959" width="9.85546875" style="20" customWidth="1"/>
    <col min="8960" max="8960" width="11.140625" style="20" customWidth="1"/>
    <col min="8961" max="8961" width="2.85546875" style="20" customWidth="1"/>
    <col min="8962" max="8962" width="3.5703125" style="20" customWidth="1"/>
    <col min="8963" max="9207" width="9.140625" style="20"/>
    <col min="9208" max="9208" width="8.7109375" style="20" customWidth="1"/>
    <col min="9209" max="9209" width="9.85546875" style="20" customWidth="1"/>
    <col min="9210" max="9210" width="14.42578125" style="20" customWidth="1"/>
    <col min="9211" max="9211" width="7.28515625" style="20" customWidth="1"/>
    <col min="9212" max="9212" width="5.5703125" style="20" customWidth="1"/>
    <col min="9213" max="9213" width="9" style="20" customWidth="1"/>
    <col min="9214" max="9215" width="9.85546875" style="20" customWidth="1"/>
    <col min="9216" max="9216" width="11.140625" style="20" customWidth="1"/>
    <col min="9217" max="9217" width="2.85546875" style="20" customWidth="1"/>
    <col min="9218" max="9218" width="3.5703125" style="20" customWidth="1"/>
    <col min="9219" max="9463" width="9.140625" style="20"/>
    <col min="9464" max="9464" width="8.7109375" style="20" customWidth="1"/>
    <col min="9465" max="9465" width="9.85546875" style="20" customWidth="1"/>
    <col min="9466" max="9466" width="14.42578125" style="20" customWidth="1"/>
    <col min="9467" max="9467" width="7.28515625" style="20" customWidth="1"/>
    <col min="9468" max="9468" width="5.5703125" style="20" customWidth="1"/>
    <col min="9469" max="9469" width="9" style="20" customWidth="1"/>
    <col min="9470" max="9471" width="9.85546875" style="20" customWidth="1"/>
    <col min="9472" max="9472" width="11.140625" style="20" customWidth="1"/>
    <col min="9473" max="9473" width="2.85546875" style="20" customWidth="1"/>
    <col min="9474" max="9474" width="3.5703125" style="20" customWidth="1"/>
    <col min="9475" max="9719" width="9.140625" style="20"/>
    <col min="9720" max="9720" width="8.7109375" style="20" customWidth="1"/>
    <col min="9721" max="9721" width="9.85546875" style="20" customWidth="1"/>
    <col min="9722" max="9722" width="14.42578125" style="20" customWidth="1"/>
    <col min="9723" max="9723" width="7.28515625" style="20" customWidth="1"/>
    <col min="9724" max="9724" width="5.5703125" style="20" customWidth="1"/>
    <col min="9725" max="9725" width="9" style="20" customWidth="1"/>
    <col min="9726" max="9727" width="9.85546875" style="20" customWidth="1"/>
    <col min="9728" max="9728" width="11.140625" style="20" customWidth="1"/>
    <col min="9729" max="9729" width="2.85546875" style="20" customWidth="1"/>
    <col min="9730" max="9730" width="3.5703125" style="20" customWidth="1"/>
    <col min="9731" max="9975" width="9.140625" style="20"/>
    <col min="9976" max="9976" width="8.7109375" style="20" customWidth="1"/>
    <col min="9977" max="9977" width="9.85546875" style="20" customWidth="1"/>
    <col min="9978" max="9978" width="14.42578125" style="20" customWidth="1"/>
    <col min="9979" max="9979" width="7.28515625" style="20" customWidth="1"/>
    <col min="9980" max="9980" width="5.5703125" style="20" customWidth="1"/>
    <col min="9981" max="9981" width="9" style="20" customWidth="1"/>
    <col min="9982" max="9983" width="9.85546875" style="20" customWidth="1"/>
    <col min="9984" max="9984" width="11.140625" style="20" customWidth="1"/>
    <col min="9985" max="9985" width="2.85546875" style="20" customWidth="1"/>
    <col min="9986" max="9986" width="3.5703125" style="20" customWidth="1"/>
    <col min="9987" max="10231" width="9.140625" style="20"/>
    <col min="10232" max="10232" width="8.7109375" style="20" customWidth="1"/>
    <col min="10233" max="10233" width="9.85546875" style="20" customWidth="1"/>
    <col min="10234" max="10234" width="14.42578125" style="20" customWidth="1"/>
    <col min="10235" max="10235" width="7.28515625" style="20" customWidth="1"/>
    <col min="10236" max="10236" width="5.5703125" style="20" customWidth="1"/>
    <col min="10237" max="10237" width="9" style="20" customWidth="1"/>
    <col min="10238" max="10239" width="9.85546875" style="20" customWidth="1"/>
    <col min="10240" max="10240" width="11.140625" style="20" customWidth="1"/>
    <col min="10241" max="10241" width="2.85546875" style="20" customWidth="1"/>
    <col min="10242" max="10242" width="3.5703125" style="20" customWidth="1"/>
    <col min="10243" max="10487" width="9.140625" style="20"/>
    <col min="10488" max="10488" width="8.7109375" style="20" customWidth="1"/>
    <col min="10489" max="10489" width="9.85546875" style="20" customWidth="1"/>
    <col min="10490" max="10490" width="14.42578125" style="20" customWidth="1"/>
    <col min="10491" max="10491" width="7.28515625" style="20" customWidth="1"/>
    <col min="10492" max="10492" width="5.5703125" style="20" customWidth="1"/>
    <col min="10493" max="10493" width="9" style="20" customWidth="1"/>
    <col min="10494" max="10495" width="9.85546875" style="20" customWidth="1"/>
    <col min="10496" max="10496" width="11.140625" style="20" customWidth="1"/>
    <col min="10497" max="10497" width="2.85546875" style="20" customWidth="1"/>
    <col min="10498" max="10498" width="3.5703125" style="20" customWidth="1"/>
    <col min="10499" max="10743" width="9.140625" style="20"/>
    <col min="10744" max="10744" width="8.7109375" style="20" customWidth="1"/>
    <col min="10745" max="10745" width="9.85546875" style="20" customWidth="1"/>
    <col min="10746" max="10746" width="14.42578125" style="20" customWidth="1"/>
    <col min="10747" max="10747" width="7.28515625" style="20" customWidth="1"/>
    <col min="10748" max="10748" width="5.5703125" style="20" customWidth="1"/>
    <col min="10749" max="10749" width="9" style="20" customWidth="1"/>
    <col min="10750" max="10751" width="9.85546875" style="20" customWidth="1"/>
    <col min="10752" max="10752" width="11.140625" style="20" customWidth="1"/>
    <col min="10753" max="10753" width="2.85546875" style="20" customWidth="1"/>
    <col min="10754" max="10754" width="3.5703125" style="20" customWidth="1"/>
    <col min="10755" max="10999" width="9.140625" style="20"/>
    <col min="11000" max="11000" width="8.7109375" style="20" customWidth="1"/>
    <col min="11001" max="11001" width="9.85546875" style="20" customWidth="1"/>
    <col min="11002" max="11002" width="14.42578125" style="20" customWidth="1"/>
    <col min="11003" max="11003" width="7.28515625" style="20" customWidth="1"/>
    <col min="11004" max="11004" width="5.5703125" style="20" customWidth="1"/>
    <col min="11005" max="11005" width="9" style="20" customWidth="1"/>
    <col min="11006" max="11007" width="9.85546875" style="20" customWidth="1"/>
    <col min="11008" max="11008" width="11.140625" style="20" customWidth="1"/>
    <col min="11009" max="11009" width="2.85546875" style="20" customWidth="1"/>
    <col min="11010" max="11010" width="3.5703125" style="20" customWidth="1"/>
    <col min="11011" max="11255" width="9.140625" style="20"/>
    <col min="11256" max="11256" width="8.7109375" style="20" customWidth="1"/>
    <col min="11257" max="11257" width="9.85546875" style="20" customWidth="1"/>
    <col min="11258" max="11258" width="14.42578125" style="20" customWidth="1"/>
    <col min="11259" max="11259" width="7.28515625" style="20" customWidth="1"/>
    <col min="11260" max="11260" width="5.5703125" style="20" customWidth="1"/>
    <col min="11261" max="11261" width="9" style="20" customWidth="1"/>
    <col min="11262" max="11263" width="9.85546875" style="20" customWidth="1"/>
    <col min="11264" max="11264" width="11.140625" style="20" customWidth="1"/>
    <col min="11265" max="11265" width="2.85546875" style="20" customWidth="1"/>
    <col min="11266" max="11266" width="3.5703125" style="20" customWidth="1"/>
    <col min="11267" max="11511" width="9.140625" style="20"/>
    <col min="11512" max="11512" width="8.7109375" style="20" customWidth="1"/>
    <col min="11513" max="11513" width="9.85546875" style="20" customWidth="1"/>
    <col min="11514" max="11514" width="14.42578125" style="20" customWidth="1"/>
    <col min="11515" max="11515" width="7.28515625" style="20" customWidth="1"/>
    <col min="11516" max="11516" width="5.5703125" style="20" customWidth="1"/>
    <col min="11517" max="11517" width="9" style="20" customWidth="1"/>
    <col min="11518" max="11519" width="9.85546875" style="20" customWidth="1"/>
    <col min="11520" max="11520" width="11.140625" style="20" customWidth="1"/>
    <col min="11521" max="11521" width="2.85546875" style="20" customWidth="1"/>
    <col min="11522" max="11522" width="3.5703125" style="20" customWidth="1"/>
    <col min="11523" max="11767" width="9.140625" style="20"/>
    <col min="11768" max="11768" width="8.7109375" style="20" customWidth="1"/>
    <col min="11769" max="11769" width="9.85546875" style="20" customWidth="1"/>
    <col min="11770" max="11770" width="14.42578125" style="20" customWidth="1"/>
    <col min="11771" max="11771" width="7.28515625" style="20" customWidth="1"/>
    <col min="11772" max="11772" width="5.5703125" style="20" customWidth="1"/>
    <col min="11773" max="11773" width="9" style="20" customWidth="1"/>
    <col min="11774" max="11775" width="9.85546875" style="20" customWidth="1"/>
    <col min="11776" max="11776" width="11.140625" style="20" customWidth="1"/>
    <col min="11777" max="11777" width="2.85546875" style="20" customWidth="1"/>
    <col min="11778" max="11778" width="3.5703125" style="20" customWidth="1"/>
    <col min="11779" max="12023" width="9.140625" style="20"/>
    <col min="12024" max="12024" width="8.7109375" style="20" customWidth="1"/>
    <col min="12025" max="12025" width="9.85546875" style="20" customWidth="1"/>
    <col min="12026" max="12026" width="14.42578125" style="20" customWidth="1"/>
    <col min="12027" max="12027" width="7.28515625" style="20" customWidth="1"/>
    <col min="12028" max="12028" width="5.5703125" style="20" customWidth="1"/>
    <col min="12029" max="12029" width="9" style="20" customWidth="1"/>
    <col min="12030" max="12031" width="9.85546875" style="20" customWidth="1"/>
    <col min="12032" max="12032" width="11.140625" style="20" customWidth="1"/>
    <col min="12033" max="12033" width="2.85546875" style="20" customWidth="1"/>
    <col min="12034" max="12034" width="3.5703125" style="20" customWidth="1"/>
    <col min="12035" max="12279" width="9.140625" style="20"/>
    <col min="12280" max="12280" width="8.7109375" style="20" customWidth="1"/>
    <col min="12281" max="12281" width="9.85546875" style="20" customWidth="1"/>
    <col min="12282" max="12282" width="14.42578125" style="20" customWidth="1"/>
    <col min="12283" max="12283" width="7.28515625" style="20" customWidth="1"/>
    <col min="12284" max="12284" width="5.5703125" style="20" customWidth="1"/>
    <col min="12285" max="12285" width="9" style="20" customWidth="1"/>
    <col min="12286" max="12287" width="9.85546875" style="20" customWidth="1"/>
    <col min="12288" max="12288" width="11.140625" style="20" customWidth="1"/>
    <col min="12289" max="12289" width="2.85546875" style="20" customWidth="1"/>
    <col min="12290" max="12290" width="3.5703125" style="20" customWidth="1"/>
    <col min="12291" max="12535" width="9.140625" style="20"/>
    <col min="12536" max="12536" width="8.7109375" style="20" customWidth="1"/>
    <col min="12537" max="12537" width="9.85546875" style="20" customWidth="1"/>
    <col min="12538" max="12538" width="14.42578125" style="20" customWidth="1"/>
    <col min="12539" max="12539" width="7.28515625" style="20" customWidth="1"/>
    <col min="12540" max="12540" width="5.5703125" style="20" customWidth="1"/>
    <col min="12541" max="12541" width="9" style="20" customWidth="1"/>
    <col min="12542" max="12543" width="9.85546875" style="20" customWidth="1"/>
    <col min="12544" max="12544" width="11.140625" style="20" customWidth="1"/>
    <col min="12545" max="12545" width="2.85546875" style="20" customWidth="1"/>
    <col min="12546" max="12546" width="3.5703125" style="20" customWidth="1"/>
    <col min="12547" max="12791" width="9.140625" style="20"/>
    <col min="12792" max="12792" width="8.7109375" style="20" customWidth="1"/>
    <col min="12793" max="12793" width="9.85546875" style="20" customWidth="1"/>
    <col min="12794" max="12794" width="14.42578125" style="20" customWidth="1"/>
    <col min="12795" max="12795" width="7.28515625" style="20" customWidth="1"/>
    <col min="12796" max="12796" width="5.5703125" style="20" customWidth="1"/>
    <col min="12797" max="12797" width="9" style="20" customWidth="1"/>
    <col min="12798" max="12799" width="9.85546875" style="20" customWidth="1"/>
    <col min="12800" max="12800" width="11.140625" style="20" customWidth="1"/>
    <col min="12801" max="12801" width="2.85546875" style="20" customWidth="1"/>
    <col min="12802" max="12802" width="3.5703125" style="20" customWidth="1"/>
    <col min="12803" max="13047" width="9.140625" style="20"/>
    <col min="13048" max="13048" width="8.7109375" style="20" customWidth="1"/>
    <col min="13049" max="13049" width="9.85546875" style="20" customWidth="1"/>
    <col min="13050" max="13050" width="14.42578125" style="20" customWidth="1"/>
    <col min="13051" max="13051" width="7.28515625" style="20" customWidth="1"/>
    <col min="13052" max="13052" width="5.5703125" style="20" customWidth="1"/>
    <col min="13053" max="13053" width="9" style="20" customWidth="1"/>
    <col min="13054" max="13055" width="9.85546875" style="20" customWidth="1"/>
    <col min="13056" max="13056" width="11.140625" style="20" customWidth="1"/>
    <col min="13057" max="13057" width="2.85546875" style="20" customWidth="1"/>
    <col min="13058" max="13058" width="3.5703125" style="20" customWidth="1"/>
    <col min="13059" max="13303" width="9.140625" style="20"/>
    <col min="13304" max="13304" width="8.7109375" style="20" customWidth="1"/>
    <col min="13305" max="13305" width="9.85546875" style="20" customWidth="1"/>
    <col min="13306" max="13306" width="14.42578125" style="20" customWidth="1"/>
    <col min="13307" max="13307" width="7.28515625" style="20" customWidth="1"/>
    <col min="13308" max="13308" width="5.5703125" style="20" customWidth="1"/>
    <col min="13309" max="13309" width="9" style="20" customWidth="1"/>
    <col min="13310" max="13311" width="9.85546875" style="20" customWidth="1"/>
    <col min="13312" max="13312" width="11.140625" style="20" customWidth="1"/>
    <col min="13313" max="13313" width="2.85546875" style="20" customWidth="1"/>
    <col min="13314" max="13314" width="3.5703125" style="20" customWidth="1"/>
    <col min="13315" max="13559" width="9.140625" style="20"/>
    <col min="13560" max="13560" width="8.7109375" style="20" customWidth="1"/>
    <col min="13561" max="13561" width="9.85546875" style="20" customWidth="1"/>
    <col min="13562" max="13562" width="14.42578125" style="20" customWidth="1"/>
    <col min="13563" max="13563" width="7.28515625" style="20" customWidth="1"/>
    <col min="13564" max="13564" width="5.5703125" style="20" customWidth="1"/>
    <col min="13565" max="13565" width="9" style="20" customWidth="1"/>
    <col min="13566" max="13567" width="9.85546875" style="20" customWidth="1"/>
    <col min="13568" max="13568" width="11.140625" style="20" customWidth="1"/>
    <col min="13569" max="13569" width="2.85546875" style="20" customWidth="1"/>
    <col min="13570" max="13570" width="3.5703125" style="20" customWidth="1"/>
    <col min="13571" max="13815" width="9.140625" style="20"/>
    <col min="13816" max="13816" width="8.7109375" style="20" customWidth="1"/>
    <col min="13817" max="13817" width="9.85546875" style="20" customWidth="1"/>
    <col min="13818" max="13818" width="14.42578125" style="20" customWidth="1"/>
    <col min="13819" max="13819" width="7.28515625" style="20" customWidth="1"/>
    <col min="13820" max="13820" width="5.5703125" style="20" customWidth="1"/>
    <col min="13821" max="13821" width="9" style="20" customWidth="1"/>
    <col min="13822" max="13823" width="9.85546875" style="20" customWidth="1"/>
    <col min="13824" max="13824" width="11.140625" style="20" customWidth="1"/>
    <col min="13825" max="13825" width="2.85546875" style="20" customWidth="1"/>
    <col min="13826" max="13826" width="3.5703125" style="20" customWidth="1"/>
    <col min="13827" max="14071" width="9.140625" style="20"/>
    <col min="14072" max="14072" width="8.7109375" style="20" customWidth="1"/>
    <col min="14073" max="14073" width="9.85546875" style="20" customWidth="1"/>
    <col min="14074" max="14074" width="14.42578125" style="20" customWidth="1"/>
    <col min="14075" max="14075" width="7.28515625" style="20" customWidth="1"/>
    <col min="14076" max="14076" width="5.5703125" style="20" customWidth="1"/>
    <col min="14077" max="14077" width="9" style="20" customWidth="1"/>
    <col min="14078" max="14079" width="9.85546875" style="20" customWidth="1"/>
    <col min="14080" max="14080" width="11.140625" style="20" customWidth="1"/>
    <col min="14081" max="14081" width="2.85546875" style="20" customWidth="1"/>
    <col min="14082" max="14082" width="3.5703125" style="20" customWidth="1"/>
    <col min="14083" max="14327" width="9.140625" style="20"/>
    <col min="14328" max="14328" width="8.7109375" style="20" customWidth="1"/>
    <col min="14329" max="14329" width="9.85546875" style="20" customWidth="1"/>
    <col min="14330" max="14330" width="14.42578125" style="20" customWidth="1"/>
    <col min="14331" max="14331" width="7.28515625" style="20" customWidth="1"/>
    <col min="14332" max="14332" width="5.5703125" style="20" customWidth="1"/>
    <col min="14333" max="14333" width="9" style="20" customWidth="1"/>
    <col min="14334" max="14335" width="9.85546875" style="20" customWidth="1"/>
    <col min="14336" max="14336" width="11.140625" style="20" customWidth="1"/>
    <col min="14337" max="14337" width="2.85546875" style="20" customWidth="1"/>
    <col min="14338" max="14338" width="3.5703125" style="20" customWidth="1"/>
    <col min="14339" max="14583" width="9.140625" style="20"/>
    <col min="14584" max="14584" width="8.7109375" style="20" customWidth="1"/>
    <col min="14585" max="14585" width="9.85546875" style="20" customWidth="1"/>
    <col min="14586" max="14586" width="14.42578125" style="20" customWidth="1"/>
    <col min="14587" max="14587" width="7.28515625" style="20" customWidth="1"/>
    <col min="14588" max="14588" width="5.5703125" style="20" customWidth="1"/>
    <col min="14589" max="14589" width="9" style="20" customWidth="1"/>
    <col min="14590" max="14591" width="9.85546875" style="20" customWidth="1"/>
    <col min="14592" max="14592" width="11.140625" style="20" customWidth="1"/>
    <col min="14593" max="14593" width="2.85546875" style="20" customWidth="1"/>
    <col min="14594" max="14594" width="3.5703125" style="20" customWidth="1"/>
    <col min="14595" max="14839" width="9.140625" style="20"/>
    <col min="14840" max="14840" width="8.7109375" style="20" customWidth="1"/>
    <col min="14841" max="14841" width="9.85546875" style="20" customWidth="1"/>
    <col min="14842" max="14842" width="14.42578125" style="20" customWidth="1"/>
    <col min="14843" max="14843" width="7.28515625" style="20" customWidth="1"/>
    <col min="14844" max="14844" width="5.5703125" style="20" customWidth="1"/>
    <col min="14845" max="14845" width="9" style="20" customWidth="1"/>
    <col min="14846" max="14847" width="9.85546875" style="20" customWidth="1"/>
    <col min="14848" max="14848" width="11.140625" style="20" customWidth="1"/>
    <col min="14849" max="14849" width="2.85546875" style="20" customWidth="1"/>
    <col min="14850" max="14850" width="3.5703125" style="20" customWidth="1"/>
    <col min="14851" max="15095" width="9.140625" style="20"/>
    <col min="15096" max="15096" width="8.7109375" style="20" customWidth="1"/>
    <col min="15097" max="15097" width="9.85546875" style="20" customWidth="1"/>
    <col min="15098" max="15098" width="14.42578125" style="20" customWidth="1"/>
    <col min="15099" max="15099" width="7.28515625" style="20" customWidth="1"/>
    <col min="15100" max="15100" width="5.5703125" style="20" customWidth="1"/>
    <col min="15101" max="15101" width="9" style="20" customWidth="1"/>
    <col min="15102" max="15103" width="9.85546875" style="20" customWidth="1"/>
    <col min="15104" max="15104" width="11.140625" style="20" customWidth="1"/>
    <col min="15105" max="15105" width="2.85546875" style="20" customWidth="1"/>
    <col min="15106" max="15106" width="3.5703125" style="20" customWidth="1"/>
    <col min="15107" max="15351" width="9.140625" style="20"/>
    <col min="15352" max="15352" width="8.7109375" style="20" customWidth="1"/>
    <col min="15353" max="15353" width="9.85546875" style="20" customWidth="1"/>
    <col min="15354" max="15354" width="14.42578125" style="20" customWidth="1"/>
    <col min="15355" max="15355" width="7.28515625" style="20" customWidth="1"/>
    <col min="15356" max="15356" width="5.5703125" style="20" customWidth="1"/>
    <col min="15357" max="15357" width="9" style="20" customWidth="1"/>
    <col min="15358" max="15359" width="9.85546875" style="20" customWidth="1"/>
    <col min="15360" max="15360" width="11.140625" style="20" customWidth="1"/>
    <col min="15361" max="15361" width="2.85546875" style="20" customWidth="1"/>
    <col min="15362" max="15362" width="3.5703125" style="20" customWidth="1"/>
    <col min="15363" max="15607" width="9.140625" style="20"/>
    <col min="15608" max="15608" width="8.7109375" style="20" customWidth="1"/>
    <col min="15609" max="15609" width="9.85546875" style="20" customWidth="1"/>
    <col min="15610" max="15610" width="14.42578125" style="20" customWidth="1"/>
    <col min="15611" max="15611" width="7.28515625" style="20" customWidth="1"/>
    <col min="15612" max="15612" width="5.5703125" style="20" customWidth="1"/>
    <col min="15613" max="15613" width="9" style="20" customWidth="1"/>
    <col min="15614" max="15615" width="9.85546875" style="20" customWidth="1"/>
    <col min="15616" max="15616" width="11.140625" style="20" customWidth="1"/>
    <col min="15617" max="15617" width="2.85546875" style="20" customWidth="1"/>
    <col min="15618" max="15618" width="3.5703125" style="20" customWidth="1"/>
    <col min="15619" max="15863" width="9.140625" style="20"/>
    <col min="15864" max="15864" width="8.7109375" style="20" customWidth="1"/>
    <col min="15865" max="15865" width="9.85546875" style="20" customWidth="1"/>
    <col min="15866" max="15866" width="14.42578125" style="20" customWidth="1"/>
    <col min="15867" max="15867" width="7.28515625" style="20" customWidth="1"/>
    <col min="15868" max="15868" width="5.5703125" style="20" customWidth="1"/>
    <col min="15869" max="15869" width="9" style="20" customWidth="1"/>
    <col min="15870" max="15871" width="9.85546875" style="20" customWidth="1"/>
    <col min="15872" max="15872" width="11.140625" style="20" customWidth="1"/>
    <col min="15873" max="15873" width="2.85546875" style="20" customWidth="1"/>
    <col min="15874" max="15874" width="3.5703125" style="20" customWidth="1"/>
    <col min="15875" max="16119" width="9.140625" style="20"/>
    <col min="16120" max="16120" width="8.7109375" style="20" customWidth="1"/>
    <col min="16121" max="16121" width="9.85546875" style="20" customWidth="1"/>
    <col min="16122" max="16122" width="14.42578125" style="20" customWidth="1"/>
    <col min="16123" max="16123" width="7.28515625" style="20" customWidth="1"/>
    <col min="16124" max="16124" width="5.5703125" style="20" customWidth="1"/>
    <col min="16125" max="16125" width="9" style="20" customWidth="1"/>
    <col min="16126" max="16127" width="9.85546875" style="20" customWidth="1"/>
    <col min="16128" max="16128" width="11.140625" style="20" customWidth="1"/>
    <col min="16129" max="16129" width="2.85546875" style="20" customWidth="1"/>
    <col min="16130" max="16130" width="3.5703125" style="20" customWidth="1"/>
    <col min="16131" max="16384" width="9.140625" style="20"/>
  </cols>
  <sheetData>
    <row r="1" spans="1:26" ht="46.5" customHeight="1" x14ac:dyDescent="0.25">
      <c r="A1" s="217" t="s">
        <v>370</v>
      </c>
      <c r="B1" s="217"/>
      <c r="C1" s="217"/>
      <c r="D1" s="217"/>
      <c r="E1" s="217"/>
      <c r="F1" s="217"/>
      <c r="G1" s="217"/>
      <c r="H1" s="217"/>
    </row>
    <row r="2" spans="1:26" ht="16.5" customHeight="1" x14ac:dyDescent="0.25">
      <c r="A2" s="218" t="s">
        <v>0</v>
      </c>
      <c r="B2" s="218"/>
      <c r="C2" s="218"/>
      <c r="D2" s="218"/>
      <c r="E2" s="218"/>
      <c r="F2" s="218"/>
      <c r="G2" s="218"/>
      <c r="H2" s="218"/>
    </row>
    <row r="3" spans="1:26" x14ac:dyDescent="0.25">
      <c r="A3" s="147" t="s">
        <v>1</v>
      </c>
      <c r="B3" s="147"/>
      <c r="C3" s="147"/>
      <c r="D3" s="147"/>
      <c r="E3" s="147" t="str">
        <f ca="1">TEXT(TODAY(),"DD/MM/YYYY")</f>
        <v>24/09/2025</v>
      </c>
      <c r="F3" s="147"/>
      <c r="G3" s="147"/>
      <c r="H3" s="147"/>
      <c r="K3" s="54" t="s">
        <v>228</v>
      </c>
      <c r="L3" s="53" t="s">
        <v>226</v>
      </c>
      <c r="M3" s="53" t="s">
        <v>231</v>
      </c>
      <c r="N3" s="53" t="s">
        <v>229</v>
      </c>
      <c r="O3" s="53" t="s">
        <v>347</v>
      </c>
      <c r="P3" s="53" t="s">
        <v>232</v>
      </c>
    </row>
    <row r="4" spans="1:26" ht="15" customHeight="1" x14ac:dyDescent="0.25">
      <c r="A4" s="147" t="s">
        <v>225</v>
      </c>
      <c r="B4" s="147"/>
      <c r="C4" s="147"/>
      <c r="D4" s="147"/>
      <c r="E4" s="147" t="s">
        <v>427</v>
      </c>
      <c r="F4" s="147"/>
      <c r="G4" s="147"/>
      <c r="H4" s="147"/>
      <c r="K4" s="52" t="s">
        <v>227</v>
      </c>
      <c r="L4" s="53" t="s">
        <v>163</v>
      </c>
      <c r="M4" s="53" t="s">
        <v>236</v>
      </c>
      <c r="N4" s="53" t="s">
        <v>238</v>
      </c>
      <c r="O4" s="53" t="s">
        <v>333</v>
      </c>
      <c r="P4" s="53"/>
    </row>
    <row r="5" spans="1:26" ht="15" customHeight="1" x14ac:dyDescent="0.25">
      <c r="A5" s="147" t="s">
        <v>2</v>
      </c>
      <c r="B5" s="147"/>
      <c r="C5" s="147"/>
      <c r="D5" s="147"/>
      <c r="E5" s="147" t="s">
        <v>428</v>
      </c>
      <c r="F5" s="147"/>
      <c r="G5" s="147"/>
      <c r="H5" s="147"/>
      <c r="K5" s="52"/>
      <c r="L5" s="53" t="s">
        <v>233</v>
      </c>
      <c r="M5" s="53" t="s">
        <v>237</v>
      </c>
      <c r="N5" s="53" t="s">
        <v>239</v>
      </c>
      <c r="O5" s="53" t="s">
        <v>334</v>
      </c>
      <c r="P5" s="53"/>
    </row>
    <row r="6" spans="1:26" x14ac:dyDescent="0.25">
      <c r="A6" s="147" t="s">
        <v>3</v>
      </c>
      <c r="B6" s="147"/>
      <c r="C6" s="147"/>
      <c r="D6" s="147"/>
      <c r="E6" s="261">
        <v>45923</v>
      </c>
      <c r="F6" s="262"/>
      <c r="G6" s="262"/>
      <c r="H6" s="262"/>
      <c r="K6" s="52"/>
      <c r="L6" s="53" t="s">
        <v>234</v>
      </c>
      <c r="M6" s="53" t="s">
        <v>345</v>
      </c>
      <c r="N6" s="53"/>
      <c r="O6" s="53" t="s">
        <v>335</v>
      </c>
      <c r="P6" s="53"/>
    </row>
    <row r="7" spans="1:26" ht="16.5" customHeight="1" x14ac:dyDescent="0.25">
      <c r="A7" s="147" t="s">
        <v>4</v>
      </c>
      <c r="B7" s="147"/>
      <c r="C7" s="147"/>
      <c r="D7" s="147"/>
      <c r="E7" s="147" t="s">
        <v>421</v>
      </c>
      <c r="F7" s="147"/>
      <c r="G7" s="147"/>
      <c r="H7" s="147"/>
      <c r="K7" s="52"/>
      <c r="L7" s="53" t="s">
        <v>235</v>
      </c>
      <c r="M7" s="53"/>
      <c r="N7" s="53"/>
      <c r="O7" s="53" t="s">
        <v>335</v>
      </c>
      <c r="P7" s="53"/>
    </row>
    <row r="8" spans="1:26" ht="15" customHeight="1" x14ac:dyDescent="0.25">
      <c r="A8" s="147" t="s">
        <v>5</v>
      </c>
      <c r="B8" s="147"/>
      <c r="C8" s="147"/>
      <c r="D8" s="147"/>
      <c r="E8" s="147" t="str">
        <f>E7</f>
        <v>M/s. Konnark Stays</v>
      </c>
      <c r="F8" s="147"/>
      <c r="G8" s="147"/>
      <c r="H8" s="147"/>
      <c r="K8" s="52"/>
      <c r="L8" s="53"/>
      <c r="M8" s="53"/>
      <c r="N8" s="53"/>
      <c r="O8" s="53" t="s">
        <v>336</v>
      </c>
      <c r="P8" s="53"/>
    </row>
    <row r="9" spans="1:26" x14ac:dyDescent="0.25">
      <c r="A9" s="147" t="s">
        <v>6</v>
      </c>
      <c r="B9" s="147"/>
      <c r="C9" s="147"/>
      <c r="D9" s="147"/>
      <c r="E9" s="190" t="s">
        <v>374</v>
      </c>
      <c r="F9" s="191"/>
      <c r="G9" s="191"/>
      <c r="H9" s="192"/>
      <c r="K9" s="52"/>
      <c r="L9" s="53"/>
      <c r="M9" s="53"/>
      <c r="N9" s="53"/>
      <c r="O9" s="53" t="s">
        <v>337</v>
      </c>
      <c r="P9" s="53"/>
    </row>
    <row r="10" spans="1:26" x14ac:dyDescent="0.25">
      <c r="A10" s="147" t="s">
        <v>160</v>
      </c>
      <c r="B10" s="147"/>
      <c r="C10" s="147"/>
      <c r="D10" s="147"/>
      <c r="E10" s="147" t="s">
        <v>375</v>
      </c>
      <c r="F10" s="147"/>
      <c r="G10" s="147"/>
      <c r="H10" s="147"/>
      <c r="K10" s="52"/>
      <c r="L10" s="53"/>
      <c r="M10" s="53"/>
      <c r="N10" s="53"/>
      <c r="O10" s="53" t="s">
        <v>338</v>
      </c>
      <c r="P10" s="53"/>
    </row>
    <row r="11" spans="1:26" x14ac:dyDescent="0.25">
      <c r="A11" s="147" t="s">
        <v>161</v>
      </c>
      <c r="B11" s="147"/>
      <c r="C11" s="147"/>
      <c r="D11" s="147"/>
      <c r="E11" s="147" t="s">
        <v>431</v>
      </c>
      <c r="F11" s="147"/>
      <c r="G11" s="147"/>
      <c r="H11" s="147"/>
      <c r="O11" s="53" t="s">
        <v>339</v>
      </c>
    </row>
    <row r="12" spans="1:26" x14ac:dyDescent="0.25">
      <c r="A12" s="147" t="s">
        <v>7</v>
      </c>
      <c r="B12" s="147"/>
      <c r="C12" s="147"/>
      <c r="D12" s="147"/>
      <c r="E12" s="147" t="s">
        <v>376</v>
      </c>
      <c r="F12" s="147"/>
      <c r="G12" s="147"/>
      <c r="H12" s="147"/>
    </row>
    <row r="13" spans="1:26" x14ac:dyDescent="0.25">
      <c r="A13" s="147" t="s">
        <v>164</v>
      </c>
      <c r="B13" s="147"/>
      <c r="C13" s="147"/>
      <c r="D13" s="147"/>
      <c r="E13" s="147" t="s">
        <v>28</v>
      </c>
      <c r="F13" s="147"/>
      <c r="G13" s="147"/>
      <c r="H13" s="147"/>
      <c r="S13" s="53" t="s">
        <v>172</v>
      </c>
      <c r="T13" s="53" t="s">
        <v>181</v>
      </c>
      <c r="U13" s="53" t="s">
        <v>165</v>
      </c>
      <c r="V13" s="53" t="s">
        <v>186</v>
      </c>
      <c r="W13" s="53" t="s">
        <v>204</v>
      </c>
      <c r="X13"/>
      <c r="Y13" t="s">
        <v>186</v>
      </c>
      <c r="Z13" t="e">
        <f ca="1">OFFSET($S$13,1,MATCH($G20,$S$13:$W$13,0)-1,15,1)</f>
        <v>#VALUE!</v>
      </c>
    </row>
    <row r="14" spans="1:26" x14ac:dyDescent="0.25">
      <c r="A14" s="129" t="s">
        <v>271</v>
      </c>
      <c r="B14" s="129"/>
      <c r="C14" s="129"/>
      <c r="D14" s="129"/>
      <c r="E14" s="143" t="s">
        <v>219</v>
      </c>
      <c r="F14" s="143"/>
      <c r="G14" s="143"/>
      <c r="H14" s="143"/>
      <c r="S14" s="53" t="s">
        <v>172</v>
      </c>
      <c r="T14" s="53" t="s">
        <v>179</v>
      </c>
      <c r="U14" s="53" t="s">
        <v>201</v>
      </c>
      <c r="V14" s="53" t="s">
        <v>187</v>
      </c>
      <c r="W14" s="53" t="s">
        <v>205</v>
      </c>
      <c r="X14"/>
      <c r="Y14"/>
      <c r="Z14"/>
    </row>
    <row r="15" spans="1:26" x14ac:dyDescent="0.25">
      <c r="A15" s="129" t="s">
        <v>8</v>
      </c>
      <c r="B15" s="129"/>
      <c r="C15" s="129"/>
      <c r="D15" s="129"/>
      <c r="E15" s="143" t="s">
        <v>377</v>
      </c>
      <c r="F15" s="147"/>
      <c r="G15" s="147"/>
      <c r="H15" s="147"/>
      <c r="I15" s="237" t="e">
        <f ca="1">OFFSET($D$5,1,MATCH($J13,$D$5:$H$5,0)-1,15,1)</f>
        <v>#N/A</v>
      </c>
      <c r="J15" s="238"/>
      <c r="K15" s="238"/>
      <c r="L15" s="238"/>
      <c r="M15" s="238"/>
      <c r="N15" s="238"/>
      <c r="O15" s="238"/>
      <c r="P15" s="238"/>
      <c r="S15" s="53" t="s">
        <v>173</v>
      </c>
      <c r="T15" s="53" t="s">
        <v>180</v>
      </c>
      <c r="U15" s="53" t="s">
        <v>202</v>
      </c>
      <c r="V15" s="53" t="s">
        <v>188</v>
      </c>
      <c r="W15" s="53" t="s">
        <v>218</v>
      </c>
      <c r="X15"/>
      <c r="Y15"/>
      <c r="Z15"/>
    </row>
    <row r="16" spans="1:26" ht="32.25" customHeight="1" x14ac:dyDescent="0.25">
      <c r="A16" s="172" t="s">
        <v>9</v>
      </c>
      <c r="B16" s="172"/>
      <c r="C16" s="172" t="str">
        <f>CONCATENATE((IF(OR(E9="",E9="NA"),"",E9)),", ",(IF(OR(A17="",A17="NA"),"",A17)),".",(IF(OR(C17="",C17="NA"),"",C17)),", near ",(IF(OR(C22="",C22="NA"),"",C22)),", ",(IF(OR(C19="",C19="NA"),"",C19)),", ",(IF(OR(C18="",C18="NA"),"",C18)),", ",(IF(OR(G19="",G19="NA"),"",G19)),", ",(IF(OR(C20="",C20="NA"),"",C20)),", ",(IF(OR(C21="",C21="NA"),"",C21)),", ",(IF(OR(G20="",G20="NA"),"",G20))," - ",(IF(OR(G21="",G21="NA"),"",G21)),".")</f>
        <v>Konnark Stellar, Gut No.61, near Today Global Codename Goldrush Panvel, Mumbai Goa Highway, Giravale, Giravale, Panvel, Panvel, Raigad - 410221.</v>
      </c>
      <c r="D16" s="172"/>
      <c r="E16" s="172"/>
      <c r="F16" s="172"/>
      <c r="G16" s="172"/>
      <c r="H16" s="172"/>
      <c r="S16" s="53" t="s">
        <v>174</v>
      </c>
      <c r="T16" s="53" t="s">
        <v>182</v>
      </c>
      <c r="U16" s="53" t="s">
        <v>203</v>
      </c>
      <c r="V16" s="53" t="s">
        <v>189</v>
      </c>
      <c r="W16" s="53" t="s">
        <v>206</v>
      </c>
      <c r="X16"/>
      <c r="Y16"/>
      <c r="Z16"/>
    </row>
    <row r="17" spans="1:26" x14ac:dyDescent="0.25">
      <c r="A17" s="143" t="s">
        <v>378</v>
      </c>
      <c r="B17" s="143"/>
      <c r="C17" s="143">
        <v>61</v>
      </c>
      <c r="D17" s="143"/>
      <c r="E17" s="143"/>
      <c r="F17" s="143"/>
      <c r="G17" s="143"/>
      <c r="H17" s="143"/>
      <c r="S17" s="53" t="s">
        <v>175</v>
      </c>
      <c r="T17" s="53" t="s">
        <v>183</v>
      </c>
      <c r="U17" s="53" t="s">
        <v>165</v>
      </c>
      <c r="V17" s="53" t="s">
        <v>190</v>
      </c>
      <c r="W17" s="53" t="s">
        <v>207</v>
      </c>
      <c r="X17"/>
      <c r="Y17"/>
      <c r="Z17"/>
    </row>
    <row r="18" spans="1:26" ht="15.75" customHeight="1" x14ac:dyDescent="0.25">
      <c r="A18" s="143" t="s">
        <v>156</v>
      </c>
      <c r="B18" s="143"/>
      <c r="C18" s="143" t="s">
        <v>380</v>
      </c>
      <c r="D18" s="143"/>
      <c r="E18" s="143"/>
      <c r="F18" s="143"/>
      <c r="G18" s="143"/>
      <c r="H18" s="143"/>
      <c r="S18" s="53" t="s">
        <v>176</v>
      </c>
      <c r="T18" s="53" t="s">
        <v>181</v>
      </c>
      <c r="U18" s="53"/>
      <c r="V18" s="53" t="s">
        <v>191</v>
      </c>
      <c r="W18" s="53" t="s">
        <v>208</v>
      </c>
      <c r="X18"/>
      <c r="Y18"/>
      <c r="Z18"/>
    </row>
    <row r="19" spans="1:26" ht="15.75" customHeight="1" x14ac:dyDescent="0.25">
      <c r="A19" s="172" t="s">
        <v>10</v>
      </c>
      <c r="B19" s="172"/>
      <c r="C19" s="147" t="s">
        <v>379</v>
      </c>
      <c r="D19" s="147"/>
      <c r="E19" s="172" t="s">
        <v>69</v>
      </c>
      <c r="F19" s="172"/>
      <c r="G19" s="143" t="s">
        <v>380</v>
      </c>
      <c r="H19" s="143"/>
      <c r="S19" s="53" t="s">
        <v>177</v>
      </c>
      <c r="T19" s="53" t="s">
        <v>184</v>
      </c>
      <c r="U19" s="53"/>
      <c r="V19" s="53" t="s">
        <v>192</v>
      </c>
      <c r="W19" s="53" t="s">
        <v>209</v>
      </c>
      <c r="X19"/>
      <c r="Y19"/>
      <c r="Z19"/>
    </row>
    <row r="20" spans="1:26" x14ac:dyDescent="0.25">
      <c r="A20" s="129" t="s">
        <v>12</v>
      </c>
      <c r="B20" s="129"/>
      <c r="C20" s="143" t="s">
        <v>188</v>
      </c>
      <c r="D20" s="143"/>
      <c r="E20" s="172" t="s">
        <v>11</v>
      </c>
      <c r="F20" s="172"/>
      <c r="G20" s="216" t="s">
        <v>186</v>
      </c>
      <c r="H20" s="216"/>
      <c r="S20" s="53" t="s">
        <v>178</v>
      </c>
      <c r="T20" s="53" t="s">
        <v>185</v>
      </c>
      <c r="U20" s="53"/>
      <c r="V20" s="53" t="s">
        <v>193</v>
      </c>
      <c r="W20" s="53" t="s">
        <v>210</v>
      </c>
      <c r="X20"/>
      <c r="Y20"/>
      <c r="Z20"/>
    </row>
    <row r="21" spans="1:26" x14ac:dyDescent="0.25">
      <c r="A21" s="129" t="s">
        <v>70</v>
      </c>
      <c r="B21" s="129"/>
      <c r="C21" s="143" t="s">
        <v>188</v>
      </c>
      <c r="D21" s="143"/>
      <c r="E21" s="172" t="s">
        <v>13</v>
      </c>
      <c r="F21" s="172"/>
      <c r="G21" s="143">
        <v>410221</v>
      </c>
      <c r="H21" s="143"/>
      <c r="S21" s="53"/>
      <c r="T21" s="53"/>
      <c r="U21" s="53"/>
      <c r="V21" s="53" t="s">
        <v>194</v>
      </c>
      <c r="W21" s="53" t="s">
        <v>211</v>
      </c>
      <c r="X21"/>
      <c r="Y21"/>
      <c r="Z21"/>
    </row>
    <row r="22" spans="1:26" ht="32.25" customHeight="1" x14ac:dyDescent="0.25">
      <c r="A22" s="129" t="s">
        <v>116</v>
      </c>
      <c r="B22" s="129"/>
      <c r="C22" s="143" t="s">
        <v>381</v>
      </c>
      <c r="D22" s="143"/>
      <c r="E22" s="172" t="s">
        <v>14</v>
      </c>
      <c r="F22" s="172"/>
      <c r="G22" s="143" t="s">
        <v>382</v>
      </c>
      <c r="H22" s="143"/>
      <c r="S22" s="53"/>
      <c r="T22" s="53"/>
      <c r="U22" s="53"/>
      <c r="V22" s="53" t="s">
        <v>195</v>
      </c>
      <c r="W22" s="53" t="s">
        <v>212</v>
      </c>
      <c r="X22"/>
      <c r="Y22"/>
      <c r="Z22"/>
    </row>
    <row r="23" spans="1:26" ht="15" customHeight="1" x14ac:dyDescent="0.25">
      <c r="A23" s="172" t="s">
        <v>72</v>
      </c>
      <c r="B23" s="172"/>
      <c r="C23" s="172"/>
      <c r="D23" s="172"/>
      <c r="E23" s="147" t="s">
        <v>15</v>
      </c>
      <c r="F23" s="147"/>
      <c r="G23" s="147"/>
      <c r="H23" s="147"/>
      <c r="S23" s="53"/>
      <c r="T23" s="53"/>
      <c r="U23" s="53"/>
      <c r="V23" s="53" t="s">
        <v>196</v>
      </c>
      <c r="W23" s="53" t="s">
        <v>213</v>
      </c>
      <c r="X23"/>
      <c r="Y23"/>
      <c r="Z23"/>
    </row>
    <row r="24" spans="1:26" ht="18.75" customHeight="1" x14ac:dyDescent="0.25">
      <c r="A24" s="172"/>
      <c r="B24" s="172"/>
      <c r="C24" s="172"/>
      <c r="D24" s="172"/>
      <c r="E24" s="147"/>
      <c r="F24" s="147"/>
      <c r="G24" s="147"/>
      <c r="H24" s="147"/>
      <c r="S24" s="53"/>
      <c r="T24" s="53"/>
      <c r="U24" s="53"/>
      <c r="V24" s="53" t="s">
        <v>197</v>
      </c>
      <c r="W24" s="53" t="s">
        <v>214</v>
      </c>
      <c r="X24"/>
      <c r="Y24"/>
      <c r="Z24"/>
    </row>
    <row r="25" spans="1:26" ht="15" customHeight="1" x14ac:dyDescent="0.25">
      <c r="A25" s="172" t="s">
        <v>16</v>
      </c>
      <c r="B25" s="172"/>
      <c r="C25" s="172"/>
      <c r="D25" s="172"/>
      <c r="E25" s="143" t="s">
        <v>17</v>
      </c>
      <c r="F25" s="143"/>
      <c r="G25" s="143"/>
      <c r="H25" s="143"/>
      <c r="S25" s="53"/>
      <c r="T25" s="53"/>
      <c r="U25" s="53"/>
      <c r="V25" s="53" t="s">
        <v>198</v>
      </c>
      <c r="W25" s="53" t="s">
        <v>215</v>
      </c>
      <c r="X25"/>
      <c r="Y25"/>
      <c r="Z25"/>
    </row>
    <row r="26" spans="1:26" ht="15" customHeight="1" x14ac:dyDescent="0.25">
      <c r="A26" s="129" t="s">
        <v>18</v>
      </c>
      <c r="B26" s="129"/>
      <c r="C26" s="129"/>
      <c r="D26" s="129"/>
      <c r="E26" s="143" t="str">
        <f>IF(AND(G20="Mumbai"),"Upper Class","Middle Class")</f>
        <v>Middle Class</v>
      </c>
      <c r="F26" s="143"/>
      <c r="G26" s="143"/>
      <c r="H26" s="143"/>
      <c r="S26" s="53"/>
      <c r="T26" s="53"/>
      <c r="U26" s="53"/>
      <c r="V26" s="53" t="s">
        <v>199</v>
      </c>
      <c r="W26" s="53" t="s">
        <v>216</v>
      </c>
      <c r="X26"/>
      <c r="Y26"/>
      <c r="Z26"/>
    </row>
    <row r="27" spans="1:26" x14ac:dyDescent="0.25">
      <c r="A27" s="129" t="s">
        <v>19</v>
      </c>
      <c r="B27" s="129"/>
      <c r="C27" s="129"/>
      <c r="D27" s="129"/>
      <c r="E27" s="143" t="s">
        <v>20</v>
      </c>
      <c r="F27" s="143"/>
      <c r="G27" s="143"/>
      <c r="H27" s="143"/>
      <c r="S27" s="53"/>
      <c r="T27" s="53"/>
      <c r="U27" s="53"/>
      <c r="V27" s="53" t="s">
        <v>200</v>
      </c>
      <c r="W27" s="53" t="s">
        <v>217</v>
      </c>
      <c r="X27"/>
      <c r="Y27"/>
      <c r="Z27"/>
    </row>
    <row r="28" spans="1:26" ht="15.75" customHeight="1" x14ac:dyDescent="0.25">
      <c r="A28" s="129" t="s">
        <v>21</v>
      </c>
      <c r="B28" s="129"/>
      <c r="C28" s="129"/>
      <c r="D28" s="129"/>
      <c r="E28" s="143" t="str">
        <f>IF(AND(G20="Mumbai"),"Developed","Developing")</f>
        <v>Developing</v>
      </c>
      <c r="F28" s="143"/>
      <c r="G28" s="143"/>
      <c r="H28" s="143"/>
    </row>
    <row r="29" spans="1:26" x14ac:dyDescent="0.25">
      <c r="A29" s="129" t="s">
        <v>22</v>
      </c>
      <c r="B29" s="129"/>
      <c r="C29" s="129"/>
      <c r="D29" s="129"/>
      <c r="E29" s="143" t="s">
        <v>23</v>
      </c>
      <c r="F29" s="143"/>
      <c r="G29" s="143"/>
      <c r="H29" s="143"/>
    </row>
    <row r="30" spans="1:26" ht="15.75" customHeight="1" x14ac:dyDescent="0.25">
      <c r="A30" s="129" t="s">
        <v>77</v>
      </c>
      <c r="B30" s="129"/>
      <c r="C30" s="129"/>
      <c r="D30" s="129"/>
      <c r="E30" s="143" t="s">
        <v>78</v>
      </c>
      <c r="F30" s="143"/>
      <c r="G30" s="143"/>
      <c r="H30" s="143"/>
    </row>
    <row r="31" spans="1:26" ht="15" customHeight="1" x14ac:dyDescent="0.25">
      <c r="A31" s="129" t="s">
        <v>30</v>
      </c>
      <c r="B31" s="129"/>
      <c r="C31" s="129"/>
      <c r="D31" s="129"/>
      <c r="E31" s="143" t="str">
        <f>IF(AND(ISNUMBER(SEARCH("Flat",D64)),ISNUMBER(SEARCH("Shop",D64)),ISNUMBER(SEARCH("Office",D64))),"Residential + Commercial",IF(AND(ISNUMBER(SEARCH("Flat",D64)),ISNUMBER(SEARCH("Shop",D64))),"Residential + Commercial",IF(AND(ISNUMBER(SEARCH("Flat",D64)),ISNUMBER(SEARCH("Office",D64))),"Residential + Commercial",IF(AND(ISNUMBER(SEARCH("Shop",D64)),ISNUMBER(SEARCH("Office",D64))),"Commercial",IF(ISNUMBER(SEARCH("Shop",D64)),"Commercial",IF(ISNUMBER(SEARCH("Office",D64)),"Commercial",IF(ISNUMBER(SEARCH("Flat",D64)),"Residential")))))))</f>
        <v>Residential + Commercial</v>
      </c>
      <c r="F31" s="143"/>
      <c r="G31" s="143"/>
      <c r="H31" s="143"/>
    </row>
    <row r="32" spans="1:26" ht="15.75" customHeight="1" x14ac:dyDescent="0.25">
      <c r="A32" s="129" t="s">
        <v>89</v>
      </c>
      <c r="B32" s="129"/>
      <c r="C32" s="129"/>
      <c r="D32" s="129"/>
      <c r="E32" s="143" t="s">
        <v>31</v>
      </c>
      <c r="F32" s="143"/>
      <c r="G32" s="143"/>
      <c r="H32" s="143"/>
    </row>
    <row r="33" spans="1:19" s="21" customFormat="1" x14ac:dyDescent="0.25">
      <c r="A33" s="215" t="s">
        <v>90</v>
      </c>
      <c r="B33" s="215"/>
      <c r="C33" s="212" t="s">
        <v>166</v>
      </c>
      <c r="D33" s="213"/>
      <c r="E33" s="214"/>
      <c r="F33" s="212" t="s">
        <v>29</v>
      </c>
      <c r="G33" s="213"/>
      <c r="H33" s="214"/>
      <c r="S33" s="21" t="e">
        <f ca="1">OFFSET($S$13,1,MATCH($G20,$S$13:$W$13,0)-1,15,1)</f>
        <v>#VALUE!</v>
      </c>
    </row>
    <row r="34" spans="1:19" s="21" customFormat="1" x14ac:dyDescent="0.25">
      <c r="A34" s="189" t="s">
        <v>24</v>
      </c>
      <c r="B34" s="189" t="s">
        <v>28</v>
      </c>
      <c r="C34" s="173" t="s">
        <v>384</v>
      </c>
      <c r="D34" s="174"/>
      <c r="E34" s="175"/>
      <c r="F34" s="173" t="s">
        <v>387</v>
      </c>
      <c r="G34" s="174"/>
      <c r="H34" s="175"/>
    </row>
    <row r="35" spans="1:19" x14ac:dyDescent="0.25">
      <c r="A35" s="189" t="s">
        <v>25</v>
      </c>
      <c r="B35" s="189" t="s">
        <v>28</v>
      </c>
      <c r="C35" s="173" t="s">
        <v>389</v>
      </c>
      <c r="D35" s="174"/>
      <c r="E35" s="175"/>
      <c r="F35" s="173" t="s">
        <v>390</v>
      </c>
      <c r="G35" s="174"/>
      <c r="H35" s="175"/>
    </row>
    <row r="36" spans="1:19" s="21" customFormat="1" x14ac:dyDescent="0.25">
      <c r="A36" s="189" t="s">
        <v>27</v>
      </c>
      <c r="B36" s="189" t="s">
        <v>28</v>
      </c>
      <c r="C36" s="173" t="s">
        <v>385</v>
      </c>
      <c r="D36" s="174"/>
      <c r="E36" s="175"/>
      <c r="F36" s="173" t="s">
        <v>386</v>
      </c>
      <c r="G36" s="174"/>
      <c r="H36" s="175"/>
    </row>
    <row r="37" spans="1:19" x14ac:dyDescent="0.25">
      <c r="A37" s="189" t="s">
        <v>26</v>
      </c>
      <c r="B37" s="189" t="s">
        <v>28</v>
      </c>
      <c r="C37" s="173" t="s">
        <v>383</v>
      </c>
      <c r="D37" s="174"/>
      <c r="E37" s="175"/>
      <c r="F37" s="173" t="s">
        <v>387</v>
      </c>
      <c r="G37" s="174"/>
      <c r="H37" s="175"/>
    </row>
    <row r="38" spans="1:19" x14ac:dyDescent="0.25">
      <c r="A38" s="129" t="s">
        <v>272</v>
      </c>
      <c r="B38" s="129"/>
      <c r="C38" s="129"/>
      <c r="D38" s="129"/>
      <c r="E38" s="129"/>
      <c r="F38" s="129"/>
      <c r="G38" s="129"/>
      <c r="H38" s="129"/>
    </row>
    <row r="39" spans="1:19" ht="15.75" customHeight="1" x14ac:dyDescent="0.25">
      <c r="A39" s="129" t="s">
        <v>158</v>
      </c>
      <c r="B39" s="129"/>
      <c r="C39" s="156" t="s">
        <v>425</v>
      </c>
      <c r="D39" s="156"/>
      <c r="E39" s="156"/>
      <c r="F39" s="156"/>
      <c r="G39" s="156"/>
      <c r="H39" s="156"/>
    </row>
    <row r="40" spans="1:19" x14ac:dyDescent="0.25">
      <c r="A40" s="129" t="s">
        <v>155</v>
      </c>
      <c r="B40" s="129"/>
      <c r="C40" s="142" t="s">
        <v>388</v>
      </c>
      <c r="D40" s="143"/>
      <c r="E40" s="143"/>
      <c r="F40" s="143"/>
      <c r="G40" s="143"/>
      <c r="H40" s="143"/>
    </row>
    <row r="41" spans="1:19" x14ac:dyDescent="0.25">
      <c r="A41" s="156" t="s">
        <v>32</v>
      </c>
      <c r="B41" s="156"/>
      <c r="C41" s="156"/>
      <c r="D41" s="156"/>
      <c r="E41" s="156"/>
      <c r="F41" s="156"/>
      <c r="G41" s="156"/>
      <c r="H41" s="156"/>
    </row>
    <row r="42" spans="1:19" x14ac:dyDescent="0.25">
      <c r="A42" s="129" t="s">
        <v>33</v>
      </c>
      <c r="B42" s="129"/>
      <c r="C42" s="129"/>
      <c r="D42" s="129"/>
      <c r="E42" s="188">
        <v>6220</v>
      </c>
      <c r="F42" s="188"/>
      <c r="G42" s="188"/>
      <c r="H42" s="188"/>
    </row>
    <row r="43" spans="1:19" x14ac:dyDescent="0.25">
      <c r="A43" s="129" t="s">
        <v>34</v>
      </c>
      <c r="B43" s="129"/>
      <c r="C43" s="129"/>
      <c r="D43" s="129"/>
      <c r="E43" s="151">
        <f>6842/E42</f>
        <v>1.1000000000000001</v>
      </c>
      <c r="F43" s="151"/>
      <c r="G43" s="151"/>
      <c r="H43" s="151"/>
    </row>
    <row r="44" spans="1:19" x14ac:dyDescent="0.25">
      <c r="A44" s="129" t="s">
        <v>35</v>
      </c>
      <c r="B44" s="129"/>
      <c r="C44" s="129"/>
      <c r="D44" s="129"/>
      <c r="E44" s="151">
        <f>E46/E42-E43</f>
        <v>1.1429559485530545</v>
      </c>
      <c r="F44" s="151"/>
      <c r="G44" s="151"/>
      <c r="H44" s="151"/>
    </row>
    <row r="45" spans="1:19" x14ac:dyDescent="0.25">
      <c r="A45" s="129" t="s">
        <v>36</v>
      </c>
      <c r="B45" s="129"/>
      <c r="C45" s="129"/>
      <c r="D45" s="129"/>
      <c r="E45" s="151">
        <f>E43+E44</f>
        <v>2.2429559485530546</v>
      </c>
      <c r="F45" s="151"/>
      <c r="G45" s="151"/>
      <c r="H45" s="151"/>
    </row>
    <row r="46" spans="1:19" x14ac:dyDescent="0.25">
      <c r="A46" s="129" t="s">
        <v>88</v>
      </c>
      <c r="B46" s="129"/>
      <c r="C46" s="129"/>
      <c r="D46" s="129"/>
      <c r="E46" s="152">
        <v>13951.186</v>
      </c>
      <c r="F46" s="152"/>
      <c r="G46" s="152"/>
      <c r="H46" s="152"/>
    </row>
    <row r="47" spans="1:19" x14ac:dyDescent="0.25">
      <c r="A47" s="147" t="s">
        <v>37</v>
      </c>
      <c r="B47" s="147"/>
      <c r="C47" s="147"/>
      <c r="D47" s="147"/>
      <c r="E47" s="147" t="s">
        <v>391</v>
      </c>
      <c r="F47" s="147"/>
      <c r="G47" s="147"/>
      <c r="H47" s="147"/>
    </row>
    <row r="48" spans="1:19" x14ac:dyDescent="0.25">
      <c r="A48" s="156" t="s">
        <v>38</v>
      </c>
      <c r="B48" s="156"/>
      <c r="C48" s="156"/>
      <c r="D48" s="156"/>
      <c r="E48" s="156"/>
      <c r="F48" s="156"/>
      <c r="G48" s="156"/>
      <c r="H48" s="156"/>
    </row>
    <row r="49" spans="1:24" ht="33.75" customHeight="1" x14ac:dyDescent="0.25">
      <c r="A49" s="153" t="s">
        <v>145</v>
      </c>
      <c r="B49" s="155"/>
      <c r="C49" s="190" t="s">
        <v>250</v>
      </c>
      <c r="D49" s="191"/>
      <c r="E49" s="191"/>
      <c r="F49" s="191"/>
      <c r="G49" s="191"/>
      <c r="H49" s="192"/>
      <c r="R49" t="s">
        <v>245</v>
      </c>
      <c r="S49" s="55" t="s">
        <v>165</v>
      </c>
      <c r="T49" s="55" t="s">
        <v>172</v>
      </c>
      <c r="U49" s="55" t="s">
        <v>186</v>
      </c>
      <c r="V49" s="55" t="s">
        <v>181</v>
      </c>
    </row>
    <row r="50" spans="1:24" ht="32.25" customHeight="1" x14ac:dyDescent="0.25">
      <c r="A50" s="153" t="s">
        <v>39</v>
      </c>
      <c r="B50" s="155"/>
      <c r="C50" s="153" t="s">
        <v>392</v>
      </c>
      <c r="D50" s="154"/>
      <c r="E50" s="155"/>
      <c r="F50" s="17" t="s">
        <v>40</v>
      </c>
      <c r="G50" s="148">
        <v>45744</v>
      </c>
      <c r="H50" s="149"/>
      <c r="R50"/>
      <c r="S50" s="55" t="s">
        <v>246</v>
      </c>
      <c r="T50" s="55" t="s">
        <v>251</v>
      </c>
      <c r="U50" s="55" t="s">
        <v>262</v>
      </c>
      <c r="V50" s="55" t="s">
        <v>267</v>
      </c>
    </row>
    <row r="51" spans="1:24" ht="32.25" customHeight="1" x14ac:dyDescent="0.25">
      <c r="A51" s="153" t="s">
        <v>41</v>
      </c>
      <c r="B51" s="155"/>
      <c r="C51" s="153" t="str">
        <f>C50</f>
        <v>MSRDC/SPA/Girvale/BP-529/CC/2025/1474</v>
      </c>
      <c r="D51" s="154"/>
      <c r="E51" s="155"/>
      <c r="F51" s="17" t="s">
        <v>40</v>
      </c>
      <c r="G51" s="148">
        <f>G50</f>
        <v>45744</v>
      </c>
      <c r="H51" s="149"/>
      <c r="R51"/>
      <c r="S51" s="55" t="s">
        <v>247</v>
      </c>
      <c r="T51" s="55" t="s">
        <v>348</v>
      </c>
      <c r="U51" s="55" t="s">
        <v>260</v>
      </c>
      <c r="V51" s="55" t="s">
        <v>268</v>
      </c>
    </row>
    <row r="52" spans="1:24" s="22" customFormat="1" ht="33" customHeight="1" x14ac:dyDescent="0.25">
      <c r="A52" s="179" t="s">
        <v>149</v>
      </c>
      <c r="B52" s="180"/>
      <c r="C52" s="179" t="str">
        <f>C51</f>
        <v>MSRDC/SPA/Girvale/BP-529/CC/2025/1474</v>
      </c>
      <c r="D52" s="183"/>
      <c r="E52" s="180"/>
      <c r="F52" s="17" t="s">
        <v>40</v>
      </c>
      <c r="G52" s="148">
        <v>45744</v>
      </c>
      <c r="H52" s="149"/>
      <c r="I52" s="21" t="str">
        <f ca="1">IF(G52&gt;EDATE(E3,-48),"NO REMARK","CC REMARK FOR CC")</f>
        <v>NO REMARK</v>
      </c>
      <c r="J52" s="74"/>
      <c r="R52"/>
      <c r="S52" s="55" t="s">
        <v>248</v>
      </c>
      <c r="T52" s="55" t="s">
        <v>253</v>
      </c>
      <c r="U52" s="55" t="s">
        <v>250</v>
      </c>
      <c r="V52" s="55" t="s">
        <v>269</v>
      </c>
    </row>
    <row r="53" spans="1:24" s="22" customFormat="1" ht="33.75" customHeight="1" x14ac:dyDescent="0.25">
      <c r="A53" s="181"/>
      <c r="B53" s="182"/>
      <c r="C53" s="153" t="s">
        <v>393</v>
      </c>
      <c r="D53" s="154"/>
      <c r="E53" s="154"/>
      <c r="F53" s="154"/>
      <c r="G53" s="154"/>
      <c r="H53" s="155"/>
      <c r="R53"/>
      <c r="S53" s="55"/>
      <c r="T53" s="55"/>
      <c r="U53" s="55"/>
      <c r="V53" s="70"/>
    </row>
    <row r="54" spans="1:24" s="22" customFormat="1" hidden="1" x14ac:dyDescent="0.25">
      <c r="A54" s="245" t="s">
        <v>273</v>
      </c>
      <c r="B54" s="246"/>
      <c r="C54" s="153" t="s">
        <v>422</v>
      </c>
      <c r="D54" s="154"/>
      <c r="E54" s="155"/>
      <c r="F54" s="17" t="s">
        <v>40</v>
      </c>
      <c r="G54" s="148">
        <v>45705</v>
      </c>
      <c r="H54" s="149"/>
      <c r="K54" s="75">
        <f>EDATE(G52,-48)</f>
        <v>44283</v>
      </c>
      <c r="L54" s="22" t="str">
        <f ca="1">IF(G52&gt;EDATE(E3,-48),"NO REMARK","CC REMARK FOR CC")</f>
        <v>NO REMARK</v>
      </c>
      <c r="R54"/>
      <c r="S54" s="55" t="s">
        <v>248</v>
      </c>
      <c r="T54" s="55" t="s">
        <v>253</v>
      </c>
      <c r="U54" s="55" t="s">
        <v>250</v>
      </c>
      <c r="V54" s="55" t="s">
        <v>269</v>
      </c>
    </row>
    <row r="55" spans="1:24" s="22" customFormat="1" hidden="1" x14ac:dyDescent="0.25">
      <c r="A55" s="247"/>
      <c r="B55" s="248"/>
      <c r="C55" s="176" t="s">
        <v>423</v>
      </c>
      <c r="D55" s="177"/>
      <c r="E55" s="177"/>
      <c r="F55" s="177"/>
      <c r="G55" s="177"/>
      <c r="H55" s="178"/>
      <c r="R55"/>
      <c r="S55" s="55" t="s">
        <v>250</v>
      </c>
      <c r="T55" s="55" t="s">
        <v>254</v>
      </c>
      <c r="U55" s="55" t="s">
        <v>264</v>
      </c>
      <c r="V55" s="71"/>
      <c r="W55" s="20"/>
      <c r="X55" s="20"/>
    </row>
    <row r="56" spans="1:24" s="22" customFormat="1" ht="34.5" hidden="1" customHeight="1" x14ac:dyDescent="0.25">
      <c r="A56" s="184" t="s">
        <v>274</v>
      </c>
      <c r="B56" s="185"/>
      <c r="C56" s="153" t="str">
        <f>C55</f>
        <v>Bldg No. 1 &amp; 2 = Gr + 1st to 26th Floor (83.15M Height)</v>
      </c>
      <c r="D56" s="154"/>
      <c r="E56" s="155"/>
      <c r="F56" s="17" t="s">
        <v>40</v>
      </c>
      <c r="G56" s="148">
        <f>G55</f>
        <v>0</v>
      </c>
      <c r="H56" s="149"/>
      <c r="R56"/>
      <c r="S56" s="71"/>
      <c r="T56" s="55" t="s">
        <v>255</v>
      </c>
      <c r="U56" s="55" t="s">
        <v>265</v>
      </c>
      <c r="V56" s="71"/>
      <c r="W56" s="20"/>
      <c r="X56" s="20"/>
    </row>
    <row r="57" spans="1:24" s="22" customFormat="1" ht="41.25" hidden="1" customHeight="1" x14ac:dyDescent="0.25">
      <c r="A57" s="186"/>
      <c r="B57" s="187"/>
      <c r="C57" s="153"/>
      <c r="D57" s="154"/>
      <c r="E57" s="154"/>
      <c r="F57" s="154"/>
      <c r="G57" s="154"/>
      <c r="H57" s="155"/>
      <c r="R57"/>
      <c r="S57" s="71"/>
      <c r="T57" s="55" t="s">
        <v>257</v>
      </c>
      <c r="U57" s="55" t="s">
        <v>266</v>
      </c>
      <c r="V57" s="71"/>
      <c r="W57" s="20"/>
      <c r="X57" s="20"/>
    </row>
    <row r="58" spans="1:24" s="22" customFormat="1" ht="15.75" hidden="1" customHeight="1" x14ac:dyDescent="0.25">
      <c r="A58" s="184" t="s">
        <v>343</v>
      </c>
      <c r="B58" s="185"/>
      <c r="C58" s="204"/>
      <c r="D58" s="205"/>
      <c r="E58" s="206"/>
      <c r="F58" s="17" t="s">
        <v>40</v>
      </c>
      <c r="G58" s="148"/>
      <c r="H58" s="149"/>
      <c r="R58"/>
      <c r="S58" s="71"/>
      <c r="T58" s="55" t="s">
        <v>258</v>
      </c>
      <c r="U58" s="71" t="s">
        <v>288</v>
      </c>
      <c r="V58" s="71"/>
      <c r="W58" s="20"/>
      <c r="X58" s="20"/>
    </row>
    <row r="59" spans="1:24" s="22" customFormat="1" ht="33.75" hidden="1" customHeight="1" x14ac:dyDescent="0.25">
      <c r="A59" s="202"/>
      <c r="B59" s="203"/>
      <c r="C59" s="207"/>
      <c r="D59" s="208"/>
      <c r="E59" s="209"/>
      <c r="F59" s="17" t="s">
        <v>344</v>
      </c>
      <c r="G59" s="148"/>
      <c r="H59" s="149"/>
      <c r="R59"/>
      <c r="S59" s="71"/>
      <c r="T59" s="55" t="s">
        <v>259</v>
      </c>
      <c r="U59" s="71"/>
      <c r="V59" s="71"/>
      <c r="W59" s="20"/>
      <c r="X59" s="20"/>
    </row>
    <row r="60" spans="1:24" s="22" customFormat="1" ht="33.75" hidden="1" customHeight="1" x14ac:dyDescent="0.25">
      <c r="A60" s="186"/>
      <c r="B60" s="187"/>
      <c r="C60" s="153" t="s">
        <v>366</v>
      </c>
      <c r="D60" s="154"/>
      <c r="E60" s="154"/>
      <c r="F60" s="154"/>
      <c r="G60" s="154"/>
      <c r="H60" s="155"/>
      <c r="R60"/>
      <c r="S60" s="71"/>
      <c r="T60" s="55"/>
      <c r="U60" s="71"/>
      <c r="V60" s="71"/>
      <c r="W60" s="20"/>
      <c r="X60" s="20"/>
    </row>
    <row r="61" spans="1:24" x14ac:dyDescent="0.25">
      <c r="A61" s="240" t="s">
        <v>42</v>
      </c>
      <c r="B61" s="241"/>
      <c r="C61" s="240" t="s">
        <v>102</v>
      </c>
      <c r="D61" s="242"/>
      <c r="E61" s="241"/>
      <c r="F61" s="44" t="s">
        <v>40</v>
      </c>
      <c r="G61" s="243" t="s">
        <v>28</v>
      </c>
      <c r="H61" s="244"/>
      <c r="R61"/>
      <c r="S61" s="71"/>
      <c r="T61" s="55" t="s">
        <v>261</v>
      </c>
      <c r="U61" s="71"/>
      <c r="V61" s="71"/>
    </row>
    <row r="62" spans="1:24" x14ac:dyDescent="0.25">
      <c r="A62" s="201" t="s">
        <v>44</v>
      </c>
      <c r="B62" s="201"/>
      <c r="C62" s="201"/>
      <c r="D62" s="201"/>
      <c r="E62" s="201"/>
      <c r="F62" s="201"/>
      <c r="G62" s="201"/>
      <c r="H62" s="201"/>
      <c r="S62" s="71"/>
      <c r="T62" s="55" t="s">
        <v>270</v>
      </c>
      <c r="U62" s="71"/>
      <c r="V62" s="71"/>
    </row>
    <row r="63" spans="1:24" x14ac:dyDescent="0.25">
      <c r="A63" s="172" t="s">
        <v>87</v>
      </c>
      <c r="B63" s="172"/>
      <c r="C63" s="172"/>
      <c r="D63" s="129">
        <f>E46</f>
        <v>13951.186</v>
      </c>
      <c r="E63" s="129"/>
      <c r="F63" s="129"/>
      <c r="G63" s="129"/>
      <c r="H63" s="129"/>
      <c r="R63"/>
    </row>
    <row r="64" spans="1:24" x14ac:dyDescent="0.25">
      <c r="A64" s="143" t="s">
        <v>45</v>
      </c>
      <c r="B64" s="147"/>
      <c r="C64" s="147"/>
      <c r="D64" s="147" t="s">
        <v>420</v>
      </c>
      <c r="E64" s="147"/>
      <c r="F64" s="147"/>
      <c r="G64" s="147"/>
      <c r="H64" s="147"/>
      <c r="I64" s="23"/>
      <c r="J64" s="20">
        <f>83.15/3</f>
        <v>27.716666666666669</v>
      </c>
      <c r="R64"/>
    </row>
    <row r="65" spans="1:19" ht="33" customHeight="1" x14ac:dyDescent="0.25">
      <c r="A65" s="159" t="s">
        <v>46</v>
      </c>
      <c r="B65" s="160"/>
      <c r="C65" s="161"/>
      <c r="D65" s="157" t="s">
        <v>394</v>
      </c>
      <c r="E65" s="158"/>
      <c r="F65" s="158"/>
      <c r="G65" s="158"/>
      <c r="H65" s="158"/>
      <c r="R65"/>
    </row>
    <row r="66" spans="1:19" ht="15.75" customHeight="1" x14ac:dyDescent="0.25">
      <c r="A66" s="159" t="s">
        <v>85</v>
      </c>
      <c r="B66" s="160"/>
      <c r="C66" s="160"/>
      <c r="D66" s="195" t="s">
        <v>426</v>
      </c>
      <c r="E66" s="196"/>
      <c r="F66" s="196"/>
      <c r="G66" s="196"/>
      <c r="H66" s="197"/>
      <c r="R66"/>
    </row>
    <row r="67" spans="1:19" ht="15.75" customHeight="1" x14ac:dyDescent="0.25">
      <c r="A67" s="193"/>
      <c r="B67" s="194"/>
      <c r="C67" s="194"/>
      <c r="D67" s="198" t="s">
        <v>395</v>
      </c>
      <c r="E67" s="199"/>
      <c r="F67" s="199"/>
      <c r="G67" s="199"/>
      <c r="H67" s="200"/>
      <c r="R67"/>
    </row>
    <row r="68" spans="1:19" ht="15.75" customHeight="1" x14ac:dyDescent="0.25">
      <c r="A68" s="129" t="s">
        <v>43</v>
      </c>
      <c r="B68" s="129"/>
      <c r="C68" s="129"/>
      <c r="D68" s="146" t="s">
        <v>396</v>
      </c>
      <c r="E68" s="146"/>
      <c r="F68" s="146"/>
      <c r="G68" s="146"/>
      <c r="H68" s="146"/>
      <c r="J68" s="24"/>
      <c r="K68" s="23"/>
      <c r="N68" s="23"/>
      <c r="S68"/>
    </row>
    <row r="69" spans="1:19" ht="15.75" customHeight="1" x14ac:dyDescent="0.25">
      <c r="A69" s="129" t="s">
        <v>83</v>
      </c>
      <c r="B69" s="129"/>
      <c r="C69" s="129"/>
      <c r="D69" s="150" t="str">
        <f>(IF(G61="NA","60 Years After Completion",IF(G61&lt;&gt;"NA",""&amp;60-ROUNDDOWN((E3-G61)/360,0)&amp;" Years"," ")))</f>
        <v>60 Years After Completion</v>
      </c>
      <c r="E69" s="150"/>
      <c r="F69" s="150"/>
      <c r="G69" s="150"/>
      <c r="H69" s="150"/>
      <c r="N69" s="23"/>
      <c r="S69"/>
    </row>
    <row r="70" spans="1:19" ht="15.75" customHeight="1" x14ac:dyDescent="0.25">
      <c r="A70" s="129" t="s">
        <v>84</v>
      </c>
      <c r="B70" s="129"/>
      <c r="C70" s="129"/>
      <c r="D70" s="172" t="s">
        <v>23</v>
      </c>
      <c r="E70" s="172"/>
      <c r="F70" s="172"/>
      <c r="G70" s="172"/>
      <c r="H70" s="172"/>
      <c r="J70" s="25"/>
      <c r="K70" s="25"/>
      <c r="S70"/>
    </row>
    <row r="71" spans="1:19" ht="33" customHeight="1" x14ac:dyDescent="0.25">
      <c r="A71" s="147" t="s">
        <v>398</v>
      </c>
      <c r="B71" s="147"/>
      <c r="C71" s="147"/>
      <c r="D71" s="143" t="s">
        <v>397</v>
      </c>
      <c r="E71" s="172"/>
      <c r="F71" s="172"/>
      <c r="G71" s="172"/>
      <c r="H71" s="172"/>
      <c r="S71"/>
    </row>
    <row r="72" spans="1:19" x14ac:dyDescent="0.25">
      <c r="A72" s="172" t="s">
        <v>142</v>
      </c>
      <c r="B72" s="172"/>
      <c r="C72" s="172"/>
      <c r="D72" s="172" t="s">
        <v>28</v>
      </c>
      <c r="E72" s="172"/>
      <c r="F72" s="172"/>
      <c r="G72" s="172"/>
      <c r="H72" s="172"/>
      <c r="I72" s="26"/>
      <c r="J72" s="26"/>
      <c r="K72" s="26"/>
      <c r="L72" s="26"/>
      <c r="M72" s="26"/>
      <c r="N72" s="26"/>
    </row>
    <row r="73" spans="1:19" ht="15.75" customHeight="1" x14ac:dyDescent="0.25">
      <c r="A73" s="211" t="s">
        <v>82</v>
      </c>
      <c r="B73" s="211"/>
      <c r="C73" s="211"/>
      <c r="D73" s="157" t="str">
        <f ca="1">(IF(G79&gt;95%,"Nothing",IF(G79&gt;0%,"Cement, Aggregate, Steel, etc",IF(G79=0%,"Work not yet Started"))))</f>
        <v>Cement, Aggregate, Steel, etc</v>
      </c>
      <c r="E73" s="157"/>
      <c r="F73" s="157"/>
      <c r="G73" s="157"/>
      <c r="H73" s="157"/>
      <c r="J73" s="25"/>
      <c r="S73"/>
    </row>
    <row r="74" spans="1:19" ht="33.75" customHeight="1" thickBot="1" x14ac:dyDescent="0.3">
      <c r="A74" s="210" t="s">
        <v>115</v>
      </c>
      <c r="B74" s="210"/>
      <c r="C74" s="210"/>
      <c r="D74" s="157" t="str">
        <f ca="1">(IF(D73="Nothing","Yes",IF(D73="Cement, Aggregate, Steel, etc","Under Construction",IF(D73="Work not yet Started","Work not yet Started"))))</f>
        <v>Under Construction</v>
      </c>
      <c r="E74" s="157"/>
      <c r="F74" s="157" t="str">
        <f ca="1">(IF(D73="Nothing","Yes",IF(D73="Cement, Aggregate, Steel, etc","Under Construction",IF(D73="Work not yet Started","Work not yet Started"))))</f>
        <v>Under Construction</v>
      </c>
      <c r="G74" s="157"/>
      <c r="H74" s="157"/>
      <c r="S74"/>
    </row>
    <row r="75" spans="1:19" ht="15.75" customHeight="1" x14ac:dyDescent="0.25">
      <c r="A75" s="162" t="s">
        <v>134</v>
      </c>
      <c r="B75" s="163"/>
      <c r="C75" s="263" t="str">
        <f>D66</f>
        <v>Building No. 1 = G + 1st Floor</v>
      </c>
      <c r="D75" s="264"/>
      <c r="E75" s="264"/>
      <c r="F75" s="264"/>
      <c r="G75" s="264"/>
      <c r="H75" s="265"/>
      <c r="I75" s="48" t="str">
        <f ca="1">IF(D88=100%,"All work Completed. Possession granted to the Building.",IF(D87=100%,"All work Completed, Waiting for OC",I76&amp;""&amp;I77&amp;""&amp;J76&amp;""&amp;J75&amp;" "&amp;J77))</f>
        <v xml:space="preserve">Excavation, Plinth Completed </v>
      </c>
      <c r="J75" s="49" t="str">
        <f ca="1">(IF(C81=(D76+F76+H76),"",IF(C81&gt;0,", RCC upto "&amp;C81&amp;" Slab","")))&amp;(IF(C82=H76,"",IF(C82&gt;0,", Brickwork upto "&amp;C82&amp;" Floor","")))&amp;(IF(C83=H76,"",IF(C83&gt;0,", Internal Plaster upto "&amp;C83&amp;" Floor","")))&amp;(IF(C84=H76,"",IF(C84&gt;0,", External Plaster upto "&amp;C84&amp;" Floor","")))&amp;(IF(C85=H76,"",IF(C85&gt;0,", Flooring upto "&amp;C85&amp;" Floor","")))&amp;(IF(C86=H76,"",IF(C86&gt;0,", Painting upto "&amp;C86&amp;" Floor","")))&amp;(IF(C87=H76,"",IF(C87&gt;0,", Finishing upto "&amp;C87&amp;" Floor","")))&amp;(IF(C88=H76,"",IF(C88&gt;0,", Possession upto "&amp;C88&amp;" Floor","")))</f>
        <v/>
      </c>
      <c r="S75"/>
    </row>
    <row r="76" spans="1:19" x14ac:dyDescent="0.25">
      <c r="A76" s="15" t="s">
        <v>136</v>
      </c>
      <c r="B76" s="46">
        <f>IF(AND(ISNUMBER(SEARCH("1B",C75))),1,IF(AND(ISNUMBER(SEARCH("2B",C75))),2,IF(AND(ISNUMBER(SEARCH("3B",C75))),3,IF(AND(ISNUMBER(SEARCH("4B",C75))),4,IF(ISNUMBER(SEARCH("5B",C75)),5,0)))))</f>
        <v>0</v>
      </c>
      <c r="C76" s="46" t="s">
        <v>68</v>
      </c>
      <c r="D76" s="46">
        <v>1</v>
      </c>
      <c r="E76" s="46" t="s">
        <v>67</v>
      </c>
      <c r="F76" s="46">
        <v>0</v>
      </c>
      <c r="G76" s="47" t="s">
        <v>76</v>
      </c>
      <c r="H76" s="16">
        <f ca="1">--TRIM(RIGHT(SUBSTITUTE(LEFT(C75,_xlfn.AGGREGATE(16,6,FIND({0,1,2,3,4,5,6,7,8,9},C75,ROW(INDIRECT("1:"&amp;LEN(C75)))),1))," ",REPT(" ",LEN(C75))),LEN(C75)))</f>
        <v>1</v>
      </c>
      <c r="I76" s="50" t="str">
        <f ca="1">IF(D79=100%,"Excavation","")&amp;IF(D80=100%,", Plinth","")&amp;IF(D81=100%,", RCC Slab","")&amp;IF(D82=100%,", Brickwork","")&amp;IF(D83=100%,", Internal Plaster","")&amp;IF(D84=100%,", External Plaster","")&amp;IF(D85=100%,", Flooring","")&amp;IF(D86=100%,", Painting","")&amp;IF(D87=100%,", Building common Amenities","")</f>
        <v>Excavation, Plinth</v>
      </c>
      <c r="J76" s="51" t="str">
        <f ca="1">(IF(C79=0,"Work not yet Started.",IF(D79=25%,"Piling work in process",IF(D79=50%,"Excavation work in process",IF(D79=100%,"","0")))))&amp;(IF(C80=0%,"",IF(C80=J81,", Footing work is process",IF(C80=J82,", Footing work Completed",IF(C80=J83,", 1st Basement Completed",IF(C80=J84,", 1st &amp; 2nd Basement Completed",IF(C80=J85,", 1st to 3rd Basement Completed",IF(C80=J86,", 1st to 4th Basement Completed",IF(C80=J87,", Plinth work is process",IF(C80=J88,"","0"))))))))))</f>
        <v/>
      </c>
      <c r="S76"/>
    </row>
    <row r="77" spans="1:19" x14ac:dyDescent="0.25">
      <c r="A77" s="170" t="s">
        <v>86</v>
      </c>
      <c r="B77" s="171"/>
      <c r="C77" s="164" t="str">
        <f ca="1">I75</f>
        <v xml:space="preserve">Excavation, Plinth Completed </v>
      </c>
      <c r="D77" s="164"/>
      <c r="E77" s="164"/>
      <c r="F77" s="164"/>
      <c r="G77" s="164"/>
      <c r="H77" s="165"/>
      <c r="I77" s="50" t="str">
        <f ca="1">IF(I76&lt;&gt;""," Completed","")</f>
        <v xml:space="preserve"> Completed</v>
      </c>
      <c r="J77" s="51" t="str">
        <f ca="1">IF(J75&lt;&gt;"","Completed","")</f>
        <v/>
      </c>
      <c r="S77"/>
    </row>
    <row r="78" spans="1:19" ht="15.75" customHeight="1" x14ac:dyDescent="0.25">
      <c r="A78" s="118" t="s">
        <v>47</v>
      </c>
      <c r="B78" s="119"/>
      <c r="C78" s="42" t="s">
        <v>133</v>
      </c>
      <c r="D78" s="42" t="s">
        <v>79</v>
      </c>
      <c r="E78" s="119" t="s">
        <v>81</v>
      </c>
      <c r="F78" s="119"/>
      <c r="G78" s="119" t="s">
        <v>80</v>
      </c>
      <c r="H78" s="137"/>
      <c r="I78" s="13" t="s">
        <v>135</v>
      </c>
      <c r="J78" s="27">
        <f ca="1">H76*25%</f>
        <v>0.25</v>
      </c>
      <c r="S78"/>
    </row>
    <row r="79" spans="1:19" x14ac:dyDescent="0.25">
      <c r="A79" s="118" t="s">
        <v>122</v>
      </c>
      <c r="B79" s="119"/>
      <c r="C79" s="98">
        <f ca="1">J80</f>
        <v>1</v>
      </c>
      <c r="D79" s="18">
        <f ca="1">((100/H76)*C79)/100</f>
        <v>1</v>
      </c>
      <c r="E79" s="120">
        <f ca="1">(((C80/H76*10)+(40/(D76+F76+H76)*C81)+(7.5/(H76)*C82)+(7.5/(H76)*C83)+(10/H76*C84)+(10/H76*C85)+(5/H76*C86)+(5/H76*C87)+(5/H76*C88))/100)</f>
        <v>0.1</v>
      </c>
      <c r="F79" s="121"/>
      <c r="G79" s="120">
        <f ca="1">((((C79/H76)*20)+((C80/H76)*25)+(30/(H76+F76+D76)*C81)+(5/H76*C82)+(5/H76*C83)+(5/H76*C84)+(5/H76*C85)+(0/H76*C86)+(0/H76*C87)+(5/H76*C88))/100)</f>
        <v>0.45</v>
      </c>
      <c r="H79" s="166"/>
      <c r="I79" s="13" t="s">
        <v>97</v>
      </c>
      <c r="J79" s="28">
        <f ca="1">H76*50%</f>
        <v>0.5</v>
      </c>
    </row>
    <row r="80" spans="1:19" x14ac:dyDescent="0.25">
      <c r="A80" s="118" t="s">
        <v>48</v>
      </c>
      <c r="B80" s="119"/>
      <c r="C80" s="100">
        <f ca="1">J88</f>
        <v>1</v>
      </c>
      <c r="D80" s="18">
        <f ca="1">((100/H76)*C80)/100</f>
        <v>1</v>
      </c>
      <c r="E80" s="122"/>
      <c r="F80" s="123"/>
      <c r="G80" s="122"/>
      <c r="H80" s="167"/>
      <c r="I80" s="13" t="s">
        <v>98</v>
      </c>
      <c r="J80" s="28">
        <f ca="1">H76</f>
        <v>1</v>
      </c>
      <c r="S80"/>
    </row>
    <row r="81" spans="1:19" ht="15.75" customHeight="1" x14ac:dyDescent="0.25">
      <c r="A81" s="118" t="s">
        <v>123</v>
      </c>
      <c r="B81" s="119"/>
      <c r="C81" s="42">
        <v>0</v>
      </c>
      <c r="D81" s="18">
        <f ca="1">((100/(D76+F76+H76))*C81)/100</f>
        <v>0</v>
      </c>
      <c r="E81" s="122"/>
      <c r="F81" s="123"/>
      <c r="G81" s="122"/>
      <c r="H81" s="167"/>
      <c r="I81" s="13" t="s">
        <v>99</v>
      </c>
      <c r="J81" s="29">
        <f ca="1">(IF(B76&gt;1,(H76/(B76+2)),H76/4))</f>
        <v>0.25</v>
      </c>
      <c r="S81"/>
    </row>
    <row r="82" spans="1:19" ht="15.75" customHeight="1" x14ac:dyDescent="0.25">
      <c r="A82" s="118" t="s">
        <v>130</v>
      </c>
      <c r="B82" s="119" t="s">
        <v>124</v>
      </c>
      <c r="C82" s="42">
        <v>0</v>
      </c>
      <c r="D82" s="18">
        <f ca="1">((100/H76)*C82)/100</f>
        <v>0</v>
      </c>
      <c r="E82" s="122"/>
      <c r="F82" s="123"/>
      <c r="G82" s="122"/>
      <c r="H82" s="167"/>
      <c r="I82" s="13" t="s">
        <v>100</v>
      </c>
      <c r="J82" s="29">
        <f ca="1">(IF(B76&gt;1,(H76/(B76+2)+J81),H76/4+J81))</f>
        <v>0.5</v>
      </c>
    </row>
    <row r="83" spans="1:19" ht="15.75" customHeight="1" x14ac:dyDescent="0.25">
      <c r="A83" s="118" t="s">
        <v>131</v>
      </c>
      <c r="B83" s="119" t="s">
        <v>124</v>
      </c>
      <c r="C83" s="42">
        <v>0</v>
      </c>
      <c r="D83" s="18">
        <f ca="1">((100/H76)*C83)/100</f>
        <v>0</v>
      </c>
      <c r="E83" s="122"/>
      <c r="F83" s="123"/>
      <c r="G83" s="122"/>
      <c r="H83" s="167"/>
      <c r="I83" s="13" t="s">
        <v>140</v>
      </c>
      <c r="J83" s="29">
        <f>(IF(B76&gt;1,(H76/(B76+2)+J82),0))</f>
        <v>0</v>
      </c>
    </row>
    <row r="84" spans="1:19" ht="15" customHeight="1" x14ac:dyDescent="0.25">
      <c r="A84" s="118" t="s">
        <v>129</v>
      </c>
      <c r="B84" s="119" t="s">
        <v>126</v>
      </c>
      <c r="C84" s="42">
        <v>0</v>
      </c>
      <c r="D84" s="18">
        <f ca="1">((100/(H76))*C84)/100</f>
        <v>0</v>
      </c>
      <c r="E84" s="122"/>
      <c r="F84" s="123"/>
      <c r="G84" s="122"/>
      <c r="H84" s="167"/>
      <c r="I84" s="13" t="s">
        <v>137</v>
      </c>
      <c r="J84" s="29">
        <f>(IF(B76&gt;2,(H76/(B76+2)+J83),0))</f>
        <v>0</v>
      </c>
    </row>
    <row r="85" spans="1:19" ht="15.75" customHeight="1" x14ac:dyDescent="0.25">
      <c r="A85" s="118" t="s">
        <v>125</v>
      </c>
      <c r="B85" s="119" t="s">
        <v>125</v>
      </c>
      <c r="C85" s="42">
        <v>0</v>
      </c>
      <c r="D85" s="18">
        <f ca="1">((100/H76)*C85)/100</f>
        <v>0</v>
      </c>
      <c r="E85" s="122"/>
      <c r="F85" s="123"/>
      <c r="G85" s="122"/>
      <c r="H85" s="167"/>
      <c r="I85" s="13" t="s">
        <v>138</v>
      </c>
      <c r="J85" s="30">
        <f>(IF(B76&gt;3,(H76/(B76+2)+J84),0))</f>
        <v>0</v>
      </c>
    </row>
    <row r="86" spans="1:19" ht="15.75" customHeight="1" x14ac:dyDescent="0.25">
      <c r="A86" s="118" t="s">
        <v>132</v>
      </c>
      <c r="B86" s="119"/>
      <c r="C86" s="42">
        <v>0</v>
      </c>
      <c r="D86" s="18">
        <f ca="1">((100/H76)*C86)/100</f>
        <v>0</v>
      </c>
      <c r="E86" s="122"/>
      <c r="F86" s="123"/>
      <c r="G86" s="122"/>
      <c r="H86" s="167"/>
      <c r="I86" s="13" t="s">
        <v>139</v>
      </c>
      <c r="J86" s="29">
        <f>(IF(B76&gt;4,(H76/(B76+2)+J85),0))</f>
        <v>0</v>
      </c>
    </row>
    <row r="87" spans="1:19" ht="15.75" customHeight="1" x14ac:dyDescent="0.25">
      <c r="A87" s="118" t="s">
        <v>127</v>
      </c>
      <c r="B87" s="119" t="s">
        <v>127</v>
      </c>
      <c r="C87" s="42">
        <v>0</v>
      </c>
      <c r="D87" s="18">
        <f ca="1">((100/(H76))*C87)/100</f>
        <v>0</v>
      </c>
      <c r="E87" s="122"/>
      <c r="F87" s="123"/>
      <c r="G87" s="122"/>
      <c r="H87" s="167"/>
      <c r="I87" s="13" t="s">
        <v>141</v>
      </c>
      <c r="J87" s="29">
        <f ca="1">(IF(B76=1,(H76/(B76+3)+J82),IF(B76=0,(H76/4+J82),IF(B76&gt;1,0))))</f>
        <v>0.75</v>
      </c>
    </row>
    <row r="88" spans="1:19" ht="16.5" thickBot="1" x14ac:dyDescent="0.3">
      <c r="A88" s="249" t="s">
        <v>128</v>
      </c>
      <c r="B88" s="250"/>
      <c r="C88" s="43">
        <v>0</v>
      </c>
      <c r="D88" s="19">
        <f ca="1">((100/(H76))*C88)/100</f>
        <v>0</v>
      </c>
      <c r="E88" s="124"/>
      <c r="F88" s="125"/>
      <c r="G88" s="124"/>
      <c r="H88" s="168"/>
      <c r="I88" s="14" t="s">
        <v>101</v>
      </c>
      <c r="J88" s="31">
        <f ca="1">(IF(B76&gt;1.5,(H76/(B76+2)+J82+MAX(0,J83-J82)+MAX(0,J84-J83)+MAX(0,J85-J84)+MAX(0,J86-J85)+MAX(0,J87-J86)),IF(B76=1,(H76/(B76+3)+J87),IF(B76=0,H76/4+J87))))</f>
        <v>1</v>
      </c>
    </row>
    <row r="89" spans="1:19" ht="15.75" customHeight="1" x14ac:dyDescent="0.25">
      <c r="A89" s="162" t="s">
        <v>134</v>
      </c>
      <c r="B89" s="163"/>
      <c r="C89" s="263" t="str">
        <f>D67</f>
        <v>Building No. 2 = G + 1st to 27th Floor</v>
      </c>
      <c r="D89" s="264"/>
      <c r="E89" s="264"/>
      <c r="F89" s="264"/>
      <c r="G89" s="264"/>
      <c r="H89" s="265"/>
      <c r="I89" s="48" t="str">
        <f ca="1">IF(D102=100%,"All work Completed. Possession granted to the Building.",IF(D101=100%,"All work Completed, Waiting for OC",I90&amp;""&amp;I91&amp;""&amp;J90&amp;""&amp;J89&amp;" "&amp;J91))</f>
        <v xml:space="preserve">Excavation Completed, Footing work Completed </v>
      </c>
      <c r="J89" s="49" t="str">
        <f ca="1">(IF(C95=(D90+F90+H90),"",IF(C95&gt;0,", RCC upto "&amp;C95&amp;" Slab","")))&amp;(IF(C96=H90,"",IF(C96&gt;0,", Brickwork upto "&amp;C96&amp;" Floor","")))&amp;(IF(C97=H90,"",IF(C97&gt;0,", Internal Plaster upto "&amp;C97&amp;" Floor","")))&amp;(IF(C98=H90,"",IF(C98&gt;0,", External Plaster upto "&amp;C98&amp;" Floor","")))&amp;(IF(C99=H90,"",IF(C99&gt;0,", Flooring upto "&amp;C99&amp;" Floor","")))&amp;(IF(C100=H90,"",IF(C100&gt;0,", Painting upto "&amp;C100&amp;" Floor","")))&amp;(IF(C101=H90,"",IF(C101&gt;0,", Finishing upto "&amp;C101&amp;" Floor","")))&amp;(IF(C102=H90,"",IF(C102&gt;0,", Possession upto "&amp;C102&amp;" Floor","")))</f>
        <v/>
      </c>
      <c r="S89"/>
    </row>
    <row r="90" spans="1:19" x14ac:dyDescent="0.25">
      <c r="A90" s="15" t="s">
        <v>136</v>
      </c>
      <c r="B90" s="46">
        <f>IF(AND(ISNUMBER(SEARCH("1B",C89))),1,IF(AND(ISNUMBER(SEARCH("2B",C89))),2,IF(AND(ISNUMBER(SEARCH("3B",C89))),3,IF(AND(ISNUMBER(SEARCH("4B",C89))),4,IF(ISNUMBER(SEARCH("5B",C89)),5,0)))))</f>
        <v>0</v>
      </c>
      <c r="C90" s="46" t="s">
        <v>68</v>
      </c>
      <c r="D90" s="46">
        <v>1</v>
      </c>
      <c r="E90" s="46" t="s">
        <v>67</v>
      </c>
      <c r="F90" s="46">
        <v>0</v>
      </c>
      <c r="G90" s="47" t="s">
        <v>76</v>
      </c>
      <c r="H90" s="16">
        <f ca="1">--TRIM(RIGHT(SUBSTITUTE(LEFT(C89,_xlfn.AGGREGATE(16,6,FIND({0,1,2,3,4,5,6,7,8,9},C89,ROW(INDIRECT("1:"&amp;LEN(C89)))),1))," ",REPT(" ",LEN(C89))),LEN(C89)))</f>
        <v>27</v>
      </c>
      <c r="I90" s="50" t="str">
        <f ca="1">IF(D93=100%,"Excavation","")&amp;IF(D94=100%,", Plinth","")&amp;IF(D95=100%,", RCC Slab","")&amp;IF(D96=100%,", Brickwork","")&amp;IF(D97=100%,", Internal Plaster","")&amp;IF(D98=100%,", External Plaster","")&amp;IF(D99=100%,", Flooring","")&amp;IF(D100=100%,", Painting","")&amp;IF(D101=100%,", Building common Amenities","")</f>
        <v>Excavation</v>
      </c>
      <c r="J90" s="51" t="str">
        <f ca="1">(IF(C93=0,"Work not yet Started.",IF(D93=25%,"Piling work in process",IF(D93=50%,"Excavation work in process",IF(D93=100%,"","0")))))&amp;(IF(C94=0%,"",IF(C94=J95,", Footing work is process",IF(C94=J96,", Footing work Completed",IF(C94=J97,", 1st Basement Completed",IF(C94=J98,", 1st &amp; 2nd Basement Completed",IF(C94=J99,", 1st to 3rd Basement Completed",IF(C94=J100,", 1st to 4th Basement Completed",IF(C94=J101,", Plinth work is process",IF(C94=J102,"","0"))))))))))</f>
        <v>, Footing work Completed</v>
      </c>
      <c r="S90"/>
    </row>
    <row r="91" spans="1:19" x14ac:dyDescent="0.25">
      <c r="A91" s="170" t="s">
        <v>86</v>
      </c>
      <c r="B91" s="171"/>
      <c r="C91" s="164" t="str">
        <f ca="1">I89</f>
        <v xml:space="preserve">Excavation Completed, Footing work Completed </v>
      </c>
      <c r="D91" s="164"/>
      <c r="E91" s="164"/>
      <c r="F91" s="164"/>
      <c r="G91" s="164"/>
      <c r="H91" s="165"/>
      <c r="I91" s="50" t="str">
        <f ca="1">IF(I90&lt;&gt;""," Completed","")</f>
        <v xml:space="preserve"> Completed</v>
      </c>
      <c r="J91" s="51" t="str">
        <f ca="1">IF(J89&lt;&gt;"","Completed","")</f>
        <v/>
      </c>
      <c r="S91"/>
    </row>
    <row r="92" spans="1:19" ht="15.75" customHeight="1" x14ac:dyDescent="0.25">
      <c r="A92" s="118" t="s">
        <v>47</v>
      </c>
      <c r="B92" s="119"/>
      <c r="C92" s="42" t="s">
        <v>133</v>
      </c>
      <c r="D92" s="42" t="s">
        <v>79</v>
      </c>
      <c r="E92" s="119" t="s">
        <v>81</v>
      </c>
      <c r="F92" s="119"/>
      <c r="G92" s="119" t="s">
        <v>80</v>
      </c>
      <c r="H92" s="137"/>
      <c r="I92" s="13" t="s">
        <v>135</v>
      </c>
      <c r="J92" s="27">
        <f ca="1">H90*25%</f>
        <v>6.75</v>
      </c>
      <c r="S92"/>
    </row>
    <row r="93" spans="1:19" x14ac:dyDescent="0.25">
      <c r="A93" s="118" t="s">
        <v>122</v>
      </c>
      <c r="B93" s="119"/>
      <c r="C93" s="98">
        <f ca="1">J94</f>
        <v>27</v>
      </c>
      <c r="D93" s="18">
        <f ca="1">((100/H90)*C93)/100</f>
        <v>1</v>
      </c>
      <c r="E93" s="120">
        <f ca="1">(((C94/H90*10)+(40/(D90+F90+H90)*C95)+(7.5/(H90)*C96)+(7.5/(H90)*C97)+(10/H90*C98)+(10/H90*C99)+(5/H90*C100)+(5/H90*C101)+(5/H90*C102))/100)</f>
        <v>0.05</v>
      </c>
      <c r="F93" s="121"/>
      <c r="G93" s="120">
        <f ca="1">((((C93/H90)*20)+((C94/H90)*25)+(30/(H90+F90+D90)*C95)+(5/H90*C96)+(5/H90*C97)+(5/H90*C98)+(5/H90*C99)+(0/H90*C100)+(0/H90*C101)+(5/H90*C102))/100)</f>
        <v>0.32500000000000001</v>
      </c>
      <c r="H93" s="166"/>
      <c r="I93" s="13" t="s">
        <v>97</v>
      </c>
      <c r="J93" s="28">
        <f ca="1">H90*50%</f>
        <v>13.5</v>
      </c>
    </row>
    <row r="94" spans="1:19" x14ac:dyDescent="0.25">
      <c r="A94" s="118" t="s">
        <v>48</v>
      </c>
      <c r="B94" s="119"/>
      <c r="C94" s="99">
        <f ca="1">J96</f>
        <v>13.5</v>
      </c>
      <c r="D94" s="18">
        <f ca="1">((100/H90)*C94)/100</f>
        <v>0.5</v>
      </c>
      <c r="E94" s="122"/>
      <c r="F94" s="123"/>
      <c r="G94" s="122"/>
      <c r="H94" s="167"/>
      <c r="I94" s="13" t="s">
        <v>98</v>
      </c>
      <c r="J94" s="28">
        <f ca="1">H90</f>
        <v>27</v>
      </c>
      <c r="S94"/>
    </row>
    <row r="95" spans="1:19" ht="15.75" customHeight="1" x14ac:dyDescent="0.25">
      <c r="A95" s="118" t="s">
        <v>123</v>
      </c>
      <c r="B95" s="119"/>
      <c r="C95" s="42">
        <v>0</v>
      </c>
      <c r="D95" s="18">
        <f ca="1">((100/(D90+F90+H90))*C95)/100</f>
        <v>0</v>
      </c>
      <c r="E95" s="122"/>
      <c r="F95" s="123"/>
      <c r="G95" s="122"/>
      <c r="H95" s="167"/>
      <c r="I95" s="13" t="s">
        <v>99</v>
      </c>
      <c r="J95" s="29">
        <f ca="1">(IF(B90&gt;1,(H90/(B90+2)),H90/4))</f>
        <v>6.75</v>
      </c>
      <c r="S95"/>
    </row>
    <row r="96" spans="1:19" ht="15.75" customHeight="1" x14ac:dyDescent="0.25">
      <c r="A96" s="118" t="s">
        <v>130</v>
      </c>
      <c r="B96" s="119" t="s">
        <v>124</v>
      </c>
      <c r="C96" s="42">
        <v>0</v>
      </c>
      <c r="D96" s="18">
        <f ca="1">((100/H90)*C96)/100</f>
        <v>0</v>
      </c>
      <c r="E96" s="122"/>
      <c r="F96" s="123"/>
      <c r="G96" s="122"/>
      <c r="H96" s="167"/>
      <c r="I96" s="13" t="s">
        <v>100</v>
      </c>
      <c r="J96" s="29">
        <f ca="1">(IF(B90&gt;1,(H90/(B90+2)+J95),H90/4+J95))</f>
        <v>13.5</v>
      </c>
    </row>
    <row r="97" spans="1:22" ht="15.75" customHeight="1" x14ac:dyDescent="0.25">
      <c r="A97" s="118" t="s">
        <v>131</v>
      </c>
      <c r="B97" s="119" t="s">
        <v>124</v>
      </c>
      <c r="C97" s="42">
        <v>0</v>
      </c>
      <c r="D97" s="18">
        <f ca="1">((100/H90)*C97)/100</f>
        <v>0</v>
      </c>
      <c r="E97" s="122"/>
      <c r="F97" s="123"/>
      <c r="G97" s="122"/>
      <c r="H97" s="167"/>
      <c r="I97" s="13" t="s">
        <v>140</v>
      </c>
      <c r="J97" s="29">
        <f>(IF(B90&gt;1,(H90/(B90+2)+J96),0))</f>
        <v>0</v>
      </c>
    </row>
    <row r="98" spans="1:22" ht="15" customHeight="1" x14ac:dyDescent="0.25">
      <c r="A98" s="118" t="s">
        <v>129</v>
      </c>
      <c r="B98" s="119" t="s">
        <v>126</v>
      </c>
      <c r="C98" s="42">
        <v>0</v>
      </c>
      <c r="D98" s="18">
        <f ca="1">((100/(H90))*C98)/100</f>
        <v>0</v>
      </c>
      <c r="E98" s="122"/>
      <c r="F98" s="123"/>
      <c r="G98" s="122"/>
      <c r="H98" s="167"/>
      <c r="I98" s="13" t="s">
        <v>137</v>
      </c>
      <c r="J98" s="29">
        <f>(IF(B90&gt;2,(H90/(B90+2)+J97),0))</f>
        <v>0</v>
      </c>
    </row>
    <row r="99" spans="1:22" ht="15.75" customHeight="1" x14ac:dyDescent="0.25">
      <c r="A99" s="118" t="s">
        <v>125</v>
      </c>
      <c r="B99" s="119" t="s">
        <v>125</v>
      </c>
      <c r="C99" s="42">
        <v>0</v>
      </c>
      <c r="D99" s="18">
        <f ca="1">((100/H90)*C99)/100</f>
        <v>0</v>
      </c>
      <c r="E99" s="122"/>
      <c r="F99" s="123"/>
      <c r="G99" s="122"/>
      <c r="H99" s="167"/>
      <c r="I99" s="13" t="s">
        <v>138</v>
      </c>
      <c r="J99" s="30">
        <f>(IF(B90&gt;3,(H90/(B90+2)+J98),0))</f>
        <v>0</v>
      </c>
    </row>
    <row r="100" spans="1:22" ht="15.75" customHeight="1" x14ac:dyDescent="0.25">
      <c r="A100" s="118" t="s">
        <v>132</v>
      </c>
      <c r="B100" s="119"/>
      <c r="C100" s="42">
        <v>0</v>
      </c>
      <c r="D100" s="18">
        <f ca="1">((100/H90)*C100)/100</f>
        <v>0</v>
      </c>
      <c r="E100" s="122"/>
      <c r="F100" s="123"/>
      <c r="G100" s="122"/>
      <c r="H100" s="167"/>
      <c r="I100" s="13" t="s">
        <v>139</v>
      </c>
      <c r="J100" s="29">
        <f>(IF(B90&gt;4,(H90/(B90+2)+J99),0))</f>
        <v>0</v>
      </c>
    </row>
    <row r="101" spans="1:22" ht="15.75" customHeight="1" x14ac:dyDescent="0.25">
      <c r="A101" s="118" t="s">
        <v>127</v>
      </c>
      <c r="B101" s="119" t="s">
        <v>127</v>
      </c>
      <c r="C101" s="42">
        <v>0</v>
      </c>
      <c r="D101" s="18">
        <f ca="1">((100/(H90))*C101)/100</f>
        <v>0</v>
      </c>
      <c r="E101" s="122"/>
      <c r="F101" s="123"/>
      <c r="G101" s="122"/>
      <c r="H101" s="167"/>
      <c r="I101" s="13" t="s">
        <v>141</v>
      </c>
      <c r="J101" s="29">
        <f ca="1">(IF(B90=1,(H90/(B90+3)+J96),IF(B90=0,(H90/4+J96),IF(B90&gt;1,0))))</f>
        <v>20.25</v>
      </c>
    </row>
    <row r="102" spans="1:22" ht="16.5" thickBot="1" x14ac:dyDescent="0.3">
      <c r="A102" s="249" t="s">
        <v>128</v>
      </c>
      <c r="B102" s="250"/>
      <c r="C102" s="43">
        <v>0</v>
      </c>
      <c r="D102" s="19">
        <f ca="1">((100/(H90))*C102)/100</f>
        <v>0</v>
      </c>
      <c r="E102" s="124"/>
      <c r="F102" s="125"/>
      <c r="G102" s="124"/>
      <c r="H102" s="168"/>
      <c r="I102" s="14" t="s">
        <v>101</v>
      </c>
      <c r="J102" s="31">
        <f ca="1">(IF(B90&gt;1.5,(H90/(B90+2)+J96+MAX(0,J97-J96)+MAX(0,J98-J97)+MAX(0,J99-J98)+MAX(0,J100-J99)+MAX(0,J101-J100)),IF(B90=1,(H90/(B90+3)+J101),IF(B90=0,H90/4+J101))))</f>
        <v>27</v>
      </c>
    </row>
    <row r="103" spans="1:22" x14ac:dyDescent="0.25">
      <c r="A103" s="130" t="s">
        <v>150</v>
      </c>
      <c r="B103" s="130"/>
      <c r="C103" s="130"/>
      <c r="D103" s="130"/>
      <c r="E103" s="130"/>
      <c r="F103" s="254" t="s">
        <v>154</v>
      </c>
      <c r="G103" s="254"/>
      <c r="H103" s="254"/>
      <c r="R103" t="s">
        <v>245</v>
      </c>
      <c r="S103" t="s">
        <v>165</v>
      </c>
      <c r="T103" t="s">
        <v>172</v>
      </c>
      <c r="U103" t="s">
        <v>186</v>
      </c>
      <c r="V103" t="s">
        <v>181</v>
      </c>
    </row>
    <row r="104" spans="1:22" x14ac:dyDescent="0.25">
      <c r="A104" s="129" t="s">
        <v>152</v>
      </c>
      <c r="B104" s="129"/>
      <c r="C104" s="129"/>
      <c r="D104" s="129"/>
      <c r="E104" s="129"/>
      <c r="F104" s="131">
        <v>5500</v>
      </c>
      <c r="G104" s="131"/>
      <c r="H104" s="131"/>
      <c r="R104"/>
      <c r="S104">
        <v>800000</v>
      </c>
      <c r="T104">
        <v>150000</v>
      </c>
      <c r="U104">
        <v>100000</v>
      </c>
      <c r="V104">
        <v>100000</v>
      </c>
    </row>
    <row r="105" spans="1:22" hidden="1" x14ac:dyDescent="0.25">
      <c r="A105" s="129" t="s">
        <v>151</v>
      </c>
      <c r="B105" s="129"/>
      <c r="C105" s="129"/>
      <c r="D105" s="129"/>
      <c r="E105" s="129"/>
      <c r="F105" s="131">
        <v>7500</v>
      </c>
      <c r="G105" s="131"/>
      <c r="H105" s="131"/>
      <c r="R105"/>
      <c r="S105">
        <v>900000</v>
      </c>
      <c r="T105">
        <v>200000</v>
      </c>
      <c r="U105">
        <v>150000</v>
      </c>
      <c r="V105">
        <v>150000</v>
      </c>
    </row>
    <row r="106" spans="1:22" hidden="1" x14ac:dyDescent="0.25">
      <c r="A106" s="129" t="s">
        <v>153</v>
      </c>
      <c r="B106" s="129"/>
      <c r="C106" s="129"/>
      <c r="D106" s="129"/>
      <c r="E106" s="129"/>
      <c r="F106" s="131"/>
      <c r="G106" s="131"/>
      <c r="H106" s="131"/>
      <c r="R106"/>
      <c r="S106">
        <v>1000000</v>
      </c>
      <c r="T106">
        <v>250000</v>
      </c>
      <c r="U106">
        <v>200000</v>
      </c>
      <c r="V106">
        <v>200000</v>
      </c>
    </row>
    <row r="107" spans="1:22" s="32" customFormat="1" hidden="1" x14ac:dyDescent="0.25">
      <c r="A107" s="129" t="s">
        <v>168</v>
      </c>
      <c r="B107" s="129"/>
      <c r="C107" s="129"/>
      <c r="D107" s="129"/>
      <c r="E107" s="129"/>
      <c r="F107" s="131"/>
      <c r="G107" s="131"/>
      <c r="H107" s="131"/>
      <c r="R107"/>
      <c r="S107">
        <v>1100000</v>
      </c>
      <c r="T107">
        <v>300000</v>
      </c>
      <c r="U107">
        <v>250000</v>
      </c>
      <c r="V107" s="22">
        <v>250000</v>
      </c>
    </row>
    <row r="108" spans="1:22" s="32" customFormat="1" hidden="1" x14ac:dyDescent="0.25">
      <c r="A108" s="129" t="s">
        <v>91</v>
      </c>
      <c r="B108" s="129"/>
      <c r="C108" s="129"/>
      <c r="D108" s="129"/>
      <c r="E108" s="129"/>
      <c r="F108" s="131"/>
      <c r="G108" s="131"/>
      <c r="H108" s="131"/>
      <c r="R108"/>
      <c r="S108">
        <v>1200000</v>
      </c>
      <c r="T108">
        <v>350000</v>
      </c>
      <c r="U108">
        <v>300000</v>
      </c>
      <c r="V108">
        <v>300000</v>
      </c>
    </row>
    <row r="109" spans="1:22" s="32" customFormat="1" hidden="1" x14ac:dyDescent="0.25">
      <c r="A109" s="129" t="s">
        <v>92</v>
      </c>
      <c r="B109" s="129"/>
      <c r="C109" s="129"/>
      <c r="D109" s="129"/>
      <c r="E109" s="129"/>
      <c r="F109" s="131"/>
      <c r="G109" s="131"/>
      <c r="H109" s="131"/>
      <c r="R109"/>
      <c r="S109">
        <v>1300000</v>
      </c>
      <c r="T109">
        <v>400000</v>
      </c>
      <c r="U109">
        <v>350000</v>
      </c>
      <c r="V109" s="22">
        <v>400000</v>
      </c>
    </row>
    <row r="110" spans="1:22" s="32" customFormat="1" hidden="1" x14ac:dyDescent="0.25">
      <c r="A110" s="129" t="s">
        <v>93</v>
      </c>
      <c r="B110" s="129"/>
      <c r="C110" s="129"/>
      <c r="D110" s="129"/>
      <c r="E110" s="129"/>
      <c r="F110" s="131"/>
      <c r="G110" s="131"/>
      <c r="H110" s="131"/>
      <c r="R110"/>
      <c r="S110">
        <v>1400000</v>
      </c>
      <c r="T110">
        <v>500000</v>
      </c>
      <c r="U110">
        <v>400000</v>
      </c>
      <c r="V110"/>
    </row>
    <row r="111" spans="1:22" s="32" customFormat="1" hidden="1" x14ac:dyDescent="0.25">
      <c r="A111" s="129" t="s">
        <v>94</v>
      </c>
      <c r="B111" s="129"/>
      <c r="C111" s="129"/>
      <c r="D111" s="129"/>
      <c r="E111" s="129"/>
      <c r="F111" s="131"/>
      <c r="G111" s="131"/>
      <c r="H111" s="131"/>
      <c r="R111"/>
      <c r="S111">
        <v>1500000</v>
      </c>
      <c r="T111">
        <v>600000</v>
      </c>
      <c r="U111">
        <v>500000</v>
      </c>
      <c r="V111" s="22"/>
    </row>
    <row r="112" spans="1:22" s="32" customFormat="1" hidden="1" x14ac:dyDescent="0.25">
      <c r="A112" s="129" t="s">
        <v>95</v>
      </c>
      <c r="B112" s="129"/>
      <c r="C112" s="129"/>
      <c r="D112" s="129"/>
      <c r="E112" s="129"/>
      <c r="F112" s="131"/>
      <c r="G112" s="131"/>
      <c r="H112" s="131"/>
      <c r="R112"/>
      <c r="S112">
        <v>1600000</v>
      </c>
      <c r="T112">
        <v>700000</v>
      </c>
      <c r="U112">
        <v>600000</v>
      </c>
      <c r="V112"/>
    </row>
    <row r="113" spans="1:22" s="32" customFormat="1" hidden="1" x14ac:dyDescent="0.25">
      <c r="A113" s="129" t="s">
        <v>96</v>
      </c>
      <c r="B113" s="129"/>
      <c r="C113" s="129"/>
      <c r="D113" s="129"/>
      <c r="E113" s="129"/>
      <c r="F113" s="131"/>
      <c r="G113" s="131"/>
      <c r="H113" s="131"/>
      <c r="R113"/>
      <c r="S113">
        <v>1700000</v>
      </c>
      <c r="T113">
        <v>800000</v>
      </c>
      <c r="U113"/>
      <c r="V113" s="22"/>
    </row>
    <row r="114" spans="1:22" x14ac:dyDescent="0.25">
      <c r="A114" s="129" t="s">
        <v>49</v>
      </c>
      <c r="B114" s="129"/>
      <c r="C114" s="129"/>
      <c r="D114" s="129"/>
      <c r="E114" s="129"/>
      <c r="F114" s="131">
        <v>250000</v>
      </c>
      <c r="G114" s="131"/>
      <c r="H114" s="131"/>
      <c r="R114"/>
      <c r="S114">
        <v>1800000</v>
      </c>
      <c r="T114">
        <v>900000</v>
      </c>
      <c r="U114"/>
    </row>
    <row r="115" spans="1:22" s="33" customFormat="1" x14ac:dyDescent="0.25">
      <c r="A115" s="156" t="s">
        <v>50</v>
      </c>
      <c r="B115" s="156"/>
      <c r="C115" s="156"/>
      <c r="D115" s="156"/>
      <c r="E115" s="156"/>
      <c r="F115" s="222">
        <f>F104*0.8</f>
        <v>4400</v>
      </c>
      <c r="G115" s="222"/>
      <c r="H115" s="222"/>
      <c r="R115" s="20"/>
      <c r="S115" s="20"/>
      <c r="T115">
        <v>1000000</v>
      </c>
      <c r="U115"/>
      <c r="V115" s="20"/>
    </row>
    <row r="116" spans="1:22" s="34" customFormat="1" ht="15.75" customHeight="1" x14ac:dyDescent="0.25">
      <c r="A116" s="221" t="s">
        <v>71</v>
      </c>
      <c r="B116" s="221"/>
      <c r="C116" s="221"/>
      <c r="D116" s="221"/>
      <c r="E116" s="221"/>
      <c r="F116" s="221"/>
      <c r="G116" s="221"/>
      <c r="H116" s="221"/>
      <c r="R116"/>
      <c r="S116" s="20"/>
      <c r="T116"/>
      <c r="U116"/>
      <c r="V116" s="20"/>
    </row>
    <row r="117" spans="1:22" s="34" customFormat="1" ht="15.75" customHeight="1" x14ac:dyDescent="0.25">
      <c r="A117" s="224" t="s">
        <v>51</v>
      </c>
      <c r="B117" s="224"/>
      <c r="C117" s="234" t="s">
        <v>74</v>
      </c>
      <c r="D117" s="234"/>
      <c r="E117" s="236" t="s">
        <v>52</v>
      </c>
      <c r="F117" s="236"/>
      <c r="G117" s="224" t="s">
        <v>53</v>
      </c>
      <c r="H117" s="224"/>
      <c r="R117"/>
      <c r="S117" s="20"/>
      <c r="T117"/>
      <c r="U117" s="20"/>
      <c r="V117" s="20"/>
    </row>
    <row r="118" spans="1:22" s="34" customFormat="1" x14ac:dyDescent="0.25">
      <c r="A118" s="223" t="s">
        <v>399</v>
      </c>
      <c r="B118" s="223"/>
      <c r="C118" s="126">
        <f>COUNT(D131:D134)</f>
        <v>4</v>
      </c>
      <c r="D118" s="126"/>
      <c r="E118" s="126">
        <f t="shared" ref="E118" si="0">SUM(F131:F134)</f>
        <v>1223.00568</v>
      </c>
      <c r="F118" s="126"/>
      <c r="G118" s="126">
        <f>SUM(H131:H134)</f>
        <v>1834.5085199999999</v>
      </c>
      <c r="H118" s="126"/>
      <c r="I118" s="34" t="s">
        <v>418</v>
      </c>
      <c r="R118"/>
      <c r="S118" s="20"/>
      <c r="T118"/>
      <c r="U118" s="20"/>
      <c r="V118" s="20"/>
    </row>
    <row r="119" spans="1:22" s="34" customFormat="1" x14ac:dyDescent="0.25">
      <c r="A119" s="221" t="s">
        <v>144</v>
      </c>
      <c r="B119" s="221"/>
      <c r="C119" s="233">
        <f>SUM(C118)</f>
        <v>4</v>
      </c>
      <c r="D119" s="234"/>
      <c r="E119" s="235">
        <f>SUM(E118)</f>
        <v>1223.00568</v>
      </c>
      <c r="F119" s="236"/>
      <c r="G119" s="224">
        <f>SUM(G118)</f>
        <v>1834.5085199999999</v>
      </c>
      <c r="H119" s="224"/>
      <c r="R119"/>
      <c r="S119" s="20"/>
      <c r="T119"/>
      <c r="U119" s="20"/>
      <c r="V119" s="20"/>
    </row>
    <row r="120" spans="1:22" s="34" customFormat="1" x14ac:dyDescent="0.25">
      <c r="A120" s="221" t="s">
        <v>66</v>
      </c>
      <c r="B120" s="221"/>
      <c r="C120" s="221"/>
      <c r="D120" s="221"/>
      <c r="E120" s="221"/>
      <c r="F120" s="221"/>
      <c r="G120" s="221"/>
      <c r="H120" s="221"/>
      <c r="T120"/>
    </row>
    <row r="121" spans="1:22" s="34" customFormat="1" ht="15.75" customHeight="1" x14ac:dyDescent="0.25">
      <c r="A121" s="224" t="s">
        <v>51</v>
      </c>
      <c r="B121" s="224"/>
      <c r="C121" s="234" t="s">
        <v>74</v>
      </c>
      <c r="D121" s="234"/>
      <c r="E121" s="236" t="s">
        <v>52</v>
      </c>
      <c r="F121" s="236"/>
      <c r="G121" s="224" t="s">
        <v>53</v>
      </c>
      <c r="H121" s="224"/>
      <c r="T121"/>
    </row>
    <row r="122" spans="1:22" s="34" customFormat="1" x14ac:dyDescent="0.25">
      <c r="A122" s="255" t="s">
        <v>400</v>
      </c>
      <c r="B122" s="255"/>
      <c r="C122" s="126">
        <f>COUNT(D142:D151)*4+COUNT(D153:D162)*16+COUNT(D164:D167,D169:D173)*4+COUNT(D176,D179:D182,D185)</f>
        <v>242</v>
      </c>
      <c r="D122" s="126"/>
      <c r="E122" s="126">
        <f t="shared" ref="E122" si="1">SUM(F142:F151)*4+SUM(F153:F162)*16+SUM(F164:F167,F169:F173)*4+SUM(F176,F179:F182,F185)</f>
        <v>104643.06559199998</v>
      </c>
      <c r="F122" s="126"/>
      <c r="G122" s="126">
        <f>SUM(H142:H151)*4+SUM(H153:H162)*16+SUM(H164:H167,H169:H173)*4+SUM(H176,H179:H182,H185)</f>
        <v>156964.59838799998</v>
      </c>
      <c r="H122" s="126"/>
      <c r="I122" s="34" t="s">
        <v>418</v>
      </c>
      <c r="T122"/>
    </row>
    <row r="123" spans="1:22" s="34" customFormat="1" ht="16.5" thickBot="1" x14ac:dyDescent="0.3">
      <c r="A123" s="225" t="s">
        <v>144</v>
      </c>
      <c r="B123" s="225"/>
      <c r="C123" s="252">
        <f>SUM(C122)</f>
        <v>242</v>
      </c>
      <c r="D123" s="253"/>
      <c r="E123" s="226">
        <f>SUM(E122)</f>
        <v>104643.06559199998</v>
      </c>
      <c r="F123" s="227"/>
      <c r="G123" s="228">
        <f>SUM(G122)</f>
        <v>156964.59838799998</v>
      </c>
      <c r="H123" s="228"/>
      <c r="I123" s="34" t="s">
        <v>418</v>
      </c>
      <c r="T123"/>
    </row>
    <row r="124" spans="1:22" s="34" customFormat="1" ht="16.5" thickBot="1" x14ac:dyDescent="0.3">
      <c r="A124" s="127" t="s">
        <v>159</v>
      </c>
      <c r="B124" s="128"/>
      <c r="C124" s="141">
        <f>C119+C123</f>
        <v>246</v>
      </c>
      <c r="D124" s="141"/>
      <c r="E124" s="169">
        <f>E119+E123</f>
        <v>105866.07127199999</v>
      </c>
      <c r="F124" s="169"/>
      <c r="G124" s="144">
        <f>G119+G123</f>
        <v>158799.10690799999</v>
      </c>
      <c r="H124" s="145"/>
      <c r="T124"/>
    </row>
    <row r="125" spans="1:22" s="33" customFormat="1" x14ac:dyDescent="0.25">
      <c r="A125" s="251" t="s">
        <v>346</v>
      </c>
      <c r="B125" s="251"/>
      <c r="C125" s="251"/>
      <c r="D125" s="251"/>
      <c r="E125" s="251"/>
      <c r="F125" s="251"/>
      <c r="G125" s="251"/>
      <c r="H125" s="251"/>
      <c r="T125" s="34"/>
    </row>
    <row r="126" spans="1:22" x14ac:dyDescent="0.25">
      <c r="A126" s="239" t="s">
        <v>167</v>
      </c>
      <c r="B126" s="239"/>
      <c r="C126" s="239"/>
      <c r="D126" s="239"/>
      <c r="E126" s="239"/>
      <c r="F126" s="239"/>
      <c r="G126" s="239"/>
      <c r="H126" s="239"/>
      <c r="T126" s="34"/>
    </row>
    <row r="127" spans="1:22" ht="47.25" customHeight="1" x14ac:dyDescent="0.25">
      <c r="A127" s="113" t="s">
        <v>403</v>
      </c>
      <c r="B127" s="113" t="s">
        <v>169</v>
      </c>
      <c r="C127" s="113" t="s">
        <v>54</v>
      </c>
      <c r="D127" s="113" t="s">
        <v>224</v>
      </c>
      <c r="E127" s="132" t="s">
        <v>402</v>
      </c>
      <c r="F127" s="113" t="s">
        <v>55</v>
      </c>
      <c r="G127" s="132" t="s">
        <v>56</v>
      </c>
      <c r="H127" s="94" t="s">
        <v>143</v>
      </c>
      <c r="T127" s="34"/>
    </row>
    <row r="128" spans="1:22" s="36" customFormat="1" x14ac:dyDescent="0.25">
      <c r="A128" s="114"/>
      <c r="B128" s="114"/>
      <c r="C128" s="114"/>
      <c r="D128" s="114"/>
      <c r="E128" s="133"/>
      <c r="F128" s="114"/>
      <c r="G128" s="133"/>
      <c r="H128" s="95">
        <v>0.5</v>
      </c>
      <c r="T128" s="34"/>
    </row>
    <row r="129" spans="1:20" s="96" customFormat="1" ht="15" x14ac:dyDescent="0.25">
      <c r="A129" s="134" t="s">
        <v>399</v>
      </c>
      <c r="B129" s="135"/>
      <c r="C129" s="135"/>
      <c r="D129" s="135"/>
      <c r="E129" s="135"/>
      <c r="F129" s="135"/>
      <c r="G129" s="135"/>
      <c r="H129" s="136"/>
    </row>
    <row r="130" spans="1:20" s="96" customFormat="1" ht="15" x14ac:dyDescent="0.25">
      <c r="A130" s="134" t="s">
        <v>404</v>
      </c>
      <c r="B130" s="135"/>
      <c r="C130" s="135"/>
      <c r="D130" s="135"/>
      <c r="E130" s="135"/>
      <c r="F130" s="135"/>
      <c r="G130" s="135"/>
      <c r="H130" s="136"/>
      <c r="J130" s="96">
        <v>7000</v>
      </c>
    </row>
    <row r="131" spans="1:20" s="36" customFormat="1" ht="15.75" customHeight="1" x14ac:dyDescent="0.25">
      <c r="A131" s="103">
        <v>1</v>
      </c>
      <c r="B131" s="104"/>
      <c r="C131" s="92" t="s">
        <v>401</v>
      </c>
      <c r="D131" s="92">
        <f>(24.8)*(10.764)</f>
        <v>266.94720000000001</v>
      </c>
      <c r="E131" s="92">
        <f>(1.2*3.1)*(10.764)</f>
        <v>40.042079999999991</v>
      </c>
      <c r="F131" s="41">
        <f>D131+(IF(E131&lt;201,E131,IF(E131&lt;301,E131/2,E131/3)))</f>
        <v>306.98928000000001</v>
      </c>
      <c r="G131" s="41">
        <v>0</v>
      </c>
      <c r="H131" s="41">
        <f>(F131+(IF(G131&lt;101,G131,IF(G131&lt;201,G131/2,IF(G131&lt;=301,G131/3,G131/4)))))*(($H$128)+1)</f>
        <v>460.48392000000001</v>
      </c>
      <c r="I131" s="35">
        <f>F131*1.55</f>
        <v>475.83338400000002</v>
      </c>
      <c r="J131" s="36">
        <f>J$130*H131</f>
        <v>3223387.44</v>
      </c>
      <c r="L131" s="102"/>
      <c r="M131" s="102"/>
      <c r="N131" s="35"/>
      <c r="T131" s="34"/>
    </row>
    <row r="132" spans="1:20" s="36" customFormat="1" ht="15.75" customHeight="1" x14ac:dyDescent="0.25">
      <c r="A132" s="103">
        <f>A131+1</f>
        <v>2</v>
      </c>
      <c r="B132" s="104"/>
      <c r="C132" s="92" t="s">
        <v>401</v>
      </c>
      <c r="D132" s="92">
        <f>(24.8)*(10.764)</f>
        <v>266.94720000000001</v>
      </c>
      <c r="E132" s="92">
        <f>(1.2*3.1)*(10.764)</f>
        <v>40.042079999999991</v>
      </c>
      <c r="F132" s="41">
        <f>D132+(IF(E132&lt;201,E132,IF(E132&lt;301,E132/2,E132/3)))</f>
        <v>306.98928000000001</v>
      </c>
      <c r="G132" s="41">
        <v>0</v>
      </c>
      <c r="H132" s="41">
        <f>(F132+(IF(G132&lt;101,G132,IF(G132&lt;201,G132/2,IF(G132&lt;=301,G132/3,G132/4)))))*(($H$128)+1)</f>
        <v>460.48392000000001</v>
      </c>
      <c r="I132" s="35">
        <f t="shared" ref="I132:I134" si="2">F132*1.55</f>
        <v>475.83338400000002</v>
      </c>
      <c r="J132" s="93">
        <f t="shared" ref="J132:J134" si="3">J$130*H132</f>
        <v>3223387.44</v>
      </c>
      <c r="L132" s="102"/>
      <c r="M132" s="102"/>
      <c r="N132" s="35"/>
      <c r="T132" s="33"/>
    </row>
    <row r="133" spans="1:20" s="36" customFormat="1" ht="15.75" customHeight="1" x14ac:dyDescent="0.25">
      <c r="A133" s="103">
        <f>A132+1</f>
        <v>3</v>
      </c>
      <c r="B133" s="104"/>
      <c r="C133" s="92" t="s">
        <v>401</v>
      </c>
      <c r="D133" s="92">
        <f>(24.8)*(10.764)</f>
        <v>266.94720000000001</v>
      </c>
      <c r="E133" s="92">
        <f>(1.2*3.1)*(10.764)</f>
        <v>40.042079999999991</v>
      </c>
      <c r="F133" s="41">
        <f>D133+(IF(E133&lt;201,E133,IF(E133&lt;301,E133/2,E133/3)))</f>
        <v>306.98928000000001</v>
      </c>
      <c r="G133" s="41">
        <v>0</v>
      </c>
      <c r="H133" s="41">
        <f>(F133+(IF(G133&lt;101,G133,IF(G133&lt;201,G133/2,IF(G133&lt;=301,G133/3,G133/4)))))*(($H$128)+1)</f>
        <v>460.48392000000001</v>
      </c>
      <c r="I133" s="35">
        <f t="shared" si="2"/>
        <v>475.83338400000002</v>
      </c>
      <c r="J133" s="93">
        <f t="shared" si="3"/>
        <v>3223387.44</v>
      </c>
      <c r="L133" s="102"/>
      <c r="M133" s="102"/>
      <c r="N133" s="35"/>
      <c r="T133" s="20"/>
    </row>
    <row r="134" spans="1:20" s="36" customFormat="1" ht="15.75" customHeight="1" x14ac:dyDescent="0.25">
      <c r="A134" s="103">
        <f>A133+1</f>
        <v>4</v>
      </c>
      <c r="B134" s="104"/>
      <c r="C134" s="92" t="s">
        <v>401</v>
      </c>
      <c r="D134" s="92">
        <f>(24.4)*(10.764)</f>
        <v>262.64159999999998</v>
      </c>
      <c r="E134" s="92">
        <f>(1.2*3.05)*(10.764)</f>
        <v>39.396239999999992</v>
      </c>
      <c r="F134" s="41">
        <f>D134+(IF(E134&lt;201,E134,IF(E134&lt;301,E134/2,E134/3)))</f>
        <v>302.03783999999996</v>
      </c>
      <c r="G134" s="41">
        <v>0</v>
      </c>
      <c r="H134" s="41">
        <f>(F134+(IF(G134&lt;101,G134,IF(G134&lt;201,G134/2,IF(G134&lt;=301,G134/3,G134/4)))))*(($H$128)+1)</f>
        <v>453.05675999999994</v>
      </c>
      <c r="I134" s="35">
        <f t="shared" si="2"/>
        <v>468.15865199999996</v>
      </c>
      <c r="J134" s="93">
        <f t="shared" si="3"/>
        <v>3171397.3199999994</v>
      </c>
      <c r="L134" s="102"/>
      <c r="M134" s="102"/>
      <c r="N134" s="35"/>
      <c r="T134" s="20"/>
    </row>
    <row r="135" spans="1:20" s="96" customFormat="1" ht="15" x14ac:dyDescent="0.25">
      <c r="A135" s="134" t="s">
        <v>405</v>
      </c>
      <c r="B135" s="135"/>
      <c r="C135" s="135"/>
      <c r="D135" s="135"/>
      <c r="E135" s="135"/>
      <c r="F135" s="135"/>
      <c r="G135" s="135"/>
      <c r="H135" s="136"/>
    </row>
    <row r="136" spans="1:20" s="36" customFormat="1" x14ac:dyDescent="0.25">
      <c r="A136" s="103"/>
      <c r="B136" s="105"/>
      <c r="C136" s="105"/>
      <c r="D136" s="105"/>
      <c r="E136" s="105"/>
      <c r="F136" s="105"/>
      <c r="G136" s="105"/>
      <c r="H136" s="104"/>
      <c r="I136" s="35"/>
      <c r="N136" s="35"/>
    </row>
    <row r="137" spans="1:20" ht="47.25" customHeight="1" x14ac:dyDescent="0.25">
      <c r="A137" s="231" t="s">
        <v>417</v>
      </c>
      <c r="B137" s="113" t="s">
        <v>170</v>
      </c>
      <c r="C137" s="113" t="s">
        <v>54</v>
      </c>
      <c r="D137" s="113" t="s">
        <v>367</v>
      </c>
      <c r="E137" s="113" t="s">
        <v>409</v>
      </c>
      <c r="F137" s="113" t="s">
        <v>55</v>
      </c>
      <c r="G137" s="132" t="s">
        <v>56</v>
      </c>
      <c r="H137" s="94" t="s">
        <v>143</v>
      </c>
      <c r="I137" s="35"/>
      <c r="T137" s="36"/>
    </row>
    <row r="138" spans="1:20" s="36" customFormat="1" x14ac:dyDescent="0.25">
      <c r="A138" s="232"/>
      <c r="B138" s="114"/>
      <c r="C138" s="114"/>
      <c r="D138" s="114"/>
      <c r="E138" s="114"/>
      <c r="F138" s="114"/>
      <c r="G138" s="133"/>
      <c r="H138" s="95">
        <v>0.5</v>
      </c>
      <c r="I138" s="35"/>
    </row>
    <row r="139" spans="1:20" s="96" customFormat="1" ht="15" customHeight="1" x14ac:dyDescent="0.25">
      <c r="A139" s="106" t="s">
        <v>400</v>
      </c>
      <c r="B139" s="107"/>
      <c r="C139" s="107"/>
      <c r="D139" s="107"/>
      <c r="E139" s="107"/>
      <c r="F139" s="107"/>
      <c r="G139" s="107"/>
      <c r="H139" s="108"/>
    </row>
    <row r="140" spans="1:20" s="96" customFormat="1" ht="15" customHeight="1" x14ac:dyDescent="0.25">
      <c r="A140" s="106" t="s">
        <v>406</v>
      </c>
      <c r="B140" s="107"/>
      <c r="C140" s="107"/>
      <c r="D140" s="107"/>
      <c r="E140" s="107"/>
      <c r="F140" s="107"/>
      <c r="G140" s="107"/>
      <c r="H140" s="108"/>
    </row>
    <row r="141" spans="1:20" s="96" customFormat="1" ht="15" customHeight="1" x14ac:dyDescent="0.25">
      <c r="A141" s="106" t="s">
        <v>407</v>
      </c>
      <c r="B141" s="107"/>
      <c r="C141" s="107"/>
      <c r="D141" s="107"/>
      <c r="E141" s="107"/>
      <c r="F141" s="107"/>
      <c r="G141" s="107"/>
      <c r="H141" s="108"/>
      <c r="I141" s="97">
        <f>4</f>
        <v>4</v>
      </c>
      <c r="J141" s="96">
        <v>5500</v>
      </c>
      <c r="L141" s="109"/>
      <c r="M141" s="109"/>
    </row>
    <row r="142" spans="1:20" s="36" customFormat="1" ht="15.75" customHeight="1" x14ac:dyDescent="0.25">
      <c r="A142" s="103">
        <v>1</v>
      </c>
      <c r="B142" s="104"/>
      <c r="C142" s="92" t="s">
        <v>408</v>
      </c>
      <c r="D142" s="92">
        <f>(34.795)*(10.764)</f>
        <v>374.53338000000002</v>
      </c>
      <c r="E142" s="92">
        <f>(2.62+2.03)*(10.764)</f>
        <v>50.052599999999998</v>
      </c>
      <c r="F142" s="41">
        <f t="shared" ref="F142:F151" si="4">D142+E142</f>
        <v>424.58598000000001</v>
      </c>
      <c r="G142" s="41">
        <v>0</v>
      </c>
      <c r="H142" s="41">
        <f t="shared" ref="H142:H151" si="5">F142*(($H$138)+1)+(IF(G142&lt;101,G142,IF(G142&lt;201,G142/2,IF(G142&lt;=301,G142/3,G142/4))))</f>
        <v>636.87896999999998</v>
      </c>
      <c r="I142" s="35"/>
      <c r="J142" s="36">
        <f>J$141*H142</f>
        <v>3502834.335</v>
      </c>
      <c r="L142" s="102"/>
      <c r="M142" s="102"/>
      <c r="N142" s="35"/>
    </row>
    <row r="143" spans="1:20" s="36" customFormat="1" ht="15.75" customHeight="1" x14ac:dyDescent="0.25">
      <c r="A143" s="103">
        <v>2</v>
      </c>
      <c r="B143" s="104"/>
      <c r="C143" s="92" t="s">
        <v>408</v>
      </c>
      <c r="D143" s="92">
        <f>(36.02)*(10.764)</f>
        <v>387.71928000000003</v>
      </c>
      <c r="E143" s="92">
        <f>(2.4+2.4)*(10.764)</f>
        <v>51.667199999999994</v>
      </c>
      <c r="F143" s="41">
        <f t="shared" si="4"/>
        <v>439.38648000000001</v>
      </c>
      <c r="G143" s="41">
        <v>0</v>
      </c>
      <c r="H143" s="41">
        <f t="shared" si="5"/>
        <v>659.07971999999995</v>
      </c>
      <c r="I143" s="35"/>
      <c r="J143" s="101">
        <f t="shared" ref="J143:J156" si="6">J$141*H143</f>
        <v>3624938.46</v>
      </c>
      <c r="L143" s="102"/>
      <c r="M143" s="102"/>
      <c r="N143" s="35"/>
    </row>
    <row r="144" spans="1:20" s="36" customFormat="1" ht="15.75" customHeight="1" x14ac:dyDescent="0.25">
      <c r="A144" s="103">
        <v>3</v>
      </c>
      <c r="B144" s="104"/>
      <c r="C144" s="92" t="s">
        <v>408</v>
      </c>
      <c r="D144" s="92">
        <f>(35.802)*(10.764)</f>
        <v>385.372728</v>
      </c>
      <c r="E144" s="92">
        <f t="shared" ref="E144:E151" si="7">(2.62+2.03)*(10.764)</f>
        <v>50.052599999999998</v>
      </c>
      <c r="F144" s="41">
        <f t="shared" si="4"/>
        <v>435.42532799999998</v>
      </c>
      <c r="G144" s="41">
        <v>0</v>
      </c>
      <c r="H144" s="41">
        <f t="shared" si="5"/>
        <v>653.13799199999994</v>
      </c>
      <c r="I144" s="35"/>
      <c r="J144" s="101">
        <f t="shared" si="6"/>
        <v>3592258.9559999998</v>
      </c>
      <c r="L144" s="102"/>
      <c r="M144" s="102"/>
      <c r="N144" s="35"/>
    </row>
    <row r="145" spans="1:20" s="36" customFormat="1" ht="15.75" customHeight="1" x14ac:dyDescent="0.25">
      <c r="A145" s="103">
        <v>4</v>
      </c>
      <c r="B145" s="104"/>
      <c r="C145" s="92" t="s">
        <v>408</v>
      </c>
      <c r="D145" s="92">
        <f>(34.914)*(10.764)</f>
        <v>375.81429600000001</v>
      </c>
      <c r="E145" s="92">
        <f t="shared" si="7"/>
        <v>50.052599999999998</v>
      </c>
      <c r="F145" s="41">
        <f t="shared" si="4"/>
        <v>425.866896</v>
      </c>
      <c r="G145" s="41">
        <v>0</v>
      </c>
      <c r="H145" s="41">
        <f t="shared" si="5"/>
        <v>638.800344</v>
      </c>
      <c r="I145" s="35"/>
      <c r="J145" s="101">
        <f t="shared" si="6"/>
        <v>3513401.892</v>
      </c>
      <c r="L145" s="102"/>
      <c r="M145" s="102"/>
      <c r="N145" s="35"/>
      <c r="T145" s="20"/>
    </row>
    <row r="146" spans="1:20" s="91" customFormat="1" ht="15.75" customHeight="1" x14ac:dyDescent="0.25">
      <c r="A146" s="103">
        <v>5</v>
      </c>
      <c r="B146" s="104"/>
      <c r="C146" s="92" t="s">
        <v>408</v>
      </c>
      <c r="D146" s="92">
        <f>(34.914)*(10.764)</f>
        <v>375.81429600000001</v>
      </c>
      <c r="E146" s="92">
        <f t="shared" si="7"/>
        <v>50.052599999999998</v>
      </c>
      <c r="F146" s="92">
        <f t="shared" si="4"/>
        <v>425.866896</v>
      </c>
      <c r="G146" s="92">
        <v>0</v>
      </c>
      <c r="H146" s="92">
        <f t="shared" si="5"/>
        <v>638.800344</v>
      </c>
      <c r="I146" s="35"/>
      <c r="J146" s="101">
        <f t="shared" si="6"/>
        <v>3513401.892</v>
      </c>
      <c r="L146" s="102"/>
      <c r="M146" s="102"/>
      <c r="N146" s="35"/>
    </row>
    <row r="147" spans="1:20" s="91" customFormat="1" ht="15.75" customHeight="1" x14ac:dyDescent="0.25">
      <c r="A147" s="103">
        <v>6</v>
      </c>
      <c r="B147" s="104"/>
      <c r="C147" s="92" t="s">
        <v>408</v>
      </c>
      <c r="D147" s="92">
        <f>(34.914)*(10.764)</f>
        <v>375.81429600000001</v>
      </c>
      <c r="E147" s="92">
        <f t="shared" si="7"/>
        <v>50.052599999999998</v>
      </c>
      <c r="F147" s="92">
        <f t="shared" si="4"/>
        <v>425.866896</v>
      </c>
      <c r="G147" s="92">
        <v>0</v>
      </c>
      <c r="H147" s="92">
        <f t="shared" si="5"/>
        <v>638.800344</v>
      </c>
      <c r="I147" s="35"/>
      <c r="J147" s="101">
        <f t="shared" si="6"/>
        <v>3513401.892</v>
      </c>
      <c r="L147" s="102"/>
      <c r="M147" s="102"/>
      <c r="N147" s="35"/>
    </row>
    <row r="148" spans="1:20" s="91" customFormat="1" ht="15.75" customHeight="1" x14ac:dyDescent="0.25">
      <c r="A148" s="103">
        <v>7</v>
      </c>
      <c r="B148" s="104"/>
      <c r="C148" s="92" t="s">
        <v>408</v>
      </c>
      <c r="D148" s="92">
        <f>(34.914)*(10.764)</f>
        <v>375.81429600000001</v>
      </c>
      <c r="E148" s="92">
        <f t="shared" si="7"/>
        <v>50.052599999999998</v>
      </c>
      <c r="F148" s="92">
        <f t="shared" si="4"/>
        <v>425.866896</v>
      </c>
      <c r="G148" s="92">
        <v>0</v>
      </c>
      <c r="H148" s="92">
        <f t="shared" si="5"/>
        <v>638.800344</v>
      </c>
      <c r="I148" s="35"/>
      <c r="J148" s="101">
        <f t="shared" si="6"/>
        <v>3513401.892</v>
      </c>
      <c r="L148" s="102"/>
      <c r="M148" s="102"/>
      <c r="N148" s="35"/>
    </row>
    <row r="149" spans="1:20" s="91" customFormat="1" ht="15.75" customHeight="1" x14ac:dyDescent="0.25">
      <c r="A149" s="103">
        <v>8</v>
      </c>
      <c r="B149" s="104"/>
      <c r="C149" s="92" t="s">
        <v>408</v>
      </c>
      <c r="D149" s="92">
        <f>(35.802)*(10.764)</f>
        <v>385.372728</v>
      </c>
      <c r="E149" s="92">
        <f t="shared" si="7"/>
        <v>50.052599999999998</v>
      </c>
      <c r="F149" s="92">
        <f t="shared" si="4"/>
        <v>435.42532799999998</v>
      </c>
      <c r="G149" s="92">
        <v>0</v>
      </c>
      <c r="H149" s="92">
        <f t="shared" si="5"/>
        <v>653.13799199999994</v>
      </c>
      <c r="I149" s="35"/>
      <c r="J149" s="101">
        <f t="shared" si="6"/>
        <v>3592258.9559999998</v>
      </c>
      <c r="L149" s="102"/>
      <c r="M149" s="102"/>
      <c r="N149" s="35"/>
      <c r="T149" s="20"/>
    </row>
    <row r="150" spans="1:20" s="91" customFormat="1" ht="15.75" customHeight="1" x14ac:dyDescent="0.25">
      <c r="A150" s="103">
        <v>9</v>
      </c>
      <c r="B150" s="104"/>
      <c r="C150" s="92" t="s">
        <v>408</v>
      </c>
      <c r="D150" s="92">
        <f>(35.802)*(10.764)</f>
        <v>385.372728</v>
      </c>
      <c r="E150" s="92">
        <f t="shared" si="7"/>
        <v>50.052599999999998</v>
      </c>
      <c r="F150" s="92">
        <f t="shared" si="4"/>
        <v>435.42532799999998</v>
      </c>
      <c r="G150" s="92">
        <v>0</v>
      </c>
      <c r="H150" s="92">
        <f t="shared" si="5"/>
        <v>653.13799199999994</v>
      </c>
      <c r="I150" s="35"/>
      <c r="J150" s="101">
        <f t="shared" si="6"/>
        <v>3592258.9559999998</v>
      </c>
      <c r="L150" s="102"/>
      <c r="M150" s="102"/>
      <c r="N150" s="35"/>
    </row>
    <row r="151" spans="1:20" s="91" customFormat="1" ht="15.75" customHeight="1" x14ac:dyDescent="0.25">
      <c r="A151" s="103">
        <v>10</v>
      </c>
      <c r="B151" s="104"/>
      <c r="C151" s="92" t="s">
        <v>408</v>
      </c>
      <c r="D151" s="92">
        <f>(34.795)*(10.764)</f>
        <v>374.53338000000002</v>
      </c>
      <c r="E151" s="92">
        <f t="shared" si="7"/>
        <v>50.052599999999998</v>
      </c>
      <c r="F151" s="92">
        <f t="shared" si="4"/>
        <v>424.58598000000001</v>
      </c>
      <c r="G151" s="92">
        <v>0</v>
      </c>
      <c r="H151" s="92">
        <f t="shared" si="5"/>
        <v>636.87896999999998</v>
      </c>
      <c r="I151" s="35"/>
      <c r="J151" s="101">
        <f t="shared" si="6"/>
        <v>3502834.335</v>
      </c>
      <c r="L151" s="102"/>
      <c r="M151" s="102"/>
      <c r="N151" s="35"/>
    </row>
    <row r="152" spans="1:20" s="36" customFormat="1" ht="15.75" customHeight="1" x14ac:dyDescent="0.25">
      <c r="A152" s="106" t="s">
        <v>410</v>
      </c>
      <c r="B152" s="107"/>
      <c r="C152" s="107"/>
      <c r="D152" s="107"/>
      <c r="E152" s="107"/>
      <c r="F152" s="107"/>
      <c r="G152" s="107"/>
      <c r="H152" s="108"/>
      <c r="I152" s="35">
        <v>16</v>
      </c>
      <c r="J152" s="101">
        <f t="shared" si="6"/>
        <v>0</v>
      </c>
      <c r="L152" s="102"/>
      <c r="M152" s="102"/>
    </row>
    <row r="153" spans="1:20" s="91" customFormat="1" ht="15.75" customHeight="1" x14ac:dyDescent="0.25">
      <c r="A153" s="103">
        <v>1</v>
      </c>
      <c r="B153" s="104"/>
      <c r="C153" s="92" t="s">
        <v>408</v>
      </c>
      <c r="D153" s="92">
        <f>(35.065)*(10.764)</f>
        <v>377.43965999999995</v>
      </c>
      <c r="E153" s="92">
        <f>(2.62+2.1)*(10.764)</f>
        <v>50.806080000000001</v>
      </c>
      <c r="F153" s="92">
        <f t="shared" ref="F153:F162" si="8">D153+E153</f>
        <v>428.24573999999996</v>
      </c>
      <c r="G153" s="92">
        <v>0</v>
      </c>
      <c r="H153" s="92">
        <f t="shared" ref="H153:H162" si="9">F153*(($H$138)+1)+(IF(G153&lt;101,G153,IF(G153&lt;201,G153/2,IF(G153&lt;=301,G153/3,G153/4))))</f>
        <v>642.36860999999999</v>
      </c>
      <c r="I153" s="35"/>
      <c r="J153" s="101">
        <f t="shared" si="6"/>
        <v>3533027.355</v>
      </c>
      <c r="L153" s="102"/>
      <c r="M153" s="102"/>
      <c r="N153" s="35"/>
    </row>
    <row r="154" spans="1:20" s="91" customFormat="1" ht="15.75" customHeight="1" x14ac:dyDescent="0.25">
      <c r="A154" s="103">
        <v>2</v>
      </c>
      <c r="B154" s="104"/>
      <c r="C154" s="92" t="s">
        <v>408</v>
      </c>
      <c r="D154" s="92">
        <f>(36.296)*(10.764)</f>
        <v>390.69014399999998</v>
      </c>
      <c r="E154" s="92">
        <f>(2.4+2.4)*(10.764)</f>
        <v>51.667199999999994</v>
      </c>
      <c r="F154" s="92">
        <f t="shared" si="8"/>
        <v>442.35734399999996</v>
      </c>
      <c r="G154" s="92">
        <v>0</v>
      </c>
      <c r="H154" s="92">
        <f t="shared" si="9"/>
        <v>663.5360159999999</v>
      </c>
      <c r="I154" s="35"/>
      <c r="J154" s="101">
        <f t="shared" si="6"/>
        <v>3649448.0879999995</v>
      </c>
      <c r="L154" s="102"/>
      <c r="M154" s="102"/>
      <c r="N154" s="35"/>
    </row>
    <row r="155" spans="1:20" s="91" customFormat="1" ht="15.75" customHeight="1" x14ac:dyDescent="0.25">
      <c r="A155" s="103">
        <v>3</v>
      </c>
      <c r="B155" s="104"/>
      <c r="C155" s="92" t="s">
        <v>408</v>
      </c>
      <c r="D155" s="92">
        <f>(36.11)*(10.764)</f>
        <v>388.68803999999994</v>
      </c>
      <c r="E155" s="92">
        <f t="shared" ref="E155:E162" si="10">(2.62+2.1)*(10.764)</f>
        <v>50.806080000000001</v>
      </c>
      <c r="F155" s="92">
        <f t="shared" si="8"/>
        <v>439.49411999999995</v>
      </c>
      <c r="G155" s="92">
        <v>0</v>
      </c>
      <c r="H155" s="92">
        <f t="shared" si="9"/>
        <v>659.24117999999999</v>
      </c>
      <c r="I155" s="35"/>
      <c r="J155" s="101">
        <f t="shared" si="6"/>
        <v>3625826.4899999998</v>
      </c>
      <c r="L155" s="102"/>
      <c r="M155" s="102"/>
      <c r="N155" s="35"/>
    </row>
    <row r="156" spans="1:20" s="91" customFormat="1" ht="15.75" customHeight="1" x14ac:dyDescent="0.25">
      <c r="A156" s="103">
        <v>4</v>
      </c>
      <c r="B156" s="104"/>
      <c r="C156" s="92" t="s">
        <v>408</v>
      </c>
      <c r="D156" s="92">
        <f>(35.065)*(10.764)</f>
        <v>377.43965999999995</v>
      </c>
      <c r="E156" s="92">
        <f t="shared" si="10"/>
        <v>50.806080000000001</v>
      </c>
      <c r="F156" s="92">
        <f t="shared" si="8"/>
        <v>428.24573999999996</v>
      </c>
      <c r="G156" s="92">
        <v>0</v>
      </c>
      <c r="H156" s="92">
        <f t="shared" si="9"/>
        <v>642.36860999999999</v>
      </c>
      <c r="I156" s="35"/>
      <c r="J156" s="101">
        <f t="shared" si="6"/>
        <v>3533027.355</v>
      </c>
      <c r="L156" s="102"/>
      <c r="M156" s="102"/>
      <c r="N156" s="35"/>
      <c r="T156" s="20"/>
    </row>
    <row r="157" spans="1:20" s="91" customFormat="1" ht="15.75" customHeight="1" x14ac:dyDescent="0.25">
      <c r="A157" s="103">
        <v>5</v>
      </c>
      <c r="B157" s="104"/>
      <c r="C157" s="92" t="s">
        <v>408</v>
      </c>
      <c r="D157" s="92">
        <f>(35.065)*(10.764)</f>
        <v>377.43965999999995</v>
      </c>
      <c r="E157" s="92">
        <f t="shared" si="10"/>
        <v>50.806080000000001</v>
      </c>
      <c r="F157" s="92">
        <f t="shared" si="8"/>
        <v>428.24573999999996</v>
      </c>
      <c r="G157" s="92">
        <v>0</v>
      </c>
      <c r="H157" s="92">
        <f t="shared" si="9"/>
        <v>642.36860999999999</v>
      </c>
      <c r="I157" s="35"/>
      <c r="L157" s="102"/>
      <c r="M157" s="102"/>
      <c r="N157" s="35"/>
    </row>
    <row r="158" spans="1:20" s="91" customFormat="1" ht="15.75" customHeight="1" x14ac:dyDescent="0.25">
      <c r="A158" s="103">
        <v>6</v>
      </c>
      <c r="B158" s="104"/>
      <c r="C158" s="92" t="s">
        <v>408</v>
      </c>
      <c r="D158" s="92">
        <f>(35.065)*(10.764)</f>
        <v>377.43965999999995</v>
      </c>
      <c r="E158" s="92">
        <f t="shared" si="10"/>
        <v>50.806080000000001</v>
      </c>
      <c r="F158" s="92">
        <f t="shared" si="8"/>
        <v>428.24573999999996</v>
      </c>
      <c r="G158" s="92">
        <v>0</v>
      </c>
      <c r="H158" s="92">
        <f t="shared" si="9"/>
        <v>642.36860999999999</v>
      </c>
      <c r="I158" s="35"/>
      <c r="L158" s="102"/>
      <c r="M158" s="102"/>
      <c r="N158" s="35"/>
    </row>
    <row r="159" spans="1:20" s="91" customFormat="1" ht="15.75" customHeight="1" x14ac:dyDescent="0.25">
      <c r="A159" s="103">
        <v>7</v>
      </c>
      <c r="B159" s="104"/>
      <c r="C159" s="92" t="s">
        <v>408</v>
      </c>
      <c r="D159" s="92">
        <f>(35.065)*(10.764)</f>
        <v>377.43965999999995</v>
      </c>
      <c r="E159" s="92">
        <f t="shared" si="10"/>
        <v>50.806080000000001</v>
      </c>
      <c r="F159" s="92">
        <f t="shared" si="8"/>
        <v>428.24573999999996</v>
      </c>
      <c r="G159" s="92">
        <v>0</v>
      </c>
      <c r="H159" s="92">
        <f t="shared" si="9"/>
        <v>642.36860999999999</v>
      </c>
      <c r="I159" s="35"/>
      <c r="L159" s="102"/>
      <c r="M159" s="102"/>
      <c r="N159" s="35"/>
    </row>
    <row r="160" spans="1:20" s="91" customFormat="1" ht="15.75" customHeight="1" x14ac:dyDescent="0.25">
      <c r="A160" s="103">
        <v>8</v>
      </c>
      <c r="B160" s="104"/>
      <c r="C160" s="92" t="s">
        <v>408</v>
      </c>
      <c r="D160" s="92">
        <f>(36.11)*(10.764)</f>
        <v>388.68803999999994</v>
      </c>
      <c r="E160" s="92">
        <f t="shared" si="10"/>
        <v>50.806080000000001</v>
      </c>
      <c r="F160" s="92">
        <f t="shared" si="8"/>
        <v>439.49411999999995</v>
      </c>
      <c r="G160" s="92">
        <v>0</v>
      </c>
      <c r="H160" s="92">
        <f t="shared" si="9"/>
        <v>659.24117999999999</v>
      </c>
      <c r="I160" s="35"/>
      <c r="L160" s="102"/>
      <c r="M160" s="102"/>
      <c r="N160" s="35"/>
      <c r="T160" s="20"/>
    </row>
    <row r="161" spans="1:14" s="91" customFormat="1" ht="15.75" customHeight="1" x14ac:dyDescent="0.25">
      <c r="A161" s="103">
        <v>9</v>
      </c>
      <c r="B161" s="104"/>
      <c r="C161" s="92" t="s">
        <v>408</v>
      </c>
      <c r="D161" s="92">
        <f>(36.11)*(10.764)</f>
        <v>388.68803999999994</v>
      </c>
      <c r="E161" s="92">
        <f t="shared" si="10"/>
        <v>50.806080000000001</v>
      </c>
      <c r="F161" s="92">
        <f t="shared" si="8"/>
        <v>439.49411999999995</v>
      </c>
      <c r="G161" s="92">
        <v>0</v>
      </c>
      <c r="H161" s="92">
        <f t="shared" si="9"/>
        <v>659.24117999999999</v>
      </c>
      <c r="I161" s="35"/>
      <c r="L161" s="102"/>
      <c r="M161" s="102"/>
      <c r="N161" s="35"/>
    </row>
    <row r="162" spans="1:14" s="91" customFormat="1" ht="15.75" customHeight="1" x14ac:dyDescent="0.25">
      <c r="A162" s="103">
        <v>10</v>
      </c>
      <c r="B162" s="104"/>
      <c r="C162" s="92" t="s">
        <v>408</v>
      </c>
      <c r="D162" s="92">
        <f>(35.065)*(10.764)</f>
        <v>377.43965999999995</v>
      </c>
      <c r="E162" s="92">
        <f t="shared" si="10"/>
        <v>50.806080000000001</v>
      </c>
      <c r="F162" s="92">
        <f t="shared" si="8"/>
        <v>428.24573999999996</v>
      </c>
      <c r="G162" s="92">
        <v>0</v>
      </c>
      <c r="H162" s="92">
        <f t="shared" si="9"/>
        <v>642.36860999999999</v>
      </c>
      <c r="I162" s="35"/>
      <c r="L162" s="102"/>
      <c r="M162" s="102"/>
      <c r="N162" s="35"/>
    </row>
    <row r="163" spans="1:14" s="36" customFormat="1" ht="15.75" customHeight="1" x14ac:dyDescent="0.25">
      <c r="A163" s="106" t="s">
        <v>411</v>
      </c>
      <c r="B163" s="107"/>
      <c r="C163" s="107"/>
      <c r="D163" s="107"/>
      <c r="E163" s="107"/>
      <c r="F163" s="107"/>
      <c r="G163" s="107"/>
      <c r="H163" s="108"/>
      <c r="I163" s="35">
        <v>4</v>
      </c>
    </row>
    <row r="164" spans="1:14" s="36" customFormat="1" ht="15.75" customHeight="1" x14ac:dyDescent="0.25">
      <c r="A164" s="103">
        <v>1</v>
      </c>
      <c r="B164" s="104"/>
      <c r="C164" s="92" t="s">
        <v>408</v>
      </c>
      <c r="D164" s="92">
        <f>(35.065)*(10.764)</f>
        <v>377.43965999999995</v>
      </c>
      <c r="E164" s="92">
        <f>(2.62+2.1)*(10.764)</f>
        <v>50.806080000000001</v>
      </c>
      <c r="F164" s="92">
        <f>D164+E164</f>
        <v>428.24573999999996</v>
      </c>
      <c r="G164" s="92">
        <v>0</v>
      </c>
      <c r="H164" s="92">
        <f>F164*(($H$138)+1)+(IF(G164&lt;101,G164,IF(G164&lt;201,G164/2,IF(G164&lt;=301,G164/3,G164/4))))</f>
        <v>642.36860999999999</v>
      </c>
      <c r="I164" s="35"/>
    </row>
    <row r="165" spans="1:14" s="36" customFormat="1" ht="15.75" customHeight="1" x14ac:dyDescent="0.25">
      <c r="A165" s="103">
        <v>2</v>
      </c>
      <c r="B165" s="104"/>
      <c r="C165" s="92" t="s">
        <v>408</v>
      </c>
      <c r="D165" s="92">
        <f>(36.296)*(10.764)</f>
        <v>390.69014399999998</v>
      </c>
      <c r="E165" s="92">
        <f>(2.4+2.1)*(10.764)</f>
        <v>48.437999999999995</v>
      </c>
      <c r="F165" s="92">
        <f>D165+E165</f>
        <v>439.12814399999996</v>
      </c>
      <c r="G165" s="92">
        <v>0</v>
      </c>
      <c r="H165" s="92">
        <f>F165*(($H$138)+1)+(IF(G165&lt;101,G165,IF(G165&lt;201,G165/2,IF(G165&lt;=301,G165/3,G165/4))))</f>
        <v>658.69221599999992</v>
      </c>
      <c r="I165" s="35"/>
    </row>
    <row r="166" spans="1:14" s="36" customFormat="1" ht="15.75" customHeight="1" x14ac:dyDescent="0.25">
      <c r="A166" s="103">
        <v>3</v>
      </c>
      <c r="B166" s="104"/>
      <c r="C166" s="92" t="s">
        <v>408</v>
      </c>
      <c r="D166" s="92">
        <f>(36.11)*(10.764)</f>
        <v>388.68803999999994</v>
      </c>
      <c r="E166" s="92">
        <f>(2.62+2.1)*(10.764)</f>
        <v>50.806080000000001</v>
      </c>
      <c r="F166" s="92">
        <f>D166+E166</f>
        <v>439.49411999999995</v>
      </c>
      <c r="G166" s="92">
        <v>0</v>
      </c>
      <c r="H166" s="92">
        <f>F166*(($H$138)+1)+(IF(G166&lt;101,G166,IF(G166&lt;201,G166/2,IF(G166&lt;=301,G166/3,G166/4))))</f>
        <v>659.24117999999999</v>
      </c>
      <c r="I166" s="35"/>
    </row>
    <row r="167" spans="1:14" s="36" customFormat="1" ht="15.75" customHeight="1" x14ac:dyDescent="0.25">
      <c r="A167" s="103">
        <v>4</v>
      </c>
      <c r="B167" s="104"/>
      <c r="C167" s="92" t="s">
        <v>408</v>
      </c>
      <c r="D167" s="92">
        <f>(35.065)*(10.764)</f>
        <v>377.43965999999995</v>
      </c>
      <c r="E167" s="92">
        <f>(2.62+2.1)*(10.764)</f>
        <v>50.806080000000001</v>
      </c>
      <c r="F167" s="92">
        <f>D167+E167</f>
        <v>428.24573999999996</v>
      </c>
      <c r="G167" s="92">
        <v>0</v>
      </c>
      <c r="H167" s="92">
        <f>F167*(($H$138)+1)+(IF(G167&lt;101,G167,IF(G167&lt;201,G167/2,IF(G167&lt;=301,G167/3,G167/4))))</f>
        <v>642.36860999999999</v>
      </c>
      <c r="I167" s="35"/>
    </row>
    <row r="168" spans="1:14" s="36" customFormat="1" ht="15.75" customHeight="1" x14ac:dyDescent="0.25">
      <c r="A168" s="103">
        <v>5</v>
      </c>
      <c r="B168" s="104"/>
      <c r="C168" s="92" t="s">
        <v>412</v>
      </c>
      <c r="D168" s="103" t="s">
        <v>413</v>
      </c>
      <c r="E168" s="105"/>
      <c r="F168" s="105"/>
      <c r="G168" s="105"/>
      <c r="H168" s="104"/>
      <c r="I168" s="35"/>
    </row>
    <row r="169" spans="1:14" s="91" customFormat="1" ht="15.75" customHeight="1" x14ac:dyDescent="0.25">
      <c r="A169" s="103">
        <v>6</v>
      </c>
      <c r="B169" s="104"/>
      <c r="C169" s="92" t="s">
        <v>408</v>
      </c>
      <c r="D169" s="92">
        <f>(35.065)*(10.764)</f>
        <v>377.43965999999995</v>
      </c>
      <c r="E169" s="92">
        <f>(2.62+2.1)*(10.764)</f>
        <v>50.806080000000001</v>
      </c>
      <c r="F169" s="92">
        <f>D169+E169</f>
        <v>428.24573999999996</v>
      </c>
      <c r="G169" s="92">
        <v>0</v>
      </c>
      <c r="H169" s="92">
        <f>F169*(($H$138)+1)+(IF(G169&lt;101,G169,IF(G169&lt;201,G169/2,IF(G169&lt;=301,G169/3,G169/4))))</f>
        <v>642.36860999999999</v>
      </c>
      <c r="I169" s="35"/>
    </row>
    <row r="170" spans="1:14" s="91" customFormat="1" ht="15.75" customHeight="1" x14ac:dyDescent="0.25">
      <c r="A170" s="103">
        <v>7</v>
      </c>
      <c r="B170" s="104"/>
      <c r="C170" s="92" t="s">
        <v>408</v>
      </c>
      <c r="D170" s="92">
        <f>(35.065)*(10.764)</f>
        <v>377.43965999999995</v>
      </c>
      <c r="E170" s="92">
        <f>(2.62+2.1)*(10.764)</f>
        <v>50.806080000000001</v>
      </c>
      <c r="F170" s="92">
        <f>D170+E170</f>
        <v>428.24573999999996</v>
      </c>
      <c r="G170" s="92">
        <v>0</v>
      </c>
      <c r="H170" s="92">
        <f>F170*(($H$138)+1)+(IF(G170&lt;101,G170,IF(G170&lt;201,G170/2,IF(G170&lt;=301,G170/3,G170/4))))</f>
        <v>642.36860999999999</v>
      </c>
      <c r="I170" s="35"/>
    </row>
    <row r="171" spans="1:14" s="91" customFormat="1" ht="15.75" customHeight="1" x14ac:dyDescent="0.25">
      <c r="A171" s="103">
        <v>8</v>
      </c>
      <c r="B171" s="104"/>
      <c r="C171" s="92" t="s">
        <v>408</v>
      </c>
      <c r="D171" s="92">
        <f>(36.11)*(10.764)</f>
        <v>388.68803999999994</v>
      </c>
      <c r="E171" s="92">
        <f>(2.62+2.1)*(10.764)</f>
        <v>50.806080000000001</v>
      </c>
      <c r="F171" s="92">
        <f>D171+E171</f>
        <v>439.49411999999995</v>
      </c>
      <c r="G171" s="92">
        <v>0</v>
      </c>
      <c r="H171" s="92">
        <f>F171*(($H$138)+1)+(IF(G171&lt;101,G171,IF(G171&lt;201,G171/2,IF(G171&lt;=301,G171/3,G171/4))))</f>
        <v>659.24117999999999</v>
      </c>
      <c r="I171" s="35"/>
    </row>
    <row r="172" spans="1:14" s="91" customFormat="1" ht="15.75" customHeight="1" x14ac:dyDescent="0.25">
      <c r="A172" s="103">
        <v>9</v>
      </c>
      <c r="B172" s="104"/>
      <c r="C172" s="92" t="s">
        <v>408</v>
      </c>
      <c r="D172" s="92">
        <f>(36.11)*(10.764)</f>
        <v>388.68803999999994</v>
      </c>
      <c r="E172" s="92">
        <f>(2.62+2.1)*(10.764)</f>
        <v>50.806080000000001</v>
      </c>
      <c r="F172" s="92">
        <f>D172+E172</f>
        <v>439.49411999999995</v>
      </c>
      <c r="G172" s="92">
        <v>0</v>
      </c>
      <c r="H172" s="92">
        <f>F172*(($H$138)+1)+(IF(G172&lt;101,G172,IF(G172&lt;201,G172/2,IF(G172&lt;=301,G172/3,G172/4))))</f>
        <v>659.24117999999999</v>
      </c>
      <c r="I172" s="35"/>
    </row>
    <row r="173" spans="1:14" s="91" customFormat="1" ht="15.75" customHeight="1" x14ac:dyDescent="0.25">
      <c r="A173" s="103">
        <v>10</v>
      </c>
      <c r="B173" s="104"/>
      <c r="C173" s="92" t="s">
        <v>408</v>
      </c>
      <c r="D173" s="92">
        <f>(35.065)*(10.764)</f>
        <v>377.43965999999995</v>
      </c>
      <c r="E173" s="92">
        <f>(2.62+2.1)*(10.764)</f>
        <v>50.806080000000001</v>
      </c>
      <c r="F173" s="92">
        <f>D173+E173</f>
        <v>428.24573999999996</v>
      </c>
      <c r="G173" s="92">
        <v>0</v>
      </c>
      <c r="H173" s="92">
        <f>F173*(($H$138)+1)+(IF(G173&lt;101,G173,IF(G173&lt;201,G173/2,IF(G173&lt;=301,G173/3,G173/4))))</f>
        <v>642.36860999999999</v>
      </c>
      <c r="I173" s="35"/>
    </row>
    <row r="174" spans="1:14" s="36" customFormat="1" ht="15.75" customHeight="1" x14ac:dyDescent="0.25">
      <c r="A174" s="106" t="s">
        <v>414</v>
      </c>
      <c r="B174" s="107"/>
      <c r="C174" s="107"/>
      <c r="D174" s="107"/>
      <c r="E174" s="107"/>
      <c r="F174" s="107"/>
      <c r="G174" s="107"/>
      <c r="H174" s="108"/>
      <c r="I174" s="35">
        <v>1</v>
      </c>
    </row>
    <row r="175" spans="1:14" s="91" customFormat="1" ht="15.75" customHeight="1" x14ac:dyDescent="0.25">
      <c r="A175" s="106" t="s">
        <v>415</v>
      </c>
      <c r="B175" s="107"/>
      <c r="C175" s="107"/>
      <c r="D175" s="107"/>
      <c r="E175" s="107"/>
      <c r="F175" s="107"/>
      <c r="G175" s="107"/>
      <c r="H175" s="108"/>
      <c r="I175" s="35">
        <v>1</v>
      </c>
    </row>
    <row r="176" spans="1:14" s="91" customFormat="1" ht="15.75" customHeight="1" x14ac:dyDescent="0.25">
      <c r="A176" s="103">
        <v>1</v>
      </c>
      <c r="B176" s="104"/>
      <c r="C176" s="92" t="s">
        <v>408</v>
      </c>
      <c r="D176" s="92">
        <f>(35.065)*(10.764)</f>
        <v>377.43965999999995</v>
      </c>
      <c r="E176" s="92">
        <f>(2.62+2.1)*(10.764)</f>
        <v>50.806080000000001</v>
      </c>
      <c r="F176" s="92">
        <f>D176+E176</f>
        <v>428.24573999999996</v>
      </c>
      <c r="G176" s="92">
        <v>0</v>
      </c>
      <c r="H176" s="92">
        <f>F176*(($H$138)+1)+(IF(G176&lt;101,G176,IF(G176&lt;201,G176/2,IF(G176&lt;=301,G176/3,G176/4))))</f>
        <v>642.36860999999999</v>
      </c>
      <c r="I176" s="35"/>
    </row>
    <row r="177" spans="1:20" s="91" customFormat="1" ht="15.75" customHeight="1" x14ac:dyDescent="0.25">
      <c r="A177" s="103">
        <v>2</v>
      </c>
      <c r="B177" s="104"/>
      <c r="C177" s="92" t="s">
        <v>412</v>
      </c>
      <c r="D177" s="103" t="s">
        <v>416</v>
      </c>
      <c r="E177" s="105"/>
      <c r="F177" s="105"/>
      <c r="G177" s="105"/>
      <c r="H177" s="104"/>
      <c r="I177" s="35"/>
    </row>
    <row r="178" spans="1:20" s="91" customFormat="1" ht="15.75" customHeight="1" x14ac:dyDescent="0.25">
      <c r="A178" s="103">
        <v>3</v>
      </c>
      <c r="B178" s="104"/>
      <c r="C178" s="92" t="s">
        <v>412</v>
      </c>
      <c r="D178" s="103" t="s">
        <v>416</v>
      </c>
      <c r="E178" s="105"/>
      <c r="F178" s="105"/>
      <c r="G178" s="105"/>
      <c r="H178" s="104"/>
      <c r="I178" s="35"/>
    </row>
    <row r="179" spans="1:20" s="91" customFormat="1" ht="15.75" customHeight="1" x14ac:dyDescent="0.25">
      <c r="A179" s="103">
        <v>4</v>
      </c>
      <c r="B179" s="104"/>
      <c r="C179" s="92" t="s">
        <v>408</v>
      </c>
      <c r="D179" s="92">
        <f t="shared" ref="D179:D182" si="11">(35.065)*(10.764)</f>
        <v>377.43965999999995</v>
      </c>
      <c r="E179" s="92">
        <f>(2.62+2.1)*(10.764)</f>
        <v>50.806080000000001</v>
      </c>
      <c r="F179" s="92">
        <f>D179+E179</f>
        <v>428.24573999999996</v>
      </c>
      <c r="G179" s="92">
        <v>0</v>
      </c>
      <c r="H179" s="92">
        <f>F179*(($H$138)+1)+(IF(G179&lt;101,G179,IF(G179&lt;201,G179/2,IF(G179&lt;=301,G179/3,G179/4))))</f>
        <v>642.36860999999999</v>
      </c>
      <c r="I179" s="35"/>
    </row>
    <row r="180" spans="1:20" s="91" customFormat="1" ht="15.75" customHeight="1" x14ac:dyDescent="0.25">
      <c r="A180" s="103">
        <v>5</v>
      </c>
      <c r="B180" s="104"/>
      <c r="C180" s="92" t="s">
        <v>408</v>
      </c>
      <c r="D180" s="92">
        <f t="shared" si="11"/>
        <v>377.43965999999995</v>
      </c>
      <c r="E180" s="92">
        <f>(2.62+2.1)*(10.764)</f>
        <v>50.806080000000001</v>
      </c>
      <c r="F180" s="92">
        <f>D180+E180</f>
        <v>428.24573999999996</v>
      </c>
      <c r="G180" s="92">
        <v>0</v>
      </c>
      <c r="H180" s="92">
        <f>F180*(($H$138)+1)+(IF(G180&lt;101,G180,IF(G180&lt;201,G180/2,IF(G180&lt;=301,G180/3,G180/4))))</f>
        <v>642.36860999999999</v>
      </c>
      <c r="I180" s="35"/>
    </row>
    <row r="181" spans="1:20" s="36" customFormat="1" ht="15.75" customHeight="1" x14ac:dyDescent="0.25">
      <c r="A181" s="103">
        <v>6</v>
      </c>
      <c r="B181" s="104"/>
      <c r="C181" s="92" t="s">
        <v>408</v>
      </c>
      <c r="D181" s="92">
        <f t="shared" si="11"/>
        <v>377.43965999999995</v>
      </c>
      <c r="E181" s="92">
        <f>(2.62+2.1)*(10.764)</f>
        <v>50.806080000000001</v>
      </c>
      <c r="F181" s="41">
        <f>D181+E181</f>
        <v>428.24573999999996</v>
      </c>
      <c r="G181" s="41">
        <v>0</v>
      </c>
      <c r="H181" s="41">
        <f>F181*(($H$138)+1)+(IF(G181&lt;101,G181,IF(G181&lt;201,G181/2,IF(G181&lt;=301,G181/3,G181/4))))</f>
        <v>642.36860999999999</v>
      </c>
      <c r="I181" s="35"/>
    </row>
    <row r="182" spans="1:20" s="36" customFormat="1" ht="15.75" customHeight="1" x14ac:dyDescent="0.25">
      <c r="A182" s="103">
        <v>7</v>
      </c>
      <c r="B182" s="104"/>
      <c r="C182" s="92" t="s">
        <v>408</v>
      </c>
      <c r="D182" s="92">
        <f t="shared" si="11"/>
        <v>377.43965999999995</v>
      </c>
      <c r="E182" s="92">
        <f>(2.62+2.1)*(10.764)</f>
        <v>50.806080000000001</v>
      </c>
      <c r="F182" s="41">
        <f>D182+E182</f>
        <v>428.24573999999996</v>
      </c>
      <c r="G182" s="41">
        <v>0</v>
      </c>
      <c r="H182" s="41">
        <f>F182*(($H$138)+1)+(IF(G182&lt;101,G182,IF(G182&lt;201,G182/2,IF(G182&lt;=301,G182/3,G182/4))))</f>
        <v>642.36860999999999</v>
      </c>
      <c r="I182" s="35"/>
    </row>
    <row r="183" spans="1:20" s="36" customFormat="1" ht="15.75" customHeight="1" x14ac:dyDescent="0.25">
      <c r="A183" s="103">
        <v>8</v>
      </c>
      <c r="B183" s="104"/>
      <c r="C183" s="92" t="s">
        <v>412</v>
      </c>
      <c r="D183" s="103" t="s">
        <v>416</v>
      </c>
      <c r="E183" s="105"/>
      <c r="F183" s="105"/>
      <c r="G183" s="105"/>
      <c r="H183" s="104"/>
      <c r="I183" s="35"/>
    </row>
    <row r="184" spans="1:20" s="36" customFormat="1" ht="15.75" customHeight="1" x14ac:dyDescent="0.25">
      <c r="A184" s="103">
        <v>9</v>
      </c>
      <c r="B184" s="104"/>
      <c r="C184" s="92" t="s">
        <v>412</v>
      </c>
      <c r="D184" s="103" t="s">
        <v>416</v>
      </c>
      <c r="E184" s="105"/>
      <c r="F184" s="105"/>
      <c r="G184" s="105"/>
      <c r="H184" s="104"/>
      <c r="I184" s="35"/>
    </row>
    <row r="185" spans="1:20" s="36" customFormat="1" ht="15.75" customHeight="1" x14ac:dyDescent="0.25">
      <c r="A185" s="103">
        <v>10</v>
      </c>
      <c r="B185" s="104"/>
      <c r="C185" s="92" t="s">
        <v>408</v>
      </c>
      <c r="D185" s="92">
        <f>(35.065)*(10.764)</f>
        <v>377.43965999999995</v>
      </c>
      <c r="E185" s="92">
        <f>(2.62+2.1)*(10.764)</f>
        <v>50.806080000000001</v>
      </c>
      <c r="F185" s="41">
        <f>D185+E185</f>
        <v>428.24573999999996</v>
      </c>
      <c r="G185" s="41">
        <v>0</v>
      </c>
      <c r="H185" s="41">
        <f>F185*(($H$138)+1)+(IF(G185&lt;101,G185,IF(G185&lt;201,G185/2,IF(G185&lt;=301,G185/3,G185/4))))</f>
        <v>642.36860999999999</v>
      </c>
      <c r="I185" s="35"/>
    </row>
    <row r="186" spans="1:20" s="34" customFormat="1" x14ac:dyDescent="0.25">
      <c r="A186" s="230" t="s">
        <v>64</v>
      </c>
      <c r="B186" s="230"/>
      <c r="C186" s="230"/>
      <c r="D186" s="230"/>
      <c r="E186" s="230"/>
      <c r="F186" s="230"/>
      <c r="G186" s="230"/>
      <c r="H186" s="230"/>
      <c r="T186" s="36"/>
    </row>
    <row r="187" spans="1:20" s="34" customFormat="1" x14ac:dyDescent="0.25">
      <c r="A187" s="45" t="s">
        <v>147</v>
      </c>
      <c r="B187" s="115" t="s">
        <v>432</v>
      </c>
      <c r="C187" s="116"/>
      <c r="D187" s="116"/>
      <c r="E187" s="116"/>
      <c r="F187" s="116"/>
      <c r="G187" s="116"/>
      <c r="H187" s="117"/>
      <c r="T187" s="36"/>
    </row>
    <row r="188" spans="1:20" s="34" customFormat="1" x14ac:dyDescent="0.25">
      <c r="A188" s="45" t="s">
        <v>147</v>
      </c>
      <c r="B188" s="115" t="str">
        <f>(IF(H137="Saleable area Loading :","We have considered Saleable area of Flats as per our Calculation.","We considered Saleable area of Flat as per Builder area Sheet."))</f>
        <v>We have considered Saleable area of Flats as per our Calculation.</v>
      </c>
      <c r="C188" s="116"/>
      <c r="D188" s="116"/>
      <c r="E188" s="116"/>
      <c r="F188" s="116"/>
      <c r="G188" s="116"/>
      <c r="H188" s="117"/>
      <c r="T188" s="36"/>
    </row>
    <row r="189" spans="1:20" s="34" customFormat="1" x14ac:dyDescent="0.25">
      <c r="A189" s="45" t="s">
        <v>147</v>
      </c>
      <c r="B189" s="115" t="str">
        <f>(IF(H127="Saleable area Loading :","We have considered Saleable area of Commercial as per our Calculation.","We considered Saleable area of Commercial as per Builder area Sheet."))</f>
        <v>We have considered Saleable area of Commercial as per our Calculation.</v>
      </c>
      <c r="C189" s="116"/>
      <c r="D189" s="116"/>
      <c r="E189" s="116"/>
      <c r="F189" s="116"/>
      <c r="G189" s="116"/>
      <c r="H189" s="117"/>
      <c r="T189" s="36"/>
    </row>
    <row r="190" spans="1:20" s="34" customFormat="1" x14ac:dyDescent="0.25">
      <c r="A190" s="45" t="s">
        <v>147</v>
      </c>
      <c r="B190" s="138" t="s">
        <v>117</v>
      </c>
      <c r="C190" s="139"/>
      <c r="D190" s="139"/>
      <c r="E190" s="139"/>
      <c r="F190" s="139"/>
      <c r="G190" s="139"/>
      <c r="H190" s="140"/>
      <c r="T190" s="36"/>
    </row>
    <row r="191" spans="1:20" s="34" customFormat="1" x14ac:dyDescent="0.25">
      <c r="A191" s="45" t="s">
        <v>147</v>
      </c>
      <c r="B191" s="138" t="s">
        <v>419</v>
      </c>
      <c r="C191" s="139"/>
      <c r="D191" s="139"/>
      <c r="E191" s="139"/>
      <c r="F191" s="139"/>
      <c r="G191" s="139"/>
      <c r="H191" s="140"/>
      <c r="T191" s="36"/>
    </row>
    <row r="192" spans="1:20" s="34" customFormat="1" x14ac:dyDescent="0.25">
      <c r="A192" s="45" t="s">
        <v>147</v>
      </c>
      <c r="B192" s="138" t="s">
        <v>146</v>
      </c>
      <c r="C192" s="139"/>
      <c r="D192" s="139"/>
      <c r="E192" s="139"/>
      <c r="F192" s="139"/>
      <c r="G192" s="139"/>
      <c r="H192" s="140"/>
    </row>
    <row r="193" spans="1:20" s="34" customFormat="1" x14ac:dyDescent="0.25">
      <c r="A193" s="45" t="s">
        <v>147</v>
      </c>
      <c r="B193" s="138" t="s">
        <v>118</v>
      </c>
      <c r="C193" s="139"/>
      <c r="D193" s="139"/>
      <c r="E193" s="139"/>
      <c r="F193" s="139"/>
      <c r="G193" s="139"/>
      <c r="H193" s="140"/>
    </row>
    <row r="194" spans="1:20" s="34" customFormat="1" ht="34.5" customHeight="1" x14ac:dyDescent="0.25">
      <c r="A194" s="45" t="s">
        <v>147</v>
      </c>
      <c r="B194" s="115" t="s">
        <v>148</v>
      </c>
      <c r="C194" s="116"/>
      <c r="D194" s="116"/>
      <c r="E194" s="116"/>
      <c r="F194" s="116"/>
      <c r="G194" s="116"/>
      <c r="H194" s="117"/>
    </row>
    <row r="195" spans="1:20" s="34" customFormat="1" x14ac:dyDescent="0.25">
      <c r="A195" s="45" t="s">
        <v>147</v>
      </c>
      <c r="B195" s="138" t="s">
        <v>119</v>
      </c>
      <c r="C195" s="139"/>
      <c r="D195" s="139"/>
      <c r="E195" s="139"/>
      <c r="F195" s="139"/>
      <c r="G195" s="139"/>
      <c r="H195" s="140"/>
    </row>
    <row r="196" spans="1:20" s="34" customFormat="1" x14ac:dyDescent="0.25">
      <c r="A196" s="45" t="s">
        <v>147</v>
      </c>
      <c r="B196" s="266" t="s">
        <v>433</v>
      </c>
      <c r="C196" s="267"/>
      <c r="D196" s="267"/>
      <c r="E196" s="267"/>
      <c r="F196" s="267"/>
      <c r="G196" s="267"/>
      <c r="H196" s="268"/>
    </row>
    <row r="197" spans="1:20" s="34" customFormat="1" hidden="1" x14ac:dyDescent="0.25">
      <c r="A197" s="45" t="s">
        <v>147</v>
      </c>
      <c r="B197" s="115" t="s">
        <v>424</v>
      </c>
      <c r="C197" s="116"/>
      <c r="D197" s="116"/>
      <c r="E197" s="116"/>
      <c r="F197" s="116"/>
      <c r="G197" s="116"/>
      <c r="H197" s="117"/>
    </row>
    <row r="198" spans="1:20" s="34" customFormat="1" hidden="1" x14ac:dyDescent="0.25">
      <c r="A198" s="45" t="s">
        <v>147</v>
      </c>
      <c r="B198" s="110" t="s">
        <v>341</v>
      </c>
      <c r="C198" s="111"/>
      <c r="D198" s="111"/>
      <c r="E198" s="111"/>
      <c r="F198" s="111"/>
      <c r="G198" s="111"/>
      <c r="H198" s="112"/>
    </row>
    <row r="199" spans="1:20" s="34" customFormat="1" hidden="1" x14ac:dyDescent="0.25">
      <c r="A199" s="45" t="s">
        <v>147</v>
      </c>
      <c r="B199" s="110" t="str">
        <f ca="1">IF(G52&gt;EDATE(E3,-48),"NO REMARK FOR CC","REMARK FOR CC")</f>
        <v>NO REMARK FOR CC</v>
      </c>
      <c r="C199" s="111"/>
      <c r="D199" s="111"/>
      <c r="E199" s="111"/>
      <c r="F199" s="111"/>
      <c r="G199" s="111"/>
      <c r="H199" s="112"/>
    </row>
    <row r="200" spans="1:20" s="34" customFormat="1" ht="81.75" hidden="1" customHeight="1" x14ac:dyDescent="0.25">
      <c r="A200" s="45" t="s">
        <v>147</v>
      </c>
      <c r="B200" s="110" t="s">
        <v>342</v>
      </c>
      <c r="C200" s="111"/>
      <c r="D200" s="111"/>
      <c r="E200" s="111"/>
      <c r="F200" s="111"/>
      <c r="G200" s="111"/>
      <c r="H200" s="112"/>
    </row>
    <row r="201" spans="1:20" x14ac:dyDescent="0.25">
      <c r="A201" s="201" t="s">
        <v>57</v>
      </c>
      <c r="B201" s="201"/>
      <c r="C201" s="201"/>
      <c r="D201" s="201"/>
      <c r="E201" s="201"/>
      <c r="F201" s="201"/>
      <c r="G201" s="201"/>
      <c r="H201" s="201"/>
      <c r="T201" s="34"/>
    </row>
    <row r="202" spans="1:20" x14ac:dyDescent="0.25">
      <c r="A202" s="129" t="s">
        <v>58</v>
      </c>
      <c r="B202" s="129"/>
      <c r="C202" s="129"/>
      <c r="D202" s="129"/>
      <c r="E202" s="129"/>
      <c r="F202" s="129"/>
      <c r="G202" s="129"/>
      <c r="H202" s="129"/>
      <c r="T202" s="34"/>
    </row>
    <row r="203" spans="1:20" ht="15.75" customHeight="1" x14ac:dyDescent="0.25">
      <c r="A203" s="229" t="s">
        <v>59</v>
      </c>
      <c r="B203" s="229"/>
      <c r="C203" s="229"/>
      <c r="D203" s="229"/>
      <c r="E203" s="229"/>
      <c r="F203" s="229"/>
      <c r="G203" s="229"/>
      <c r="H203" s="229"/>
      <c r="T203" s="34"/>
    </row>
    <row r="204" spans="1:20" x14ac:dyDescent="0.25">
      <c r="A204" s="129" t="s">
        <v>60</v>
      </c>
      <c r="B204" s="129"/>
      <c r="C204" s="129"/>
      <c r="D204" s="129"/>
      <c r="E204" s="129"/>
      <c r="F204" s="129"/>
      <c r="G204" s="129"/>
      <c r="H204" s="129"/>
      <c r="T204" s="34"/>
    </row>
    <row r="205" spans="1:20" x14ac:dyDescent="0.25">
      <c r="A205" s="129" t="s">
        <v>61</v>
      </c>
      <c r="B205" s="129"/>
      <c r="C205" s="129"/>
      <c r="D205" s="129"/>
      <c r="E205" s="129"/>
      <c r="F205" s="129"/>
      <c r="G205" s="129"/>
      <c r="H205" s="129"/>
      <c r="T205" s="34"/>
    </row>
    <row r="206" spans="1:20" x14ac:dyDescent="0.25">
      <c r="A206" s="129" t="s">
        <v>120</v>
      </c>
      <c r="B206" s="129"/>
      <c r="C206" s="129"/>
      <c r="D206" s="129"/>
      <c r="E206" s="129"/>
      <c r="F206" s="129"/>
      <c r="G206" s="129"/>
      <c r="H206" s="129"/>
      <c r="T206" s="34"/>
    </row>
    <row r="207" spans="1:20" ht="33.950000000000003" customHeight="1" x14ac:dyDescent="0.25">
      <c r="A207" s="172" t="s">
        <v>121</v>
      </c>
      <c r="B207" s="172"/>
      <c r="C207" s="172"/>
      <c r="D207" s="172"/>
      <c r="E207" s="172"/>
      <c r="F207" s="172"/>
      <c r="G207" s="172"/>
      <c r="H207" s="172"/>
    </row>
    <row r="208" spans="1:20" x14ac:dyDescent="0.25">
      <c r="A208" s="220" t="s">
        <v>73</v>
      </c>
      <c r="B208" s="220"/>
      <c r="C208" s="220" t="s">
        <v>429</v>
      </c>
      <c r="D208" s="220"/>
      <c r="E208" s="220" t="s">
        <v>103</v>
      </c>
      <c r="F208" s="220"/>
      <c r="G208" s="220" t="s">
        <v>430</v>
      </c>
      <c r="H208" s="220"/>
    </row>
    <row r="209" spans="1:8" x14ac:dyDescent="0.25">
      <c r="A209" s="219" t="s">
        <v>75</v>
      </c>
      <c r="B209" s="219"/>
      <c r="C209" s="219"/>
      <c r="D209" s="219"/>
      <c r="E209" s="219"/>
      <c r="F209" s="219"/>
      <c r="G209" s="219"/>
      <c r="H209" s="219"/>
    </row>
    <row r="210" spans="1:8" x14ac:dyDescent="0.25">
      <c r="A210" s="219"/>
      <c r="B210" s="219"/>
      <c r="C210" s="219"/>
      <c r="D210" s="219"/>
      <c r="E210" s="219"/>
      <c r="F210" s="219"/>
      <c r="G210" s="219"/>
      <c r="H210" s="219"/>
    </row>
    <row r="211" spans="1:8" x14ac:dyDescent="0.25">
      <c r="A211" s="219"/>
      <c r="B211" s="219"/>
      <c r="C211" s="219"/>
      <c r="D211" s="219"/>
      <c r="E211" s="219"/>
      <c r="F211" s="219"/>
      <c r="G211" s="219"/>
      <c r="H211" s="219"/>
    </row>
    <row r="212" spans="1:8" x14ac:dyDescent="0.25">
      <c r="A212" s="219"/>
      <c r="B212" s="219"/>
      <c r="C212" s="219"/>
      <c r="D212" s="219"/>
      <c r="E212" s="219"/>
      <c r="F212" s="219"/>
      <c r="G212" s="219"/>
      <c r="H212" s="219"/>
    </row>
    <row r="213" spans="1:8" x14ac:dyDescent="0.25">
      <c r="A213" s="37" t="s">
        <v>62</v>
      </c>
      <c r="B213" s="38"/>
      <c r="C213" s="38"/>
      <c r="D213" s="37" t="str">
        <f>E9</f>
        <v>Konnark Stellar</v>
      </c>
      <c r="F213" s="38"/>
      <c r="G213" s="38"/>
      <c r="H213" s="38"/>
    </row>
    <row r="214" spans="1:8" x14ac:dyDescent="0.25">
      <c r="A214" s="38"/>
      <c r="B214" s="38"/>
      <c r="C214" s="38"/>
      <c r="D214" s="38"/>
      <c r="E214" s="38"/>
      <c r="F214" s="38"/>
      <c r="G214" s="38"/>
      <c r="H214" s="38"/>
    </row>
    <row r="215" spans="1:8" x14ac:dyDescent="0.25">
      <c r="A215" s="38"/>
      <c r="B215" s="38"/>
      <c r="C215" s="38"/>
      <c r="D215" s="38"/>
      <c r="E215" s="38"/>
      <c r="F215" s="38"/>
      <c r="G215" s="38"/>
      <c r="H215" s="38"/>
    </row>
    <row r="216" spans="1:8" ht="15" customHeight="1" x14ac:dyDescent="0.25"/>
    <row r="257" spans="1:1" x14ac:dyDescent="0.25">
      <c r="A257" s="40" t="s">
        <v>157</v>
      </c>
    </row>
    <row r="301" spans="1:1" x14ac:dyDescent="0.25">
      <c r="A301" s="40" t="s">
        <v>63</v>
      </c>
    </row>
  </sheetData>
  <mergeCells count="378">
    <mergeCell ref="G78:H78"/>
    <mergeCell ref="A87:B87"/>
    <mergeCell ref="A88:B88"/>
    <mergeCell ref="A83:B83"/>
    <mergeCell ref="A82:B82"/>
    <mergeCell ref="E78:F78"/>
    <mergeCell ref="A80:B80"/>
    <mergeCell ref="E121:F121"/>
    <mergeCell ref="A125:H125"/>
    <mergeCell ref="A85:B85"/>
    <mergeCell ref="A99:B99"/>
    <mergeCell ref="F104:H104"/>
    <mergeCell ref="G118:H118"/>
    <mergeCell ref="A102:B102"/>
    <mergeCell ref="F110:H110"/>
    <mergeCell ref="C117:D117"/>
    <mergeCell ref="C123:D123"/>
    <mergeCell ref="F103:H103"/>
    <mergeCell ref="A81:B81"/>
    <mergeCell ref="E79:F88"/>
    <mergeCell ref="G79:H88"/>
    <mergeCell ref="A122:B122"/>
    <mergeCell ref="C122:D122"/>
    <mergeCell ref="E122:F122"/>
    <mergeCell ref="I15:P15"/>
    <mergeCell ref="F113:H113"/>
    <mergeCell ref="F111:H111"/>
    <mergeCell ref="A126:H126"/>
    <mergeCell ref="G117:H117"/>
    <mergeCell ref="A112:E112"/>
    <mergeCell ref="A132:B132"/>
    <mergeCell ref="A61:B61"/>
    <mergeCell ref="C61:E61"/>
    <mergeCell ref="D63:H63"/>
    <mergeCell ref="F112:H112"/>
    <mergeCell ref="E117:F117"/>
    <mergeCell ref="A117:B117"/>
    <mergeCell ref="C121:D121"/>
    <mergeCell ref="D72:H72"/>
    <mergeCell ref="D64:H64"/>
    <mergeCell ref="G61:H61"/>
    <mergeCell ref="A54:B55"/>
    <mergeCell ref="A84:B84"/>
    <mergeCell ref="A50:B50"/>
    <mergeCell ref="A72:C72"/>
    <mergeCell ref="D73:H73"/>
    <mergeCell ref="A79:B79"/>
    <mergeCell ref="A97:B97"/>
    <mergeCell ref="B191:H191"/>
    <mergeCell ref="F106:H106"/>
    <mergeCell ref="A110:E110"/>
    <mergeCell ref="A109:E109"/>
    <mergeCell ref="A136:H136"/>
    <mergeCell ref="A186:H186"/>
    <mergeCell ref="A184:B184"/>
    <mergeCell ref="A185:B185"/>
    <mergeCell ref="A174:H174"/>
    <mergeCell ref="A163:H163"/>
    <mergeCell ref="A137:A138"/>
    <mergeCell ref="F137:F138"/>
    <mergeCell ref="B190:H190"/>
    <mergeCell ref="F108:H108"/>
    <mergeCell ref="A142:B142"/>
    <mergeCell ref="A134:B134"/>
    <mergeCell ref="A133:B133"/>
    <mergeCell ref="F109:H109"/>
    <mergeCell ref="A108:E108"/>
    <mergeCell ref="A113:E113"/>
    <mergeCell ref="A119:B119"/>
    <mergeCell ref="C119:D119"/>
    <mergeCell ref="E119:F119"/>
    <mergeCell ref="G119:H119"/>
    <mergeCell ref="A206:H206"/>
    <mergeCell ref="A203:H203"/>
    <mergeCell ref="A121:B121"/>
    <mergeCell ref="D137:D138"/>
    <mergeCell ref="E137:E138"/>
    <mergeCell ref="B199:H199"/>
    <mergeCell ref="B198:H198"/>
    <mergeCell ref="A202:H202"/>
    <mergeCell ref="A11:D11"/>
    <mergeCell ref="E11:H11"/>
    <mergeCell ref="A23:D24"/>
    <mergeCell ref="A111:E111"/>
    <mergeCell ref="E28:H28"/>
    <mergeCell ref="A12:D12"/>
    <mergeCell ref="E12:H12"/>
    <mergeCell ref="A17:B17"/>
    <mergeCell ref="A14:D14"/>
    <mergeCell ref="A19:B19"/>
    <mergeCell ref="C19:D19"/>
    <mergeCell ref="E19:F19"/>
    <mergeCell ref="G19:H19"/>
    <mergeCell ref="A20:B20"/>
    <mergeCell ref="C20:D20"/>
    <mergeCell ref="E15:H15"/>
    <mergeCell ref="A209:H212"/>
    <mergeCell ref="A208:B208"/>
    <mergeCell ref="E208:F208"/>
    <mergeCell ref="C208:D208"/>
    <mergeCell ref="G208:H208"/>
    <mergeCell ref="A116:H116"/>
    <mergeCell ref="A114:E114"/>
    <mergeCell ref="F114:H114"/>
    <mergeCell ref="A115:E115"/>
    <mergeCell ref="F115:H115"/>
    <mergeCell ref="A152:H152"/>
    <mergeCell ref="A166:B166"/>
    <mergeCell ref="A118:B118"/>
    <mergeCell ref="A204:H204"/>
    <mergeCell ref="A120:H120"/>
    <mergeCell ref="A207:H207"/>
    <mergeCell ref="A205:H205"/>
    <mergeCell ref="A201:H201"/>
    <mergeCell ref="G121:H121"/>
    <mergeCell ref="B192:H192"/>
    <mergeCell ref="B197:H197"/>
    <mergeCell ref="A123:B123"/>
    <mergeCell ref="E123:F123"/>
    <mergeCell ref="G123:H123"/>
    <mergeCell ref="A1:H1"/>
    <mergeCell ref="A2:H2"/>
    <mergeCell ref="A3:D3"/>
    <mergeCell ref="E3:H3"/>
    <mergeCell ref="A5:D5"/>
    <mergeCell ref="A9:D9"/>
    <mergeCell ref="E9:H9"/>
    <mergeCell ref="A10:D10"/>
    <mergeCell ref="E10:H10"/>
    <mergeCell ref="E5:H5"/>
    <mergeCell ref="A6:D6"/>
    <mergeCell ref="E6:H6"/>
    <mergeCell ref="A7:D7"/>
    <mergeCell ref="E7:H7"/>
    <mergeCell ref="A8:D8"/>
    <mergeCell ref="E8:H8"/>
    <mergeCell ref="A4:D4"/>
    <mergeCell ref="E4:H4"/>
    <mergeCell ref="A16:B16"/>
    <mergeCell ref="C16:H16"/>
    <mergeCell ref="C17:H17"/>
    <mergeCell ref="A18:B18"/>
    <mergeCell ref="C18:H18"/>
    <mergeCell ref="A13:D13"/>
    <mergeCell ref="E13:H13"/>
    <mergeCell ref="E14:H14"/>
    <mergeCell ref="A15:D15"/>
    <mergeCell ref="C37:E37"/>
    <mergeCell ref="A42:D42"/>
    <mergeCell ref="A25:D25"/>
    <mergeCell ref="E25:H25"/>
    <mergeCell ref="A30:D30"/>
    <mergeCell ref="E30:H30"/>
    <mergeCell ref="A27:D27"/>
    <mergeCell ref="E20:F20"/>
    <mergeCell ref="G20:H20"/>
    <mergeCell ref="A21:B21"/>
    <mergeCell ref="C21:D21"/>
    <mergeCell ref="E21:F21"/>
    <mergeCell ref="G21:H21"/>
    <mergeCell ref="A22:B22"/>
    <mergeCell ref="C22:D22"/>
    <mergeCell ref="E22:F22"/>
    <mergeCell ref="G22:H22"/>
    <mergeCell ref="E23:H24"/>
    <mergeCell ref="E27:H27"/>
    <mergeCell ref="A29:D29"/>
    <mergeCell ref="E29:H29"/>
    <mergeCell ref="A26:D26"/>
    <mergeCell ref="E26:H26"/>
    <mergeCell ref="A28:D28"/>
    <mergeCell ref="A36:B36"/>
    <mergeCell ref="C36:E36"/>
    <mergeCell ref="A31:D31"/>
    <mergeCell ref="E31:H31"/>
    <mergeCell ref="A32:D32"/>
    <mergeCell ref="E32:H32"/>
    <mergeCell ref="C33:E33"/>
    <mergeCell ref="F36:H36"/>
    <mergeCell ref="F33:H33"/>
    <mergeCell ref="A34:B34"/>
    <mergeCell ref="A33:B33"/>
    <mergeCell ref="C34:E34"/>
    <mergeCell ref="A35:B35"/>
    <mergeCell ref="C35:E35"/>
    <mergeCell ref="F34:H34"/>
    <mergeCell ref="F35:H35"/>
    <mergeCell ref="A77:B77"/>
    <mergeCell ref="A75:B75"/>
    <mergeCell ref="C75:H75"/>
    <mergeCell ref="A70:C70"/>
    <mergeCell ref="D70:H70"/>
    <mergeCell ref="C77:H77"/>
    <mergeCell ref="A71:C71"/>
    <mergeCell ref="D71:H71"/>
    <mergeCell ref="A74:C74"/>
    <mergeCell ref="D74:H74"/>
    <mergeCell ref="A73:C73"/>
    <mergeCell ref="A45:D45"/>
    <mergeCell ref="A49:B49"/>
    <mergeCell ref="C49:H49"/>
    <mergeCell ref="A66:C67"/>
    <mergeCell ref="D66:H66"/>
    <mergeCell ref="D67:H67"/>
    <mergeCell ref="G52:H52"/>
    <mergeCell ref="A62:H62"/>
    <mergeCell ref="A58:B60"/>
    <mergeCell ref="C60:H60"/>
    <mergeCell ref="C58:E59"/>
    <mergeCell ref="F37:H37"/>
    <mergeCell ref="C51:E51"/>
    <mergeCell ref="C50:E50"/>
    <mergeCell ref="G50:H50"/>
    <mergeCell ref="A51:B51"/>
    <mergeCell ref="G56:H56"/>
    <mergeCell ref="G58:H58"/>
    <mergeCell ref="G51:H51"/>
    <mergeCell ref="A39:B39"/>
    <mergeCell ref="C39:H39"/>
    <mergeCell ref="C55:H55"/>
    <mergeCell ref="A52:B53"/>
    <mergeCell ref="C54:E54"/>
    <mergeCell ref="C52:E52"/>
    <mergeCell ref="C56:E56"/>
    <mergeCell ref="G54:H54"/>
    <mergeCell ref="A56:B57"/>
    <mergeCell ref="E42:H42"/>
    <mergeCell ref="A41:H41"/>
    <mergeCell ref="A46:D46"/>
    <mergeCell ref="A47:D47"/>
    <mergeCell ref="E43:H43"/>
    <mergeCell ref="A43:D43"/>
    <mergeCell ref="A37:B37"/>
    <mergeCell ref="A38:H38"/>
    <mergeCell ref="L134:M134"/>
    <mergeCell ref="L133:M133"/>
    <mergeCell ref="L132:M132"/>
    <mergeCell ref="L131:M131"/>
    <mergeCell ref="A86:B86"/>
    <mergeCell ref="A104:E104"/>
    <mergeCell ref="A89:B89"/>
    <mergeCell ref="C89:H89"/>
    <mergeCell ref="E127:E128"/>
    <mergeCell ref="A93:B93"/>
    <mergeCell ref="C91:H91"/>
    <mergeCell ref="A94:B94"/>
    <mergeCell ref="A95:B95"/>
    <mergeCell ref="G93:H102"/>
    <mergeCell ref="A96:B96"/>
    <mergeCell ref="F105:H105"/>
    <mergeCell ref="A105:E105"/>
    <mergeCell ref="E124:F124"/>
    <mergeCell ref="A91:B91"/>
    <mergeCell ref="C53:H53"/>
    <mergeCell ref="A63:C63"/>
    <mergeCell ref="A68:C68"/>
    <mergeCell ref="A69:C69"/>
    <mergeCell ref="A40:B40"/>
    <mergeCell ref="C40:H40"/>
    <mergeCell ref="F127:F128"/>
    <mergeCell ref="C118:D118"/>
    <mergeCell ref="E118:F118"/>
    <mergeCell ref="B127:B128"/>
    <mergeCell ref="A127:A128"/>
    <mergeCell ref="C137:C138"/>
    <mergeCell ref="G137:G138"/>
    <mergeCell ref="G124:H124"/>
    <mergeCell ref="D68:H68"/>
    <mergeCell ref="A64:C64"/>
    <mergeCell ref="G59:H59"/>
    <mergeCell ref="A78:B78"/>
    <mergeCell ref="D69:H69"/>
    <mergeCell ref="A44:D44"/>
    <mergeCell ref="E44:H44"/>
    <mergeCell ref="E45:H45"/>
    <mergeCell ref="E46:H46"/>
    <mergeCell ref="E47:H47"/>
    <mergeCell ref="C57:H57"/>
    <mergeCell ref="A48:H48"/>
    <mergeCell ref="D65:H65"/>
    <mergeCell ref="A65:C65"/>
    <mergeCell ref="A98:B98"/>
    <mergeCell ref="G92:H92"/>
    <mergeCell ref="B195:H195"/>
    <mergeCell ref="B193:H193"/>
    <mergeCell ref="A131:B131"/>
    <mergeCell ref="C124:D124"/>
    <mergeCell ref="A183:B183"/>
    <mergeCell ref="D127:D128"/>
    <mergeCell ref="A100:B100"/>
    <mergeCell ref="A164:B164"/>
    <mergeCell ref="A135:H135"/>
    <mergeCell ref="A139:H139"/>
    <mergeCell ref="A140:H140"/>
    <mergeCell ref="A141:H141"/>
    <mergeCell ref="A150:B150"/>
    <mergeCell ref="A156:B156"/>
    <mergeCell ref="A179:B179"/>
    <mergeCell ref="A180:B180"/>
    <mergeCell ref="D183:H183"/>
    <mergeCell ref="D184:H184"/>
    <mergeCell ref="A173:B173"/>
    <mergeCell ref="A167:B167"/>
    <mergeCell ref="A165:B165"/>
    <mergeCell ref="A181:B181"/>
    <mergeCell ref="B200:H200"/>
    <mergeCell ref="C127:C128"/>
    <mergeCell ref="B137:B138"/>
    <mergeCell ref="B189:H189"/>
    <mergeCell ref="A92:B92"/>
    <mergeCell ref="E92:F92"/>
    <mergeCell ref="E93:F102"/>
    <mergeCell ref="G122:H122"/>
    <mergeCell ref="B196:H196"/>
    <mergeCell ref="A124:B124"/>
    <mergeCell ref="A101:B101"/>
    <mergeCell ref="A106:E106"/>
    <mergeCell ref="A103:E103"/>
    <mergeCell ref="F107:H107"/>
    <mergeCell ref="A168:B168"/>
    <mergeCell ref="A107:E107"/>
    <mergeCell ref="A145:B145"/>
    <mergeCell ref="B194:H194"/>
    <mergeCell ref="G127:G128"/>
    <mergeCell ref="A182:B182"/>
    <mergeCell ref="B187:H187"/>
    <mergeCell ref="B188:H188"/>
    <mergeCell ref="A129:H129"/>
    <mergeCell ref="A130:H130"/>
    <mergeCell ref="L141:M141"/>
    <mergeCell ref="A146:B146"/>
    <mergeCell ref="L146:M146"/>
    <mergeCell ref="A147:B147"/>
    <mergeCell ref="L147:M147"/>
    <mergeCell ref="A148:B148"/>
    <mergeCell ref="L148:M148"/>
    <mergeCell ref="A149:B149"/>
    <mergeCell ref="L149:M149"/>
    <mergeCell ref="L145:M145"/>
    <mergeCell ref="L142:M142"/>
    <mergeCell ref="A143:B143"/>
    <mergeCell ref="L143:M143"/>
    <mergeCell ref="A144:B144"/>
    <mergeCell ref="L144:M144"/>
    <mergeCell ref="L150:M150"/>
    <mergeCell ref="A151:B151"/>
    <mergeCell ref="L151:M151"/>
    <mergeCell ref="A153:B153"/>
    <mergeCell ref="L153:M153"/>
    <mergeCell ref="A154:B154"/>
    <mergeCell ref="L154:M154"/>
    <mergeCell ref="A155:B155"/>
    <mergeCell ref="L155:M155"/>
    <mergeCell ref="L152:M152"/>
    <mergeCell ref="L156:M156"/>
    <mergeCell ref="A157:B157"/>
    <mergeCell ref="L157:M157"/>
    <mergeCell ref="D168:H168"/>
    <mergeCell ref="A176:B176"/>
    <mergeCell ref="A177:B177"/>
    <mergeCell ref="A178:B178"/>
    <mergeCell ref="A158:B158"/>
    <mergeCell ref="L158:M158"/>
    <mergeCell ref="A159:B159"/>
    <mergeCell ref="L159:M159"/>
    <mergeCell ref="A160:B160"/>
    <mergeCell ref="L160:M160"/>
    <mergeCell ref="A161:B161"/>
    <mergeCell ref="L161:M161"/>
    <mergeCell ref="A162:B162"/>
    <mergeCell ref="L162:M162"/>
    <mergeCell ref="A175:H175"/>
    <mergeCell ref="D177:H177"/>
    <mergeCell ref="D178:H178"/>
    <mergeCell ref="A169:B169"/>
    <mergeCell ref="A170:B170"/>
    <mergeCell ref="A171:B171"/>
    <mergeCell ref="A172:B172"/>
  </mergeCells>
  <dataValidations count="16">
    <dataValidation type="list" allowBlank="1" showInputMessage="1" showErrorMessage="1" sqref="A17:B17">
      <formula1>"CTS No,Survey No,Plot No,Gut No,FP No,"</formula1>
    </dataValidation>
    <dataValidation type="list" allowBlank="1" showInputMessage="1" showErrorMessage="1" sqref="G20:H20">
      <formula1>$S$13:$W$13</formula1>
    </dataValidation>
    <dataValidation type="list" allowBlank="1" showInputMessage="1" showErrorMessage="1" sqref="E127:E128">
      <formula1>"Attached Loft area,Attached Otla area,Attached Mezzanine area"</formula1>
    </dataValidation>
    <dataValidation type="list" allowBlank="1" showInputMessage="1" showErrorMessage="1" sqref="G208:H208">
      <formula1>"Kunal Kadam,Pranita Mhatre,Shruti Fule,Pooja Kawale,Gaurav Panchal,Shruti Tathare, Dipti Gothawade,Saurav Panse, Sachin Sawant"</formula1>
    </dataValidation>
    <dataValidation type="list" allowBlank="1" showInputMessage="1" showErrorMessage="1" sqref="F103:H103">
      <formula1>"On Saleable Area,On Builtup Area,On Carpet Area,On Plot Area"</formula1>
    </dataValidation>
    <dataValidation type="list" allowBlank="1" showInputMessage="1" showErrorMessage="1" sqref="F114:H114">
      <formula1>OFFSET($S$103,1,MATCH($G20,$S$103:$W$103,0)-1,15,1)</formula1>
    </dataValidation>
    <dataValidation type="list" allowBlank="1" showInputMessage="1" showErrorMessage="1" sqref="B127:B128">
      <formula1>"Shop No. (Sale Plan),Sale / Rehab,Sale / Mhada"</formula1>
    </dataValidation>
    <dataValidation type="list" allowBlank="1" showInputMessage="1" showErrorMessage="1" sqref="B137:B138">
      <formula1>"Flat No. (Sale Plan),Sale / Rehab,Sale / Mhada"</formula1>
    </dataValidation>
    <dataValidation type="list" allowBlank="1" showInputMessage="1" showErrorMessage="1" sqref="C21:D21">
      <formula1>OFFSET($S$13,1,MATCH($G20,$S$13:$W$13,0)-1,15,1)</formula1>
    </dataValidation>
    <dataValidation type="list" allowBlank="1" showInputMessage="1" showErrorMessage="1" sqref="Y13">
      <formula1>$D$5:$H$5</formula1>
    </dataValidation>
    <dataValidation type="list" allowBlank="1" showInputMessage="1" showErrorMessage="1" sqref="E137:E138">
      <formula1>"Fungible area,Balcony Area,Chajja Area,Cornice Area,AP Area,WS Area"</formula1>
    </dataValidation>
    <dataValidation type="list" allowBlank="1" showInputMessage="1" showErrorMessage="1" sqref="H128 H138">
      <formula1>".45,.50,.55,.60"</formula1>
    </dataValidation>
    <dataValidation type="list" allowBlank="1" showInputMessage="1" showErrorMessage="1" sqref="C49:H49">
      <formula1>OFFSET($S$49,1,MATCH($G20,$S$49:$W$49,0)-1,15,1)</formula1>
    </dataValidation>
    <dataValidation type="list" allowBlank="1" showInputMessage="1" showErrorMessage="1" sqref="H127 H137">
      <formula1>"Saleable area Loading :,Builder Saleable Area"</formula1>
    </dataValidation>
    <dataValidation type="list" allowBlank="1" showInputMessage="1" showErrorMessage="1" sqref="D127:D128">
      <formula1>"Carpet area,RERA Carpet area"</formula1>
    </dataValidation>
    <dataValidation type="list" allowBlank="1" showInputMessage="1" showErrorMessage="1" sqref="D137:D138">
      <formula1>"Carpet Area,Carpet + Encl Balcony Area,RERA Carpet area"</formula1>
    </dataValidation>
  </dataValidations>
  <hyperlinks>
    <hyperlink ref="C40" r:id="rId1"/>
  </hyperlinks>
  <printOptions horizontalCentered="1"/>
  <pageMargins left="0.39370078740157483" right="0.39370078740157483" top="0.82677165354330717" bottom="0.78740157480314965" header="0.15748031496062992" footer="0.19685039370078741"/>
  <pageSetup paperSize="2" fitToHeight="0" orientation="portrait" r:id="rId2"/>
  <headerFooter>
    <oddHeader>&amp;C&amp;G</oddHeader>
    <oddFooter>&amp;L&amp;"Times New Roman,Bold"&amp;12Ref No: &amp;F&amp;C&amp;G&amp;R&amp;"Times New Roman,Bold"&amp;12&amp;P</oddFooter>
  </headerFooter>
  <rowBreaks count="5" manualBreakCount="5">
    <brk id="74" max="7" man="1"/>
    <brk id="124" max="7" man="1"/>
    <brk id="212" max="16383" man="1"/>
    <brk id="256" max="16383" man="1"/>
    <brk id="300" max="16383" man="1"/>
  </rowBreaks>
  <drawing r:id="rId3"/>
  <legacyDrawing r:id="rId4"/>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I16"/>
  <sheetViews>
    <sheetView zoomScale="85" zoomScaleNormal="85" workbookViewId="0">
      <selection activeCell="K3" sqref="K3"/>
    </sheetView>
  </sheetViews>
  <sheetFormatPr defaultColWidth="8.7109375" defaultRowHeight="15" x14ac:dyDescent="0.25"/>
  <cols>
    <col min="1" max="1" width="8.7109375" style="1"/>
    <col min="2" max="2" width="22.140625" style="1" customWidth="1"/>
    <col min="3" max="3" width="37" style="1" customWidth="1"/>
    <col min="4" max="5" width="11.42578125" style="1" customWidth="1"/>
    <col min="6" max="6" width="14" style="1" customWidth="1"/>
    <col min="7" max="7" width="20" style="1" customWidth="1"/>
    <col min="8" max="8" width="16.42578125" style="1" customWidth="1"/>
    <col min="9" max="16384" width="8.7109375" style="1"/>
  </cols>
  <sheetData>
    <row r="1" spans="1:9" ht="15" customHeight="1" x14ac:dyDescent="0.25"/>
    <row r="2" spans="1:9" ht="15" customHeight="1" x14ac:dyDescent="0.25">
      <c r="A2" s="2"/>
      <c r="B2" s="2"/>
      <c r="C2" s="2"/>
      <c r="D2" s="2"/>
      <c r="E2" s="2"/>
      <c r="F2" s="2"/>
      <c r="G2" s="2"/>
      <c r="H2" s="2"/>
    </row>
    <row r="3" spans="1:9" ht="15.75" customHeight="1" x14ac:dyDescent="0.25">
      <c r="A3" s="2"/>
      <c r="B3" s="256" t="s">
        <v>104</v>
      </c>
      <c r="C3" s="256"/>
      <c r="D3" s="256"/>
      <c r="E3" s="256"/>
      <c r="F3" s="256"/>
      <c r="G3" s="256"/>
      <c r="H3" s="256"/>
    </row>
    <row r="4" spans="1:9" x14ac:dyDescent="0.25">
      <c r="A4" s="2"/>
      <c r="B4" s="3" t="s">
        <v>105</v>
      </c>
      <c r="C4" s="3" t="s">
        <v>106</v>
      </c>
      <c r="D4" s="3" t="s">
        <v>65</v>
      </c>
      <c r="E4" s="3" t="s">
        <v>107</v>
      </c>
      <c r="F4" s="3" t="s">
        <v>113</v>
      </c>
      <c r="G4" s="3" t="s">
        <v>114</v>
      </c>
      <c r="H4" s="3" t="s">
        <v>108</v>
      </c>
    </row>
    <row r="5" spans="1:9" ht="15" customHeight="1" x14ac:dyDescent="0.25">
      <c r="A5" s="2"/>
      <c r="B5" s="5" t="s">
        <v>109</v>
      </c>
      <c r="C5" s="6"/>
      <c r="D5" s="5"/>
      <c r="E5" s="5"/>
      <c r="F5" s="7">
        <f>E5*1.6</f>
        <v>0</v>
      </c>
      <c r="G5" s="7" t="e">
        <f>H5/F5</f>
        <v>#DIV/0!</v>
      </c>
      <c r="H5" s="8"/>
    </row>
    <row r="6" spans="1:9" x14ac:dyDescent="0.25">
      <c r="A6" s="2"/>
      <c r="B6" s="5" t="s">
        <v>109</v>
      </c>
      <c r="C6" s="9"/>
      <c r="D6" s="5"/>
      <c r="E6" s="5"/>
      <c r="F6" s="7">
        <f t="shared" ref="F6:F11" si="0">E6*1.6</f>
        <v>0</v>
      </c>
      <c r="G6" s="7" t="e">
        <f t="shared" ref="G6:G11" si="1">H6/F6</f>
        <v>#DIV/0!</v>
      </c>
      <c r="H6" s="8"/>
    </row>
    <row r="7" spans="1:9" ht="15" customHeight="1" x14ac:dyDescent="0.25">
      <c r="A7" s="2"/>
      <c r="B7" s="5" t="s">
        <v>109</v>
      </c>
      <c r="C7" s="6"/>
      <c r="D7" s="5"/>
      <c r="E7" s="5"/>
      <c r="F7" s="7">
        <f t="shared" si="0"/>
        <v>0</v>
      </c>
      <c r="G7" s="7" t="e">
        <f t="shared" si="1"/>
        <v>#DIV/0!</v>
      </c>
      <c r="H7" s="8"/>
    </row>
    <row r="8" spans="1:9" x14ac:dyDescent="0.25">
      <c r="A8" s="2"/>
      <c r="B8" s="5" t="s">
        <v>109</v>
      </c>
      <c r="C8" s="9"/>
      <c r="D8" s="5"/>
      <c r="E8" s="5"/>
      <c r="F8" s="7">
        <f t="shared" si="0"/>
        <v>0</v>
      </c>
      <c r="G8" s="7" t="e">
        <f t="shared" si="1"/>
        <v>#DIV/0!</v>
      </c>
      <c r="H8" s="8"/>
    </row>
    <row r="9" spans="1:9" ht="15" customHeight="1" x14ac:dyDescent="0.25">
      <c r="A9" s="2"/>
      <c r="B9" s="5" t="s">
        <v>109</v>
      </c>
      <c r="C9" s="9"/>
      <c r="D9" s="5"/>
      <c r="E9" s="5"/>
      <c r="F9" s="7">
        <f t="shared" si="0"/>
        <v>0</v>
      </c>
      <c r="G9" s="7" t="e">
        <f t="shared" si="1"/>
        <v>#DIV/0!</v>
      </c>
      <c r="H9" s="8"/>
    </row>
    <row r="10" spans="1:9" ht="15" customHeight="1" x14ac:dyDescent="0.25">
      <c r="A10" s="2"/>
      <c r="B10" s="5" t="s">
        <v>110</v>
      </c>
      <c r="C10" s="6"/>
      <c r="D10" s="5"/>
      <c r="E10" s="5"/>
      <c r="F10" s="7">
        <f t="shared" si="0"/>
        <v>0</v>
      </c>
      <c r="G10" s="7" t="e">
        <f t="shared" si="1"/>
        <v>#DIV/0!</v>
      </c>
      <c r="H10" s="8"/>
    </row>
    <row r="11" spans="1:9" ht="15" customHeight="1" x14ac:dyDescent="0.25">
      <c r="A11" s="2"/>
      <c r="B11" s="5" t="s">
        <v>110</v>
      </c>
      <c r="C11" s="6"/>
      <c r="D11" s="5"/>
      <c r="E11" s="5"/>
      <c r="F11" s="7">
        <f t="shared" si="0"/>
        <v>0</v>
      </c>
      <c r="G11" s="7" t="e">
        <f t="shared" si="1"/>
        <v>#DIV/0!</v>
      </c>
      <c r="H11" s="8"/>
    </row>
    <row r="12" spans="1:9" ht="15" customHeight="1" x14ac:dyDescent="0.25">
      <c r="A12" s="2"/>
      <c r="B12" s="10" t="s">
        <v>111</v>
      </c>
      <c r="C12" s="5"/>
      <c r="D12" s="5"/>
      <c r="E12" s="5"/>
      <c r="F12" s="5"/>
      <c r="G12" s="11" t="e">
        <f>AVERAGE(G5:G11)</f>
        <v>#DIV/0!</v>
      </c>
      <c r="H12" s="5"/>
    </row>
    <row r="13" spans="1:9" ht="15" customHeight="1" x14ac:dyDescent="0.25">
      <c r="B13" s="10" t="s">
        <v>112</v>
      </c>
      <c r="C13" s="5"/>
      <c r="D13" s="5"/>
      <c r="E13" s="5"/>
      <c r="F13" s="12"/>
      <c r="G13" s="10"/>
      <c r="H13" s="10"/>
      <c r="I13" s="4"/>
    </row>
    <row r="14" spans="1:9" ht="15" customHeight="1" x14ac:dyDescent="0.25"/>
    <row r="15" spans="1:9" ht="15" customHeight="1" x14ac:dyDescent="0.25"/>
    <row r="16" spans="1:9" ht="15" customHeight="1" x14ac:dyDescent="0.25"/>
  </sheetData>
  <mergeCells count="1">
    <mergeCell ref="B3:H3"/>
  </mergeCells>
  <pageMargins left="0.7" right="0.7" top="0.75" bottom="0.75" header="0.3" footer="0.3"/>
  <pageSetup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3:K69"/>
  <sheetViews>
    <sheetView topLeftCell="A55" zoomScale="130" zoomScaleNormal="130" workbookViewId="0">
      <selection activeCell="C43" sqref="C43:D69"/>
    </sheetView>
  </sheetViews>
  <sheetFormatPr defaultRowHeight="15" x14ac:dyDescent="0.25"/>
  <cols>
    <col min="4" max="4" width="13.85546875" bestFit="1" customWidth="1"/>
    <col min="5" max="5" width="10.42578125" bestFit="1" customWidth="1"/>
    <col min="6" max="6" width="12.42578125" bestFit="1" customWidth="1"/>
    <col min="7" max="7" width="18.140625" customWidth="1"/>
    <col min="8" max="8" width="10.5703125" bestFit="1" customWidth="1"/>
  </cols>
  <sheetData>
    <row r="3" spans="2:11" x14ac:dyDescent="0.25">
      <c r="J3">
        <v>1</v>
      </c>
      <c r="K3">
        <v>2</v>
      </c>
    </row>
    <row r="4" spans="2:11" x14ac:dyDescent="0.25">
      <c r="B4" s="52"/>
      <c r="C4" s="52" t="s">
        <v>11</v>
      </c>
      <c r="D4" s="53" t="s">
        <v>171</v>
      </c>
      <c r="E4" s="53" t="s">
        <v>181</v>
      </c>
      <c r="F4" s="53" t="s">
        <v>165</v>
      </c>
      <c r="G4" s="53" t="s">
        <v>186</v>
      </c>
      <c r="H4" s="53" t="s">
        <v>204</v>
      </c>
      <c r="J4" t="s">
        <v>186</v>
      </c>
      <c r="K4" t="s">
        <v>202</v>
      </c>
    </row>
    <row r="5" spans="2:11" x14ac:dyDescent="0.25">
      <c r="B5" s="52"/>
      <c r="C5" s="52"/>
      <c r="D5" s="53" t="s">
        <v>172</v>
      </c>
      <c r="E5" s="53" t="s">
        <v>179</v>
      </c>
      <c r="F5" s="53" t="s">
        <v>201</v>
      </c>
      <c r="G5" s="53" t="s">
        <v>187</v>
      </c>
      <c r="H5" s="53" t="s">
        <v>205</v>
      </c>
    </row>
    <row r="6" spans="2:11" x14ac:dyDescent="0.25">
      <c r="B6" s="52"/>
      <c r="C6" s="52"/>
      <c r="D6" s="53" t="s">
        <v>173</v>
      </c>
      <c r="E6" s="53" t="s">
        <v>180</v>
      </c>
      <c r="F6" s="53" t="s">
        <v>202</v>
      </c>
      <c r="G6" s="53" t="s">
        <v>188</v>
      </c>
      <c r="H6" s="53" t="s">
        <v>218</v>
      </c>
    </row>
    <row r="7" spans="2:11" x14ac:dyDescent="0.25">
      <c r="B7" s="52"/>
      <c r="C7" s="52"/>
      <c r="D7" s="53" t="s">
        <v>174</v>
      </c>
      <c r="E7" s="53" t="s">
        <v>182</v>
      </c>
      <c r="F7" s="53" t="s">
        <v>203</v>
      </c>
      <c r="G7" s="53" t="s">
        <v>189</v>
      </c>
      <c r="H7" s="53" t="s">
        <v>206</v>
      </c>
    </row>
    <row r="8" spans="2:11" x14ac:dyDescent="0.25">
      <c r="B8" s="52"/>
      <c r="C8" s="52"/>
      <c r="D8" s="53" t="s">
        <v>175</v>
      </c>
      <c r="E8" s="53" t="s">
        <v>183</v>
      </c>
      <c r="F8" s="53"/>
      <c r="G8" s="53" t="s">
        <v>190</v>
      </c>
      <c r="H8" s="53" t="s">
        <v>207</v>
      </c>
    </row>
    <row r="9" spans="2:11" x14ac:dyDescent="0.25">
      <c r="B9" s="52"/>
      <c r="C9" s="52"/>
      <c r="D9" s="53" t="s">
        <v>176</v>
      </c>
      <c r="E9" s="53" t="s">
        <v>181</v>
      </c>
      <c r="F9" s="53"/>
      <c r="G9" s="53" t="s">
        <v>191</v>
      </c>
      <c r="H9" s="53" t="s">
        <v>208</v>
      </c>
    </row>
    <row r="10" spans="2:11" x14ac:dyDescent="0.25">
      <c r="B10" s="52"/>
      <c r="C10" s="52"/>
      <c r="D10" s="53" t="s">
        <v>177</v>
      </c>
      <c r="E10" s="53" t="s">
        <v>184</v>
      </c>
      <c r="F10" s="53"/>
      <c r="G10" s="53" t="s">
        <v>192</v>
      </c>
      <c r="H10" s="53" t="s">
        <v>209</v>
      </c>
    </row>
    <row r="11" spans="2:11" x14ac:dyDescent="0.25">
      <c r="B11" s="52"/>
      <c r="C11" s="52"/>
      <c r="D11" s="53" t="s">
        <v>178</v>
      </c>
      <c r="E11" s="53" t="s">
        <v>185</v>
      </c>
      <c r="F11" s="53"/>
      <c r="G11" s="53" t="s">
        <v>193</v>
      </c>
      <c r="H11" s="53" t="s">
        <v>210</v>
      </c>
    </row>
    <row r="12" spans="2:11" x14ac:dyDescent="0.25">
      <c r="B12" s="52"/>
      <c r="C12" s="52"/>
      <c r="D12" s="53"/>
      <c r="E12" s="53"/>
      <c r="F12" s="53"/>
      <c r="G12" s="53" t="s">
        <v>194</v>
      </c>
      <c r="H12" s="53" t="s">
        <v>211</v>
      </c>
    </row>
    <row r="13" spans="2:11" x14ac:dyDescent="0.25">
      <c r="B13" s="52"/>
      <c r="C13" s="52"/>
      <c r="D13" s="53"/>
      <c r="E13" s="53"/>
      <c r="F13" s="53"/>
      <c r="G13" s="53" t="s">
        <v>195</v>
      </c>
      <c r="H13" s="53" t="s">
        <v>212</v>
      </c>
    </row>
    <row r="14" spans="2:11" x14ac:dyDescent="0.25">
      <c r="B14" s="52"/>
      <c r="C14" s="52"/>
      <c r="D14" s="53"/>
      <c r="E14" s="53"/>
      <c r="F14" s="53"/>
      <c r="G14" s="53" t="s">
        <v>196</v>
      </c>
      <c r="H14" s="53" t="s">
        <v>213</v>
      </c>
    </row>
    <row r="15" spans="2:11" x14ac:dyDescent="0.25">
      <c r="B15" s="52"/>
      <c r="C15" s="52"/>
      <c r="D15" s="53"/>
      <c r="E15" s="53"/>
      <c r="F15" s="53"/>
      <c r="G15" s="53" t="s">
        <v>197</v>
      </c>
      <c r="H15" s="53" t="s">
        <v>214</v>
      </c>
    </row>
    <row r="16" spans="2:11" x14ac:dyDescent="0.25">
      <c r="B16" s="52"/>
      <c r="C16" s="52"/>
      <c r="D16" s="53"/>
      <c r="E16" s="53"/>
      <c r="F16" s="53"/>
      <c r="G16" s="53" t="s">
        <v>198</v>
      </c>
      <c r="H16" s="53" t="s">
        <v>215</v>
      </c>
    </row>
    <row r="17" spans="2:8" x14ac:dyDescent="0.25">
      <c r="B17" s="52"/>
      <c r="C17" s="52"/>
      <c r="D17" s="53"/>
      <c r="E17" s="53"/>
      <c r="F17" s="53"/>
      <c r="G17" s="53" t="s">
        <v>199</v>
      </c>
      <c r="H17" s="53" t="s">
        <v>216</v>
      </c>
    </row>
    <row r="18" spans="2:8" x14ac:dyDescent="0.25">
      <c r="B18" s="52"/>
      <c r="C18" s="52"/>
      <c r="D18" s="53"/>
      <c r="E18" s="53"/>
      <c r="F18" s="53"/>
      <c r="G18" s="53" t="s">
        <v>200</v>
      </c>
      <c r="H18" s="53" t="s">
        <v>217</v>
      </c>
    </row>
    <row r="24" spans="2:8" x14ac:dyDescent="0.25">
      <c r="C24" t="s">
        <v>162</v>
      </c>
    </row>
    <row r="25" spans="2:8" x14ac:dyDescent="0.25">
      <c r="C25" t="s">
        <v>219</v>
      </c>
    </row>
    <row r="26" spans="2:8" x14ac:dyDescent="0.25">
      <c r="C26" t="s">
        <v>220</v>
      </c>
    </row>
    <row r="27" spans="2:8" x14ac:dyDescent="0.25">
      <c r="C27" t="s">
        <v>221</v>
      </c>
    </row>
    <row r="28" spans="2:8" x14ac:dyDescent="0.25">
      <c r="C28" t="s">
        <v>222</v>
      </c>
    </row>
    <row r="29" spans="2:8" x14ac:dyDescent="0.25">
      <c r="C29" t="s">
        <v>223</v>
      </c>
    </row>
    <row r="30" spans="2:8" x14ac:dyDescent="0.25">
      <c r="C30" t="s">
        <v>162</v>
      </c>
    </row>
    <row r="33" spans="3:11" x14ac:dyDescent="0.25">
      <c r="J33">
        <v>1</v>
      </c>
      <c r="K33">
        <v>2</v>
      </c>
    </row>
    <row r="34" spans="3:11" x14ac:dyDescent="0.25">
      <c r="C34" s="54" t="s">
        <v>228</v>
      </c>
      <c r="D34" s="53" t="s">
        <v>226</v>
      </c>
      <c r="E34" s="53" t="s">
        <v>231</v>
      </c>
      <c r="F34" s="53" t="s">
        <v>229</v>
      </c>
      <c r="G34" s="53" t="s">
        <v>230</v>
      </c>
      <c r="H34" s="53" t="s">
        <v>232</v>
      </c>
      <c r="J34" t="s">
        <v>186</v>
      </c>
      <c r="K34" t="s">
        <v>202</v>
      </c>
    </row>
    <row r="35" spans="3:11" x14ac:dyDescent="0.25">
      <c r="C35" s="52" t="s">
        <v>227</v>
      </c>
      <c r="D35" s="53" t="s">
        <v>163</v>
      </c>
      <c r="E35" s="53" t="s">
        <v>236</v>
      </c>
      <c r="F35" s="53" t="s">
        <v>238</v>
      </c>
      <c r="G35" s="53" t="s">
        <v>240</v>
      </c>
      <c r="H35" s="53"/>
    </row>
    <row r="36" spans="3:11" x14ac:dyDescent="0.25">
      <c r="C36" s="52"/>
      <c r="D36" s="53" t="s">
        <v>233</v>
      </c>
      <c r="E36" s="53" t="s">
        <v>237</v>
      </c>
      <c r="F36" s="53" t="s">
        <v>239</v>
      </c>
      <c r="G36" s="53" t="s">
        <v>241</v>
      </c>
      <c r="H36" s="53"/>
    </row>
    <row r="37" spans="3:11" x14ac:dyDescent="0.25">
      <c r="C37" s="52"/>
      <c r="D37" s="53" t="s">
        <v>234</v>
      </c>
      <c r="E37" s="53"/>
      <c r="F37" s="53"/>
      <c r="G37" s="53" t="s">
        <v>242</v>
      </c>
      <c r="H37" s="53"/>
    </row>
    <row r="38" spans="3:11" x14ac:dyDescent="0.25">
      <c r="C38" s="52"/>
      <c r="D38" s="53" t="s">
        <v>235</v>
      </c>
      <c r="E38" s="53"/>
      <c r="F38" s="53"/>
      <c r="G38" s="53" t="s">
        <v>242</v>
      </c>
      <c r="H38" s="53"/>
    </row>
    <row r="39" spans="3:11" x14ac:dyDescent="0.25">
      <c r="C39" s="52"/>
      <c r="D39" s="53"/>
      <c r="E39" s="53"/>
      <c r="F39" s="53"/>
      <c r="G39" s="53" t="s">
        <v>243</v>
      </c>
      <c r="H39" s="53"/>
    </row>
    <row r="40" spans="3:11" x14ac:dyDescent="0.25">
      <c r="C40" s="52"/>
      <c r="D40" s="53"/>
      <c r="E40" s="53"/>
      <c r="F40" s="53"/>
      <c r="G40" s="53" t="s">
        <v>244</v>
      </c>
      <c r="H40" s="53"/>
    </row>
    <row r="41" spans="3:11" x14ac:dyDescent="0.25">
      <c r="C41" s="52"/>
      <c r="D41" s="53"/>
      <c r="E41" s="53"/>
      <c r="F41" s="53"/>
      <c r="G41" s="53"/>
      <c r="H41" s="53"/>
    </row>
    <row r="43" spans="3:11" x14ac:dyDescent="0.25">
      <c r="C43" t="s">
        <v>245</v>
      </c>
    </row>
    <row r="44" spans="3:11" x14ac:dyDescent="0.25">
      <c r="C44" t="s">
        <v>165</v>
      </c>
      <c r="D44" t="s">
        <v>246</v>
      </c>
    </row>
    <row r="45" spans="3:11" x14ac:dyDescent="0.25">
      <c r="D45" t="s">
        <v>247</v>
      </c>
    </row>
    <row r="46" spans="3:11" x14ac:dyDescent="0.25">
      <c r="D46" t="s">
        <v>248</v>
      </c>
    </row>
    <row r="47" spans="3:11" x14ac:dyDescent="0.25">
      <c r="D47" t="s">
        <v>249</v>
      </c>
    </row>
    <row r="48" spans="3:11" x14ac:dyDescent="0.25">
      <c r="D48" t="s">
        <v>250</v>
      </c>
    </row>
    <row r="49" spans="3:4" x14ac:dyDescent="0.25">
      <c r="C49" t="s">
        <v>171</v>
      </c>
      <c r="D49" t="s">
        <v>251</v>
      </c>
    </row>
    <row r="50" spans="3:4" x14ac:dyDescent="0.25">
      <c r="D50" t="s">
        <v>252</v>
      </c>
    </row>
    <row r="51" spans="3:4" x14ac:dyDescent="0.25">
      <c r="D51" t="s">
        <v>253</v>
      </c>
    </row>
    <row r="52" spans="3:4" x14ac:dyDescent="0.25">
      <c r="D52" t="s">
        <v>256</v>
      </c>
    </row>
    <row r="53" spans="3:4" x14ac:dyDescent="0.25">
      <c r="D53" t="s">
        <v>254</v>
      </c>
    </row>
    <row r="54" spans="3:4" x14ac:dyDescent="0.25">
      <c r="D54" t="s">
        <v>255</v>
      </c>
    </row>
    <row r="55" spans="3:4" x14ac:dyDescent="0.25">
      <c r="D55" t="s">
        <v>257</v>
      </c>
    </row>
    <row r="56" spans="3:4" x14ac:dyDescent="0.25">
      <c r="D56" t="s">
        <v>258</v>
      </c>
    </row>
    <row r="57" spans="3:4" x14ac:dyDescent="0.25">
      <c r="D57" t="s">
        <v>259</v>
      </c>
    </row>
    <row r="58" spans="3:4" x14ac:dyDescent="0.25">
      <c r="D58" t="s">
        <v>261</v>
      </c>
    </row>
    <row r="59" spans="3:4" x14ac:dyDescent="0.25">
      <c r="D59" t="s">
        <v>270</v>
      </c>
    </row>
    <row r="60" spans="3:4" x14ac:dyDescent="0.25">
      <c r="C60" t="s">
        <v>186</v>
      </c>
      <c r="D60" t="s">
        <v>262</v>
      </c>
    </row>
    <row r="61" spans="3:4" x14ac:dyDescent="0.25">
      <c r="D61" t="s">
        <v>260</v>
      </c>
    </row>
    <row r="62" spans="3:4" x14ac:dyDescent="0.25">
      <c r="D62" t="s">
        <v>250</v>
      </c>
    </row>
    <row r="63" spans="3:4" x14ac:dyDescent="0.25">
      <c r="D63" t="s">
        <v>263</v>
      </c>
    </row>
    <row r="64" spans="3:4" x14ac:dyDescent="0.25">
      <c r="D64" t="s">
        <v>264</v>
      </c>
    </row>
    <row r="65" spans="3:4" x14ac:dyDescent="0.25">
      <c r="D65" t="s">
        <v>265</v>
      </c>
    </row>
    <row r="66" spans="3:4" x14ac:dyDescent="0.25">
      <c r="D66" t="s">
        <v>266</v>
      </c>
    </row>
    <row r="67" spans="3:4" x14ac:dyDescent="0.25">
      <c r="C67" t="s">
        <v>181</v>
      </c>
      <c r="D67" t="s">
        <v>267</v>
      </c>
    </row>
    <row r="68" spans="3:4" x14ac:dyDescent="0.25">
      <c r="D68" t="s">
        <v>268</v>
      </c>
    </row>
    <row r="69" spans="3:4" x14ac:dyDescent="0.25">
      <c r="D69" t="s">
        <v>269</v>
      </c>
    </row>
  </sheetData>
  <dataValidations count="2">
    <dataValidation type="list" allowBlank="1" showInputMessage="1" showErrorMessage="1" sqref="J4 J34">
      <formula1>$D$4:$H$4</formula1>
    </dataValidation>
    <dataValidation type="list" allowBlank="1" showInputMessage="1" showErrorMessage="1" sqref="K4 K34">
      <formula1>OFFSET($D$4,1,MATCH($J4,$D$4:$H$4,0)-1,15,1)</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D54"/>
  <sheetViews>
    <sheetView topLeftCell="A45" zoomScale="85" zoomScaleNormal="85" workbookViewId="0">
      <selection activeCell="C57" sqref="C57"/>
    </sheetView>
  </sheetViews>
  <sheetFormatPr defaultRowHeight="15" x14ac:dyDescent="0.25"/>
  <cols>
    <col min="2" max="2" width="3" bestFit="1" customWidth="1"/>
    <col min="3" max="3" width="155.28515625" customWidth="1"/>
  </cols>
  <sheetData>
    <row r="2" spans="2:3" ht="15" customHeight="1" x14ac:dyDescent="0.25">
      <c r="B2" s="55">
        <v>1</v>
      </c>
      <c r="C2" s="57" t="s">
        <v>275</v>
      </c>
    </row>
    <row r="3" spans="2:3" x14ac:dyDescent="0.25">
      <c r="B3" s="55">
        <v>2</v>
      </c>
      <c r="C3" s="56" t="s">
        <v>276</v>
      </c>
    </row>
    <row r="4" spans="2:3" x14ac:dyDescent="0.25">
      <c r="B4" s="55">
        <v>3</v>
      </c>
      <c r="C4" s="55" t="s">
        <v>277</v>
      </c>
    </row>
    <row r="5" spans="2:3" x14ac:dyDescent="0.25">
      <c r="B5" s="55">
        <v>4</v>
      </c>
      <c r="C5" s="56" t="s">
        <v>278</v>
      </c>
    </row>
    <row r="6" spans="2:3" x14ac:dyDescent="0.25">
      <c r="B6" s="55">
        <v>5</v>
      </c>
      <c r="C6" s="55" t="s">
        <v>279</v>
      </c>
    </row>
    <row r="7" spans="2:3" ht="30" x14ac:dyDescent="0.25">
      <c r="B7" s="55">
        <v>6</v>
      </c>
      <c r="C7" s="56" t="s">
        <v>280</v>
      </c>
    </row>
    <row r="8" spans="2:3" ht="75" x14ac:dyDescent="0.25">
      <c r="B8" s="55">
        <v>7</v>
      </c>
      <c r="C8" s="56" t="s">
        <v>281</v>
      </c>
    </row>
    <row r="9" spans="2:3" x14ac:dyDescent="0.25">
      <c r="B9" s="55">
        <v>8</v>
      </c>
      <c r="C9" s="55" t="s">
        <v>282</v>
      </c>
    </row>
    <row r="10" spans="2:3" x14ac:dyDescent="0.25">
      <c r="B10" s="55">
        <v>9</v>
      </c>
      <c r="C10" s="55" t="s">
        <v>283</v>
      </c>
    </row>
    <row r="11" spans="2:3" x14ac:dyDescent="0.25">
      <c r="B11" s="55">
        <v>10</v>
      </c>
      <c r="C11" s="55" t="s">
        <v>284</v>
      </c>
    </row>
    <row r="12" spans="2:3" x14ac:dyDescent="0.25">
      <c r="B12" s="55">
        <v>11</v>
      </c>
      <c r="C12" s="55" t="s">
        <v>285</v>
      </c>
    </row>
    <row r="13" spans="2:3" x14ac:dyDescent="0.25">
      <c r="B13" s="55">
        <v>12</v>
      </c>
      <c r="C13" s="55" t="s">
        <v>286</v>
      </c>
    </row>
    <row r="14" spans="2:3" x14ac:dyDescent="0.25">
      <c r="B14" s="55">
        <v>13</v>
      </c>
      <c r="C14" s="55" t="s">
        <v>287</v>
      </c>
    </row>
    <row r="15" spans="2:3" x14ac:dyDescent="0.25">
      <c r="B15" s="55">
        <v>14</v>
      </c>
      <c r="C15" s="55" t="s">
        <v>277</v>
      </c>
    </row>
    <row r="16" spans="2:3" x14ac:dyDescent="0.25">
      <c r="B16" s="55">
        <v>15</v>
      </c>
      <c r="C16" s="55" t="s">
        <v>289</v>
      </c>
    </row>
    <row r="17" spans="2:3" x14ac:dyDescent="0.25">
      <c r="B17" s="73">
        <v>16</v>
      </c>
      <c r="C17" s="60" t="s">
        <v>290</v>
      </c>
    </row>
    <row r="18" spans="2:3" x14ac:dyDescent="0.25">
      <c r="B18" s="59">
        <v>17</v>
      </c>
      <c r="C18" s="60" t="s">
        <v>291</v>
      </c>
    </row>
    <row r="19" spans="2:3" x14ac:dyDescent="0.25">
      <c r="B19" s="58">
        <v>18</v>
      </c>
      <c r="C19" s="55" t="s">
        <v>292</v>
      </c>
    </row>
    <row r="20" spans="2:3" x14ac:dyDescent="0.25">
      <c r="B20" s="59">
        <v>19</v>
      </c>
      <c r="C20" s="55" t="s">
        <v>328</v>
      </c>
    </row>
    <row r="21" spans="2:3" x14ac:dyDescent="0.25">
      <c r="B21" s="55">
        <v>20</v>
      </c>
      <c r="C21" s="55" t="s">
        <v>293</v>
      </c>
    </row>
    <row r="22" spans="2:3" x14ac:dyDescent="0.25">
      <c r="B22" s="59">
        <v>21</v>
      </c>
      <c r="C22" s="55" t="s">
        <v>292</v>
      </c>
    </row>
    <row r="23" spans="2:3" s="68" customFormat="1" ht="29.25" customHeight="1" x14ac:dyDescent="0.25">
      <c r="B23" s="67">
        <v>22</v>
      </c>
      <c r="C23" s="57" t="s">
        <v>320</v>
      </c>
    </row>
    <row r="24" spans="2:3" s="68" customFormat="1" ht="30.75" customHeight="1" x14ac:dyDescent="0.25">
      <c r="B24" s="69">
        <v>23</v>
      </c>
      <c r="C24" s="57" t="s">
        <v>321</v>
      </c>
    </row>
    <row r="25" spans="2:3" x14ac:dyDescent="0.25">
      <c r="B25" s="55">
        <v>24</v>
      </c>
      <c r="C25" s="55" t="s">
        <v>324</v>
      </c>
    </row>
    <row r="26" spans="2:3" x14ac:dyDescent="0.25">
      <c r="B26" s="59">
        <v>25</v>
      </c>
      <c r="C26" s="55" t="s">
        <v>322</v>
      </c>
    </row>
    <row r="27" spans="2:3" x14ac:dyDescent="0.25">
      <c r="B27" s="69">
        <v>26</v>
      </c>
      <c r="C27" s="55" t="s">
        <v>323</v>
      </c>
    </row>
    <row r="28" spans="2:3" x14ac:dyDescent="0.25">
      <c r="B28" s="59">
        <v>27</v>
      </c>
      <c r="C28" s="55" t="s">
        <v>325</v>
      </c>
    </row>
    <row r="29" spans="2:3" ht="60" x14ac:dyDescent="0.25">
      <c r="B29" s="72">
        <v>28</v>
      </c>
      <c r="C29" s="56" t="s">
        <v>326</v>
      </c>
    </row>
    <row r="30" spans="2:3" x14ac:dyDescent="0.25">
      <c r="B30" s="69">
        <v>29</v>
      </c>
      <c r="C30" s="55" t="s">
        <v>327</v>
      </c>
    </row>
    <row r="31" spans="2:3" ht="30" x14ac:dyDescent="0.25">
      <c r="B31" s="69">
        <v>30</v>
      </c>
      <c r="C31" s="56" t="s">
        <v>329</v>
      </c>
    </row>
    <row r="32" spans="2:3" x14ac:dyDescent="0.25">
      <c r="B32" s="69">
        <v>31</v>
      </c>
      <c r="C32" s="55" t="s">
        <v>330</v>
      </c>
    </row>
    <row r="33" spans="2:4" x14ac:dyDescent="0.25">
      <c r="B33" s="69">
        <v>32</v>
      </c>
      <c r="C33" s="55" t="s">
        <v>331</v>
      </c>
    </row>
    <row r="34" spans="2:4" ht="36.75" customHeight="1" x14ac:dyDescent="0.25">
      <c r="B34" s="69">
        <v>33</v>
      </c>
      <c r="C34" s="60" t="s">
        <v>332</v>
      </c>
    </row>
    <row r="35" spans="2:4" x14ac:dyDescent="0.25">
      <c r="B35" s="67">
        <v>34</v>
      </c>
      <c r="C35" s="55" t="s">
        <v>340</v>
      </c>
    </row>
    <row r="36" spans="2:4" ht="60" x14ac:dyDescent="0.25">
      <c r="B36" s="67">
        <v>35</v>
      </c>
      <c r="C36" s="56" t="s">
        <v>342</v>
      </c>
    </row>
    <row r="37" spans="2:4" x14ac:dyDescent="0.25">
      <c r="B37" s="55">
        <v>36</v>
      </c>
      <c r="C37" s="56" t="s">
        <v>353</v>
      </c>
    </row>
    <row r="38" spans="2:4" x14ac:dyDescent="0.25">
      <c r="B38" s="55">
        <f t="shared" ref="B38:B44" si="0">B37+1</f>
        <v>37</v>
      </c>
      <c r="C38" s="55" t="s">
        <v>349</v>
      </c>
    </row>
    <row r="39" spans="2:4" x14ac:dyDescent="0.25">
      <c r="B39" s="55">
        <f t="shared" si="0"/>
        <v>38</v>
      </c>
      <c r="C39" s="55" t="s">
        <v>350</v>
      </c>
    </row>
    <row r="40" spans="2:4" x14ac:dyDescent="0.25">
      <c r="B40" s="55">
        <f t="shared" si="0"/>
        <v>39</v>
      </c>
      <c r="C40" s="55" t="s">
        <v>351</v>
      </c>
    </row>
    <row r="41" spans="2:4" x14ac:dyDescent="0.25">
      <c r="B41" s="55">
        <f t="shared" si="0"/>
        <v>40</v>
      </c>
      <c r="C41" s="55" t="s">
        <v>352</v>
      </c>
    </row>
    <row r="42" spans="2:4" ht="30.75" thickBot="1" x14ac:dyDescent="0.3">
      <c r="B42" s="76">
        <f t="shared" si="0"/>
        <v>41</v>
      </c>
      <c r="C42" s="77" t="s">
        <v>354</v>
      </c>
    </row>
    <row r="43" spans="2:4" ht="30" x14ac:dyDescent="0.25">
      <c r="B43" s="80">
        <f t="shared" si="0"/>
        <v>42</v>
      </c>
      <c r="C43" s="85" t="s">
        <v>359</v>
      </c>
      <c r="D43" t="s">
        <v>360</v>
      </c>
    </row>
    <row r="44" spans="2:4" ht="15.75" thickBot="1" x14ac:dyDescent="0.3">
      <c r="B44" s="82">
        <f t="shared" si="0"/>
        <v>43</v>
      </c>
      <c r="C44" s="84" t="s">
        <v>355</v>
      </c>
    </row>
    <row r="45" spans="2:4" ht="15.75" thickBot="1" x14ac:dyDescent="0.3">
      <c r="B45" s="78">
        <f t="shared" ref="B45:B54" si="1">B44+1</f>
        <v>44</v>
      </c>
      <c r="C45" s="79" t="s">
        <v>356</v>
      </c>
    </row>
    <row r="46" spans="2:4" ht="30" x14ac:dyDescent="0.25">
      <c r="B46" s="80">
        <f t="shared" si="1"/>
        <v>45</v>
      </c>
      <c r="C46" s="81" t="s">
        <v>357</v>
      </c>
    </row>
    <row r="47" spans="2:4" ht="15.75" thickBot="1" x14ac:dyDescent="0.3">
      <c r="B47" s="82">
        <f t="shared" si="1"/>
        <v>46</v>
      </c>
      <c r="C47" s="83" t="s">
        <v>358</v>
      </c>
    </row>
    <row r="48" spans="2:4" x14ac:dyDescent="0.25">
      <c r="B48" s="86">
        <f t="shared" si="1"/>
        <v>47</v>
      </c>
      <c r="C48" s="87" t="s">
        <v>361</v>
      </c>
    </row>
    <row r="49" spans="2:4" x14ac:dyDescent="0.25">
      <c r="B49" s="86">
        <f t="shared" si="1"/>
        <v>48</v>
      </c>
      <c r="C49" s="87" t="s">
        <v>362</v>
      </c>
    </row>
    <row r="50" spans="2:4" x14ac:dyDescent="0.25">
      <c r="B50" s="86">
        <f t="shared" si="1"/>
        <v>49</v>
      </c>
      <c r="C50" s="87" t="s">
        <v>364</v>
      </c>
      <c r="D50" t="s">
        <v>363</v>
      </c>
    </row>
    <row r="51" spans="2:4" ht="30" x14ac:dyDescent="0.25">
      <c r="B51" s="88">
        <f t="shared" si="1"/>
        <v>50</v>
      </c>
      <c r="C51" s="89" t="s">
        <v>365</v>
      </c>
    </row>
    <row r="52" spans="2:4" x14ac:dyDescent="0.25">
      <c r="B52" s="88">
        <f t="shared" si="1"/>
        <v>51</v>
      </c>
      <c r="C52" s="90" t="s">
        <v>368</v>
      </c>
      <c r="D52" t="s">
        <v>369</v>
      </c>
    </row>
    <row r="53" spans="2:4" x14ac:dyDescent="0.25">
      <c r="B53" s="88">
        <f t="shared" si="1"/>
        <v>52</v>
      </c>
      <c r="C53" s="90" t="s">
        <v>371</v>
      </c>
      <c r="D53" t="s">
        <v>372</v>
      </c>
    </row>
    <row r="54" spans="2:4" x14ac:dyDescent="0.25">
      <c r="B54" s="88">
        <f t="shared" si="1"/>
        <v>53</v>
      </c>
      <c r="C54" s="55" t="s">
        <v>373</v>
      </c>
    </row>
  </sheetData>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44"/>
  <sheetViews>
    <sheetView workbookViewId="0">
      <selection sqref="A1:XFD1048576"/>
    </sheetView>
  </sheetViews>
  <sheetFormatPr defaultRowHeight="15" x14ac:dyDescent="0.25"/>
  <cols>
    <col min="1" max="1" width="9.140625" style="52"/>
    <col min="2" max="2" width="12.28515625" style="52" customWidth="1"/>
    <col min="3" max="16384" width="9.140625" style="52"/>
  </cols>
  <sheetData>
    <row r="2" spans="1:12" x14ac:dyDescent="0.25">
      <c r="B2" s="61" t="s">
        <v>294</v>
      </c>
      <c r="C2" s="257"/>
      <c r="D2" s="257"/>
    </row>
    <row r="3" spans="1:12" x14ac:dyDescent="0.25">
      <c r="D3" s="62"/>
      <c r="E3" s="62"/>
      <c r="F3" s="62"/>
      <c r="G3" s="62"/>
      <c r="H3" s="62"/>
      <c r="I3" s="62"/>
    </row>
    <row r="4" spans="1:12" x14ac:dyDescent="0.25">
      <c r="A4" s="61" t="s">
        <v>65</v>
      </c>
      <c r="B4" s="63" t="s">
        <v>295</v>
      </c>
      <c r="C4" s="258" t="s">
        <v>296</v>
      </c>
      <c r="D4" s="258"/>
      <c r="E4" s="258"/>
      <c r="F4" s="63"/>
      <c r="G4" s="259" t="s">
        <v>297</v>
      </c>
      <c r="H4" s="259"/>
      <c r="I4" s="259"/>
      <c r="J4" s="260" t="s">
        <v>298</v>
      </c>
      <c r="K4" s="260"/>
      <c r="L4" s="260"/>
    </row>
    <row r="5" spans="1:12" x14ac:dyDescent="0.25">
      <c r="A5" s="61"/>
      <c r="B5" s="63"/>
      <c r="C5" s="63" t="s">
        <v>299</v>
      </c>
      <c r="D5" s="63" t="s">
        <v>300</v>
      </c>
      <c r="E5" s="63" t="s">
        <v>301</v>
      </c>
      <c r="F5" s="63"/>
      <c r="G5" s="63" t="s">
        <v>299</v>
      </c>
      <c r="H5" s="63" t="s">
        <v>300</v>
      </c>
      <c r="I5" s="63" t="s">
        <v>301</v>
      </c>
      <c r="J5" s="63" t="s">
        <v>299</v>
      </c>
      <c r="K5" s="63" t="s">
        <v>300</v>
      </c>
      <c r="L5" s="63" t="s">
        <v>301</v>
      </c>
    </row>
    <row r="6" spans="1:12" x14ac:dyDescent="0.25">
      <c r="B6" s="53" t="s">
        <v>302</v>
      </c>
      <c r="C6" s="53"/>
      <c r="D6" s="53"/>
      <c r="E6" s="53">
        <f>C6*D6</f>
        <v>0</v>
      </c>
      <c r="F6" s="53" t="s">
        <v>319</v>
      </c>
      <c r="G6" s="53"/>
      <c r="H6" s="53"/>
      <c r="I6" s="53">
        <f>G6*H6</f>
        <v>0</v>
      </c>
      <c r="J6" s="53"/>
      <c r="K6" s="53"/>
      <c r="L6" s="53">
        <f>J6*K6</f>
        <v>0</v>
      </c>
    </row>
    <row r="7" spans="1:12" x14ac:dyDescent="0.25">
      <c r="B7" s="53"/>
      <c r="C7" s="53"/>
      <c r="D7" s="53"/>
      <c r="E7" s="53">
        <f t="shared" ref="E7:E41" si="0">C7*D7</f>
        <v>0</v>
      </c>
      <c r="F7" s="53" t="s">
        <v>319</v>
      </c>
      <c r="G7" s="53"/>
      <c r="H7" s="53"/>
      <c r="I7" s="53">
        <f t="shared" ref="I7:I35" si="1">G7*H7</f>
        <v>0</v>
      </c>
      <c r="J7" s="53"/>
      <c r="K7" s="53"/>
      <c r="L7" s="53">
        <f t="shared" ref="L7:L35" si="2">J7*K7</f>
        <v>0</v>
      </c>
    </row>
    <row r="8" spans="1:12" x14ac:dyDescent="0.25">
      <c r="B8" s="53"/>
      <c r="C8" s="53"/>
      <c r="D8" s="53"/>
      <c r="E8" s="53">
        <f t="shared" si="0"/>
        <v>0</v>
      </c>
      <c r="F8" s="53"/>
      <c r="G8" s="53"/>
      <c r="H8" s="53"/>
      <c r="I8" s="53">
        <f t="shared" si="1"/>
        <v>0</v>
      </c>
      <c r="J8" s="53"/>
      <c r="K8" s="53"/>
      <c r="L8" s="53">
        <f t="shared" si="2"/>
        <v>0</v>
      </c>
    </row>
    <row r="9" spans="1:12" x14ac:dyDescent="0.25">
      <c r="B9" s="53"/>
      <c r="C9" s="53"/>
      <c r="D9" s="53"/>
      <c r="E9" s="53">
        <f t="shared" si="0"/>
        <v>0</v>
      </c>
      <c r="F9" s="53" t="s">
        <v>303</v>
      </c>
      <c r="G9" s="53"/>
      <c r="H9" s="53"/>
      <c r="I9" s="53">
        <f t="shared" si="1"/>
        <v>0</v>
      </c>
      <c r="J9" s="53"/>
      <c r="K9" s="53"/>
      <c r="L9" s="53">
        <f t="shared" si="2"/>
        <v>0</v>
      </c>
    </row>
    <row r="10" spans="1:12" x14ac:dyDescent="0.25">
      <c r="B10" s="53" t="s">
        <v>304</v>
      </c>
      <c r="C10" s="53"/>
      <c r="D10" s="53"/>
      <c r="E10" s="53">
        <f t="shared" si="0"/>
        <v>0</v>
      </c>
      <c r="F10" s="53" t="s">
        <v>303</v>
      </c>
      <c r="G10" s="53"/>
      <c r="H10" s="53"/>
      <c r="I10" s="53">
        <f t="shared" si="1"/>
        <v>0</v>
      </c>
      <c r="J10" s="53"/>
      <c r="K10" s="53"/>
      <c r="L10" s="53">
        <f t="shared" si="2"/>
        <v>0</v>
      </c>
    </row>
    <row r="11" spans="1:12" x14ac:dyDescent="0.25">
      <c r="B11" s="53"/>
      <c r="C11" s="53"/>
      <c r="D11" s="53"/>
      <c r="E11" s="53">
        <f t="shared" si="0"/>
        <v>0</v>
      </c>
      <c r="F11" s="53" t="s">
        <v>305</v>
      </c>
      <c r="G11" s="53"/>
      <c r="H11" s="53"/>
      <c r="I11" s="53">
        <f t="shared" si="1"/>
        <v>0</v>
      </c>
      <c r="J11" s="53"/>
      <c r="K11" s="53"/>
      <c r="L11" s="53">
        <f t="shared" si="2"/>
        <v>0</v>
      </c>
    </row>
    <row r="12" spans="1:12" x14ac:dyDescent="0.25">
      <c r="B12" s="53"/>
      <c r="C12" s="53"/>
      <c r="D12" s="53"/>
      <c r="E12" s="53">
        <f t="shared" si="0"/>
        <v>0</v>
      </c>
      <c r="F12" s="53"/>
      <c r="G12" s="53"/>
      <c r="H12" s="53"/>
      <c r="I12" s="53">
        <f t="shared" si="1"/>
        <v>0</v>
      </c>
      <c r="J12" s="53"/>
      <c r="K12" s="53"/>
      <c r="L12" s="53">
        <f t="shared" si="2"/>
        <v>0</v>
      </c>
    </row>
    <row r="13" spans="1:12" x14ac:dyDescent="0.25">
      <c r="B13" s="53"/>
      <c r="C13" s="53"/>
      <c r="D13" s="53"/>
      <c r="E13" s="53">
        <f t="shared" si="0"/>
        <v>0</v>
      </c>
      <c r="F13" s="53"/>
      <c r="G13" s="53"/>
      <c r="H13" s="53"/>
      <c r="I13" s="53">
        <f t="shared" si="1"/>
        <v>0</v>
      </c>
      <c r="J13" s="53"/>
      <c r="K13" s="53"/>
      <c r="L13" s="53">
        <f t="shared" si="2"/>
        <v>0</v>
      </c>
    </row>
    <row r="14" spans="1:12" x14ac:dyDescent="0.25">
      <c r="B14" s="53" t="s">
        <v>306</v>
      </c>
      <c r="C14" s="53"/>
      <c r="D14" s="53"/>
      <c r="E14" s="53">
        <f t="shared" si="0"/>
        <v>0</v>
      </c>
      <c r="F14" s="53" t="s">
        <v>303</v>
      </c>
      <c r="G14" s="53"/>
      <c r="H14" s="53"/>
      <c r="I14" s="53">
        <f t="shared" si="1"/>
        <v>0</v>
      </c>
      <c r="J14" s="53"/>
      <c r="K14" s="53"/>
      <c r="L14" s="53">
        <f t="shared" si="2"/>
        <v>0</v>
      </c>
    </row>
    <row r="15" spans="1:12" x14ac:dyDescent="0.25">
      <c r="B15" s="53"/>
      <c r="C15" s="53"/>
      <c r="D15" s="53"/>
      <c r="E15" s="53">
        <f t="shared" si="0"/>
        <v>0</v>
      </c>
      <c r="F15" s="53" t="s">
        <v>305</v>
      </c>
      <c r="G15" s="53"/>
      <c r="H15" s="53"/>
      <c r="I15" s="53">
        <f t="shared" si="1"/>
        <v>0</v>
      </c>
      <c r="J15" s="53"/>
      <c r="K15" s="53"/>
      <c r="L15" s="53">
        <f t="shared" si="2"/>
        <v>0</v>
      </c>
    </row>
    <row r="16" spans="1:12" x14ac:dyDescent="0.25">
      <c r="B16" s="53"/>
      <c r="C16" s="53"/>
      <c r="D16" s="53"/>
      <c r="E16" s="53">
        <f t="shared" si="0"/>
        <v>0</v>
      </c>
      <c r="F16" s="53"/>
      <c r="G16" s="53"/>
      <c r="H16" s="53"/>
      <c r="I16" s="53">
        <f t="shared" si="1"/>
        <v>0</v>
      </c>
      <c r="J16" s="53"/>
      <c r="K16" s="53"/>
      <c r="L16" s="53">
        <f t="shared" si="2"/>
        <v>0</v>
      </c>
    </row>
    <row r="17" spans="2:12" x14ac:dyDescent="0.25">
      <c r="B17" s="53"/>
      <c r="C17" s="53"/>
      <c r="D17" s="53"/>
      <c r="E17" s="53">
        <f t="shared" si="0"/>
        <v>0</v>
      </c>
      <c r="F17" s="53"/>
      <c r="G17" s="53"/>
      <c r="H17" s="53"/>
      <c r="I17" s="53">
        <f t="shared" si="1"/>
        <v>0</v>
      </c>
      <c r="J17" s="53"/>
      <c r="K17" s="53"/>
      <c r="L17" s="53">
        <f t="shared" si="2"/>
        <v>0</v>
      </c>
    </row>
    <row r="18" spans="2:12" x14ac:dyDescent="0.25">
      <c r="B18" s="53" t="s">
        <v>307</v>
      </c>
      <c r="C18" s="53"/>
      <c r="D18" s="53"/>
      <c r="E18" s="53">
        <f t="shared" si="0"/>
        <v>0</v>
      </c>
      <c r="F18" s="53" t="s">
        <v>303</v>
      </c>
      <c r="G18" s="53"/>
      <c r="H18" s="53"/>
      <c r="I18" s="53">
        <f t="shared" si="1"/>
        <v>0</v>
      </c>
      <c r="J18" s="53"/>
      <c r="K18" s="53"/>
      <c r="L18" s="53">
        <f t="shared" si="2"/>
        <v>0</v>
      </c>
    </row>
    <row r="19" spans="2:12" x14ac:dyDescent="0.25">
      <c r="B19" s="53"/>
      <c r="C19" s="53"/>
      <c r="D19" s="53"/>
      <c r="E19" s="53">
        <f t="shared" si="0"/>
        <v>0</v>
      </c>
      <c r="F19" s="53" t="s">
        <v>305</v>
      </c>
      <c r="G19" s="53"/>
      <c r="H19" s="53"/>
      <c r="I19" s="53">
        <f t="shared" si="1"/>
        <v>0</v>
      </c>
      <c r="J19" s="53"/>
      <c r="K19" s="53"/>
      <c r="L19" s="53">
        <f t="shared" si="2"/>
        <v>0</v>
      </c>
    </row>
    <row r="20" spans="2:12" x14ac:dyDescent="0.25">
      <c r="B20" s="53"/>
      <c r="C20" s="53"/>
      <c r="D20" s="53"/>
      <c r="E20" s="53">
        <f t="shared" si="0"/>
        <v>0</v>
      </c>
      <c r="F20" s="53"/>
      <c r="G20" s="53"/>
      <c r="H20" s="53"/>
      <c r="I20" s="53">
        <f t="shared" si="1"/>
        <v>0</v>
      </c>
      <c r="J20" s="53"/>
      <c r="K20" s="53"/>
      <c r="L20" s="53">
        <f t="shared" si="2"/>
        <v>0</v>
      </c>
    </row>
    <row r="21" spans="2:12" x14ac:dyDescent="0.25">
      <c r="B21" s="53" t="s">
        <v>308</v>
      </c>
      <c r="C21" s="53"/>
      <c r="D21" s="53"/>
      <c r="E21" s="53">
        <f t="shared" si="0"/>
        <v>0</v>
      </c>
      <c r="F21" s="53" t="s">
        <v>303</v>
      </c>
      <c r="G21" s="53"/>
      <c r="H21" s="53"/>
      <c r="I21" s="53">
        <f t="shared" si="1"/>
        <v>0</v>
      </c>
      <c r="J21" s="53"/>
      <c r="K21" s="53"/>
      <c r="L21" s="53">
        <f t="shared" si="2"/>
        <v>0</v>
      </c>
    </row>
    <row r="22" spans="2:12" x14ac:dyDescent="0.25">
      <c r="B22" s="53"/>
      <c r="C22" s="53"/>
      <c r="D22" s="53"/>
      <c r="E22" s="53">
        <f t="shared" si="0"/>
        <v>0</v>
      </c>
      <c r="F22" s="53" t="s">
        <v>305</v>
      </c>
      <c r="G22" s="53"/>
      <c r="H22" s="53"/>
      <c r="I22" s="53">
        <f t="shared" si="1"/>
        <v>0</v>
      </c>
      <c r="J22" s="53"/>
      <c r="K22" s="53"/>
      <c r="L22" s="53">
        <f t="shared" si="2"/>
        <v>0</v>
      </c>
    </row>
    <row r="23" spans="2:12" x14ac:dyDescent="0.25">
      <c r="B23" s="53"/>
      <c r="C23" s="53"/>
      <c r="D23" s="53"/>
      <c r="E23" s="53">
        <f t="shared" si="0"/>
        <v>0</v>
      </c>
      <c r="F23" s="53"/>
      <c r="G23" s="53"/>
      <c r="H23" s="53"/>
      <c r="I23" s="53">
        <f t="shared" si="1"/>
        <v>0</v>
      </c>
      <c r="J23" s="53"/>
      <c r="K23" s="53"/>
      <c r="L23" s="53">
        <f t="shared" si="2"/>
        <v>0</v>
      </c>
    </row>
    <row r="24" spans="2:12" x14ac:dyDescent="0.25">
      <c r="B24" s="53" t="s">
        <v>309</v>
      </c>
      <c r="C24" s="53"/>
      <c r="D24" s="53"/>
      <c r="E24" s="53">
        <f t="shared" si="0"/>
        <v>0</v>
      </c>
      <c r="F24" s="53" t="s">
        <v>310</v>
      </c>
      <c r="G24" s="53"/>
      <c r="H24" s="53"/>
      <c r="I24" s="53">
        <f t="shared" si="1"/>
        <v>0</v>
      </c>
      <c r="J24" s="53"/>
      <c r="K24" s="53"/>
      <c r="L24" s="53">
        <f t="shared" si="2"/>
        <v>0</v>
      </c>
    </row>
    <row r="25" spans="2:12" x14ac:dyDescent="0.25">
      <c r="B25" s="53"/>
      <c r="C25" s="53"/>
      <c r="D25" s="53"/>
      <c r="E25" s="53">
        <f>C25*D25</f>
        <v>0</v>
      </c>
      <c r="F25" s="53" t="s">
        <v>310</v>
      </c>
      <c r="G25" s="53"/>
      <c r="H25" s="53"/>
      <c r="I25" s="53">
        <f>G25*H25</f>
        <v>0</v>
      </c>
      <c r="J25" s="53"/>
      <c r="K25" s="53"/>
      <c r="L25" s="53">
        <f>J25*K25</f>
        <v>0</v>
      </c>
    </row>
    <row r="26" spans="2:12" x14ac:dyDescent="0.25">
      <c r="B26" s="53"/>
      <c r="C26" s="53"/>
      <c r="D26" s="53"/>
      <c r="E26" s="53">
        <f>C26*D26</f>
        <v>0</v>
      </c>
      <c r="F26" s="53" t="s">
        <v>310</v>
      </c>
      <c r="G26" s="53"/>
      <c r="H26" s="53"/>
      <c r="I26" s="53">
        <f>G26*H26</f>
        <v>0</v>
      </c>
      <c r="J26" s="53"/>
      <c r="K26" s="53"/>
      <c r="L26" s="53">
        <f>J26*K26</f>
        <v>0</v>
      </c>
    </row>
    <row r="27" spans="2:12" x14ac:dyDescent="0.25">
      <c r="B27" s="53"/>
      <c r="C27" s="53"/>
      <c r="D27" s="53"/>
      <c r="E27" s="53">
        <f>C27*D27</f>
        <v>0</v>
      </c>
      <c r="F27" s="53" t="s">
        <v>310</v>
      </c>
      <c r="G27" s="53"/>
      <c r="H27" s="53"/>
      <c r="I27" s="53">
        <f>G27*H27</f>
        <v>0</v>
      </c>
      <c r="J27" s="53"/>
      <c r="K27" s="53"/>
      <c r="L27" s="53">
        <f>J27*K27</f>
        <v>0</v>
      </c>
    </row>
    <row r="28" spans="2:12" x14ac:dyDescent="0.25">
      <c r="B28" s="53" t="s">
        <v>311</v>
      </c>
      <c r="C28" s="53"/>
      <c r="D28" s="53"/>
      <c r="E28" s="53">
        <f t="shared" si="0"/>
        <v>0</v>
      </c>
      <c r="F28" s="53" t="s">
        <v>310</v>
      </c>
      <c r="G28" s="53"/>
      <c r="H28" s="53"/>
      <c r="I28" s="53">
        <f t="shared" si="1"/>
        <v>0</v>
      </c>
      <c r="J28" s="53"/>
      <c r="K28" s="53"/>
      <c r="L28" s="53">
        <f t="shared" si="2"/>
        <v>0</v>
      </c>
    </row>
    <row r="29" spans="2:12" x14ac:dyDescent="0.25">
      <c r="B29" s="53" t="s">
        <v>312</v>
      </c>
      <c r="C29" s="53"/>
      <c r="D29" s="53"/>
      <c r="E29" s="53">
        <f t="shared" si="0"/>
        <v>0</v>
      </c>
      <c r="F29" s="53" t="s">
        <v>310</v>
      </c>
      <c r="G29" s="53"/>
      <c r="H29" s="53"/>
      <c r="I29" s="53">
        <f t="shared" si="1"/>
        <v>0</v>
      </c>
      <c r="J29" s="53"/>
      <c r="K29" s="53"/>
      <c r="L29" s="53">
        <f t="shared" si="2"/>
        <v>0</v>
      </c>
    </row>
    <row r="30" spans="2:12" x14ac:dyDescent="0.25">
      <c r="B30" s="53" t="s">
        <v>316</v>
      </c>
      <c r="C30" s="53"/>
      <c r="D30" s="53"/>
      <c r="E30" s="53">
        <f t="shared" si="0"/>
        <v>0</v>
      </c>
      <c r="F30" s="53"/>
      <c r="G30" s="53"/>
      <c r="H30" s="53"/>
      <c r="I30" s="53">
        <f t="shared" si="1"/>
        <v>0</v>
      </c>
      <c r="J30" s="53"/>
      <c r="K30" s="53"/>
      <c r="L30" s="53">
        <f t="shared" si="2"/>
        <v>0</v>
      </c>
    </row>
    <row r="31" spans="2:12" x14ac:dyDescent="0.25">
      <c r="B31" s="53"/>
      <c r="C31" s="53"/>
      <c r="D31" s="53"/>
      <c r="E31" s="53">
        <f>C31*D31</f>
        <v>0</v>
      </c>
      <c r="F31" s="53"/>
      <c r="G31" s="53"/>
      <c r="H31" s="53"/>
      <c r="I31" s="53">
        <f>G31*H31</f>
        <v>0</v>
      </c>
      <c r="J31" s="53"/>
      <c r="K31" s="53"/>
      <c r="L31" s="53">
        <f>J31*K31</f>
        <v>0</v>
      </c>
    </row>
    <row r="32" spans="2:12" x14ac:dyDescent="0.25">
      <c r="B32" s="53"/>
      <c r="C32" s="53"/>
      <c r="D32" s="53"/>
      <c r="E32" s="53">
        <f>C32*D32</f>
        <v>0</v>
      </c>
      <c r="F32" s="53"/>
      <c r="G32" s="53"/>
      <c r="H32" s="53"/>
      <c r="I32" s="53">
        <f>G32*H32</f>
        <v>0</v>
      </c>
      <c r="J32" s="53"/>
      <c r="K32" s="53"/>
      <c r="L32" s="53">
        <f>J32*K32</f>
        <v>0</v>
      </c>
    </row>
    <row r="33" spans="2:12" x14ac:dyDescent="0.25">
      <c r="B33" s="53" t="s">
        <v>313</v>
      </c>
      <c r="C33" s="53"/>
      <c r="D33" s="53"/>
      <c r="E33" s="53">
        <f t="shared" si="0"/>
        <v>0</v>
      </c>
      <c r="F33" s="53"/>
      <c r="G33" s="53"/>
      <c r="H33" s="53"/>
      <c r="I33" s="53">
        <f t="shared" si="1"/>
        <v>0</v>
      </c>
      <c r="J33" s="53"/>
      <c r="K33" s="53"/>
      <c r="L33" s="53">
        <f t="shared" si="2"/>
        <v>0</v>
      </c>
    </row>
    <row r="34" spans="2:12" x14ac:dyDescent="0.25">
      <c r="B34" s="53" t="s">
        <v>317</v>
      </c>
      <c r="C34" s="53"/>
      <c r="D34" s="53"/>
      <c r="E34" s="53">
        <f t="shared" si="0"/>
        <v>0</v>
      </c>
      <c r="F34" s="53"/>
      <c r="G34" s="53"/>
      <c r="H34" s="53"/>
      <c r="I34" s="53">
        <f t="shared" si="1"/>
        <v>0</v>
      </c>
      <c r="J34" s="53"/>
      <c r="K34" s="53"/>
      <c r="L34" s="53">
        <f t="shared" si="2"/>
        <v>0</v>
      </c>
    </row>
    <row r="35" spans="2:12" x14ac:dyDescent="0.25">
      <c r="B35" s="53" t="s">
        <v>314</v>
      </c>
      <c r="C35" s="53"/>
      <c r="D35" s="53"/>
      <c r="E35" s="53">
        <f t="shared" si="0"/>
        <v>0</v>
      </c>
      <c r="F35" s="53"/>
      <c r="G35" s="53"/>
      <c r="H35" s="53"/>
      <c r="I35" s="53">
        <f t="shared" si="1"/>
        <v>0</v>
      </c>
      <c r="J35" s="53"/>
      <c r="K35" s="53"/>
      <c r="L35" s="53">
        <f t="shared" si="2"/>
        <v>0</v>
      </c>
    </row>
    <row r="36" spans="2:12" x14ac:dyDescent="0.25">
      <c r="B36" s="53" t="s">
        <v>315</v>
      </c>
      <c r="C36" s="53"/>
      <c r="D36" s="53"/>
      <c r="E36" s="53">
        <f t="shared" si="0"/>
        <v>0</v>
      </c>
      <c r="F36" s="53"/>
      <c r="G36" s="53"/>
      <c r="H36" s="53"/>
      <c r="I36" s="53">
        <f t="shared" ref="I36:I41" si="3">G36*H36</f>
        <v>0</v>
      </c>
      <c r="J36" s="53"/>
      <c r="K36" s="53"/>
      <c r="L36" s="53">
        <f t="shared" ref="L36:L41" si="4">J36*K36</f>
        <v>0</v>
      </c>
    </row>
    <row r="37" spans="2:12" x14ac:dyDescent="0.25">
      <c r="B37" s="53"/>
      <c r="C37" s="53"/>
      <c r="D37" s="53"/>
      <c r="E37" s="53">
        <f>C37*D37</f>
        <v>0</v>
      </c>
      <c r="F37" s="53"/>
      <c r="G37" s="53"/>
      <c r="H37" s="53"/>
      <c r="I37" s="53">
        <f t="shared" si="3"/>
        <v>0</v>
      </c>
      <c r="J37" s="53"/>
      <c r="K37" s="53"/>
      <c r="L37" s="53">
        <f t="shared" si="4"/>
        <v>0</v>
      </c>
    </row>
    <row r="38" spans="2:12" x14ac:dyDescent="0.25">
      <c r="B38" s="53" t="s">
        <v>318</v>
      </c>
      <c r="C38" s="53"/>
      <c r="D38" s="53"/>
      <c r="E38" s="53">
        <f>C38*D38</f>
        <v>0</v>
      </c>
      <c r="F38" s="53"/>
      <c r="G38" s="53"/>
      <c r="H38" s="53"/>
      <c r="I38" s="53">
        <f t="shared" si="3"/>
        <v>0</v>
      </c>
      <c r="J38" s="53"/>
      <c r="K38" s="53"/>
      <c r="L38" s="53">
        <f t="shared" si="4"/>
        <v>0</v>
      </c>
    </row>
    <row r="39" spans="2:12" x14ac:dyDescent="0.25">
      <c r="B39" s="53"/>
      <c r="C39" s="53"/>
      <c r="D39" s="53"/>
      <c r="E39" s="53">
        <f t="shared" si="0"/>
        <v>0</v>
      </c>
      <c r="F39" s="53"/>
      <c r="G39" s="53"/>
      <c r="H39" s="53"/>
      <c r="I39" s="53">
        <f t="shared" si="3"/>
        <v>0</v>
      </c>
      <c r="J39" s="53"/>
      <c r="K39" s="53"/>
      <c r="L39" s="53">
        <f t="shared" si="4"/>
        <v>0</v>
      </c>
    </row>
    <row r="40" spans="2:12" x14ac:dyDescent="0.25">
      <c r="B40" s="53"/>
      <c r="C40" s="53"/>
      <c r="D40" s="53"/>
      <c r="E40" s="53">
        <f t="shared" si="0"/>
        <v>0</v>
      </c>
      <c r="F40" s="53"/>
      <c r="G40" s="53"/>
      <c r="H40" s="53"/>
      <c r="I40" s="53">
        <f t="shared" si="3"/>
        <v>0</v>
      </c>
      <c r="J40" s="53"/>
      <c r="K40" s="53"/>
      <c r="L40" s="53">
        <f t="shared" si="4"/>
        <v>0</v>
      </c>
    </row>
    <row r="41" spans="2:12" x14ac:dyDescent="0.25">
      <c r="B41" s="53"/>
      <c r="C41" s="53"/>
      <c r="D41" s="53"/>
      <c r="E41" s="53">
        <f t="shared" si="0"/>
        <v>0</v>
      </c>
      <c r="F41" s="53"/>
      <c r="G41" s="53"/>
      <c r="H41" s="53"/>
      <c r="I41" s="53">
        <f t="shared" si="3"/>
        <v>0</v>
      </c>
      <c r="J41" s="53"/>
      <c r="K41" s="53"/>
      <c r="L41" s="53">
        <f t="shared" si="4"/>
        <v>0</v>
      </c>
    </row>
    <row r="42" spans="2:12" x14ac:dyDescent="0.25">
      <c r="B42" s="53" t="s">
        <v>144</v>
      </c>
      <c r="C42" s="53"/>
      <c r="D42" s="53">
        <f>E42*10.764</f>
        <v>0</v>
      </c>
      <c r="E42" s="66">
        <f>SUM(E6:E41)</f>
        <v>0</v>
      </c>
      <c r="F42" s="53"/>
      <c r="G42" s="53"/>
      <c r="H42" s="53">
        <f>I42*10.764</f>
        <v>0</v>
      </c>
      <c r="I42" s="65">
        <f>SUM(I6:I41)</f>
        <v>0</v>
      </c>
      <c r="J42" s="53"/>
      <c r="K42" s="53">
        <f>L42*10.764</f>
        <v>0</v>
      </c>
      <c r="L42" s="64">
        <f>SUM(L6:L41)</f>
        <v>0</v>
      </c>
    </row>
    <row r="44" spans="2:12" x14ac:dyDescent="0.25">
      <c r="D44" s="52">
        <f>D42+H42</f>
        <v>0</v>
      </c>
      <c r="E44" s="52">
        <f>E42+I42</f>
        <v>0</v>
      </c>
    </row>
  </sheetData>
  <mergeCells count="4">
    <mergeCell ref="C2:D2"/>
    <mergeCell ref="C4:E4"/>
    <mergeCell ref="G4:I4"/>
    <mergeCell ref="J4:L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Report</vt:lpstr>
      <vt:lpstr>valuation</vt:lpstr>
      <vt:lpstr>Research</vt:lpstr>
      <vt:lpstr>Remarks</vt:lpstr>
      <vt:lpstr>Area Calculation</vt:lpstr>
      <vt:lpstr>Report!Print_Area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PC-51</cp:lastModifiedBy>
  <cp:lastPrinted>2025-09-11T06:32:58Z</cp:lastPrinted>
  <dcterms:created xsi:type="dcterms:W3CDTF">2019-07-16T09:29:46Z</dcterms:created>
  <dcterms:modified xsi:type="dcterms:W3CDTF">2025-09-24T07:10:54Z</dcterms:modified>
</cp:coreProperties>
</file>