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D:\VSJCV\Making\AXIS\2025-26\Axis\APF Old\Sept 2025\25-09-2025\"/>
    </mc:Choice>
  </mc:AlternateContent>
  <bookViews>
    <workbookView xWindow="0" yWindow="0" windowWidth="19200" windowHeight="6640" tabRatio="725"/>
  </bookViews>
  <sheets>
    <sheet name="Report" sheetId="1" r:id="rId1"/>
    <sheet name="valuation" sheetId="5" r:id="rId2"/>
    <sheet name="Research" sheetId="4" r:id="rId3"/>
    <sheet name="Remarks" sheetId="6" r:id="rId4"/>
  </sheets>
  <definedNames>
    <definedName name="_xlnm.Print_Area" localSheetId="0">Report!$A$1:$H$384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03" i="1" l="1"/>
  <c r="D203" i="1"/>
  <c r="E202" i="1"/>
  <c r="D202" i="1"/>
  <c r="E201" i="1"/>
  <c r="D201" i="1"/>
  <c r="E200" i="1"/>
  <c r="D200" i="1"/>
  <c r="E198" i="1"/>
  <c r="D198" i="1"/>
  <c r="E197" i="1"/>
  <c r="D197" i="1"/>
  <c r="E196" i="1"/>
  <c r="D196" i="1"/>
  <c r="E195" i="1"/>
  <c r="D195" i="1"/>
  <c r="E194" i="1"/>
  <c r="D194" i="1"/>
  <c r="F194" i="1" s="1"/>
  <c r="H194" i="1" s="1"/>
  <c r="E193" i="1"/>
  <c r="D193" i="1"/>
  <c r="F193" i="1" s="1"/>
  <c r="H193" i="1" s="1"/>
  <c r="E192" i="1"/>
  <c r="D192" i="1"/>
  <c r="E191" i="1"/>
  <c r="D191" i="1"/>
  <c r="E190" i="1"/>
  <c r="D190" i="1"/>
  <c r="F190" i="1" s="1"/>
  <c r="H190" i="1" s="1"/>
  <c r="E189" i="1"/>
  <c r="D189" i="1"/>
  <c r="E188" i="1"/>
  <c r="D188" i="1"/>
  <c r="E186" i="1"/>
  <c r="D186" i="1"/>
  <c r="E185" i="1"/>
  <c r="D185" i="1"/>
  <c r="E184" i="1"/>
  <c r="D184" i="1"/>
  <c r="E183" i="1"/>
  <c r="D183" i="1"/>
  <c r="E182" i="1"/>
  <c r="D182" i="1"/>
  <c r="E181" i="1"/>
  <c r="D181" i="1"/>
  <c r="E180" i="1"/>
  <c r="D180" i="1"/>
  <c r="E179" i="1"/>
  <c r="D179" i="1"/>
  <c r="E178" i="1"/>
  <c r="D178" i="1"/>
  <c r="E177" i="1"/>
  <c r="D177" i="1"/>
  <c r="E176" i="1"/>
  <c r="D176" i="1"/>
  <c r="E175" i="1"/>
  <c r="D175" i="1"/>
  <c r="E174" i="1"/>
  <c r="D174" i="1"/>
  <c r="E173" i="1"/>
  <c r="D173" i="1"/>
  <c r="E172" i="1"/>
  <c r="D172" i="1"/>
  <c r="E171" i="1"/>
  <c r="D171" i="1"/>
  <c r="E169" i="1"/>
  <c r="D169" i="1"/>
  <c r="E168" i="1"/>
  <c r="D168" i="1"/>
  <c r="E166" i="1"/>
  <c r="D166" i="1"/>
  <c r="E165" i="1"/>
  <c r="D165" i="1"/>
  <c r="E164" i="1"/>
  <c r="D164" i="1"/>
  <c r="E163" i="1"/>
  <c r="D163" i="1"/>
  <c r="E162" i="1"/>
  <c r="D162" i="1"/>
  <c r="E161" i="1"/>
  <c r="D161" i="1"/>
  <c r="E160" i="1"/>
  <c r="D160" i="1"/>
  <c r="E159" i="1"/>
  <c r="D159" i="1"/>
  <c r="E158" i="1"/>
  <c r="D158" i="1"/>
  <c r="E154" i="1"/>
  <c r="D154" i="1"/>
  <c r="J154" i="1"/>
  <c r="I173" i="1"/>
  <c r="I200" i="1"/>
  <c r="F203" i="1"/>
  <c r="H203" i="1" s="1"/>
  <c r="F202" i="1"/>
  <c r="H202" i="1" s="1"/>
  <c r="F189" i="1"/>
  <c r="H189" i="1" s="1"/>
  <c r="C136" i="1" l="1"/>
  <c r="F191" i="1"/>
  <c r="H191" i="1" s="1"/>
  <c r="F200" i="1"/>
  <c r="H200" i="1" s="1"/>
  <c r="F198" i="1"/>
  <c r="H198" i="1" s="1"/>
  <c r="C137" i="1"/>
  <c r="F188" i="1"/>
  <c r="H188" i="1" s="1"/>
  <c r="F192" i="1"/>
  <c r="H192" i="1" s="1"/>
  <c r="F195" i="1"/>
  <c r="H195" i="1" s="1"/>
  <c r="F196" i="1"/>
  <c r="H196" i="1" s="1"/>
  <c r="F201" i="1"/>
  <c r="H201" i="1" s="1"/>
  <c r="F197" i="1"/>
  <c r="H197" i="1" s="1"/>
  <c r="F184" i="1"/>
  <c r="H184" i="1" s="1"/>
  <c r="F173" i="1"/>
  <c r="H173" i="1" s="1"/>
  <c r="F182" i="1"/>
  <c r="H182" i="1" s="1"/>
  <c r="F181" i="1"/>
  <c r="H181" i="1" s="1"/>
  <c r="F179" i="1"/>
  <c r="H179" i="1" s="1"/>
  <c r="F176" i="1"/>
  <c r="H176" i="1" s="1"/>
  <c r="F175" i="1"/>
  <c r="H175" i="1" s="1"/>
  <c r="F171" i="1"/>
  <c r="H171" i="1" s="1"/>
  <c r="F186" i="1"/>
  <c r="H186" i="1" s="1"/>
  <c r="F185" i="1"/>
  <c r="H185" i="1" s="1"/>
  <c r="F183" i="1"/>
  <c r="H183" i="1" s="1"/>
  <c r="F178" i="1"/>
  <c r="H178" i="1" s="1"/>
  <c r="F177" i="1"/>
  <c r="H177" i="1" s="1"/>
  <c r="F174" i="1"/>
  <c r="H174" i="1" s="1"/>
  <c r="F164" i="1"/>
  <c r="H164" i="1" s="1"/>
  <c r="F162" i="1"/>
  <c r="H162" i="1" s="1"/>
  <c r="F161" i="1"/>
  <c r="H161" i="1" s="1"/>
  <c r="F160" i="1"/>
  <c r="I161" i="1"/>
  <c r="I165" i="1"/>
  <c r="F168" i="1"/>
  <c r="H168" i="1" s="1"/>
  <c r="F159" i="1"/>
  <c r="H159" i="1" s="1"/>
  <c r="F169" i="1"/>
  <c r="H169" i="1" s="1"/>
  <c r="F165" i="1"/>
  <c r="H165" i="1" s="1"/>
  <c r="F163" i="1"/>
  <c r="H163" i="1" s="1"/>
  <c r="F158" i="1"/>
  <c r="H158" i="1" s="1"/>
  <c r="F154" i="1"/>
  <c r="A155" i="1"/>
  <c r="A156" i="1" s="1"/>
  <c r="A157" i="1" s="1"/>
  <c r="A158" i="1" s="1"/>
  <c r="A159" i="1" s="1"/>
  <c r="A160" i="1" s="1"/>
  <c r="A161" i="1" s="1"/>
  <c r="A162" i="1" s="1"/>
  <c r="A163" i="1" s="1"/>
  <c r="A164" i="1" s="1"/>
  <c r="A165" i="1" s="1"/>
  <c r="A166" i="1" s="1"/>
  <c r="A167" i="1" s="1"/>
  <c r="A168" i="1" s="1"/>
  <c r="A169" i="1" s="1"/>
  <c r="E43" i="1"/>
  <c r="C138" i="1" l="1"/>
  <c r="H160" i="1"/>
  <c r="G136" i="1" s="1"/>
  <c r="H154" i="1"/>
  <c r="F180" i="1"/>
  <c r="H180" i="1" s="1"/>
  <c r="F172" i="1"/>
  <c r="H172" i="1" s="1"/>
  <c r="F166" i="1"/>
  <c r="H166" i="1" s="1"/>
  <c r="B235" i="1"/>
  <c r="E136" i="1" l="1"/>
  <c r="G137" i="1"/>
  <c r="G138" i="1" s="1"/>
  <c r="E137" i="1"/>
  <c r="F146" i="1"/>
  <c r="H146" i="1" s="1"/>
  <c r="F147" i="1"/>
  <c r="H147" i="1" s="1"/>
  <c r="F148" i="1"/>
  <c r="H148" i="1" s="1"/>
  <c r="F145" i="1"/>
  <c r="H145" i="1" s="1"/>
  <c r="E138" i="1" l="1"/>
  <c r="G58" i="1"/>
  <c r="C58" i="1"/>
  <c r="G56" i="1"/>
  <c r="C56" i="1"/>
  <c r="C54" i="1"/>
  <c r="S33" i="1" l="1"/>
  <c r="F11" i="5" l="1"/>
  <c r="G11" i="5" s="1"/>
  <c r="F10" i="5"/>
  <c r="G10" i="5" s="1"/>
  <c r="F9" i="5"/>
  <c r="G9" i="5" s="1"/>
  <c r="G8" i="5"/>
  <c r="F8" i="5"/>
  <c r="G7" i="5"/>
  <c r="F7" i="5"/>
  <c r="G6" i="5"/>
  <c r="F6" i="5"/>
  <c r="F5" i="5"/>
  <c r="G5" i="5" s="1"/>
  <c r="G12" i="5" s="1"/>
  <c r="D257" i="1"/>
  <c r="B236" i="1"/>
  <c r="F232" i="1"/>
  <c r="H232" i="1" s="1"/>
  <c r="F231" i="1"/>
  <c r="H231" i="1" s="1"/>
  <c r="F230" i="1"/>
  <c r="H230" i="1" s="1"/>
  <c r="F229" i="1"/>
  <c r="H229" i="1" s="1"/>
  <c r="F228" i="1"/>
  <c r="H228" i="1" s="1"/>
  <c r="F226" i="1"/>
  <c r="H226" i="1" s="1"/>
  <c r="F225" i="1"/>
  <c r="H225" i="1" s="1"/>
  <c r="F224" i="1"/>
  <c r="H224" i="1" s="1"/>
  <c r="F223" i="1"/>
  <c r="H223" i="1" s="1"/>
  <c r="F222" i="1"/>
  <c r="H222" i="1" s="1"/>
  <c r="F220" i="1"/>
  <c r="H220" i="1" s="1"/>
  <c r="F219" i="1"/>
  <c r="H219" i="1" s="1"/>
  <c r="F218" i="1"/>
  <c r="H218" i="1" s="1"/>
  <c r="F217" i="1"/>
  <c r="H217" i="1" s="1"/>
  <c r="F216" i="1"/>
  <c r="H216" i="1" s="1"/>
  <c r="F214" i="1"/>
  <c r="H214" i="1" s="1"/>
  <c r="F213" i="1"/>
  <c r="H213" i="1" s="1"/>
  <c r="F212" i="1"/>
  <c r="H212" i="1" s="1"/>
  <c r="F211" i="1"/>
  <c r="H211" i="1" s="1"/>
  <c r="F210" i="1"/>
  <c r="H210" i="1" s="1"/>
  <c r="A210" i="1"/>
  <c r="A211" i="1" s="1"/>
  <c r="F208" i="1"/>
  <c r="H208" i="1" s="1"/>
  <c r="F207" i="1"/>
  <c r="H207" i="1" s="1"/>
  <c r="F206" i="1"/>
  <c r="H206" i="1" s="1"/>
  <c r="A206" i="1"/>
  <c r="A207" i="1" s="1"/>
  <c r="A208" i="1" s="1"/>
  <c r="F205" i="1"/>
  <c r="H205" i="1" s="1"/>
  <c r="A146" i="1"/>
  <c r="A147" i="1" s="1"/>
  <c r="A148" i="1" s="1"/>
  <c r="G139" i="1"/>
  <c r="E139" i="1"/>
  <c r="C139" i="1"/>
  <c r="F128" i="1"/>
  <c r="C102" i="1"/>
  <c r="D67" i="1"/>
  <c r="D62" i="1"/>
  <c r="C51" i="1"/>
  <c r="E44" i="1"/>
  <c r="E45" i="1" s="1"/>
  <c r="E31" i="1"/>
  <c r="E28" i="1"/>
  <c r="E26" i="1"/>
  <c r="C16" i="1"/>
  <c r="I15" i="1"/>
  <c r="Z13" i="1"/>
  <c r="E8" i="1"/>
  <c r="E3" i="1"/>
  <c r="H103" i="1"/>
  <c r="A228" i="1"/>
  <c r="A222" i="1"/>
  <c r="A216" i="1"/>
  <c r="H88" i="1"/>
  <c r="H74" i="1"/>
  <c r="A212" i="1" l="1"/>
  <c r="A213" i="1" s="1"/>
  <c r="A214" i="1" s="1"/>
  <c r="J73" i="1"/>
  <c r="J75" i="1" s="1"/>
  <c r="J76" i="1"/>
  <c r="J77" i="1"/>
  <c r="J78" i="1"/>
  <c r="C77" i="1" s="1"/>
  <c r="J92" i="1"/>
  <c r="D96" i="1"/>
  <c r="D98" i="1"/>
  <c r="J91" i="1"/>
  <c r="D97" i="1"/>
  <c r="J87" i="1"/>
  <c r="J89" i="1" s="1"/>
  <c r="D95" i="1"/>
  <c r="J90" i="1"/>
  <c r="D94" i="1"/>
  <c r="D100" i="1"/>
  <c r="D99" i="1"/>
  <c r="D93" i="1"/>
  <c r="D81" i="1"/>
  <c r="D83" i="1"/>
  <c r="D82" i="1"/>
  <c r="D86" i="1"/>
  <c r="D80" i="1"/>
  <c r="D85" i="1"/>
  <c r="D79" i="1"/>
  <c r="D84" i="1"/>
  <c r="C108" i="1"/>
  <c r="J102" i="1" s="1"/>
  <c r="J104" i="1" s="1"/>
  <c r="D111" i="1"/>
  <c r="D113" i="1"/>
  <c r="J107" i="1"/>
  <c r="C106" i="1" s="1"/>
  <c r="D106" i="1" s="1"/>
  <c r="D112" i="1"/>
  <c r="J106" i="1"/>
  <c r="D110" i="1"/>
  <c r="J105" i="1"/>
  <c r="D109" i="1"/>
  <c r="D115" i="1"/>
  <c r="D114" i="1"/>
  <c r="B103" i="1"/>
  <c r="B88" i="1"/>
  <c r="B74" i="1"/>
  <c r="J79" i="1" s="1"/>
  <c r="A229" i="1"/>
  <c r="A217" i="1"/>
  <c r="A223" i="1"/>
  <c r="C91" i="1" l="1"/>
  <c r="D91" i="1" s="1"/>
  <c r="D77" i="1"/>
  <c r="D108" i="1"/>
  <c r="J113" i="1"/>
  <c r="J110" i="1"/>
  <c r="J112" i="1"/>
  <c r="J111" i="1"/>
  <c r="J108" i="1"/>
  <c r="J109" i="1" s="1"/>
  <c r="J114" i="1" s="1"/>
  <c r="J115" i="1" s="1"/>
  <c r="C107" i="1" s="1"/>
  <c r="E106" i="1" s="1"/>
  <c r="J98" i="1"/>
  <c r="J95" i="1"/>
  <c r="J97" i="1"/>
  <c r="J96" i="1"/>
  <c r="J93" i="1"/>
  <c r="J94" i="1" s="1"/>
  <c r="J83" i="1"/>
  <c r="J81" i="1"/>
  <c r="J82" i="1"/>
  <c r="J80" i="1"/>
  <c r="J85" i="1" s="1"/>
  <c r="J86" i="1" s="1"/>
  <c r="C78" i="1" s="1"/>
  <c r="J84" i="1"/>
  <c r="A230" i="1"/>
  <c r="A218" i="1"/>
  <c r="A224" i="1"/>
  <c r="J74" i="1" l="1"/>
  <c r="J99" i="1"/>
  <c r="D107" i="1"/>
  <c r="I103" i="1" s="1"/>
  <c r="J103" i="1"/>
  <c r="G106" i="1"/>
  <c r="E77" i="1"/>
  <c r="D78" i="1"/>
  <c r="I74" i="1" s="1"/>
  <c r="G77" i="1"/>
  <c r="A231" i="1"/>
  <c r="A219" i="1"/>
  <c r="A225" i="1"/>
  <c r="D71" i="1" l="1"/>
  <c r="F72" i="1" s="1"/>
  <c r="J100" i="1"/>
  <c r="C92" i="1" s="1"/>
  <c r="J88" i="1" s="1"/>
  <c r="I104" i="1"/>
  <c r="I102" i="1" s="1"/>
  <c r="C104" i="1" s="1"/>
  <c r="I75" i="1"/>
  <c r="I73" i="1" s="1"/>
  <c r="C75" i="1" s="1"/>
  <c r="A226" i="1"/>
  <c r="A220" i="1"/>
  <c r="A232" i="1"/>
  <c r="D72" i="1" l="1"/>
  <c r="D92" i="1"/>
  <c r="I88" i="1" s="1"/>
  <c r="I89" i="1" s="1"/>
  <c r="E91" i="1"/>
  <c r="C101" i="1" s="1"/>
  <c r="G91" i="1"/>
  <c r="G101" i="1" s="1"/>
  <c r="I87" i="1" l="1"/>
  <c r="C89" i="1" s="1"/>
</calcChain>
</file>

<file path=xl/comments1.xml><?xml version="1.0" encoding="utf-8"?>
<comments xmlns="http://schemas.openxmlformats.org/spreadsheetml/2006/main">
  <authors>
    <author>Sachin</author>
    <author>SACHIN</author>
  </authors>
  <commentList>
    <comment ref="E12" authorId="0" shapeId="0">
      <text>
        <r>
          <rPr>
            <b/>
            <sz val="9"/>
            <color indexed="81"/>
            <rFont val="Tahoma"/>
            <family val="2"/>
          </rPr>
          <t>Sachin:</t>
        </r>
        <r>
          <rPr>
            <sz val="9"/>
            <color indexed="81"/>
            <rFont val="Tahoma"/>
            <family val="2"/>
          </rPr>
          <t xml:space="preserve">
Building No. 
Tower No.
Wing 
Bunglow No., etc</t>
        </r>
      </text>
    </comment>
    <comment ref="E13" authorId="0" shapeId="0">
      <text>
        <r>
          <rPr>
            <b/>
            <sz val="9"/>
            <color indexed="81"/>
            <rFont val="Tahoma"/>
            <family val="2"/>
          </rPr>
          <t>Sachin:</t>
        </r>
        <r>
          <rPr>
            <sz val="9"/>
            <color indexed="81"/>
            <rFont val="Tahoma"/>
            <family val="2"/>
          </rPr>
          <t xml:space="preserve">
If exisiting Building is provided write it or else
NA</t>
        </r>
      </text>
    </comment>
    <comment ref="C55" authorId="1" shapeId="0">
      <text>
        <r>
          <rPr>
            <b/>
            <sz val="9"/>
            <color indexed="81"/>
            <rFont val="Tahoma"/>
            <family val="2"/>
          </rPr>
          <t>SACHIN:</t>
        </r>
        <r>
          <rPr>
            <sz val="9"/>
            <color indexed="81"/>
            <rFont val="Tahoma"/>
            <family val="2"/>
          </rPr>
          <t xml:space="preserve">
Floor with height</t>
        </r>
      </text>
    </comment>
    <comment ref="C57" authorId="1" shapeId="0">
      <text>
        <r>
          <rPr>
            <b/>
            <sz val="9"/>
            <color indexed="81"/>
            <rFont val="Tahoma"/>
            <family val="2"/>
          </rPr>
          <t>SACHIN:</t>
        </r>
        <r>
          <rPr>
            <sz val="9"/>
            <color indexed="81"/>
            <rFont val="Tahoma"/>
            <family val="2"/>
          </rPr>
          <t xml:space="preserve">
Survey Nos.</t>
        </r>
      </text>
    </comment>
    <comment ref="C59" authorId="1" shapeId="0">
      <text>
        <r>
          <rPr>
            <b/>
            <sz val="9"/>
            <color indexed="81"/>
            <rFont val="Tahoma"/>
            <family val="2"/>
          </rPr>
          <t>SACHIN:</t>
        </r>
        <r>
          <rPr>
            <sz val="9"/>
            <color indexed="81"/>
            <rFont val="Tahoma"/>
            <family val="2"/>
          </rPr>
          <t xml:space="preserve">
Height from AMSL</t>
        </r>
      </text>
    </comment>
    <comment ref="D62" authorId="0" shapeId="0">
      <text>
        <r>
          <rPr>
            <b/>
            <sz val="9"/>
            <color indexed="81"/>
            <rFont val="Tahoma"/>
            <family val="2"/>
          </rPr>
          <t>Sachin:</t>
        </r>
        <r>
          <rPr>
            <sz val="9"/>
            <color indexed="81"/>
            <rFont val="Tahoma"/>
            <family val="2"/>
          </rPr>
          <t xml:space="preserve">
If multiple building in project or complex just mention builtup of required building</t>
        </r>
      </text>
    </comment>
    <comment ref="F121" authorId="1" shapeId="0">
      <text>
        <r>
          <rPr>
            <b/>
            <sz val="9"/>
            <color indexed="81"/>
            <rFont val="Tahoma"/>
            <family val="2"/>
          </rPr>
          <t>SACHIN:</t>
        </r>
        <r>
          <rPr>
            <sz val="9"/>
            <color indexed="81"/>
            <rFont val="Tahoma"/>
            <family val="2"/>
          </rPr>
          <t xml:space="preserve">
Other charges should be given on basis of location amenties builder type n should not exceed above 12 lakhs or 8% of flat value</t>
        </r>
      </text>
    </comment>
    <comment ref="H151" authorId="1" shapeId="0">
      <text>
        <r>
          <rPr>
            <b/>
            <sz val="9"/>
            <color indexed="81"/>
            <rFont val="Tahoma"/>
            <family val="2"/>
          </rPr>
          <t>SACHIN:</t>
        </r>
        <r>
          <rPr>
            <sz val="9"/>
            <color indexed="81"/>
            <rFont val="Tahoma"/>
            <family val="2"/>
          </rPr>
          <t xml:space="preserve">
Give loading of 50% for A Category</t>
        </r>
      </text>
    </comment>
  </commentList>
</comments>
</file>

<file path=xl/comments2.xml><?xml version="1.0" encoding="utf-8"?>
<comments xmlns="http://schemas.openxmlformats.org/spreadsheetml/2006/main">
  <authors>
    <author>SACHIN</author>
  </authors>
  <commentList>
    <comment ref="C9" authorId="0" shapeId="0">
      <text>
        <r>
          <rPr>
            <b/>
            <sz val="9"/>
            <color indexed="81"/>
            <rFont val="Tahoma"/>
            <family val="2"/>
          </rPr>
          <t>SACHIN:</t>
        </r>
        <r>
          <rPr>
            <sz val="9"/>
            <color indexed="81"/>
            <rFont val="Tahoma"/>
            <family val="2"/>
          </rPr>
          <t xml:space="preserve">
If banker changes the rate</t>
        </r>
      </text>
    </comment>
    <comment ref="C10" authorId="0" shapeId="0">
      <text>
        <r>
          <rPr>
            <b/>
            <sz val="9"/>
            <color indexed="81"/>
            <rFont val="Tahoma"/>
            <family val="2"/>
          </rPr>
          <t>SACHIN:</t>
        </r>
        <r>
          <rPr>
            <sz val="9"/>
            <color indexed="81"/>
            <rFont val="Tahoma"/>
            <family val="2"/>
          </rPr>
          <t xml:space="preserve">
If we change the rate</t>
        </r>
      </text>
    </comment>
  </commentList>
</comments>
</file>

<file path=xl/sharedStrings.xml><?xml version="1.0" encoding="utf-8"?>
<sst xmlns="http://schemas.openxmlformats.org/spreadsheetml/2006/main" count="700" uniqueCount="366">
  <si>
    <t xml:space="preserve">Valuation Report </t>
  </si>
  <si>
    <t>Date:</t>
  </si>
  <si>
    <t>CPC Name:</t>
  </si>
  <si>
    <t>Date Of Property Visit</t>
  </si>
  <si>
    <t>Name of the builder group</t>
  </si>
  <si>
    <t>Name of the builder company</t>
  </si>
  <si>
    <t>Name of the Project</t>
  </si>
  <si>
    <t>Name / No of the Building</t>
  </si>
  <si>
    <t>RERA No.</t>
  </si>
  <si>
    <t xml:space="preserve">Project location details       </t>
  </si>
  <si>
    <t>Road</t>
  </si>
  <si>
    <t>District</t>
  </si>
  <si>
    <t>City</t>
  </si>
  <si>
    <t>Pin Code</t>
  </si>
  <si>
    <t xml:space="preserve">Distance from city centre: </t>
  </si>
  <si>
    <t>all available at  1 to 2 km.</t>
  </si>
  <si>
    <t>Does property have Electricity / Water / Drainage Connection</t>
  </si>
  <si>
    <t>Yes</t>
  </si>
  <si>
    <t>Class of locality</t>
  </si>
  <si>
    <t>Nature of land with topographical condtion</t>
  </si>
  <si>
    <t>Plane</t>
  </si>
  <si>
    <t xml:space="preserve">Nature of the locality </t>
  </si>
  <si>
    <t>Quality of infrastructure in vicinity</t>
  </si>
  <si>
    <t>Good</t>
  </si>
  <si>
    <t>East</t>
  </si>
  <si>
    <t>West</t>
  </si>
  <si>
    <t>South</t>
  </si>
  <si>
    <t>North</t>
  </si>
  <si>
    <t>NA</t>
  </si>
  <si>
    <t>At site</t>
  </si>
  <si>
    <t xml:space="preserve">Approved usage of the Property:                                                                                                                                             </t>
  </si>
  <si>
    <t>No</t>
  </si>
  <si>
    <t>Area Statement Details :</t>
  </si>
  <si>
    <t>Total land area of the project in Sq. Mt.</t>
  </si>
  <si>
    <t>Permissible FSI</t>
  </si>
  <si>
    <t>Permissible TDR/Paid FSI</t>
  </si>
  <si>
    <t>Total FSI availaible for the project</t>
  </si>
  <si>
    <t>Total number of Buildings</t>
  </si>
  <si>
    <t xml:space="preserve">Approval Detail : Plan approval </t>
  </si>
  <si>
    <t xml:space="preserve">Layout Approval No     </t>
  </si>
  <si>
    <t>Dated</t>
  </si>
  <si>
    <t xml:space="preserve">Approved Floor plan No.  </t>
  </si>
  <si>
    <t xml:space="preserve">O. Certificate No.: </t>
  </si>
  <si>
    <t>Expected Completion</t>
  </si>
  <si>
    <t>Building wise Construction details</t>
  </si>
  <si>
    <t>Approved no of units</t>
  </si>
  <si>
    <t>Approved no of Floors</t>
  </si>
  <si>
    <t>Type of Work</t>
  </si>
  <si>
    <t>Plinth</t>
  </si>
  <si>
    <t xml:space="preserve">Recommended rate of Parking </t>
  </si>
  <si>
    <t>Distressed valuation of the Property</t>
  </si>
  <si>
    <t>Building &amp; Wing</t>
  </si>
  <si>
    <t>Total Carpet Area</t>
  </si>
  <si>
    <t>Total Saleable Area</t>
  </si>
  <si>
    <t>Building details Floor Wise</t>
  </si>
  <si>
    <t>Description</t>
  </si>
  <si>
    <t>Gross Carpet area</t>
  </si>
  <si>
    <t>Attached Terrace area</t>
  </si>
  <si>
    <t>Undertaking :</t>
  </si>
  <si>
    <t>1) We have personally visited the property &amp; identified the same based on the documents provided.</t>
  </si>
  <si>
    <t>2) I/We have no direct or Indirect Interest in the property being valued</t>
  </si>
  <si>
    <t>3) The information furnished above is true and correct to my/our knowledge.</t>
  </si>
  <si>
    <t>4) Legal title of the property is not verified by us.</t>
  </si>
  <si>
    <t xml:space="preserve">PHOTOGRAPHS OF PROPERTY : 
</t>
  </si>
  <si>
    <t>Google Map :</t>
  </si>
  <si>
    <t xml:space="preserve">Remarks:  </t>
  </si>
  <si>
    <t>Flat</t>
  </si>
  <si>
    <t>Residential Area Details :</t>
  </si>
  <si>
    <t>Podium</t>
  </si>
  <si>
    <t>Ground</t>
  </si>
  <si>
    <t>Locality/Village</t>
  </si>
  <si>
    <t>Taluka</t>
  </si>
  <si>
    <t>Commercial Area Details :</t>
  </si>
  <si>
    <t>Accessibility to the Project from the City: (Proximity to civic amenities like school, hospital, market, etc.)</t>
  </si>
  <si>
    <t>Inspected By :</t>
  </si>
  <si>
    <t>No. of Units</t>
  </si>
  <si>
    <t>Authorized Signatory
Name &amp; Seal of the agency</t>
  </si>
  <si>
    <t>Floors</t>
  </si>
  <si>
    <t>Type of Structure</t>
  </si>
  <si>
    <t>RCC Frame Structure</t>
  </si>
  <si>
    <t>Complition %</t>
  </si>
  <si>
    <t>Disbursement %</t>
  </si>
  <si>
    <t>Progress %</t>
  </si>
  <si>
    <t xml:space="preserve">Material laying at Site: </t>
  </si>
  <si>
    <t>Projected life of the structure</t>
  </si>
  <si>
    <t xml:space="preserve">Quality of construction: </t>
  </si>
  <si>
    <t>Proposed no of Floors</t>
  </si>
  <si>
    <t xml:space="preserve">Stage of construction: </t>
  </si>
  <si>
    <t>Approved area of building (Sq.Mt)</t>
  </si>
  <si>
    <t>Total Approved Builtup area of the project (Sq.Mt)</t>
  </si>
  <si>
    <t>Restrictive Covenants in regard to Land Use</t>
  </si>
  <si>
    <t>Boundries</t>
  </si>
  <si>
    <t>Development Charges</t>
  </si>
  <si>
    <t>Club Charges</t>
  </si>
  <si>
    <t>Gas Connection Charges</t>
  </si>
  <si>
    <t>Water, Electricity, Drainages, Sewerage Connection</t>
  </si>
  <si>
    <t>Society Formation Charges</t>
  </si>
  <si>
    <t>Advance Maintenance Charges</t>
  </si>
  <si>
    <t>Excavation in process</t>
  </si>
  <si>
    <t>Excavation Completed</t>
  </si>
  <si>
    <t>Footing in Process</t>
  </si>
  <si>
    <t>Footing Completed</t>
  </si>
  <si>
    <t>Plinth completed</t>
  </si>
  <si>
    <t>NA
Approved upto : NA</t>
  </si>
  <si>
    <t>Report By :</t>
  </si>
  <si>
    <t>Market Research Data</t>
  </si>
  <si>
    <t>Source</t>
  </si>
  <si>
    <t>Distance from proposed property</t>
  </si>
  <si>
    <t>Net Carpet</t>
  </si>
  <si>
    <t>Market Value</t>
  </si>
  <si>
    <t>Magic Brick</t>
  </si>
  <si>
    <t>99 Acres</t>
  </si>
  <si>
    <t>Average</t>
  </si>
  <si>
    <t xml:space="preserve">Valuation Adopted </t>
  </si>
  <si>
    <t>Saleable Area</t>
  </si>
  <si>
    <t>Rate on Saleable</t>
  </si>
  <si>
    <t xml:space="preserve">Wheather the construction is as per approved Building plan : </t>
  </si>
  <si>
    <t>Ground Floor</t>
  </si>
  <si>
    <t>2nd Floor</t>
  </si>
  <si>
    <t>01 Building</t>
  </si>
  <si>
    <t>Nearby Landmark</t>
  </si>
  <si>
    <t>We considered Carpet area as per Approved Plan.</t>
  </si>
  <si>
    <t>We have considered rate by verifying it from market inquire.</t>
  </si>
  <si>
    <t>Car parking is subjected to authentic documentation.</t>
  </si>
  <si>
    <t>5) Gross carpet area =  Net Carpet area + Fungible area.</t>
  </si>
  <si>
    <t>6) Fungible Area= Enclosed Balcony + Flower Bed + Covered Balcony + Service Slab + Duct + Chajja + Wheather Shed area.</t>
  </si>
  <si>
    <t>Excavation</t>
  </si>
  <si>
    <t>RCC (Including podiums)</t>
  </si>
  <si>
    <t>Brickwork &amp; Internal Plaster</t>
  </si>
  <si>
    <t>Flooring &amp; Fitting</t>
  </si>
  <si>
    <t>External Plaster &amp; Plumbing</t>
  </si>
  <si>
    <t>Building Common Amenities</t>
  </si>
  <si>
    <t>Possession</t>
  </si>
  <si>
    <t>Ext. Plaster &amp; Plumbing</t>
  </si>
  <si>
    <t>Brickwork</t>
  </si>
  <si>
    <t>Internal Plaster</t>
  </si>
  <si>
    <t>Painting &amp; Wooden</t>
  </si>
  <si>
    <t>Slab/Floor</t>
  </si>
  <si>
    <t>Construction details:</t>
  </si>
  <si>
    <t>Piling Work in process</t>
  </si>
  <si>
    <t>Basement</t>
  </si>
  <si>
    <t>Basement 2</t>
  </si>
  <si>
    <t>Basement 3</t>
  </si>
  <si>
    <t>Basement 4</t>
  </si>
  <si>
    <t>2nd to 5th Floor</t>
  </si>
  <si>
    <t>2nd &amp; 5th Floor</t>
  </si>
  <si>
    <t>Basement 1</t>
  </si>
  <si>
    <t>Plinth in process</t>
  </si>
  <si>
    <t xml:space="preserve">Violations Observed if any : </t>
  </si>
  <si>
    <t>Saleable area Loading :</t>
  </si>
  <si>
    <t>3rd, 5th, 7th, 9th, 11th, 13th, 15th Floor</t>
  </si>
  <si>
    <t>Total</t>
  </si>
  <si>
    <t>Name of Municipal Corporation/Authority</t>
  </si>
  <si>
    <t>We have considered proposed No. of Floor for Stage Calculation.</t>
  </si>
  <si>
    <t>*</t>
  </si>
  <si>
    <t>Recommended rate should be considered as all inclusive rate if other charges are not mentioned. (Excluding GST &amp; other government Taxes)</t>
  </si>
  <si>
    <t xml:space="preserve">Commencement-CC No
Valid Up to: </t>
  </si>
  <si>
    <t>Attached Loft area</t>
  </si>
  <si>
    <t xml:space="preserve">Recommended Rates of the Property : </t>
  </si>
  <si>
    <t>Recommended rate of the Shop Per Sq. Ft.</t>
  </si>
  <si>
    <t>Recommended rate of the Flat Per Sq. Ft.</t>
  </si>
  <si>
    <t>Recommended rate of the Office Per Sq. Ft.</t>
  </si>
  <si>
    <t>On Saleable Area</t>
  </si>
  <si>
    <t>Location Link</t>
  </si>
  <si>
    <t>Locality</t>
  </si>
  <si>
    <t>Layout :</t>
  </si>
  <si>
    <t>Office No. 1031, Wing J, Akshar Business Park, Plot No. 03 Sector 25, Near APMC Market, Vashi, Navi Mumbai, Maharashtra 400703 TEL: 022-46090378/79/80                                                                       
E mail : vsjcapf@gmail.com. Web site : www.vsjadon.com</t>
  </si>
  <si>
    <t>Latitude, Longitude</t>
  </si>
  <si>
    <t>Grand Total</t>
  </si>
  <si>
    <t>Provided Contact Details (Name &amp; Contact No.)</t>
  </si>
  <si>
    <t>Site Person - Contact Details (Name &amp; Contact No.)</t>
  </si>
  <si>
    <t>Approved Plans, CC, Sale Plans, Builder Saleable Area, Cost Sheet, Airport Noc, Railway Noc, OC</t>
  </si>
  <si>
    <t>Axis Goregaon</t>
  </si>
  <si>
    <t>Name / No of the Existing Building</t>
  </si>
  <si>
    <t>Mumbai</t>
  </si>
  <si>
    <t>As per Layout</t>
  </si>
  <si>
    <t>Floor Rise Rate from    Floor</t>
  </si>
  <si>
    <t>Shop No. (Sale Plan)</t>
  </si>
  <si>
    <t xml:space="preserve">As the project is redevelopement project but rehab statement or rehab flats is not mentioned approved layout plan &amp; floor plan.
</t>
  </si>
  <si>
    <t xml:space="preserve">Thane </t>
  </si>
  <si>
    <t>Thane</t>
  </si>
  <si>
    <t>Shahpur</t>
  </si>
  <si>
    <t>Kalyan</t>
  </si>
  <si>
    <t>Bhiwandi</t>
  </si>
  <si>
    <t>Ulhasnagar</t>
  </si>
  <si>
    <t>Ambernath</t>
  </si>
  <si>
    <t>Murbad</t>
  </si>
  <si>
    <t>Mokhada</t>
  </si>
  <si>
    <t>Talasari</t>
  </si>
  <si>
    <t>Palghar</t>
  </si>
  <si>
    <t>Vasai</t>
  </si>
  <si>
    <t>Vikramgad</t>
  </si>
  <si>
    <t>Dahanu</t>
  </si>
  <si>
    <t>Wada</t>
  </si>
  <si>
    <t>Raigad</t>
  </si>
  <si>
    <t>Alibag</t>
  </si>
  <si>
    <t>Panvel</t>
  </si>
  <si>
    <t>Uran</t>
  </si>
  <si>
    <t>Karjat</t>
  </si>
  <si>
    <t>Khalapur</t>
  </si>
  <si>
    <t>Pen</t>
  </si>
  <si>
    <t>Sudhagad</t>
  </si>
  <si>
    <t>Mahad</t>
  </si>
  <si>
    <t>Roha</t>
  </si>
  <si>
    <t>Mangaon</t>
  </si>
  <si>
    <t>Poladpur</t>
  </si>
  <si>
    <t>Mahasala</t>
  </si>
  <si>
    <t>Shriwardhan</t>
  </si>
  <si>
    <t>Murud</t>
  </si>
  <si>
    <t>Andheri</t>
  </si>
  <si>
    <t>Borivali</t>
  </si>
  <si>
    <t>Kurla</t>
  </si>
  <si>
    <t>Pune</t>
  </si>
  <si>
    <t>Pune City</t>
  </si>
  <si>
    <t>Khed</t>
  </si>
  <si>
    <t>Baramati</t>
  </si>
  <si>
    <t>Junnar</t>
  </si>
  <si>
    <t>Shirur</t>
  </si>
  <si>
    <t>Indapur</t>
  </si>
  <si>
    <t>Daund</t>
  </si>
  <si>
    <t>Mawal</t>
  </si>
  <si>
    <t>Ambegaon</t>
  </si>
  <si>
    <t>Purandhar</t>
  </si>
  <si>
    <t>Bhor</t>
  </si>
  <si>
    <t>Mulshi</t>
  </si>
  <si>
    <t>Velhe</t>
  </si>
  <si>
    <t>Haveli</t>
  </si>
  <si>
    <t>Approved Plans, CC</t>
  </si>
  <si>
    <t>Approved Plans, CC, Sale Plans</t>
  </si>
  <si>
    <t>Approved Plans, CC, Sale Plans, Builder Saleable Area</t>
  </si>
  <si>
    <t>Approved Plans, CC, Sale Plans, Builder Saleable Area, Cost Sheet,</t>
  </si>
  <si>
    <t>Approved Plans, CC, Builder Saleable Area,</t>
  </si>
  <si>
    <t>Carpet area</t>
  </si>
  <si>
    <t>Bank Name:</t>
  </si>
  <si>
    <t>Axis Bank</t>
  </si>
  <si>
    <t>Branch</t>
  </si>
  <si>
    <t>Bank</t>
  </si>
  <si>
    <t>Cent Bank</t>
  </si>
  <si>
    <t>Indiabulls Housing Finance Ltd</t>
  </si>
  <si>
    <t>PNB Housing Finance Limited</t>
  </si>
  <si>
    <t>ABFHL</t>
  </si>
  <si>
    <t>Axis Thane</t>
  </si>
  <si>
    <t>Axis Sanpada</t>
  </si>
  <si>
    <t>Axis Badlapur</t>
  </si>
  <si>
    <t>PNB Thane</t>
  </si>
  <si>
    <t>PNB Borivali</t>
  </si>
  <si>
    <t>Cent Kalyan</t>
  </si>
  <si>
    <t>Cent Belapur</t>
  </si>
  <si>
    <t>IBHF Kalyan</t>
  </si>
  <si>
    <t>IBHF Badlapur</t>
  </si>
  <si>
    <t>IBHF Vashi</t>
  </si>
  <si>
    <t>IBHF Thane</t>
  </si>
  <si>
    <t>IBHF Andheri</t>
  </si>
  <si>
    <t>Authorites</t>
  </si>
  <si>
    <t>Slum Rehabilitation Authority (SRA)</t>
  </si>
  <si>
    <t>Municipal Corporation of Greater Mumbai (MCGM)</t>
  </si>
  <si>
    <t>Maharashtra Housing and Area Development Authority(MHADA)</t>
  </si>
  <si>
    <t>Mumbai Metropolitan Region Development Authority (MMRDA)</t>
  </si>
  <si>
    <t>Maharashtra State Road Development Corporation Limited (MSRDC)</t>
  </si>
  <si>
    <t>Navi Mumbai Municipal Corporation (NMMC)</t>
  </si>
  <si>
    <t>Thane Muncipal Cooperation (TMC)</t>
  </si>
  <si>
    <t>Kalyan Dombivli Municipal Corporation (KMDC)</t>
  </si>
  <si>
    <t>Kulgoan Badlapur Municipal Council</t>
  </si>
  <si>
    <t>Town Planning Thane</t>
  </si>
  <si>
    <t>Ambernath Municipal Council (AMC)</t>
  </si>
  <si>
    <t>Ulhasnagar Municipal Corporation</t>
  </si>
  <si>
    <t>Nagar Rachana Ani Mulya Nirdharan Vibhag Thane</t>
  </si>
  <si>
    <t>Bhiwandi Nizampur City Municipal Corporation</t>
  </si>
  <si>
    <t>City and Industrial Development Corporation (CIDCO)</t>
  </si>
  <si>
    <t>Maharashtra Industrial Development Corporation (MIDC)</t>
  </si>
  <si>
    <t>Panvel Municipal Corporation</t>
  </si>
  <si>
    <t>Navi Mumbai Airport Influence Notified Area (NAINA)</t>
  </si>
  <si>
    <t>Pen Municipal Council</t>
  </si>
  <si>
    <t>Raigad Zilha Parishad</t>
  </si>
  <si>
    <t>Roha Municipal Council</t>
  </si>
  <si>
    <t>Vasai-Virar City Municipal Corporation. (VVCMC)</t>
  </si>
  <si>
    <t>Collector Of Palghar</t>
  </si>
  <si>
    <t>Town Planner, Palghar</t>
  </si>
  <si>
    <t>Mira-Bhayandar Municipal Corporation</t>
  </si>
  <si>
    <t>Documents Provided</t>
  </si>
  <si>
    <t>Does the boundaries at site match, as mentioned in the Documentation: NA</t>
  </si>
  <si>
    <t xml:space="preserve">Fire Noc No
Valid Up to: </t>
  </si>
  <si>
    <t xml:space="preserve">Environmental Clearance Certificate (EC) No
Valid Up for: </t>
  </si>
  <si>
    <t xml:space="preserve">Airport Noc No
Valid Up to: </t>
  </si>
  <si>
    <t xml:space="preserve">As per RERA, completion period of project Yashwant Height is expired on 30/06/2021 but still project is under construction.
</t>
  </si>
  <si>
    <t>Validity of CC is expired on 31/01/2021. Please provide latest CC.</t>
  </si>
  <si>
    <t>Construction work is same as last visit but work is in process at the time of visit. (Slow Speed)</t>
  </si>
  <si>
    <t>As per CRZ Norms, The said plot is coming under list of plots affected by CRZ. Ref Letter No. CIDCO/PLNG/ACP(BP)/2021/895/E-19416 Date : 09/03/2021.</t>
  </si>
  <si>
    <t>Construction work has increased from last visit but no active work was found during site visit</t>
  </si>
  <si>
    <t>As per Approved Floor plan, Wing A consist of 62 units ( Rehab = 40 units &amp; Sale = 22 Units),  but which unit no should be considered as rehab or sale is not mentioned in Approved plan.</t>
  </si>
  <si>
    <t>If stage is not identifibale due to external Visit,
1. Confirm with visitor that internal visit was possible or not, if internal visit possible ask visitor to to revisit
2. If internal visit not possible in category A Builders, if stage is not possible to increase mention below remark Since internal visit were not permitted, we were unable to determine building progress from an external visit; so, we are maintaining the same progress as in the previous report (dtd.    )
3. If Stage is identifiable increase the stage. Mention internal visit is not allowed in Remark</t>
  </si>
  <si>
    <r>
      <t xml:space="preserve">Recommended Rates / Other charges of the Property have been revised on </t>
    </r>
    <r>
      <rPr>
        <b/>
        <sz val="11"/>
        <color rgb="FF000000"/>
        <rFont val="Calibri"/>
        <family val="2"/>
      </rPr>
      <t>23/10/2023</t>
    </r>
    <r>
      <rPr>
        <sz val="11"/>
        <color rgb="FF000000"/>
        <rFont val="Calibri"/>
        <family val="2"/>
      </rPr>
      <t>.</t>
    </r>
  </si>
  <si>
    <t>Other charges/ Rate has been revised as per market inquiry (on 12/10/2023)</t>
  </si>
  <si>
    <t>Cementry of Hindu, Muslim, &amp; Christian Religion is located in 150 to 200m from project</t>
  </si>
  <si>
    <t>There is a road on the west side of the project, and a creek is next to the other side of the road.</t>
  </si>
  <si>
    <t>We have updated revised approved plans &amp; CC (on 15/12/2022).</t>
  </si>
  <si>
    <t>High Tension lines are passing through project (name)</t>
  </si>
  <si>
    <t>Collector Of Raigad</t>
  </si>
  <si>
    <t>As the project is redevelopement project but rehab statement or rehab flats is not mentioned approved layout plan &amp; floor plan.</t>
  </si>
  <si>
    <t>Construction work was stopped since visit 04/12/2017, but during 07/10/2021 site visit some construction activity was seen on site (Single room flooring work was seen)</t>
  </si>
  <si>
    <t>Builder is selling Bare Shell Office units</t>
  </si>
  <si>
    <t>We did not consider the terrace area attached to the 1st floor flats because it was not shown in the approved plans. However, it was shown in the sale plan.</t>
  </si>
  <si>
    <t>P99000055548</t>
  </si>
  <si>
    <t xml:space="preserve">Adiraj J P Infra
</t>
  </si>
  <si>
    <t>Ruchita Bliss</t>
  </si>
  <si>
    <t>9702744463 / 7387144998</t>
  </si>
  <si>
    <t>Ruchita CHSL</t>
  </si>
  <si>
    <t>Survey No</t>
  </si>
  <si>
    <t>89/1/3/2, Redevelopement of "Ruchita CHSL "</t>
  </si>
  <si>
    <t>Nilmore</t>
  </si>
  <si>
    <t>Shivaji Nagar</t>
  </si>
  <si>
    <t>Station Road</t>
  </si>
  <si>
    <t>Tania Horizon</t>
  </si>
  <si>
    <t>1 KM from Nallasopara Railway Station</t>
  </si>
  <si>
    <t>Nallasapoara West</t>
  </si>
  <si>
    <t>Plot No.91</t>
  </si>
  <si>
    <t>Plot No.61</t>
  </si>
  <si>
    <t>Plot No.89</t>
  </si>
  <si>
    <t>Other Plot</t>
  </si>
  <si>
    <t>19.4208286, 72.8123544</t>
  </si>
  <si>
    <t>https://maps.app.goo.gl/Wn8kXSNdr3wX3cq47</t>
  </si>
  <si>
    <t>VVCMC/TP/CC/VP/6964/224/2023-24</t>
  </si>
  <si>
    <t>VVCMC/TP/CC/VP-6964/224/2023-24</t>
  </si>
  <si>
    <t>As per RERA - 31/12/2027</t>
  </si>
  <si>
    <t xml:space="preserve">G + 1st to 16th Floor
</t>
  </si>
  <si>
    <t>Children's Play Area, Solar Lighting, Board Games, Mini Theatre, Gymnasium, Yoga/Meditation Area, Jogging Track, Multipurpose Room, Pergola, Street Lighting, Landscaping &amp; Tree Planting, etc.</t>
  </si>
  <si>
    <t>G + 1st to 16th Floor</t>
  </si>
  <si>
    <t>Ground Floor For Recreation Area, Parking &amp; Lobby</t>
  </si>
  <si>
    <t>2BHK</t>
  </si>
  <si>
    <t>1BHK</t>
  </si>
  <si>
    <t>2.5BHK</t>
  </si>
  <si>
    <t>-</t>
  </si>
  <si>
    <t>1st Floor For Residential, Gymnesium, Society Office &amp; Drivers Room</t>
  </si>
  <si>
    <t>Gymnesium</t>
  </si>
  <si>
    <t>Society Office</t>
  </si>
  <si>
    <t>Drivers Room</t>
  </si>
  <si>
    <t>2nd to 6th, 8th to 11th, 13th to 16th Floor For Residential</t>
  </si>
  <si>
    <t>7th &amp; 12th Floor (Part Refuge Floor)</t>
  </si>
  <si>
    <t>Refuge Floor</t>
  </si>
  <si>
    <t>1.5BHK</t>
  </si>
  <si>
    <t>Mr. Navnath Bhatkar</t>
  </si>
  <si>
    <t xml:space="preserve">Please check for Fire Noc.
</t>
  </si>
  <si>
    <t>We considered Gross carpet area = Net carpet + Enclose balcony + AF Area</t>
  </si>
  <si>
    <t xml:space="preserve">Details of Residential in Building   </t>
  </si>
  <si>
    <t>Stilt + 1st to 16th Floor</t>
  </si>
  <si>
    <t>Shatrunjay Apartment</t>
  </si>
  <si>
    <t>Bably Apartment</t>
  </si>
  <si>
    <t>RERA Carpet area</t>
  </si>
  <si>
    <r>
      <t xml:space="preserve">Shop No.
</t>
    </r>
    <r>
      <rPr>
        <b/>
        <sz val="11"/>
        <rFont val="Times New Roman"/>
        <family val="1"/>
      </rPr>
      <t>(Approved Plan)</t>
    </r>
  </si>
  <si>
    <r>
      <t xml:space="preserve">Flat No.
</t>
    </r>
    <r>
      <rPr>
        <b/>
        <sz val="11"/>
        <rFont val="Times New Roman"/>
        <family val="1"/>
      </rPr>
      <t>(Approved Plan)</t>
    </r>
  </si>
  <si>
    <t>AP Area</t>
  </si>
  <si>
    <t>Sale / Rehab</t>
  </si>
  <si>
    <t>Rehab</t>
  </si>
  <si>
    <t>Sale</t>
  </si>
  <si>
    <t>Double heighted Lobby</t>
  </si>
  <si>
    <t>Sale Flats</t>
  </si>
  <si>
    <t>Rehab Flats</t>
  </si>
  <si>
    <t>Sale Flats -127, Rehab Flats - 123</t>
  </si>
  <si>
    <r>
      <t xml:space="preserve">Proposed Amenities :                                                                                                                                                                                                                         </t>
    </r>
    <r>
      <rPr>
        <b/>
        <sz val="12"/>
        <rFont val="Times New Roman"/>
        <family val="1"/>
      </rPr>
      <t xml:space="preserve">                                               </t>
    </r>
  </si>
  <si>
    <t>Pooja Kawale</t>
  </si>
  <si>
    <t>Mr. Sandesh : 9702744463</t>
  </si>
  <si>
    <t>Part I = Gr/St + 1st to 16th Floor</t>
  </si>
  <si>
    <t>Part II = Gr/St + 1st to 16th Floor</t>
  </si>
  <si>
    <t>Average Progress %</t>
  </si>
  <si>
    <t>Average Disbursement %</t>
  </si>
  <si>
    <t>Construction work is in process at the time of Visit (labour found).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</si>
</sst>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 #,##0.00_ ;_ * \-#,##0.00_ ;_ * &quot;-&quot;??_ ;_ @_ "/>
    <numFmt numFmtId="164" formatCode="0.0"/>
    <numFmt numFmtId="165" formatCode="_(* #,##0.00_);_(* \(#,##0.00\);_(* &quot;-&quot;??_);_(@_)"/>
    <numFmt numFmtId="166" formatCode="_(* #,##0_);_(* \(#,##0\);_(* &quot;-&quot;??_);_(@_)"/>
    <numFmt numFmtId="167" formatCode="_ * #,##0_ ;_ * \-#,##0_ ;_ * &quot;-&quot;??_ ;_ @_ "/>
  </numFmts>
  <fonts count="30"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2"/>
      <color indexed="8"/>
      <name val="Times New Roman"/>
      <family val="1"/>
    </font>
    <font>
      <sz val="12"/>
      <color theme="1"/>
      <name val="Times New Roman"/>
      <family val="1"/>
    </font>
    <font>
      <b/>
      <sz val="12"/>
      <color indexed="8"/>
      <name val="Times New Roman"/>
      <family val="1"/>
    </font>
    <font>
      <b/>
      <sz val="11"/>
      <color theme="1"/>
      <name val="Calibri"/>
      <family val="2"/>
      <scheme val="minor"/>
    </font>
    <font>
      <b/>
      <sz val="12"/>
      <color theme="1"/>
      <name val="Times New Roman"/>
      <family val="1"/>
    </font>
    <font>
      <b/>
      <sz val="11.5"/>
      <color indexed="8"/>
      <name val="Times New Roman"/>
      <family val="1"/>
    </font>
    <font>
      <sz val="12"/>
      <name val="Times New Roman"/>
      <family val="1"/>
    </font>
    <font>
      <b/>
      <sz val="12"/>
      <name val="Times New Roman"/>
      <family val="1"/>
    </font>
    <font>
      <sz val="11"/>
      <name val="Times New Roman"/>
      <family val="1"/>
    </font>
    <font>
      <sz val="12"/>
      <color rgb="FFFF0000"/>
      <name val="Times New Roman"/>
      <family val="1"/>
    </font>
    <font>
      <sz val="11"/>
      <color theme="1"/>
      <name val="Times New Roman"/>
      <family val="1"/>
    </font>
    <font>
      <b/>
      <sz val="12"/>
      <color rgb="FFFF0000"/>
      <name val="Times New Roman"/>
      <family val="1"/>
    </font>
    <font>
      <sz val="11"/>
      <color rgb="FF000000"/>
      <name val="Times New Roman"/>
      <family val="1"/>
    </font>
    <font>
      <sz val="11"/>
      <color rgb="FFFF0000"/>
      <name val="Calibri"/>
      <family val="2"/>
      <scheme val="minor"/>
    </font>
    <font>
      <sz val="11"/>
      <color rgb="FFFF0000"/>
      <name val="Calibri"/>
      <family val="2"/>
    </font>
    <font>
      <sz val="10"/>
      <name val="Arial"/>
      <family val="2"/>
    </font>
    <font>
      <sz val="11"/>
      <color rgb="FF000000"/>
      <name val="Calibri"/>
      <family val="2"/>
    </font>
    <font>
      <sz val="10"/>
      <color theme="1"/>
      <name val="Times New Roman"/>
      <family val="1"/>
    </font>
    <font>
      <sz val="11"/>
      <name val="Calibri"/>
      <family val="2"/>
    </font>
    <font>
      <sz val="11"/>
      <color theme="0"/>
      <name val="Calibri"/>
      <family val="2"/>
    </font>
    <font>
      <u/>
      <sz val="11"/>
      <color theme="10"/>
      <name val="Calibri"/>
      <family val="2"/>
    </font>
    <font>
      <sz val="9"/>
      <color indexed="81"/>
      <name val="Tahoma"/>
      <family val="2"/>
    </font>
    <font>
      <b/>
      <sz val="9"/>
      <color indexed="81"/>
      <name val="Tahoma"/>
      <family val="2"/>
    </font>
    <font>
      <b/>
      <sz val="11"/>
      <color rgb="FF000000"/>
      <name val="Calibri"/>
      <family val="2"/>
    </font>
    <font>
      <b/>
      <sz val="11"/>
      <name val="Times New Roman"/>
      <family val="1"/>
    </font>
  </fonts>
  <fills count="4">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11">
    <xf numFmtId="0" fontId="0" fillId="0" borderId="0"/>
    <xf numFmtId="0" fontId="3" fillId="0" borderId="0"/>
    <xf numFmtId="0" fontId="4" fillId="0" borderId="0"/>
    <xf numFmtId="0" fontId="2" fillId="0" borderId="0"/>
    <xf numFmtId="0" fontId="4" fillId="0" borderId="0"/>
    <xf numFmtId="0" fontId="1" fillId="0" borderId="0"/>
    <xf numFmtId="165" fontId="4" fillId="0" borderId="0" applyFont="0" applyFill="0" applyBorder="0" applyAlignment="0" applyProtection="0"/>
    <xf numFmtId="0" fontId="20" fillId="0" borderId="0"/>
    <xf numFmtId="9" fontId="21" fillId="0" borderId="0" applyFont="0" applyFill="0" applyBorder="0" applyAlignment="0" applyProtection="0"/>
    <xf numFmtId="43" fontId="21" fillId="0" borderId="0" applyFont="0" applyFill="0" applyBorder="0" applyAlignment="0" applyProtection="0"/>
    <xf numFmtId="0" fontId="25" fillId="0" borderId="0" applyNumberFormat="0" applyFill="0" applyBorder="0" applyAlignment="0" applyProtection="0"/>
  </cellStyleXfs>
  <cellXfs count="243">
    <xf numFmtId="0" fontId="0" fillId="0" borderId="0" xfId="0"/>
    <xf numFmtId="0" fontId="4" fillId="0" borderId="0" xfId="4"/>
    <xf numFmtId="0" fontId="1" fillId="0" borderId="0" xfId="5"/>
    <xf numFmtId="0" fontId="8" fillId="0" borderId="1" xfId="5" applyFont="1" applyBorder="1" applyAlignment="1">
      <alignment horizontal="center" vertical="top" wrapText="1"/>
    </xf>
    <xf numFmtId="0" fontId="19" fillId="0" borderId="0" xfId="4" applyFont="1"/>
    <xf numFmtId="0" fontId="1" fillId="0" borderId="1" xfId="5" applyBorder="1" applyAlignment="1">
      <alignment horizontal="center" vertical="center"/>
    </xf>
    <xf numFmtId="0" fontId="1" fillId="0" borderId="1" xfId="5" applyBorder="1" applyAlignment="1">
      <alignment horizontal="left" vertical="center"/>
    </xf>
    <xf numFmtId="1" fontId="1" fillId="0" borderId="1" xfId="5" applyNumberFormat="1" applyBorder="1" applyAlignment="1">
      <alignment horizontal="center" vertical="center"/>
    </xf>
    <xf numFmtId="166" fontId="1" fillId="0" borderId="1" xfId="6" applyNumberFormat="1" applyFont="1" applyBorder="1" applyAlignment="1">
      <alignment horizontal="right" vertical="center"/>
    </xf>
    <xf numFmtId="0" fontId="1" fillId="0" borderId="1" xfId="5" applyBorder="1" applyAlignment="1">
      <alignment horizontal="left" vertical="center" wrapText="1"/>
    </xf>
    <xf numFmtId="0" fontId="8" fillId="0" borderId="1" xfId="5" applyFont="1" applyBorder="1" applyAlignment="1">
      <alignment horizontal="center" vertical="center"/>
    </xf>
    <xf numFmtId="1" fontId="18" fillId="0" borderId="1" xfId="5" applyNumberFormat="1" applyFont="1" applyBorder="1" applyAlignment="1">
      <alignment horizontal="center" vertical="center"/>
    </xf>
    <xf numFmtId="0" fontId="4" fillId="0" borderId="1" xfId="4" applyBorder="1" applyAlignment="1">
      <alignment horizontal="center" vertical="center"/>
    </xf>
    <xf numFmtId="0" fontId="17" fillId="0" borderId="0" xfId="0" applyFont="1" applyProtection="1">
      <protection hidden="1"/>
    </xf>
    <xf numFmtId="0" fontId="14" fillId="0" borderId="1" xfId="1" applyFont="1" applyBorder="1" applyAlignment="1" applyProtection="1">
      <alignment horizontal="center" vertical="top"/>
      <protection locked="0"/>
    </xf>
    <xf numFmtId="0" fontId="17" fillId="0" borderId="10" xfId="0" applyFont="1" applyBorder="1" applyProtection="1">
      <protection hidden="1"/>
    </xf>
    <xf numFmtId="0" fontId="11" fillId="0" borderId="3" xfId="1" applyFont="1" applyBorder="1" applyAlignment="1" applyProtection="1">
      <alignment horizontal="center" vertical="top"/>
      <protection locked="0"/>
    </xf>
    <xf numFmtId="0" fontId="11" fillId="0" borderId="4" xfId="1" applyFont="1" applyBorder="1" applyAlignment="1" applyProtection="1">
      <alignment horizontal="center" vertical="top"/>
      <protection locked="0"/>
    </xf>
    <xf numFmtId="0" fontId="5" fillId="0" borderId="1" xfId="1" applyFont="1" applyBorder="1" applyAlignment="1" applyProtection="1">
      <alignment vertical="top" wrapText="1"/>
      <protection locked="0"/>
    </xf>
    <xf numFmtId="9" fontId="6" fillId="0" borderId="1" xfId="8" applyFont="1" applyFill="1" applyBorder="1" applyAlignment="1" applyProtection="1">
      <alignment horizontal="center" vertical="top" wrapText="1"/>
      <protection locked="0"/>
    </xf>
    <xf numFmtId="9" fontId="6" fillId="0" borderId="6" xfId="8" applyFont="1" applyFill="1" applyBorder="1" applyAlignment="1" applyProtection="1">
      <alignment horizontal="center" vertical="top" wrapText="1"/>
      <protection locked="0"/>
    </xf>
    <xf numFmtId="0" fontId="6" fillId="0" borderId="0" xfId="1" applyFont="1"/>
    <xf numFmtId="0" fontId="14" fillId="0" borderId="0" xfId="1" applyFont="1"/>
    <xf numFmtId="0" fontId="11" fillId="0" borderId="0" xfId="1" applyFont="1"/>
    <xf numFmtId="1" fontId="6" fillId="0" borderId="0" xfId="1" applyNumberFormat="1" applyFont="1"/>
    <xf numFmtId="14" fontId="6" fillId="0" borderId="0" xfId="1" applyNumberFormat="1" applyFont="1"/>
    <xf numFmtId="0" fontId="6" fillId="0" borderId="0" xfId="1" applyFont="1" applyProtection="1">
      <protection hidden="1"/>
    </xf>
    <xf numFmtId="0" fontId="22" fillId="0" borderId="0" xfId="1" applyFont="1"/>
    <xf numFmtId="0" fontId="6" fillId="0" borderId="9" xfId="1" applyFont="1" applyBorder="1"/>
    <xf numFmtId="0" fontId="17" fillId="0" borderId="9" xfId="0" applyFont="1" applyBorder="1" applyProtection="1">
      <protection hidden="1"/>
    </xf>
    <xf numFmtId="1" fontId="0" fillId="0" borderId="9" xfId="0" applyNumberFormat="1" applyBorder="1"/>
    <xf numFmtId="1" fontId="0" fillId="0" borderId="9" xfId="0" applyNumberFormat="1" applyBorder="1" applyAlignment="1">
      <alignment horizontal="right"/>
    </xf>
    <xf numFmtId="1" fontId="0" fillId="0" borderId="11" xfId="0" applyNumberFormat="1" applyBorder="1"/>
    <xf numFmtId="0" fontId="15" fillId="0" borderId="0" xfId="1" applyFont="1"/>
    <xf numFmtId="0" fontId="5" fillId="0" borderId="0" xfId="2" applyFont="1"/>
    <xf numFmtId="0" fontId="6" fillId="0" borderId="0" xfId="0" applyFont="1" applyAlignment="1">
      <alignment horizontal="center" vertical="center"/>
    </xf>
    <xf numFmtId="1" fontId="6" fillId="0" borderId="0" xfId="1" applyNumberFormat="1" applyFont="1" applyAlignment="1">
      <alignment horizontal="center" vertical="center"/>
    </xf>
    <xf numFmtId="0" fontId="6" fillId="0" borderId="0" xfId="1" applyFont="1" applyAlignment="1">
      <alignment horizontal="center" vertical="center"/>
    </xf>
    <xf numFmtId="0" fontId="7" fillId="0" borderId="0" xfId="1" applyFont="1" applyAlignment="1" applyProtection="1">
      <alignment vertical="top"/>
      <protection locked="0"/>
    </xf>
    <xf numFmtId="0" fontId="7" fillId="0" borderId="0" xfId="1" applyFont="1" applyAlignment="1" applyProtection="1">
      <alignment vertical="top" wrapText="1"/>
      <protection locked="0"/>
    </xf>
    <xf numFmtId="0" fontId="6" fillId="0" borderId="0" xfId="1" applyFont="1" applyProtection="1">
      <protection locked="0"/>
    </xf>
    <xf numFmtId="0" fontId="9" fillId="0" borderId="0" xfId="1" applyFont="1" applyProtection="1">
      <protection locked="0"/>
    </xf>
    <xf numFmtId="1" fontId="5" fillId="0" borderId="1" xfId="1" applyNumberFormat="1" applyFont="1" applyBorder="1" applyAlignment="1" applyProtection="1">
      <alignment horizontal="center" vertical="center" wrapText="1"/>
      <protection locked="0"/>
    </xf>
    <xf numFmtId="0" fontId="6" fillId="0" borderId="1" xfId="1" applyFont="1" applyBorder="1" applyAlignment="1" applyProtection="1">
      <alignment horizontal="center" vertical="top" wrapText="1"/>
      <protection locked="0"/>
    </xf>
    <xf numFmtId="0" fontId="6" fillId="0" borderId="6" xfId="1" applyFont="1" applyBorder="1" applyAlignment="1" applyProtection="1">
      <alignment horizontal="center" vertical="top" wrapText="1"/>
      <protection locked="0"/>
    </xf>
    <xf numFmtId="0" fontId="7" fillId="0" borderId="1" xfId="1" applyFont="1" applyBorder="1" applyAlignment="1" applyProtection="1">
      <alignment vertical="top"/>
      <protection locked="0"/>
    </xf>
    <xf numFmtId="1" fontId="5" fillId="0" borderId="1" xfId="0" applyNumberFormat="1" applyFont="1" applyBorder="1" applyAlignment="1" applyProtection="1">
      <alignment horizontal="center" vertical="center" wrapText="1"/>
      <protection locked="0"/>
    </xf>
    <xf numFmtId="0" fontId="11" fillId="0" borderId="1" xfId="1" applyFont="1" applyBorder="1" applyAlignment="1" applyProtection="1">
      <alignment horizontal="center" vertical="top"/>
      <protection locked="0"/>
    </xf>
    <xf numFmtId="0" fontId="5" fillId="0" borderId="1" xfId="1" applyFont="1" applyBorder="1" applyAlignment="1" applyProtection="1">
      <alignment horizontal="center" vertical="top"/>
      <protection locked="0"/>
    </xf>
    <xf numFmtId="0" fontId="23" fillId="2" borderId="29" xfId="0" applyFont="1" applyFill="1" applyBorder="1"/>
    <xf numFmtId="0" fontId="24" fillId="0" borderId="30" xfId="0" applyFont="1" applyBorder="1"/>
    <xf numFmtId="0" fontId="24" fillId="0" borderId="1" xfId="0" applyFont="1" applyBorder="1"/>
    <xf numFmtId="0" fontId="24" fillId="0" borderId="4" xfId="0" applyFont="1" applyBorder="1"/>
    <xf numFmtId="0" fontId="11" fillId="0" borderId="1" xfId="1" applyFont="1" applyBorder="1" applyAlignment="1" applyProtection="1">
      <alignment horizontal="center" vertical="top"/>
      <protection locked="0"/>
    </xf>
    <xf numFmtId="1" fontId="5" fillId="0" borderId="1" xfId="0" applyNumberFormat="1" applyFont="1" applyBorder="1" applyAlignment="1" applyProtection="1">
      <alignment horizontal="center" vertical="center" wrapText="1"/>
      <protection locked="0"/>
    </xf>
    <xf numFmtId="0" fontId="0" fillId="0" borderId="0" xfId="0" applyAlignment="1">
      <alignment horizontal="center" vertical="center"/>
    </xf>
    <xf numFmtId="0" fontId="0" fillId="0" borderId="1" xfId="0" applyBorder="1" applyAlignment="1">
      <alignment horizontal="center" vertical="center"/>
    </xf>
    <xf numFmtId="1" fontId="5" fillId="0" borderId="1" xfId="1" applyNumberFormat="1" applyFont="1" applyBorder="1" applyAlignment="1" applyProtection="1">
      <alignment horizontal="center" vertical="center" wrapText="1"/>
      <protection locked="0"/>
    </xf>
    <xf numFmtId="1" fontId="5" fillId="0" borderId="1" xfId="0" applyNumberFormat="1" applyFont="1" applyBorder="1" applyAlignment="1" applyProtection="1">
      <alignment horizontal="center" vertical="center" wrapText="1"/>
      <protection locked="0"/>
    </xf>
    <xf numFmtId="0" fontId="0" fillId="0" borderId="0" xfId="0" applyAlignment="1">
      <alignment horizontal="center"/>
    </xf>
    <xf numFmtId="0" fontId="0" fillId="0" borderId="1" xfId="0" applyBorder="1"/>
    <xf numFmtId="0" fontId="0" fillId="0" borderId="1" xfId="0" applyBorder="1" applyAlignment="1">
      <alignment wrapText="1"/>
    </xf>
    <xf numFmtId="0" fontId="0" fillId="0" borderId="1" xfId="0" applyBorder="1" applyAlignment="1"/>
    <xf numFmtId="0" fontId="0" fillId="0" borderId="1" xfId="0" applyBorder="1" applyAlignment="1">
      <alignment horizontal="left" vertical="top" wrapText="1"/>
    </xf>
    <xf numFmtId="0" fontId="0" fillId="0" borderId="24" xfId="0" applyFill="1" applyBorder="1"/>
    <xf numFmtId="0" fontId="0" fillId="0" borderId="7" xfId="0" applyBorder="1"/>
    <xf numFmtId="0" fontId="0" fillId="0" borderId="1" xfId="0" applyBorder="1" applyAlignment="1">
      <alignment vertical="top" wrapText="1"/>
    </xf>
    <xf numFmtId="0" fontId="0" fillId="0" borderId="1" xfId="0" applyFill="1" applyBorder="1"/>
    <xf numFmtId="1" fontId="5" fillId="0" borderId="1" xfId="1" applyNumberFormat="1" applyFont="1" applyBorder="1" applyAlignment="1" applyProtection="1">
      <alignment horizontal="center" vertical="center" wrapText="1"/>
      <protection locked="0"/>
    </xf>
    <xf numFmtId="0" fontId="6" fillId="0" borderId="0" xfId="1" applyFont="1" applyAlignment="1">
      <alignment horizontal="center" vertical="center"/>
    </xf>
    <xf numFmtId="1" fontId="5" fillId="0" borderId="1" xfId="1" applyNumberFormat="1" applyFont="1" applyBorder="1" applyAlignment="1" applyProtection="1">
      <alignment horizontal="center" vertical="center" wrapText="1"/>
      <protection locked="0"/>
    </xf>
    <xf numFmtId="0" fontId="6" fillId="0" borderId="0" xfId="1" applyFont="1" applyAlignment="1">
      <alignment horizontal="center" vertical="center"/>
    </xf>
    <xf numFmtId="1" fontId="5" fillId="0" borderId="1" xfId="1" applyNumberFormat="1" applyFont="1" applyBorder="1" applyAlignment="1" applyProtection="1">
      <alignment horizontal="center" vertical="center" wrapText="1"/>
      <protection locked="0"/>
    </xf>
    <xf numFmtId="1" fontId="6" fillId="0" borderId="1" xfId="1" applyNumberFormat="1" applyFont="1" applyBorder="1" applyAlignment="1">
      <alignment horizontal="center" vertical="center"/>
    </xf>
    <xf numFmtId="1" fontId="12" fillId="0" borderId="2" xfId="1" applyNumberFormat="1" applyFont="1" applyBorder="1" applyAlignment="1" applyProtection="1">
      <alignment horizontal="center" vertical="top" wrapText="1"/>
      <protection locked="0"/>
    </xf>
    <xf numFmtId="9" fontId="12" fillId="0" borderId="15" xfId="8" applyFont="1" applyFill="1" applyBorder="1" applyAlignment="1" applyProtection="1">
      <alignment horizontal="center" vertical="top" wrapText="1"/>
      <protection locked="0"/>
    </xf>
    <xf numFmtId="1" fontId="11" fillId="0" borderId="1" xfId="1" applyNumberFormat="1" applyFont="1" applyBorder="1" applyAlignment="1" applyProtection="1">
      <alignment horizontal="center" vertical="center" wrapText="1"/>
      <protection locked="0"/>
    </xf>
    <xf numFmtId="1" fontId="11" fillId="0" borderId="1" xfId="1" applyNumberFormat="1" applyFont="1" applyFill="1" applyBorder="1" applyAlignment="1" applyProtection="1">
      <alignment horizontal="center" vertical="center" wrapText="1"/>
      <protection locked="0"/>
    </xf>
    <xf numFmtId="0" fontId="11" fillId="0" borderId="1" xfId="1" applyFont="1" applyBorder="1" applyAlignment="1" applyProtection="1">
      <alignment horizontal="center" vertical="top" wrapText="1"/>
      <protection locked="0"/>
    </xf>
    <xf numFmtId="9" fontId="11" fillId="0" borderId="1" xfId="8" applyFont="1" applyFill="1" applyBorder="1" applyAlignment="1" applyProtection="1">
      <alignment horizontal="center" vertical="top" wrapText="1"/>
      <protection locked="0"/>
    </xf>
    <xf numFmtId="1" fontId="11" fillId="0" borderId="1" xfId="1" applyNumberFormat="1" applyFont="1" applyBorder="1" applyAlignment="1" applyProtection="1">
      <alignment horizontal="center" vertical="top" wrapText="1"/>
      <protection locked="0"/>
    </xf>
    <xf numFmtId="0" fontId="11" fillId="0" borderId="6" xfId="1" applyFont="1" applyBorder="1" applyAlignment="1" applyProtection="1">
      <alignment horizontal="center" vertical="top" wrapText="1"/>
      <protection locked="0"/>
    </xf>
    <xf numFmtId="9" fontId="11" fillId="0" borderId="6" xfId="8" applyFont="1" applyFill="1" applyBorder="1" applyAlignment="1" applyProtection="1">
      <alignment horizontal="center" vertical="top" wrapText="1"/>
      <protection locked="0"/>
    </xf>
    <xf numFmtId="0" fontId="11" fillId="0" borderId="1" xfId="1" applyFont="1" applyBorder="1" applyAlignment="1" applyProtection="1">
      <alignment horizontal="center" vertical="top" wrapText="1"/>
      <protection locked="0"/>
    </xf>
    <xf numFmtId="0" fontId="11" fillId="0" borderId="6" xfId="1" applyFont="1" applyBorder="1" applyAlignment="1" applyProtection="1">
      <alignment horizontal="center" vertical="top" wrapText="1"/>
      <protection locked="0"/>
    </xf>
    <xf numFmtId="0" fontId="11" fillId="0" borderId="16" xfId="1" applyFont="1" applyBorder="1" applyAlignment="1" applyProtection="1">
      <alignment horizontal="left" vertical="top" wrapText="1"/>
      <protection locked="0"/>
    </xf>
    <xf numFmtId="0" fontId="11" fillId="0" borderId="23" xfId="1" applyFont="1" applyBorder="1" applyAlignment="1" applyProtection="1">
      <alignment horizontal="left" vertical="top" wrapText="1"/>
      <protection locked="0"/>
    </xf>
    <xf numFmtId="0" fontId="11" fillId="0" borderId="7" xfId="1" applyFont="1" applyBorder="1" applyAlignment="1" applyProtection="1">
      <alignment horizontal="left" vertical="top"/>
      <protection locked="0"/>
    </xf>
    <xf numFmtId="0" fontId="11" fillId="0" borderId="20" xfId="1" applyFont="1" applyBorder="1" applyAlignment="1" applyProtection="1">
      <alignment horizontal="left" vertical="top"/>
      <protection locked="0"/>
    </xf>
    <xf numFmtId="0" fontId="11" fillId="0" borderId="8" xfId="1" applyFont="1" applyBorder="1" applyAlignment="1" applyProtection="1">
      <alignment horizontal="left" vertical="top"/>
      <protection locked="0"/>
    </xf>
    <xf numFmtId="1" fontId="9" fillId="0" borderId="32" xfId="0" applyNumberFormat="1" applyFont="1" applyBorder="1" applyAlignment="1" applyProtection="1">
      <alignment horizontal="center" vertical="center"/>
      <protection locked="0"/>
    </xf>
    <xf numFmtId="1" fontId="9" fillId="0" borderId="32" xfId="0" applyNumberFormat="1" applyFont="1" applyBorder="1" applyAlignment="1" applyProtection="1">
      <alignment horizontal="center" vertical="top" wrapText="1"/>
      <protection locked="0"/>
    </xf>
    <xf numFmtId="0" fontId="6" fillId="0" borderId="1" xfId="1" applyFont="1" applyBorder="1" applyAlignment="1" applyProtection="1">
      <alignment horizontal="center" vertical="top" wrapText="1"/>
      <protection locked="0"/>
    </xf>
    <xf numFmtId="0" fontId="6" fillId="0" borderId="4" xfId="1" applyFont="1" applyBorder="1" applyAlignment="1" applyProtection="1">
      <alignment horizontal="center" vertical="top" wrapText="1"/>
      <protection locked="0"/>
    </xf>
    <xf numFmtId="0" fontId="6" fillId="0" borderId="3" xfId="1" applyFont="1" applyBorder="1" applyAlignment="1" applyProtection="1">
      <alignment horizontal="center" vertical="top" wrapText="1"/>
      <protection locked="0"/>
    </xf>
    <xf numFmtId="0" fontId="6" fillId="0" borderId="24" xfId="1" applyFont="1" applyBorder="1" applyAlignment="1">
      <alignment horizontal="center"/>
    </xf>
    <xf numFmtId="0" fontId="6" fillId="0" borderId="0" xfId="1" applyFont="1" applyAlignment="1">
      <alignment horizontal="center"/>
    </xf>
    <xf numFmtId="167" fontId="11" fillId="0" borderId="1" xfId="9" applyNumberFormat="1" applyFont="1" applyFill="1" applyBorder="1" applyAlignment="1" applyProtection="1">
      <alignment horizontal="left" vertical="top"/>
      <protection locked="0"/>
    </xf>
    <xf numFmtId="1" fontId="5" fillId="0" borderId="7" xfId="1" applyNumberFormat="1" applyFont="1" applyBorder="1" applyAlignment="1" applyProtection="1">
      <alignment horizontal="center" vertical="center" wrapText="1"/>
      <protection locked="0"/>
    </xf>
    <xf numFmtId="1" fontId="5" fillId="0" borderId="8" xfId="1" applyNumberFormat="1" applyFont="1" applyBorder="1" applyAlignment="1" applyProtection="1">
      <alignment horizontal="center" vertical="center" wrapText="1"/>
      <protection locked="0"/>
    </xf>
    <xf numFmtId="0" fontId="12" fillId="0" borderId="1" xfId="1" applyFont="1" applyBorder="1" applyAlignment="1" applyProtection="1">
      <alignment horizontal="center" vertical="top"/>
      <protection locked="0"/>
    </xf>
    <xf numFmtId="1" fontId="7" fillId="0" borderId="1" xfId="0" applyNumberFormat="1" applyFont="1" applyBorder="1" applyAlignment="1" applyProtection="1">
      <alignment horizontal="center" vertical="top" wrapText="1"/>
      <protection locked="0"/>
    </xf>
    <xf numFmtId="0" fontId="5" fillId="0" borderId="1" xfId="1" applyFont="1" applyBorder="1" applyAlignment="1" applyProtection="1">
      <alignment horizontal="left" vertical="top"/>
      <protection locked="0"/>
    </xf>
    <xf numFmtId="1" fontId="11" fillId="0" borderId="7" xfId="1" applyNumberFormat="1" applyFont="1" applyBorder="1" applyAlignment="1" applyProtection="1">
      <alignment horizontal="center" vertical="center" wrapText="1"/>
      <protection locked="0"/>
    </xf>
    <xf numFmtId="1" fontId="11" fillId="0" borderId="8" xfId="1" applyNumberFormat="1" applyFont="1" applyBorder="1" applyAlignment="1" applyProtection="1">
      <alignment horizontal="center" vertical="center" wrapText="1"/>
      <protection locked="0"/>
    </xf>
    <xf numFmtId="0" fontId="7" fillId="0" borderId="7" xfId="1" applyFont="1" applyBorder="1" applyAlignment="1" applyProtection="1">
      <alignment horizontal="left" vertical="top" wrapText="1"/>
      <protection locked="0"/>
    </xf>
    <xf numFmtId="0" fontId="7" fillId="0" borderId="8" xfId="1" applyFont="1" applyBorder="1" applyAlignment="1" applyProtection="1">
      <alignment horizontal="left" vertical="top" wrapText="1"/>
      <protection locked="0"/>
    </xf>
    <xf numFmtId="0" fontId="7" fillId="0" borderId="20" xfId="1" applyFont="1" applyBorder="1" applyAlignment="1" applyProtection="1">
      <alignment horizontal="left" vertical="top" wrapText="1"/>
      <protection locked="0"/>
    </xf>
    <xf numFmtId="0" fontId="9" fillId="0" borderId="1" xfId="0" applyFont="1" applyBorder="1" applyAlignment="1" applyProtection="1">
      <alignment horizontal="center" vertical="top" wrapText="1"/>
      <protection locked="0"/>
    </xf>
    <xf numFmtId="1" fontId="5" fillId="0" borderId="1" xfId="0" applyNumberFormat="1" applyFont="1" applyBorder="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0" fontId="5" fillId="0" borderId="1" xfId="1" applyFont="1" applyBorder="1" applyAlignment="1" applyProtection="1">
      <alignment horizontal="left" vertical="top" wrapText="1"/>
      <protection locked="0"/>
    </xf>
    <xf numFmtId="0" fontId="5" fillId="0" borderId="2" xfId="1" applyFont="1" applyBorder="1" applyAlignment="1" applyProtection="1">
      <alignment horizontal="left" vertical="top"/>
      <protection locked="0"/>
    </xf>
    <xf numFmtId="164" fontId="5" fillId="0" borderId="1" xfId="1" applyNumberFormat="1" applyFont="1" applyBorder="1" applyAlignment="1" applyProtection="1">
      <alignment horizontal="left" vertical="top"/>
      <protection locked="0"/>
    </xf>
    <xf numFmtId="0" fontId="7" fillId="0" borderId="21" xfId="1" applyFont="1" applyBorder="1" applyAlignment="1" applyProtection="1">
      <alignment horizontal="left" vertical="top" wrapText="1"/>
      <protection locked="0"/>
    </xf>
    <xf numFmtId="0" fontId="7" fillId="0" borderId="14" xfId="1" applyFont="1" applyBorder="1" applyAlignment="1" applyProtection="1">
      <alignment horizontal="left" vertical="top" wrapText="1"/>
      <protection locked="0"/>
    </xf>
    <xf numFmtId="0" fontId="7" fillId="0" borderId="12" xfId="1" applyFont="1" applyBorder="1" applyAlignment="1" applyProtection="1">
      <alignment horizontal="left" vertical="top" wrapText="1"/>
      <protection locked="0"/>
    </xf>
    <xf numFmtId="0" fontId="7" fillId="0" borderId="13" xfId="1" applyFont="1" applyBorder="1" applyAlignment="1" applyProtection="1">
      <alignment horizontal="left" vertical="top" wrapText="1"/>
      <protection locked="0"/>
    </xf>
    <xf numFmtId="0" fontId="7" fillId="0" borderId="22" xfId="1" applyFont="1" applyBorder="1" applyAlignment="1" applyProtection="1">
      <alignment horizontal="left" vertical="top" wrapText="1"/>
      <protection locked="0"/>
    </xf>
    <xf numFmtId="0" fontId="11" fillId="0" borderId="3" xfId="1" applyFont="1" applyBorder="1" applyAlignment="1" applyProtection="1">
      <alignment horizontal="center" vertical="top" wrapText="1"/>
      <protection locked="0"/>
    </xf>
    <xf numFmtId="0" fontId="11" fillId="0" borderId="1" xfId="1" applyFont="1" applyBorder="1" applyAlignment="1" applyProtection="1">
      <alignment horizontal="center"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20" xfId="1" applyFont="1" applyBorder="1" applyAlignment="1" applyProtection="1">
      <alignment horizontal="left" vertical="top" wrapText="1"/>
      <protection locked="0"/>
    </xf>
    <xf numFmtId="14" fontId="5" fillId="0" borderId="7" xfId="1" applyNumberFormat="1" applyFont="1" applyBorder="1" applyAlignment="1" applyProtection="1">
      <alignment horizontal="left" vertical="top" wrapText="1"/>
      <protection locked="0"/>
    </xf>
    <xf numFmtId="0" fontId="7" fillId="0" borderId="1" xfId="1" applyFont="1" applyBorder="1" applyAlignment="1" applyProtection="1">
      <alignment vertical="top"/>
      <protection locked="0"/>
    </xf>
    <xf numFmtId="0" fontId="11" fillId="0" borderId="1" xfId="1" applyFont="1" applyBorder="1" applyAlignment="1" applyProtection="1">
      <alignment horizontal="left" vertical="top" wrapText="1"/>
      <protection locked="0"/>
    </xf>
    <xf numFmtId="0" fontId="11" fillId="0" borderId="1" xfId="1" applyFont="1" applyBorder="1" applyAlignment="1" applyProtection="1">
      <alignment horizontal="left" vertical="top"/>
      <protection locked="0"/>
    </xf>
    <xf numFmtId="0" fontId="7" fillId="0" borderId="7" xfId="1" applyFont="1" applyBorder="1" applyAlignment="1" applyProtection="1">
      <alignment horizontal="left" vertical="top"/>
      <protection locked="0"/>
    </xf>
    <xf numFmtId="0" fontId="7" fillId="0" borderId="8" xfId="1" applyFont="1" applyBorder="1" applyAlignment="1" applyProtection="1">
      <alignment horizontal="left" vertical="top"/>
      <protection locked="0"/>
    </xf>
    <xf numFmtId="0" fontId="14" fillId="0" borderId="16" xfId="1" applyFont="1" applyBorder="1" applyAlignment="1" applyProtection="1">
      <alignment horizontal="left" vertical="top" wrapText="1"/>
      <protection locked="0"/>
    </xf>
    <xf numFmtId="0" fontId="14" fillId="0" borderId="17" xfId="1" applyFont="1" applyBorder="1" applyAlignment="1" applyProtection="1">
      <alignment horizontal="left" vertical="top" wrapText="1"/>
      <protection locked="0"/>
    </xf>
    <xf numFmtId="0" fontId="14" fillId="0" borderId="18" xfId="1" applyFont="1" applyBorder="1" applyAlignment="1" applyProtection="1">
      <alignment horizontal="left" vertical="top" wrapText="1"/>
      <protection locked="0"/>
    </xf>
    <xf numFmtId="0" fontId="14" fillId="0" borderId="19" xfId="1" applyFont="1" applyBorder="1" applyAlignment="1" applyProtection="1">
      <alignment horizontal="left" vertical="top" wrapText="1"/>
      <protection locked="0"/>
    </xf>
    <xf numFmtId="0" fontId="5" fillId="0" borderId="16" xfId="1" applyFont="1" applyBorder="1" applyAlignment="1" applyProtection="1">
      <alignment horizontal="left" vertical="top" wrapText="1"/>
      <protection locked="0"/>
    </xf>
    <xf numFmtId="0" fontId="5" fillId="0" borderId="17" xfId="1" applyFont="1" applyBorder="1" applyAlignment="1" applyProtection="1">
      <alignment horizontal="left" vertical="top" wrapText="1"/>
      <protection locked="0"/>
    </xf>
    <xf numFmtId="0" fontId="5" fillId="0" borderId="18" xfId="1" applyFont="1" applyBorder="1" applyAlignment="1" applyProtection="1">
      <alignment horizontal="left" vertical="top" wrapText="1"/>
      <protection locked="0"/>
    </xf>
    <xf numFmtId="0" fontId="5" fillId="0" borderId="19" xfId="1" applyFont="1" applyBorder="1" applyAlignment="1" applyProtection="1">
      <alignment horizontal="left" vertical="top" wrapText="1"/>
      <protection locked="0"/>
    </xf>
    <xf numFmtId="0" fontId="5" fillId="0" borderId="1" xfId="1" applyFont="1" applyBorder="1" applyAlignment="1" applyProtection="1">
      <alignment vertical="top"/>
      <protection locked="0"/>
    </xf>
    <xf numFmtId="1" fontId="5" fillId="0" borderId="1" xfId="1" applyNumberFormat="1" applyFont="1" applyBorder="1" applyAlignment="1" applyProtection="1">
      <alignment horizontal="center" vertical="center" wrapText="1"/>
      <protection locked="0"/>
    </xf>
    <xf numFmtId="1" fontId="12" fillId="0" borderId="2" xfId="1" applyNumberFormat="1" applyFont="1" applyBorder="1" applyAlignment="1" applyProtection="1">
      <alignment horizontal="center" vertical="top" wrapText="1"/>
      <protection locked="0"/>
    </xf>
    <xf numFmtId="1" fontId="12" fillId="0" borderId="15" xfId="1" applyNumberFormat="1" applyFont="1" applyBorder="1" applyAlignment="1" applyProtection="1">
      <alignment horizontal="center" vertical="top" wrapText="1"/>
      <protection locked="0"/>
    </xf>
    <xf numFmtId="1" fontId="5" fillId="0" borderId="1" xfId="0" applyNumberFormat="1" applyFont="1" applyBorder="1" applyAlignment="1" applyProtection="1">
      <alignment horizontal="center" vertical="top" wrapText="1"/>
      <protection locked="0"/>
    </xf>
    <xf numFmtId="0" fontId="6" fillId="0" borderId="5" xfId="1" applyFont="1" applyBorder="1" applyAlignment="1" applyProtection="1">
      <alignment horizontal="center" vertical="top" wrapText="1"/>
      <protection locked="0"/>
    </xf>
    <xf numFmtId="0" fontId="6" fillId="0" borderId="6" xfId="1" applyFont="1" applyBorder="1" applyAlignment="1" applyProtection="1">
      <alignment horizontal="center" vertical="top" wrapText="1"/>
      <protection locked="0"/>
    </xf>
    <xf numFmtId="1" fontId="9" fillId="0" borderId="2" xfId="0" applyNumberFormat="1" applyFont="1" applyBorder="1" applyAlignment="1" applyProtection="1">
      <alignment horizontal="center" vertical="center"/>
      <protection locked="0"/>
    </xf>
    <xf numFmtId="0" fontId="9" fillId="0" borderId="2" xfId="0" applyFont="1" applyBorder="1" applyAlignment="1" applyProtection="1">
      <alignment horizontal="center" vertical="center"/>
      <protection locked="0"/>
    </xf>
    <xf numFmtId="1" fontId="7" fillId="0" borderId="7" xfId="1" applyNumberFormat="1" applyFont="1" applyBorder="1" applyAlignment="1" applyProtection="1">
      <alignment horizontal="center" vertical="center" wrapText="1"/>
      <protection locked="0"/>
    </xf>
    <xf numFmtId="1" fontId="7" fillId="0" borderId="20" xfId="1" applyNumberFormat="1" applyFont="1" applyBorder="1" applyAlignment="1" applyProtection="1">
      <alignment horizontal="center" vertical="center" wrapText="1"/>
      <protection locked="0"/>
    </xf>
    <xf numFmtId="1" fontId="7" fillId="0" borderId="8" xfId="1" applyNumberFormat="1" applyFont="1" applyBorder="1" applyAlignment="1" applyProtection="1">
      <alignment horizontal="center" vertical="center" wrapText="1"/>
      <protection locked="0"/>
    </xf>
    <xf numFmtId="1" fontId="16" fillId="0" borderId="7" xfId="0" applyNumberFormat="1" applyFont="1" applyBorder="1" applyAlignment="1" applyProtection="1">
      <alignment vertical="top" wrapText="1"/>
      <protection locked="0"/>
    </xf>
    <xf numFmtId="1" fontId="16" fillId="0" borderId="20" xfId="0" applyNumberFormat="1" applyFont="1" applyBorder="1" applyAlignment="1" applyProtection="1">
      <alignment vertical="top" wrapText="1"/>
      <protection locked="0"/>
    </xf>
    <xf numFmtId="1" fontId="16" fillId="0" borderId="8" xfId="0" applyNumberFormat="1" applyFont="1" applyBorder="1" applyAlignment="1" applyProtection="1">
      <alignment vertical="top" wrapText="1"/>
      <protection locked="0"/>
    </xf>
    <xf numFmtId="1" fontId="7" fillId="0" borderId="31" xfId="0" applyNumberFormat="1" applyFont="1" applyBorder="1" applyAlignment="1" applyProtection="1">
      <alignment horizontal="center" vertical="center" wrapText="1"/>
      <protection locked="0"/>
    </xf>
    <xf numFmtId="1" fontId="7" fillId="0" borderId="32" xfId="0" applyNumberFormat="1" applyFont="1" applyBorder="1" applyAlignment="1" applyProtection="1">
      <alignment horizontal="center" vertical="center" wrapText="1"/>
      <protection locked="0"/>
    </xf>
    <xf numFmtId="1" fontId="5" fillId="0" borderId="20" xfId="1" applyNumberFormat="1" applyFont="1" applyBorder="1" applyAlignment="1" applyProtection="1">
      <alignment horizontal="center" vertical="center" wrapText="1"/>
      <protection locked="0"/>
    </xf>
    <xf numFmtId="1" fontId="12" fillId="0" borderId="16" xfId="1" applyNumberFormat="1" applyFont="1" applyBorder="1" applyAlignment="1" applyProtection="1">
      <alignment horizontal="center" vertical="top" wrapText="1"/>
      <protection locked="0"/>
    </xf>
    <xf numFmtId="1" fontId="12" fillId="0" borderId="18" xfId="1" applyNumberFormat="1" applyFont="1" applyBorder="1" applyAlignment="1" applyProtection="1">
      <alignment horizontal="center" vertical="top" wrapText="1"/>
      <protection locked="0"/>
    </xf>
    <xf numFmtId="1" fontId="7" fillId="0" borderId="7" xfId="0" applyNumberFormat="1" applyFont="1" applyBorder="1" applyAlignment="1" applyProtection="1">
      <alignment vertical="top" wrapText="1"/>
      <protection locked="0"/>
    </xf>
    <xf numFmtId="1" fontId="7" fillId="0" borderId="20" xfId="0" applyNumberFormat="1" applyFont="1" applyBorder="1" applyAlignment="1" applyProtection="1">
      <alignment vertical="top" wrapText="1"/>
      <protection locked="0"/>
    </xf>
    <xf numFmtId="1" fontId="7" fillId="0" borderId="8" xfId="0" applyNumberFormat="1" applyFont="1" applyBorder="1" applyAlignment="1" applyProtection="1">
      <alignment vertical="top" wrapText="1"/>
      <protection locked="0"/>
    </xf>
    <xf numFmtId="1" fontId="12" fillId="0" borderId="7" xfId="0" applyNumberFormat="1" applyFont="1" applyBorder="1" applyAlignment="1" applyProtection="1">
      <alignment vertical="top" wrapText="1"/>
      <protection locked="0"/>
    </xf>
    <xf numFmtId="1" fontId="12" fillId="0" borderId="20" xfId="0" applyNumberFormat="1" applyFont="1" applyBorder="1" applyAlignment="1" applyProtection="1">
      <alignment vertical="top" wrapText="1"/>
      <protection locked="0"/>
    </xf>
    <xf numFmtId="1" fontId="12" fillId="0" borderId="8" xfId="0" applyNumberFormat="1" applyFont="1" applyBorder="1" applyAlignment="1" applyProtection="1">
      <alignment vertical="top" wrapText="1"/>
      <protection locked="0"/>
    </xf>
    <xf numFmtId="1" fontId="7" fillId="0" borderId="1" xfId="0" applyNumberFormat="1" applyFont="1" applyBorder="1" applyAlignment="1" applyProtection="1">
      <alignment horizontal="left" vertical="top" wrapText="1"/>
      <protection locked="0"/>
    </xf>
    <xf numFmtId="1" fontId="11" fillId="0" borderId="20" xfId="1" applyNumberFormat="1" applyFont="1" applyBorder="1" applyAlignment="1" applyProtection="1">
      <alignment horizontal="center" vertical="center" wrapText="1"/>
      <protection locked="0"/>
    </xf>
    <xf numFmtId="0" fontId="12" fillId="0" borderId="15" xfId="1" applyFont="1" applyBorder="1" applyAlignment="1" applyProtection="1">
      <alignment horizontal="center" vertical="top"/>
      <protection locked="0"/>
    </xf>
    <xf numFmtId="1" fontId="6" fillId="0" borderId="1" xfId="0" applyNumberFormat="1" applyFont="1" applyBorder="1" applyAlignment="1" applyProtection="1">
      <alignment horizontal="center" vertical="center"/>
      <protection locked="0"/>
    </xf>
    <xf numFmtId="0" fontId="12" fillId="0" borderId="1" xfId="1" applyFont="1" applyBorder="1" applyAlignment="1" applyProtection="1">
      <alignment horizontal="center" vertical="top" wrapText="1"/>
      <protection locked="0"/>
    </xf>
    <xf numFmtId="0" fontId="13" fillId="0" borderId="1" xfId="1" applyFont="1" applyBorder="1" applyAlignment="1" applyProtection="1">
      <alignment horizontal="center" vertical="top" wrapText="1"/>
      <protection locked="0"/>
    </xf>
    <xf numFmtId="1" fontId="7" fillId="0" borderId="1" xfId="0" applyNumberFormat="1" applyFont="1" applyBorder="1" applyAlignment="1" applyProtection="1">
      <alignment horizontal="center" vertical="center" wrapText="1"/>
      <protection locked="0"/>
    </xf>
    <xf numFmtId="0" fontId="7" fillId="0" borderId="1" xfId="1" applyFont="1" applyBorder="1" applyAlignment="1" applyProtection="1">
      <alignment horizontal="left" vertical="top"/>
      <protection locked="0"/>
    </xf>
    <xf numFmtId="1" fontId="7" fillId="0" borderId="1" xfId="1" applyNumberFormat="1" applyFont="1" applyBorder="1" applyAlignment="1" applyProtection="1">
      <alignment horizontal="center" vertical="center" wrapText="1"/>
      <protection locked="0"/>
    </xf>
    <xf numFmtId="0" fontId="5" fillId="0" borderId="2" xfId="1" applyFont="1" applyBorder="1" applyAlignment="1" applyProtection="1">
      <alignment horizontal="left" vertical="top" wrapText="1"/>
      <protection locked="0"/>
    </xf>
    <xf numFmtId="0" fontId="11" fillId="0" borderId="2" xfId="1" applyFont="1" applyBorder="1" applyAlignment="1" applyProtection="1">
      <alignment horizontal="left" vertical="top" wrapText="1"/>
      <protection locked="0"/>
    </xf>
    <xf numFmtId="0" fontId="11" fillId="0" borderId="4" xfId="1" applyFont="1" applyBorder="1" applyAlignment="1" applyProtection="1">
      <alignment horizontal="center" vertical="top" wrapText="1"/>
      <protection locked="0"/>
    </xf>
    <xf numFmtId="0" fontId="10" fillId="0" borderId="1" xfId="1" applyFont="1" applyBorder="1" applyAlignment="1" applyProtection="1">
      <alignment horizontal="center" vertical="top" wrapText="1"/>
      <protection locked="0"/>
    </xf>
    <xf numFmtId="0" fontId="7" fillId="0" borderId="1" xfId="1" applyFont="1" applyBorder="1" applyAlignment="1" applyProtection="1">
      <alignment horizontal="center" vertical="top"/>
      <protection locked="0"/>
    </xf>
    <xf numFmtId="0" fontId="12" fillId="0" borderId="1" xfId="1" applyFont="1" applyBorder="1" applyAlignment="1" applyProtection="1">
      <alignment horizontal="left" vertical="top"/>
      <protection locked="0"/>
    </xf>
    <xf numFmtId="14" fontId="11" fillId="0" borderId="1" xfId="1" applyNumberFormat="1" applyFont="1" applyBorder="1" applyAlignment="1" applyProtection="1">
      <alignment horizontal="left" vertical="top"/>
      <protection locked="0"/>
    </xf>
    <xf numFmtId="0" fontId="11" fillId="0" borderId="1" xfId="1" applyFont="1" applyFill="1" applyBorder="1" applyAlignment="1" applyProtection="1">
      <alignment horizontal="left" vertical="top"/>
      <protection locked="0"/>
    </xf>
    <xf numFmtId="0" fontId="11" fillId="0" borderId="1" xfId="1" applyFont="1" applyBorder="1" applyAlignment="1" applyProtection="1">
      <alignment horizontal="left"/>
      <protection locked="0"/>
    </xf>
    <xf numFmtId="0" fontId="11" fillId="0" borderId="1" xfId="1" applyFont="1" applyBorder="1" applyAlignment="1" applyProtection="1">
      <alignment horizontal="center"/>
      <protection locked="0"/>
    </xf>
    <xf numFmtId="0" fontId="12" fillId="0" borderId="1" xfId="1" applyFont="1" applyBorder="1" applyAlignment="1" applyProtection="1">
      <alignment horizontal="center"/>
      <protection locked="0"/>
    </xf>
    <xf numFmtId="9" fontId="6" fillId="0" borderId="16" xfId="8" applyFont="1" applyFill="1" applyBorder="1" applyAlignment="1" applyProtection="1">
      <alignment horizontal="center" vertical="center" wrapText="1"/>
      <protection locked="0"/>
    </xf>
    <xf numFmtId="9" fontId="6" fillId="0" borderId="26" xfId="8" applyFont="1" applyFill="1" applyBorder="1" applyAlignment="1" applyProtection="1">
      <alignment horizontal="center" vertical="center" wrapText="1"/>
      <protection locked="0"/>
    </xf>
    <xf numFmtId="9" fontId="6" fillId="0" borderId="24" xfId="8" applyFont="1" applyFill="1" applyBorder="1" applyAlignment="1" applyProtection="1">
      <alignment horizontal="center" vertical="center" wrapText="1"/>
      <protection locked="0"/>
    </xf>
    <xf numFmtId="9" fontId="6" fillId="0" borderId="9" xfId="8" applyFont="1" applyFill="1" applyBorder="1" applyAlignment="1" applyProtection="1">
      <alignment horizontal="center" vertical="center" wrapText="1"/>
      <protection locked="0"/>
    </xf>
    <xf numFmtId="9" fontId="6" fillId="0" borderId="27" xfId="8" applyFont="1" applyFill="1" applyBorder="1" applyAlignment="1" applyProtection="1">
      <alignment horizontal="center" vertical="center" wrapText="1"/>
      <protection locked="0"/>
    </xf>
    <xf numFmtId="9" fontId="6" fillId="0" borderId="11" xfId="8" applyFont="1" applyFill="1" applyBorder="1" applyAlignment="1" applyProtection="1">
      <alignment horizontal="center" vertical="center" wrapText="1"/>
      <protection locked="0"/>
    </xf>
    <xf numFmtId="2" fontId="5" fillId="0" borderId="1" xfId="1" applyNumberFormat="1" applyFont="1" applyBorder="1" applyAlignment="1" applyProtection="1">
      <alignment horizontal="left" vertical="top" wrapText="1"/>
      <protection locked="0"/>
    </xf>
    <xf numFmtId="0" fontId="11" fillId="0" borderId="15" xfId="1" applyFont="1" applyBorder="1" applyAlignment="1" applyProtection="1">
      <alignment horizontal="left" vertical="top" wrapText="1"/>
      <protection locked="0"/>
    </xf>
    <xf numFmtId="9" fontId="11" fillId="0" borderId="16" xfId="8" applyFont="1" applyFill="1" applyBorder="1" applyAlignment="1" applyProtection="1">
      <alignment horizontal="center" vertical="center" wrapText="1"/>
      <protection locked="0"/>
    </xf>
    <xf numFmtId="9" fontId="11" fillId="0" borderId="17" xfId="8" applyFont="1" applyFill="1" applyBorder="1" applyAlignment="1" applyProtection="1">
      <alignment horizontal="center" vertical="center" wrapText="1"/>
      <protection locked="0"/>
    </xf>
    <xf numFmtId="9" fontId="11" fillId="0" borderId="24" xfId="8" applyFont="1" applyFill="1" applyBorder="1" applyAlignment="1" applyProtection="1">
      <alignment horizontal="center" vertical="center" wrapText="1"/>
      <protection locked="0"/>
    </xf>
    <xf numFmtId="9" fontId="11" fillId="0" borderId="25" xfId="8" applyFont="1" applyFill="1" applyBorder="1" applyAlignment="1" applyProtection="1">
      <alignment horizontal="center" vertical="center" wrapText="1"/>
      <protection locked="0"/>
    </xf>
    <xf numFmtId="9" fontId="11" fillId="0" borderId="27" xfId="8" applyFont="1" applyFill="1" applyBorder="1" applyAlignment="1" applyProtection="1">
      <alignment horizontal="center" vertical="center" wrapText="1"/>
      <protection locked="0"/>
    </xf>
    <xf numFmtId="9" fontId="11" fillId="0" borderId="28" xfId="8" applyFont="1" applyFill="1" applyBorder="1" applyAlignment="1" applyProtection="1">
      <alignment horizontal="center" vertical="center" wrapText="1"/>
      <protection locked="0"/>
    </xf>
    <xf numFmtId="9" fontId="11" fillId="0" borderId="26" xfId="8" applyFont="1" applyFill="1" applyBorder="1" applyAlignment="1" applyProtection="1">
      <alignment horizontal="center" vertical="center" wrapText="1"/>
      <protection locked="0"/>
    </xf>
    <xf numFmtId="9" fontId="11" fillId="0" borderId="9" xfId="8" applyFont="1" applyFill="1" applyBorder="1" applyAlignment="1" applyProtection="1">
      <alignment horizontal="center" vertical="center" wrapText="1"/>
      <protection locked="0"/>
    </xf>
    <xf numFmtId="9" fontId="11" fillId="0" borderId="11" xfId="8" applyFont="1" applyFill="1" applyBorder="1" applyAlignment="1" applyProtection="1">
      <alignment horizontal="center" vertical="center" wrapText="1"/>
      <protection locked="0"/>
    </xf>
    <xf numFmtId="0" fontId="11" fillId="0" borderId="5" xfId="1" applyFont="1" applyBorder="1" applyAlignment="1" applyProtection="1">
      <alignment horizontal="center" vertical="top" wrapText="1"/>
      <protection locked="0"/>
    </xf>
    <xf numFmtId="0" fontId="11" fillId="0" borderId="6" xfId="1" applyFont="1" applyBorder="1" applyAlignment="1" applyProtection="1">
      <alignment horizontal="center" vertical="top" wrapText="1"/>
      <protection locked="0"/>
    </xf>
    <xf numFmtId="1" fontId="11" fillId="0" borderId="1" xfId="1" applyNumberFormat="1" applyFont="1" applyBorder="1" applyAlignment="1" applyProtection="1">
      <alignment horizontal="left" vertical="top" wrapText="1"/>
      <protection locked="0"/>
    </xf>
    <xf numFmtId="2" fontId="5" fillId="0" borderId="1" xfId="1" applyNumberFormat="1" applyFont="1" applyBorder="1" applyAlignment="1" applyProtection="1">
      <alignment horizontal="left" vertical="top"/>
      <protection locked="0"/>
    </xf>
    <xf numFmtId="0" fontId="12" fillId="0" borderId="3" xfId="1" applyFont="1" applyBorder="1" applyAlignment="1" applyProtection="1">
      <alignment horizontal="left" vertical="top"/>
      <protection locked="0"/>
    </xf>
    <xf numFmtId="0" fontId="6" fillId="0" borderId="0" xfId="1" applyFont="1" applyAlignment="1">
      <alignment horizontal="center" vertical="center"/>
    </xf>
    <xf numFmtId="0" fontId="5" fillId="0" borderId="7" xfId="1" applyFont="1" applyBorder="1" applyAlignment="1" applyProtection="1">
      <alignment vertical="top" wrapText="1"/>
      <protection locked="0"/>
    </xf>
    <xf numFmtId="0" fontId="5" fillId="0" borderId="20" xfId="1" applyFont="1" applyBorder="1" applyAlignment="1" applyProtection="1">
      <alignment vertical="top" wrapText="1"/>
      <protection locked="0"/>
    </xf>
    <xf numFmtId="0" fontId="5" fillId="0" borderId="8" xfId="1" applyFont="1" applyBorder="1" applyAlignment="1" applyProtection="1">
      <alignment vertical="top" wrapText="1"/>
      <protection locked="0"/>
    </xf>
    <xf numFmtId="1" fontId="12" fillId="0" borderId="7" xfId="1" applyNumberFormat="1" applyFont="1" applyBorder="1" applyAlignment="1" applyProtection="1">
      <alignment horizontal="center" vertical="center" wrapText="1"/>
      <protection locked="0"/>
    </xf>
    <xf numFmtId="1" fontId="12" fillId="0" borderId="20" xfId="1" applyNumberFormat="1" applyFont="1" applyBorder="1" applyAlignment="1" applyProtection="1">
      <alignment horizontal="center" vertical="center" wrapText="1"/>
      <protection locked="0"/>
    </xf>
    <xf numFmtId="1" fontId="12" fillId="0" borderId="8" xfId="1" applyNumberFormat="1" applyFont="1" applyBorder="1" applyAlignment="1" applyProtection="1">
      <alignment horizontal="center" vertical="center" wrapText="1"/>
      <protection locked="0"/>
    </xf>
    <xf numFmtId="1" fontId="29" fillId="0" borderId="2" xfId="1" applyNumberFormat="1" applyFont="1" applyBorder="1" applyAlignment="1" applyProtection="1">
      <alignment horizontal="center" vertical="top" wrapText="1"/>
      <protection locked="0"/>
    </xf>
    <xf numFmtId="1" fontId="29" fillId="0" borderId="15" xfId="1" applyNumberFormat="1" applyFont="1" applyBorder="1" applyAlignment="1" applyProtection="1">
      <alignment horizontal="center" vertical="top" wrapText="1"/>
      <protection locked="0"/>
    </xf>
    <xf numFmtId="0" fontId="25" fillId="0" borderId="1" xfId="10" applyFill="1" applyBorder="1" applyAlignment="1" applyProtection="1">
      <alignment horizontal="left" vertical="top" wrapText="1"/>
      <protection locked="0"/>
    </xf>
    <xf numFmtId="0" fontId="6" fillId="0" borderId="1" xfId="0" applyFont="1" applyBorder="1" applyAlignment="1" applyProtection="1">
      <alignment horizontal="center" vertical="center"/>
      <protection locked="0"/>
    </xf>
    <xf numFmtId="0" fontId="6" fillId="0" borderId="1" xfId="0" applyFont="1" applyBorder="1" applyAlignment="1" applyProtection="1">
      <alignment horizontal="center" vertical="top" wrapText="1"/>
      <protection locked="0"/>
    </xf>
    <xf numFmtId="1" fontId="7" fillId="0" borderId="32" xfId="0" applyNumberFormat="1" applyFont="1" applyBorder="1" applyAlignment="1" applyProtection="1">
      <alignment horizontal="center" vertical="top" wrapText="1"/>
      <protection locked="0"/>
    </xf>
    <xf numFmtId="1" fontId="7" fillId="0" borderId="33" xfId="0" applyNumberFormat="1" applyFont="1" applyBorder="1" applyAlignment="1" applyProtection="1">
      <alignment horizontal="center" vertical="top" wrapText="1"/>
      <protection locked="0"/>
    </xf>
    <xf numFmtId="0" fontId="11" fillId="0" borderId="2" xfId="1" applyFont="1" applyBorder="1" applyAlignment="1" applyProtection="1">
      <alignment horizontal="left" vertical="top"/>
      <protection locked="0"/>
    </xf>
    <xf numFmtId="0" fontId="11" fillId="0" borderId="17" xfId="1" applyFont="1" applyBorder="1" applyAlignment="1" applyProtection="1">
      <alignment horizontal="left" vertical="top" wrapText="1"/>
      <protection locked="0"/>
    </xf>
    <xf numFmtId="0" fontId="12" fillId="0" borderId="1" xfId="1" applyFont="1" applyBorder="1" applyAlignment="1" applyProtection="1">
      <alignment horizontal="left" vertical="top" wrapText="1"/>
      <protection locked="0"/>
    </xf>
    <xf numFmtId="0" fontId="12" fillId="0" borderId="4" xfId="1" applyFont="1" applyBorder="1" applyAlignment="1" applyProtection="1">
      <alignment horizontal="left" vertical="top" wrapText="1"/>
      <protection locked="0"/>
    </xf>
    <xf numFmtId="0" fontId="12" fillId="0" borderId="21" xfId="1" applyFont="1" applyBorder="1" applyAlignment="1" applyProtection="1">
      <alignment horizontal="left" vertical="top" wrapText="1"/>
      <protection locked="0"/>
    </xf>
    <xf numFmtId="0" fontId="12" fillId="0" borderId="14" xfId="1" applyFont="1" applyBorder="1" applyAlignment="1" applyProtection="1">
      <alignment horizontal="left" vertical="top" wrapText="1"/>
      <protection locked="0"/>
    </xf>
    <xf numFmtId="0" fontId="12" fillId="0" borderId="12" xfId="1" applyFont="1" applyBorder="1" applyAlignment="1" applyProtection="1">
      <alignment horizontal="left" vertical="top" wrapText="1"/>
      <protection locked="0"/>
    </xf>
    <xf numFmtId="0" fontId="12" fillId="0" borderId="13" xfId="1" applyFont="1" applyBorder="1" applyAlignment="1" applyProtection="1">
      <alignment horizontal="left" vertical="top" wrapText="1"/>
      <protection locked="0"/>
    </xf>
    <xf numFmtId="0" fontId="12" fillId="0" borderId="22" xfId="1" applyFont="1" applyBorder="1" applyAlignment="1" applyProtection="1">
      <alignment horizontal="left" vertical="top" wrapText="1"/>
      <protection locked="0"/>
    </xf>
    <xf numFmtId="0" fontId="7" fillId="0" borderId="15" xfId="1" applyFont="1" applyBorder="1" applyAlignment="1" applyProtection="1">
      <alignment horizontal="left" vertical="top"/>
      <protection locked="0"/>
    </xf>
    <xf numFmtId="1" fontId="7" fillId="0" borderId="2" xfId="0" applyNumberFormat="1" applyFont="1" applyBorder="1" applyAlignment="1" applyProtection="1">
      <alignment horizontal="center" vertical="center" wrapText="1"/>
      <protection locked="0"/>
    </xf>
    <xf numFmtId="9" fontId="6" fillId="0" borderId="17" xfId="8" applyFont="1" applyFill="1" applyBorder="1" applyAlignment="1" applyProtection="1">
      <alignment horizontal="center" vertical="center" wrapText="1"/>
      <protection locked="0"/>
    </xf>
    <xf numFmtId="9" fontId="6" fillId="0" borderId="25" xfId="8" applyFont="1" applyFill="1" applyBorder="1" applyAlignment="1" applyProtection="1">
      <alignment horizontal="center" vertical="center" wrapText="1"/>
      <protection locked="0"/>
    </xf>
    <xf numFmtId="9" fontId="6" fillId="0" borderId="28" xfId="8" applyFont="1" applyFill="1" applyBorder="1" applyAlignment="1" applyProtection="1">
      <alignment horizontal="center" vertical="center" wrapText="1"/>
      <protection locked="0"/>
    </xf>
    <xf numFmtId="0" fontId="7" fillId="0" borderId="15" xfId="1" applyFont="1" applyBorder="1" applyAlignment="1" applyProtection="1">
      <alignment horizontal="center" vertical="top"/>
      <protection locked="0"/>
    </xf>
    <xf numFmtId="0" fontId="8" fillId="0" borderId="1" xfId="5" applyFont="1" applyBorder="1" applyAlignment="1">
      <alignment horizontal="left"/>
    </xf>
    <xf numFmtId="0" fontId="11" fillId="0" borderId="1" xfId="1" applyFont="1" applyBorder="1" applyAlignment="1" applyProtection="1">
      <alignment horizontal="center" vertical="top"/>
      <protection locked="0"/>
    </xf>
    <xf numFmtId="0" fontId="12" fillId="3" borderId="3" xfId="1" applyFont="1" applyFill="1" applyBorder="1" applyAlignment="1" applyProtection="1">
      <alignment horizontal="center" vertical="center"/>
      <protection locked="0"/>
    </xf>
    <xf numFmtId="0" fontId="12" fillId="3" borderId="1" xfId="1" applyFont="1" applyFill="1" applyBorder="1" applyAlignment="1" applyProtection="1">
      <alignment horizontal="center" vertical="center"/>
      <protection locked="0"/>
    </xf>
    <xf numFmtId="0" fontId="12" fillId="3" borderId="34" xfId="1" applyFont="1" applyFill="1" applyBorder="1" applyAlignment="1" applyProtection="1">
      <alignment horizontal="center" vertical="center" wrapText="1"/>
      <protection locked="0"/>
    </xf>
    <xf numFmtId="0" fontId="12" fillId="3" borderId="35" xfId="1" applyFont="1" applyFill="1" applyBorder="1" applyAlignment="1" applyProtection="1">
      <alignment horizontal="center" vertical="center" wrapText="1"/>
      <protection locked="0"/>
    </xf>
    <xf numFmtId="0" fontId="12" fillId="3" borderId="36" xfId="1" applyFont="1" applyFill="1" applyBorder="1" applyAlignment="1" applyProtection="1">
      <alignment horizontal="center" vertical="center" wrapText="1"/>
      <protection locked="0"/>
    </xf>
    <xf numFmtId="9" fontId="12" fillId="3" borderId="34" xfId="1" applyNumberFormat="1" applyFont="1" applyFill="1" applyBorder="1" applyAlignment="1" applyProtection="1">
      <alignment horizontal="center" vertical="center" wrapText="1"/>
      <protection locked="0"/>
    </xf>
  </cellXfs>
  <cellStyles count="11">
    <cellStyle name="Comma" xfId="9" builtinId="3"/>
    <cellStyle name="Comma 2" xfId="6"/>
    <cellStyle name="Excel Built-in Normal" xfId="2"/>
    <cellStyle name="Excel Built-in Normal 2" xfId="4"/>
    <cellStyle name="Hyperlink" xfId="10" builtinId="8"/>
    <cellStyle name="Normal" xfId="0" builtinId="0"/>
    <cellStyle name="Normal 2" xfId="3"/>
    <cellStyle name="Normal 3" xfId="1"/>
    <cellStyle name="Normal 3 3" xfId="7"/>
    <cellStyle name="Normal 4" xfId="5"/>
    <cellStyle name="Percent" xfId="8"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2.xml.rels><?xml version="1.0" encoding="UTF-8" standalone="yes"?>
<Relationships xmlns="http://schemas.openxmlformats.org/package/2006/relationships"><Relationship Id="rId1" Type="http://schemas.openxmlformats.org/officeDocument/2006/relationships/image" Target="../media/image17.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xdr:from>
      <xdr:col>8</xdr:col>
      <xdr:colOff>257175</xdr:colOff>
      <xdr:row>11</xdr:row>
      <xdr:rowOff>35298</xdr:rowOff>
    </xdr:from>
    <xdr:to>
      <xdr:col>13</xdr:col>
      <xdr:colOff>423368</xdr:colOff>
      <xdr:row>18</xdr:row>
      <xdr:rowOff>168154</xdr:rowOff>
    </xdr:to>
    <xdr:grpSp>
      <xdr:nvGrpSpPr>
        <xdr:cNvPr id="4" name="Group 3"/>
        <xdr:cNvGrpSpPr/>
      </xdr:nvGrpSpPr>
      <xdr:grpSpPr>
        <a:xfrm>
          <a:off x="6918325" y="2600698"/>
          <a:ext cx="4712793" cy="1929906"/>
          <a:chOff x="6572250" y="2162175"/>
          <a:chExt cx="4509593" cy="2160000"/>
        </a:xfrm>
      </xdr:grpSpPr>
      <xdr:pic>
        <xdr:nvPicPr>
          <xdr:cNvPr id="2" name="Picture 1"/>
          <xdr:cNvPicPr>
            <a:picLocks noChangeAspect="1"/>
          </xdr:cNvPicPr>
        </xdr:nvPicPr>
        <xdr:blipFill>
          <a:blip xmlns:r="http://schemas.openxmlformats.org/officeDocument/2006/relationships" r:embed="rId1"/>
          <a:stretch>
            <a:fillRect/>
          </a:stretch>
        </xdr:blipFill>
        <xdr:spPr>
          <a:xfrm>
            <a:off x="6572250" y="2162175"/>
            <a:ext cx="4509593" cy="2160000"/>
          </a:xfrm>
          <a:prstGeom prst="rect">
            <a:avLst/>
          </a:prstGeom>
        </xdr:spPr>
      </xdr:pic>
      <xdr:sp macro="" textlink="">
        <xdr:nvSpPr>
          <xdr:cNvPr id="3" name="Rectangle 2"/>
          <xdr:cNvSpPr/>
        </xdr:nvSpPr>
        <xdr:spPr>
          <a:xfrm>
            <a:off x="7486651" y="3514725"/>
            <a:ext cx="1066800" cy="16192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grpSp>
    <xdr:clientData/>
  </xdr:twoCellAnchor>
  <xdr:twoCellAnchor editAs="oneCell">
    <xdr:from>
      <xdr:col>8</xdr:col>
      <xdr:colOff>123825</xdr:colOff>
      <xdr:row>34</xdr:row>
      <xdr:rowOff>161925</xdr:rowOff>
    </xdr:from>
    <xdr:to>
      <xdr:col>14</xdr:col>
      <xdr:colOff>221275</xdr:colOff>
      <xdr:row>51</xdr:row>
      <xdr:rowOff>132901</xdr:rowOff>
    </xdr:to>
    <xdr:pic>
      <xdr:nvPicPr>
        <xdr:cNvPr id="5" name="Picture 4"/>
        <xdr:cNvPicPr>
          <a:picLocks noChangeAspect="1"/>
        </xdr:cNvPicPr>
      </xdr:nvPicPr>
      <xdr:blipFill>
        <a:blip xmlns:r="http://schemas.openxmlformats.org/officeDocument/2006/relationships" r:embed="rId2"/>
        <a:stretch>
          <a:fillRect/>
        </a:stretch>
      </xdr:blipFill>
      <xdr:spPr>
        <a:xfrm>
          <a:off x="6438900" y="8181975"/>
          <a:ext cx="5279051" cy="3600000"/>
        </a:xfrm>
        <a:prstGeom prst="rect">
          <a:avLst/>
        </a:prstGeom>
      </xdr:spPr>
    </xdr:pic>
    <xdr:clientData/>
  </xdr:twoCellAnchor>
  <xdr:twoCellAnchor editAs="oneCell">
    <xdr:from>
      <xdr:col>8</xdr:col>
      <xdr:colOff>733425</xdr:colOff>
      <xdr:row>52</xdr:row>
      <xdr:rowOff>76200</xdr:rowOff>
    </xdr:from>
    <xdr:to>
      <xdr:col>12</xdr:col>
      <xdr:colOff>542504</xdr:colOff>
      <xdr:row>62</xdr:row>
      <xdr:rowOff>86743</xdr:rowOff>
    </xdr:to>
    <xdr:pic>
      <xdr:nvPicPr>
        <xdr:cNvPr id="6" name="Picture 5"/>
        <xdr:cNvPicPr>
          <a:picLocks noChangeAspect="1"/>
        </xdr:cNvPicPr>
      </xdr:nvPicPr>
      <xdr:blipFill>
        <a:blip xmlns:r="http://schemas.openxmlformats.org/officeDocument/2006/relationships" r:embed="rId3"/>
        <a:stretch>
          <a:fillRect/>
        </a:stretch>
      </xdr:blipFill>
      <xdr:spPr>
        <a:xfrm>
          <a:off x="7048500" y="11925300"/>
          <a:ext cx="3361905" cy="819048"/>
        </a:xfrm>
        <a:prstGeom prst="rect">
          <a:avLst/>
        </a:prstGeom>
      </xdr:spPr>
    </xdr:pic>
    <xdr:clientData/>
  </xdr:twoCellAnchor>
  <xdr:twoCellAnchor editAs="oneCell">
    <xdr:from>
      <xdr:col>0</xdr:col>
      <xdr:colOff>268942</xdr:colOff>
      <xdr:row>342</xdr:row>
      <xdr:rowOff>123266</xdr:rowOff>
    </xdr:from>
    <xdr:to>
      <xdr:col>7</xdr:col>
      <xdr:colOff>376326</xdr:colOff>
      <xdr:row>358</xdr:row>
      <xdr:rowOff>135972</xdr:rowOff>
    </xdr:to>
    <xdr:pic>
      <xdr:nvPicPr>
        <xdr:cNvPr id="7" name="Picture 6"/>
        <xdr:cNvPicPr>
          <a:picLocks noChangeAspect="1"/>
        </xdr:cNvPicPr>
      </xdr:nvPicPr>
      <xdr:blipFill>
        <a:blip xmlns:r="http://schemas.openxmlformats.org/officeDocument/2006/relationships" r:embed="rId4"/>
        <a:stretch>
          <a:fillRect/>
        </a:stretch>
      </xdr:blipFill>
      <xdr:spPr>
        <a:xfrm>
          <a:off x="268942" y="58315413"/>
          <a:ext cx="5732737" cy="3240000"/>
        </a:xfrm>
        <a:prstGeom prst="rect">
          <a:avLst/>
        </a:prstGeom>
        <a:ln>
          <a:solidFill>
            <a:schemeClr val="tx1"/>
          </a:solidFill>
        </a:ln>
      </xdr:spPr>
    </xdr:pic>
    <xdr:clientData/>
  </xdr:twoCellAnchor>
  <xdr:twoCellAnchor editAs="oneCell">
    <xdr:from>
      <xdr:col>0</xdr:col>
      <xdr:colOff>531159</xdr:colOff>
      <xdr:row>359</xdr:row>
      <xdr:rowOff>92808</xdr:rowOff>
    </xdr:from>
    <xdr:to>
      <xdr:col>7</xdr:col>
      <xdr:colOff>56045</xdr:colOff>
      <xdr:row>382</xdr:row>
      <xdr:rowOff>133573</xdr:rowOff>
    </xdr:to>
    <xdr:pic>
      <xdr:nvPicPr>
        <xdr:cNvPr id="8" name="Picture 7"/>
        <xdr:cNvPicPr>
          <a:picLocks noChangeAspect="1"/>
        </xdr:cNvPicPr>
      </xdr:nvPicPr>
      <xdr:blipFill>
        <a:blip xmlns:r="http://schemas.openxmlformats.org/officeDocument/2006/relationships" r:embed="rId5"/>
        <a:stretch>
          <a:fillRect/>
        </a:stretch>
      </xdr:blipFill>
      <xdr:spPr>
        <a:xfrm>
          <a:off x="531159" y="61713955"/>
          <a:ext cx="5150239" cy="4680000"/>
        </a:xfrm>
        <a:prstGeom prst="rect">
          <a:avLst/>
        </a:prstGeom>
        <a:ln>
          <a:solidFill>
            <a:schemeClr val="tx1"/>
          </a:solidFill>
        </a:ln>
      </xdr:spPr>
    </xdr:pic>
    <xdr:clientData/>
  </xdr:twoCellAnchor>
  <xdr:twoCellAnchor>
    <xdr:from>
      <xdr:col>2</xdr:col>
      <xdr:colOff>705852</xdr:colOff>
      <xdr:row>368</xdr:row>
      <xdr:rowOff>91795</xdr:rowOff>
    </xdr:from>
    <xdr:to>
      <xdr:col>4</xdr:col>
      <xdr:colOff>271887</xdr:colOff>
      <xdr:row>372</xdr:row>
      <xdr:rowOff>61823</xdr:rowOff>
    </xdr:to>
    <xdr:sp macro="" textlink="">
      <xdr:nvSpPr>
        <xdr:cNvPr id="9" name="Rectangle 8"/>
        <xdr:cNvSpPr/>
      </xdr:nvSpPr>
      <xdr:spPr>
        <a:xfrm rot="20092280">
          <a:off x="2308293" y="63528295"/>
          <a:ext cx="1336565" cy="776852"/>
        </a:xfrm>
        <a:prstGeom prst="rect">
          <a:avLst/>
        </a:prstGeom>
        <a:noFill/>
        <a:ln w="38100">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editAs="oneCell">
    <xdr:from>
      <xdr:col>1</xdr:col>
      <xdr:colOff>421124</xdr:colOff>
      <xdr:row>299</xdr:row>
      <xdr:rowOff>56029</xdr:rowOff>
    </xdr:from>
    <xdr:to>
      <xdr:col>6</xdr:col>
      <xdr:colOff>239318</xdr:colOff>
      <xdr:row>317</xdr:row>
      <xdr:rowOff>25323</xdr:rowOff>
    </xdr:to>
    <xdr:pic>
      <xdr:nvPicPr>
        <xdr:cNvPr id="10" name="Picture 9"/>
        <xdr:cNvPicPr>
          <a:picLocks noChangeAspect="1"/>
        </xdr:cNvPicPr>
      </xdr:nvPicPr>
      <xdr:blipFill>
        <a:blip xmlns:r="http://schemas.openxmlformats.org/officeDocument/2006/relationships" r:embed="rId6"/>
        <a:stretch>
          <a:fillRect/>
        </a:stretch>
      </xdr:blipFill>
      <xdr:spPr>
        <a:xfrm>
          <a:off x="1183124" y="48756794"/>
          <a:ext cx="3953165" cy="3600000"/>
        </a:xfrm>
        <a:prstGeom prst="rect">
          <a:avLst/>
        </a:prstGeom>
        <a:ln>
          <a:solidFill>
            <a:schemeClr val="tx1"/>
          </a:solidFill>
        </a:ln>
      </xdr:spPr>
    </xdr:pic>
    <xdr:clientData/>
  </xdr:twoCellAnchor>
  <xdr:twoCellAnchor editAs="oneCell">
    <xdr:from>
      <xdr:col>1</xdr:col>
      <xdr:colOff>190501</xdr:colOff>
      <xdr:row>317</xdr:row>
      <xdr:rowOff>179293</xdr:rowOff>
    </xdr:from>
    <xdr:to>
      <xdr:col>6</xdr:col>
      <xdr:colOff>388033</xdr:colOff>
      <xdr:row>339</xdr:row>
      <xdr:rowOff>61764</xdr:rowOff>
    </xdr:to>
    <xdr:pic>
      <xdr:nvPicPr>
        <xdr:cNvPr id="12" name="Picture 11"/>
        <xdr:cNvPicPr>
          <a:picLocks noChangeAspect="1"/>
        </xdr:cNvPicPr>
      </xdr:nvPicPr>
      <xdr:blipFill rotWithShape="1">
        <a:blip xmlns:r="http://schemas.openxmlformats.org/officeDocument/2006/relationships" r:embed="rId7" cstate="screen">
          <a:extLst>
            <a:ext uri="{28A0092B-C50C-407E-A947-70E740481C1C}">
              <a14:useLocalDpi xmlns:a14="http://schemas.microsoft.com/office/drawing/2010/main"/>
            </a:ext>
          </a:extLst>
        </a:blip>
        <a:srcRect/>
        <a:stretch/>
      </xdr:blipFill>
      <xdr:spPr>
        <a:xfrm>
          <a:off x="952501" y="53127087"/>
          <a:ext cx="4332503" cy="4320000"/>
        </a:xfrm>
        <a:prstGeom prst="rect">
          <a:avLst/>
        </a:prstGeom>
        <a:ln>
          <a:solidFill>
            <a:schemeClr val="tx1"/>
          </a:solidFill>
        </a:ln>
      </xdr:spPr>
    </xdr:pic>
    <xdr:clientData/>
  </xdr:twoCellAnchor>
  <xdr:twoCellAnchor>
    <xdr:from>
      <xdr:col>5</xdr:col>
      <xdr:colOff>369792</xdr:colOff>
      <xdr:row>301</xdr:row>
      <xdr:rowOff>123265</xdr:rowOff>
    </xdr:from>
    <xdr:to>
      <xdr:col>5</xdr:col>
      <xdr:colOff>369793</xdr:colOff>
      <xdr:row>304</xdr:row>
      <xdr:rowOff>89646</xdr:rowOff>
    </xdr:to>
    <xdr:cxnSp macro="">
      <xdr:nvCxnSpPr>
        <xdr:cNvPr id="20" name="Straight Arrow Connector 19"/>
        <xdr:cNvCxnSpPr/>
      </xdr:nvCxnSpPr>
      <xdr:spPr>
        <a:xfrm flipV="1">
          <a:off x="4527174" y="49227441"/>
          <a:ext cx="1" cy="571499"/>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156881</xdr:colOff>
      <xdr:row>298</xdr:row>
      <xdr:rowOff>201705</xdr:rowOff>
    </xdr:from>
    <xdr:to>
      <xdr:col>6</xdr:col>
      <xdr:colOff>11204</xdr:colOff>
      <xdr:row>301</xdr:row>
      <xdr:rowOff>123265</xdr:rowOff>
    </xdr:to>
    <xdr:sp macro="" textlink="">
      <xdr:nvSpPr>
        <xdr:cNvPr id="22" name="TextBox 21"/>
        <xdr:cNvSpPr txBox="1"/>
      </xdr:nvSpPr>
      <xdr:spPr>
        <a:xfrm>
          <a:off x="4314263" y="48700764"/>
          <a:ext cx="593912" cy="526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3200" b="1">
              <a:solidFill>
                <a:srgbClr val="FF0000"/>
              </a:solidFill>
            </a:rPr>
            <a:t>N</a:t>
          </a:r>
        </a:p>
      </xdr:txBody>
    </xdr:sp>
    <xdr:clientData/>
  </xdr:twoCellAnchor>
  <xdr:twoCellAnchor>
    <xdr:from>
      <xdr:col>6</xdr:col>
      <xdr:colOff>89646</xdr:colOff>
      <xdr:row>321</xdr:row>
      <xdr:rowOff>44823</xdr:rowOff>
    </xdr:from>
    <xdr:to>
      <xdr:col>6</xdr:col>
      <xdr:colOff>89647</xdr:colOff>
      <xdr:row>324</xdr:row>
      <xdr:rowOff>11204</xdr:rowOff>
    </xdr:to>
    <xdr:cxnSp macro="">
      <xdr:nvCxnSpPr>
        <xdr:cNvPr id="23" name="Straight Arrow Connector 22"/>
        <xdr:cNvCxnSpPr/>
      </xdr:nvCxnSpPr>
      <xdr:spPr>
        <a:xfrm flipV="1">
          <a:off x="4986617" y="53183117"/>
          <a:ext cx="1" cy="571499"/>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616325</xdr:colOff>
      <xdr:row>318</xdr:row>
      <xdr:rowOff>123264</xdr:rowOff>
    </xdr:from>
    <xdr:to>
      <xdr:col>6</xdr:col>
      <xdr:colOff>470648</xdr:colOff>
      <xdr:row>321</xdr:row>
      <xdr:rowOff>44823</xdr:rowOff>
    </xdr:to>
    <xdr:sp macro="" textlink="">
      <xdr:nvSpPr>
        <xdr:cNvPr id="24" name="TextBox 23"/>
        <xdr:cNvSpPr txBox="1"/>
      </xdr:nvSpPr>
      <xdr:spPr>
        <a:xfrm>
          <a:off x="4773707" y="52656440"/>
          <a:ext cx="593912" cy="526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3200" b="1">
              <a:solidFill>
                <a:srgbClr val="FF0000"/>
              </a:solidFill>
            </a:rPr>
            <a:t>N</a:t>
          </a:r>
        </a:p>
      </xdr:txBody>
    </xdr:sp>
    <xdr:clientData/>
  </xdr:twoCellAnchor>
  <xdr:twoCellAnchor>
    <xdr:from>
      <xdr:col>0</xdr:col>
      <xdr:colOff>133350</xdr:colOff>
      <xdr:row>257</xdr:row>
      <xdr:rowOff>57150</xdr:rowOff>
    </xdr:from>
    <xdr:to>
      <xdr:col>7</xdr:col>
      <xdr:colOff>627995</xdr:colOff>
      <xdr:row>297</xdr:row>
      <xdr:rowOff>12700</xdr:rowOff>
    </xdr:to>
    <xdr:grpSp>
      <xdr:nvGrpSpPr>
        <xdr:cNvPr id="13" name="Group 12"/>
        <xdr:cNvGrpSpPr/>
      </xdr:nvGrpSpPr>
      <xdr:grpSpPr>
        <a:xfrm>
          <a:off x="133350" y="39306500"/>
          <a:ext cx="6387445" cy="7823200"/>
          <a:chOff x="133350" y="39306500"/>
          <a:chExt cx="6387445" cy="7823200"/>
        </a:xfrm>
      </xdr:grpSpPr>
      <xdr:pic>
        <xdr:nvPicPr>
          <xdr:cNvPr id="32" name="Picture 31"/>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a:ext>
            </a:extLst>
          </a:blip>
          <a:stretch>
            <a:fillRect/>
          </a:stretch>
        </xdr:blipFill>
        <xdr:spPr>
          <a:xfrm>
            <a:off x="3485628" y="45641546"/>
            <a:ext cx="1618313" cy="1488154"/>
          </a:xfrm>
          <a:prstGeom prst="rect">
            <a:avLst/>
          </a:prstGeom>
          <a:ln>
            <a:solidFill>
              <a:schemeClr val="tx1"/>
            </a:solidFill>
          </a:ln>
        </xdr:spPr>
      </xdr:pic>
      <xdr:pic>
        <xdr:nvPicPr>
          <xdr:cNvPr id="33" name="Picture 32"/>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a:ext>
            </a:extLst>
          </a:blip>
          <a:stretch>
            <a:fillRect/>
          </a:stretch>
        </xdr:blipFill>
        <xdr:spPr>
          <a:xfrm>
            <a:off x="284276" y="39306500"/>
            <a:ext cx="2966907" cy="3960000"/>
          </a:xfrm>
          <a:prstGeom prst="rect">
            <a:avLst/>
          </a:prstGeom>
          <a:ln>
            <a:solidFill>
              <a:schemeClr val="tx1"/>
            </a:solidFill>
          </a:ln>
        </xdr:spPr>
      </xdr:pic>
      <xdr:pic>
        <xdr:nvPicPr>
          <xdr:cNvPr id="34" name="Picture 33"/>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a:ext>
            </a:extLst>
          </a:blip>
          <a:stretch>
            <a:fillRect/>
          </a:stretch>
        </xdr:blipFill>
        <xdr:spPr>
          <a:xfrm>
            <a:off x="3386042" y="39306500"/>
            <a:ext cx="2966907" cy="3960000"/>
          </a:xfrm>
          <a:prstGeom prst="rect">
            <a:avLst/>
          </a:prstGeom>
          <a:ln>
            <a:solidFill>
              <a:schemeClr val="tx1"/>
            </a:solidFill>
          </a:ln>
        </xdr:spPr>
      </xdr:pic>
      <xdr:pic>
        <xdr:nvPicPr>
          <xdr:cNvPr id="35" name="Picture 34"/>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a:ext>
            </a:extLst>
          </a:blip>
          <a:stretch>
            <a:fillRect/>
          </a:stretch>
        </xdr:blipFill>
        <xdr:spPr>
          <a:xfrm>
            <a:off x="133350" y="43374023"/>
            <a:ext cx="2877333" cy="2160000"/>
          </a:xfrm>
          <a:prstGeom prst="rect">
            <a:avLst/>
          </a:prstGeom>
          <a:ln>
            <a:solidFill>
              <a:schemeClr val="tx1"/>
            </a:solidFill>
          </a:ln>
        </xdr:spPr>
      </xdr:pic>
      <xdr:pic>
        <xdr:nvPicPr>
          <xdr:cNvPr id="36" name="Picture 35"/>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a:ext>
            </a:extLst>
          </a:blip>
          <a:stretch>
            <a:fillRect/>
          </a:stretch>
        </xdr:blipFill>
        <xdr:spPr>
          <a:xfrm>
            <a:off x="4902482" y="43374023"/>
            <a:ext cx="1618313" cy="2160000"/>
          </a:xfrm>
          <a:prstGeom prst="rect">
            <a:avLst/>
          </a:prstGeom>
          <a:ln>
            <a:solidFill>
              <a:schemeClr val="tx1"/>
            </a:solidFill>
          </a:ln>
        </xdr:spPr>
      </xdr:pic>
      <xdr:pic>
        <xdr:nvPicPr>
          <xdr:cNvPr id="37" name="Picture 36"/>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a:ext>
            </a:extLst>
          </a:blip>
          <a:stretch>
            <a:fillRect/>
          </a:stretch>
        </xdr:blipFill>
        <xdr:spPr>
          <a:xfrm>
            <a:off x="1730573" y="45641546"/>
            <a:ext cx="1618313" cy="1488154"/>
          </a:xfrm>
          <a:prstGeom prst="rect">
            <a:avLst/>
          </a:prstGeom>
          <a:ln>
            <a:solidFill>
              <a:schemeClr val="tx1"/>
            </a:solidFill>
          </a:ln>
        </xdr:spPr>
      </xdr:pic>
      <xdr:pic>
        <xdr:nvPicPr>
          <xdr:cNvPr id="38" name="Picture 37"/>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a:ext>
            </a:extLst>
          </a:blip>
          <a:stretch>
            <a:fillRect/>
          </a:stretch>
        </xdr:blipFill>
        <xdr:spPr>
          <a:xfrm>
            <a:off x="3147426" y="43374023"/>
            <a:ext cx="1618313" cy="2160000"/>
          </a:xfrm>
          <a:prstGeom prst="rect">
            <a:avLst/>
          </a:prstGeom>
          <a:ln>
            <a:solidFill>
              <a:schemeClr val="tx1"/>
            </a:solidFill>
          </a:ln>
        </xdr:spPr>
      </xdr:pic>
      <xdr:sp macro="" textlink="">
        <xdr:nvSpPr>
          <xdr:cNvPr id="11" name="TextBox 10"/>
          <xdr:cNvSpPr txBox="1"/>
        </xdr:nvSpPr>
        <xdr:spPr>
          <a:xfrm>
            <a:off x="1422400" y="41141650"/>
            <a:ext cx="682623"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800" b="0" cap="none" spc="0">
                <a:ln w="0"/>
                <a:solidFill>
                  <a:srgbClr val="FFFF00"/>
                </a:solidFill>
                <a:effectLst>
                  <a:outerShdw blurRad="38100" dist="25400" dir="5400000" algn="ctr" rotWithShape="0">
                    <a:srgbClr val="6E747A">
                      <a:alpha val="43000"/>
                    </a:srgbClr>
                  </a:outerShdw>
                </a:effectLst>
              </a:rPr>
              <a:t>Part I</a:t>
            </a:r>
          </a:p>
        </xdr:txBody>
      </xdr:sp>
      <xdr:sp macro="" textlink="">
        <xdr:nvSpPr>
          <xdr:cNvPr id="39" name="TextBox 38"/>
          <xdr:cNvSpPr txBox="1"/>
        </xdr:nvSpPr>
        <xdr:spPr>
          <a:xfrm>
            <a:off x="4351242" y="41808400"/>
            <a:ext cx="740780"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800" b="0" cap="none" spc="0">
                <a:ln w="0"/>
                <a:solidFill>
                  <a:srgbClr val="FFFF00"/>
                </a:solidFill>
                <a:effectLst>
                  <a:outerShdw blurRad="38100" dist="25400" dir="5400000" algn="ctr" rotWithShape="0">
                    <a:srgbClr val="6E747A">
                      <a:alpha val="43000"/>
                    </a:srgbClr>
                  </a:outerShdw>
                </a:effectLst>
              </a:rPr>
              <a:t>Part II</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493058</xdr:colOff>
      <xdr:row>1</xdr:row>
      <xdr:rowOff>168088</xdr:rowOff>
    </xdr:from>
    <xdr:to>
      <xdr:col>14</xdr:col>
      <xdr:colOff>253521</xdr:colOff>
      <xdr:row>24</xdr:row>
      <xdr:rowOff>95382</xdr:rowOff>
    </xdr:to>
    <xdr:pic>
      <xdr:nvPicPr>
        <xdr:cNvPr id="2" name="Picture 1"/>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6269"/>
        <a:stretch/>
      </xdr:blipFill>
      <xdr:spPr>
        <a:xfrm>
          <a:off x="9905999" y="358588"/>
          <a:ext cx="3256698" cy="432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maps.app.goo.gl/Wn8kXSNdr3wX3cq47" TargetMode="External"/><Relationship Id="rId6" Type="http://schemas.openxmlformats.org/officeDocument/2006/relationships/comments" Target="../comments1.xm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Z342"/>
  <sheetViews>
    <sheetView tabSelected="1" view="pageBreakPreview" zoomScaleNormal="100" zoomScaleSheetLayoutView="100" zoomScalePageLayoutView="85" workbookViewId="0">
      <selection activeCell="E10" sqref="E10:H10"/>
    </sheetView>
  </sheetViews>
  <sheetFormatPr defaultColWidth="9.1796875" defaultRowHeight="15.5" x14ac:dyDescent="0.35"/>
  <cols>
    <col min="1" max="1" width="11.453125" style="40" customWidth="1"/>
    <col min="2" max="2" width="12.54296875" style="40" customWidth="1"/>
    <col min="3" max="3" width="12.7265625" style="40" customWidth="1"/>
    <col min="4" max="4" width="13.7265625" style="40" customWidth="1"/>
    <col min="5" max="5" width="11.7265625" style="40" customWidth="1"/>
    <col min="6" max="6" width="11.1796875" style="40" customWidth="1"/>
    <col min="7" max="8" width="11" style="40" customWidth="1"/>
    <col min="9" max="9" width="17.453125" style="21" customWidth="1"/>
    <col min="10" max="10" width="11.453125" style="21" customWidth="1"/>
    <col min="11" max="11" width="10.54296875" style="21" bestFit="1" customWidth="1"/>
    <col min="12" max="12" width="13.81640625" style="21" bestFit="1" customWidth="1"/>
    <col min="13" max="13" width="11.81640625" style="21" customWidth="1"/>
    <col min="14" max="14" width="12.54296875" style="21" customWidth="1"/>
    <col min="15" max="15" width="12.1796875" style="21" customWidth="1"/>
    <col min="16" max="16" width="11.7265625" style="21" customWidth="1"/>
    <col min="17" max="18" width="9.1796875" style="21"/>
    <col min="19" max="19" width="10.81640625" style="21" bestFit="1" customWidth="1"/>
    <col min="20" max="20" width="10.7265625" style="21" customWidth="1"/>
    <col min="21" max="247" width="9.1796875" style="21"/>
    <col min="248" max="248" width="8.7265625" style="21" customWidth="1"/>
    <col min="249" max="249" width="9.81640625" style="21" customWidth="1"/>
    <col min="250" max="250" width="14.453125" style="21" customWidth="1"/>
    <col min="251" max="251" width="7.26953125" style="21" customWidth="1"/>
    <col min="252" max="252" width="5.54296875" style="21" customWidth="1"/>
    <col min="253" max="253" width="9" style="21" customWidth="1"/>
    <col min="254" max="255" width="9.81640625" style="21" customWidth="1"/>
    <col min="256" max="256" width="11.1796875" style="21" customWidth="1"/>
    <col min="257" max="257" width="2.81640625" style="21" customWidth="1"/>
    <col min="258" max="258" width="3.54296875" style="21" customWidth="1"/>
    <col min="259" max="503" width="9.1796875" style="21"/>
    <col min="504" max="504" width="8.7265625" style="21" customWidth="1"/>
    <col min="505" max="505" width="9.81640625" style="21" customWidth="1"/>
    <col min="506" max="506" width="14.453125" style="21" customWidth="1"/>
    <col min="507" max="507" width="7.26953125" style="21" customWidth="1"/>
    <col min="508" max="508" width="5.54296875" style="21" customWidth="1"/>
    <col min="509" max="509" width="9" style="21" customWidth="1"/>
    <col min="510" max="511" width="9.81640625" style="21" customWidth="1"/>
    <col min="512" max="512" width="11.1796875" style="21" customWidth="1"/>
    <col min="513" max="513" width="2.81640625" style="21" customWidth="1"/>
    <col min="514" max="514" width="3.54296875" style="21" customWidth="1"/>
    <col min="515" max="759" width="9.1796875" style="21"/>
    <col min="760" max="760" width="8.7265625" style="21" customWidth="1"/>
    <col min="761" max="761" width="9.81640625" style="21" customWidth="1"/>
    <col min="762" max="762" width="14.453125" style="21" customWidth="1"/>
    <col min="763" max="763" width="7.26953125" style="21" customWidth="1"/>
    <col min="764" max="764" width="5.54296875" style="21" customWidth="1"/>
    <col min="765" max="765" width="9" style="21" customWidth="1"/>
    <col min="766" max="767" width="9.81640625" style="21" customWidth="1"/>
    <col min="768" max="768" width="11.1796875" style="21" customWidth="1"/>
    <col min="769" max="769" width="2.81640625" style="21" customWidth="1"/>
    <col min="770" max="770" width="3.54296875" style="21" customWidth="1"/>
    <col min="771" max="1015" width="9.1796875" style="21"/>
    <col min="1016" max="1016" width="8.7265625" style="21" customWidth="1"/>
    <col min="1017" max="1017" width="9.81640625" style="21" customWidth="1"/>
    <col min="1018" max="1018" width="14.453125" style="21" customWidth="1"/>
    <col min="1019" max="1019" width="7.26953125" style="21" customWidth="1"/>
    <col min="1020" max="1020" width="5.54296875" style="21" customWidth="1"/>
    <col min="1021" max="1021" width="9" style="21" customWidth="1"/>
    <col min="1022" max="1023" width="9.81640625" style="21" customWidth="1"/>
    <col min="1024" max="1024" width="11.1796875" style="21" customWidth="1"/>
    <col min="1025" max="1025" width="2.81640625" style="21" customWidth="1"/>
    <col min="1026" max="1026" width="3.54296875" style="21" customWidth="1"/>
    <col min="1027" max="1271" width="9.1796875" style="21"/>
    <col min="1272" max="1272" width="8.7265625" style="21" customWidth="1"/>
    <col min="1273" max="1273" width="9.81640625" style="21" customWidth="1"/>
    <col min="1274" max="1274" width="14.453125" style="21" customWidth="1"/>
    <col min="1275" max="1275" width="7.26953125" style="21" customWidth="1"/>
    <col min="1276" max="1276" width="5.54296875" style="21" customWidth="1"/>
    <col min="1277" max="1277" width="9" style="21" customWidth="1"/>
    <col min="1278" max="1279" width="9.81640625" style="21" customWidth="1"/>
    <col min="1280" max="1280" width="11.1796875" style="21" customWidth="1"/>
    <col min="1281" max="1281" width="2.81640625" style="21" customWidth="1"/>
    <col min="1282" max="1282" width="3.54296875" style="21" customWidth="1"/>
    <col min="1283" max="1527" width="9.1796875" style="21"/>
    <col min="1528" max="1528" width="8.7265625" style="21" customWidth="1"/>
    <col min="1529" max="1529" width="9.81640625" style="21" customWidth="1"/>
    <col min="1530" max="1530" width="14.453125" style="21" customWidth="1"/>
    <col min="1531" max="1531" width="7.26953125" style="21" customWidth="1"/>
    <col min="1532" max="1532" width="5.54296875" style="21" customWidth="1"/>
    <col min="1533" max="1533" width="9" style="21" customWidth="1"/>
    <col min="1534" max="1535" width="9.81640625" style="21" customWidth="1"/>
    <col min="1536" max="1536" width="11.1796875" style="21" customWidth="1"/>
    <col min="1537" max="1537" width="2.81640625" style="21" customWidth="1"/>
    <col min="1538" max="1538" width="3.54296875" style="21" customWidth="1"/>
    <col min="1539" max="1783" width="9.1796875" style="21"/>
    <col min="1784" max="1784" width="8.7265625" style="21" customWidth="1"/>
    <col min="1785" max="1785" width="9.81640625" style="21" customWidth="1"/>
    <col min="1786" max="1786" width="14.453125" style="21" customWidth="1"/>
    <col min="1787" max="1787" width="7.26953125" style="21" customWidth="1"/>
    <col min="1788" max="1788" width="5.54296875" style="21" customWidth="1"/>
    <col min="1789" max="1789" width="9" style="21" customWidth="1"/>
    <col min="1790" max="1791" width="9.81640625" style="21" customWidth="1"/>
    <col min="1792" max="1792" width="11.1796875" style="21" customWidth="1"/>
    <col min="1793" max="1793" width="2.81640625" style="21" customWidth="1"/>
    <col min="1794" max="1794" width="3.54296875" style="21" customWidth="1"/>
    <col min="1795" max="2039" width="9.1796875" style="21"/>
    <col min="2040" max="2040" width="8.7265625" style="21" customWidth="1"/>
    <col min="2041" max="2041" width="9.81640625" style="21" customWidth="1"/>
    <col min="2042" max="2042" width="14.453125" style="21" customWidth="1"/>
    <col min="2043" max="2043" width="7.26953125" style="21" customWidth="1"/>
    <col min="2044" max="2044" width="5.54296875" style="21" customWidth="1"/>
    <col min="2045" max="2045" width="9" style="21" customWidth="1"/>
    <col min="2046" max="2047" width="9.81640625" style="21" customWidth="1"/>
    <col min="2048" max="2048" width="11.1796875" style="21" customWidth="1"/>
    <col min="2049" max="2049" width="2.81640625" style="21" customWidth="1"/>
    <col min="2050" max="2050" width="3.54296875" style="21" customWidth="1"/>
    <col min="2051" max="2295" width="9.1796875" style="21"/>
    <col min="2296" max="2296" width="8.7265625" style="21" customWidth="1"/>
    <col min="2297" max="2297" width="9.81640625" style="21" customWidth="1"/>
    <col min="2298" max="2298" width="14.453125" style="21" customWidth="1"/>
    <col min="2299" max="2299" width="7.26953125" style="21" customWidth="1"/>
    <col min="2300" max="2300" width="5.54296875" style="21" customWidth="1"/>
    <col min="2301" max="2301" width="9" style="21" customWidth="1"/>
    <col min="2302" max="2303" width="9.81640625" style="21" customWidth="1"/>
    <col min="2304" max="2304" width="11.1796875" style="21" customWidth="1"/>
    <col min="2305" max="2305" width="2.81640625" style="21" customWidth="1"/>
    <col min="2306" max="2306" width="3.54296875" style="21" customWidth="1"/>
    <col min="2307" max="2551" width="9.1796875" style="21"/>
    <col min="2552" max="2552" width="8.7265625" style="21" customWidth="1"/>
    <col min="2553" max="2553" width="9.81640625" style="21" customWidth="1"/>
    <col min="2554" max="2554" width="14.453125" style="21" customWidth="1"/>
    <col min="2555" max="2555" width="7.26953125" style="21" customWidth="1"/>
    <col min="2556" max="2556" width="5.54296875" style="21" customWidth="1"/>
    <col min="2557" max="2557" width="9" style="21" customWidth="1"/>
    <col min="2558" max="2559" width="9.81640625" style="21" customWidth="1"/>
    <col min="2560" max="2560" width="11.1796875" style="21" customWidth="1"/>
    <col min="2561" max="2561" width="2.81640625" style="21" customWidth="1"/>
    <col min="2562" max="2562" width="3.54296875" style="21" customWidth="1"/>
    <col min="2563" max="2807" width="9.1796875" style="21"/>
    <col min="2808" max="2808" width="8.7265625" style="21" customWidth="1"/>
    <col min="2809" max="2809" width="9.81640625" style="21" customWidth="1"/>
    <col min="2810" max="2810" width="14.453125" style="21" customWidth="1"/>
    <col min="2811" max="2811" width="7.26953125" style="21" customWidth="1"/>
    <col min="2812" max="2812" width="5.54296875" style="21" customWidth="1"/>
    <col min="2813" max="2813" width="9" style="21" customWidth="1"/>
    <col min="2814" max="2815" width="9.81640625" style="21" customWidth="1"/>
    <col min="2816" max="2816" width="11.1796875" style="21" customWidth="1"/>
    <col min="2817" max="2817" width="2.81640625" style="21" customWidth="1"/>
    <col min="2818" max="2818" width="3.54296875" style="21" customWidth="1"/>
    <col min="2819" max="3063" width="9.1796875" style="21"/>
    <col min="3064" max="3064" width="8.7265625" style="21" customWidth="1"/>
    <col min="3065" max="3065" width="9.81640625" style="21" customWidth="1"/>
    <col min="3066" max="3066" width="14.453125" style="21" customWidth="1"/>
    <col min="3067" max="3067" width="7.26953125" style="21" customWidth="1"/>
    <col min="3068" max="3068" width="5.54296875" style="21" customWidth="1"/>
    <col min="3069" max="3069" width="9" style="21" customWidth="1"/>
    <col min="3070" max="3071" width="9.81640625" style="21" customWidth="1"/>
    <col min="3072" max="3072" width="11.1796875" style="21" customWidth="1"/>
    <col min="3073" max="3073" width="2.81640625" style="21" customWidth="1"/>
    <col min="3074" max="3074" width="3.54296875" style="21" customWidth="1"/>
    <col min="3075" max="3319" width="9.1796875" style="21"/>
    <col min="3320" max="3320" width="8.7265625" style="21" customWidth="1"/>
    <col min="3321" max="3321" width="9.81640625" style="21" customWidth="1"/>
    <col min="3322" max="3322" width="14.453125" style="21" customWidth="1"/>
    <col min="3323" max="3323" width="7.26953125" style="21" customWidth="1"/>
    <col min="3324" max="3324" width="5.54296875" style="21" customWidth="1"/>
    <col min="3325" max="3325" width="9" style="21" customWidth="1"/>
    <col min="3326" max="3327" width="9.81640625" style="21" customWidth="1"/>
    <col min="3328" max="3328" width="11.1796875" style="21" customWidth="1"/>
    <col min="3329" max="3329" width="2.81640625" style="21" customWidth="1"/>
    <col min="3330" max="3330" width="3.54296875" style="21" customWidth="1"/>
    <col min="3331" max="3575" width="9.1796875" style="21"/>
    <col min="3576" max="3576" width="8.7265625" style="21" customWidth="1"/>
    <col min="3577" max="3577" width="9.81640625" style="21" customWidth="1"/>
    <col min="3578" max="3578" width="14.453125" style="21" customWidth="1"/>
    <col min="3579" max="3579" width="7.26953125" style="21" customWidth="1"/>
    <col min="3580" max="3580" width="5.54296875" style="21" customWidth="1"/>
    <col min="3581" max="3581" width="9" style="21" customWidth="1"/>
    <col min="3582" max="3583" width="9.81640625" style="21" customWidth="1"/>
    <col min="3584" max="3584" width="11.1796875" style="21" customWidth="1"/>
    <col min="3585" max="3585" width="2.81640625" style="21" customWidth="1"/>
    <col min="3586" max="3586" width="3.54296875" style="21" customWidth="1"/>
    <col min="3587" max="3831" width="9.1796875" style="21"/>
    <col min="3832" max="3832" width="8.7265625" style="21" customWidth="1"/>
    <col min="3833" max="3833" width="9.81640625" style="21" customWidth="1"/>
    <col min="3834" max="3834" width="14.453125" style="21" customWidth="1"/>
    <col min="3835" max="3835" width="7.26953125" style="21" customWidth="1"/>
    <col min="3836" max="3836" width="5.54296875" style="21" customWidth="1"/>
    <col min="3837" max="3837" width="9" style="21" customWidth="1"/>
    <col min="3838" max="3839" width="9.81640625" style="21" customWidth="1"/>
    <col min="3840" max="3840" width="11.1796875" style="21" customWidth="1"/>
    <col min="3841" max="3841" width="2.81640625" style="21" customWidth="1"/>
    <col min="3842" max="3842" width="3.54296875" style="21" customWidth="1"/>
    <col min="3843" max="4087" width="9.1796875" style="21"/>
    <col min="4088" max="4088" width="8.7265625" style="21" customWidth="1"/>
    <col min="4089" max="4089" width="9.81640625" style="21" customWidth="1"/>
    <col min="4090" max="4090" width="14.453125" style="21" customWidth="1"/>
    <col min="4091" max="4091" width="7.26953125" style="21" customWidth="1"/>
    <col min="4092" max="4092" width="5.54296875" style="21" customWidth="1"/>
    <col min="4093" max="4093" width="9" style="21" customWidth="1"/>
    <col min="4094" max="4095" width="9.81640625" style="21" customWidth="1"/>
    <col min="4096" max="4096" width="11.1796875" style="21" customWidth="1"/>
    <col min="4097" max="4097" width="2.81640625" style="21" customWidth="1"/>
    <col min="4098" max="4098" width="3.54296875" style="21" customWidth="1"/>
    <col min="4099" max="4343" width="9.1796875" style="21"/>
    <col min="4344" max="4344" width="8.7265625" style="21" customWidth="1"/>
    <col min="4345" max="4345" width="9.81640625" style="21" customWidth="1"/>
    <col min="4346" max="4346" width="14.453125" style="21" customWidth="1"/>
    <col min="4347" max="4347" width="7.26953125" style="21" customWidth="1"/>
    <col min="4348" max="4348" width="5.54296875" style="21" customWidth="1"/>
    <col min="4349" max="4349" width="9" style="21" customWidth="1"/>
    <col min="4350" max="4351" width="9.81640625" style="21" customWidth="1"/>
    <col min="4352" max="4352" width="11.1796875" style="21" customWidth="1"/>
    <col min="4353" max="4353" width="2.81640625" style="21" customWidth="1"/>
    <col min="4354" max="4354" width="3.54296875" style="21" customWidth="1"/>
    <col min="4355" max="4599" width="9.1796875" style="21"/>
    <col min="4600" max="4600" width="8.7265625" style="21" customWidth="1"/>
    <col min="4601" max="4601" width="9.81640625" style="21" customWidth="1"/>
    <col min="4602" max="4602" width="14.453125" style="21" customWidth="1"/>
    <col min="4603" max="4603" width="7.26953125" style="21" customWidth="1"/>
    <col min="4604" max="4604" width="5.54296875" style="21" customWidth="1"/>
    <col min="4605" max="4605" width="9" style="21" customWidth="1"/>
    <col min="4606" max="4607" width="9.81640625" style="21" customWidth="1"/>
    <col min="4608" max="4608" width="11.1796875" style="21" customWidth="1"/>
    <col min="4609" max="4609" width="2.81640625" style="21" customWidth="1"/>
    <col min="4610" max="4610" width="3.54296875" style="21" customWidth="1"/>
    <col min="4611" max="4855" width="9.1796875" style="21"/>
    <col min="4856" max="4856" width="8.7265625" style="21" customWidth="1"/>
    <col min="4857" max="4857" width="9.81640625" style="21" customWidth="1"/>
    <col min="4858" max="4858" width="14.453125" style="21" customWidth="1"/>
    <col min="4859" max="4859" width="7.26953125" style="21" customWidth="1"/>
    <col min="4860" max="4860" width="5.54296875" style="21" customWidth="1"/>
    <col min="4861" max="4861" width="9" style="21" customWidth="1"/>
    <col min="4862" max="4863" width="9.81640625" style="21" customWidth="1"/>
    <col min="4864" max="4864" width="11.1796875" style="21" customWidth="1"/>
    <col min="4865" max="4865" width="2.81640625" style="21" customWidth="1"/>
    <col min="4866" max="4866" width="3.54296875" style="21" customWidth="1"/>
    <col min="4867" max="5111" width="9.1796875" style="21"/>
    <col min="5112" max="5112" width="8.7265625" style="21" customWidth="1"/>
    <col min="5113" max="5113" width="9.81640625" style="21" customWidth="1"/>
    <col min="5114" max="5114" width="14.453125" style="21" customWidth="1"/>
    <col min="5115" max="5115" width="7.26953125" style="21" customWidth="1"/>
    <col min="5116" max="5116" width="5.54296875" style="21" customWidth="1"/>
    <col min="5117" max="5117" width="9" style="21" customWidth="1"/>
    <col min="5118" max="5119" width="9.81640625" style="21" customWidth="1"/>
    <col min="5120" max="5120" width="11.1796875" style="21" customWidth="1"/>
    <col min="5121" max="5121" width="2.81640625" style="21" customWidth="1"/>
    <col min="5122" max="5122" width="3.54296875" style="21" customWidth="1"/>
    <col min="5123" max="5367" width="9.1796875" style="21"/>
    <col min="5368" max="5368" width="8.7265625" style="21" customWidth="1"/>
    <col min="5369" max="5369" width="9.81640625" style="21" customWidth="1"/>
    <col min="5370" max="5370" width="14.453125" style="21" customWidth="1"/>
    <col min="5371" max="5371" width="7.26953125" style="21" customWidth="1"/>
    <col min="5372" max="5372" width="5.54296875" style="21" customWidth="1"/>
    <col min="5373" max="5373" width="9" style="21" customWidth="1"/>
    <col min="5374" max="5375" width="9.81640625" style="21" customWidth="1"/>
    <col min="5376" max="5376" width="11.1796875" style="21" customWidth="1"/>
    <col min="5377" max="5377" width="2.81640625" style="21" customWidth="1"/>
    <col min="5378" max="5378" width="3.54296875" style="21" customWidth="1"/>
    <col min="5379" max="5623" width="9.1796875" style="21"/>
    <col min="5624" max="5624" width="8.7265625" style="21" customWidth="1"/>
    <col min="5625" max="5625" width="9.81640625" style="21" customWidth="1"/>
    <col min="5626" max="5626" width="14.453125" style="21" customWidth="1"/>
    <col min="5627" max="5627" width="7.26953125" style="21" customWidth="1"/>
    <col min="5628" max="5628" width="5.54296875" style="21" customWidth="1"/>
    <col min="5629" max="5629" width="9" style="21" customWidth="1"/>
    <col min="5630" max="5631" width="9.81640625" style="21" customWidth="1"/>
    <col min="5632" max="5632" width="11.1796875" style="21" customWidth="1"/>
    <col min="5633" max="5633" width="2.81640625" style="21" customWidth="1"/>
    <col min="5634" max="5634" width="3.54296875" style="21" customWidth="1"/>
    <col min="5635" max="5879" width="9.1796875" style="21"/>
    <col min="5880" max="5880" width="8.7265625" style="21" customWidth="1"/>
    <col min="5881" max="5881" width="9.81640625" style="21" customWidth="1"/>
    <col min="5882" max="5882" width="14.453125" style="21" customWidth="1"/>
    <col min="5883" max="5883" width="7.26953125" style="21" customWidth="1"/>
    <col min="5884" max="5884" width="5.54296875" style="21" customWidth="1"/>
    <col min="5885" max="5885" width="9" style="21" customWidth="1"/>
    <col min="5886" max="5887" width="9.81640625" style="21" customWidth="1"/>
    <col min="5888" max="5888" width="11.1796875" style="21" customWidth="1"/>
    <col min="5889" max="5889" width="2.81640625" style="21" customWidth="1"/>
    <col min="5890" max="5890" width="3.54296875" style="21" customWidth="1"/>
    <col min="5891" max="6135" width="9.1796875" style="21"/>
    <col min="6136" max="6136" width="8.7265625" style="21" customWidth="1"/>
    <col min="6137" max="6137" width="9.81640625" style="21" customWidth="1"/>
    <col min="6138" max="6138" width="14.453125" style="21" customWidth="1"/>
    <col min="6139" max="6139" width="7.26953125" style="21" customWidth="1"/>
    <col min="6140" max="6140" width="5.54296875" style="21" customWidth="1"/>
    <col min="6141" max="6141" width="9" style="21" customWidth="1"/>
    <col min="6142" max="6143" width="9.81640625" style="21" customWidth="1"/>
    <col min="6144" max="6144" width="11.1796875" style="21" customWidth="1"/>
    <col min="6145" max="6145" width="2.81640625" style="21" customWidth="1"/>
    <col min="6146" max="6146" width="3.54296875" style="21" customWidth="1"/>
    <col min="6147" max="6391" width="9.1796875" style="21"/>
    <col min="6392" max="6392" width="8.7265625" style="21" customWidth="1"/>
    <col min="6393" max="6393" width="9.81640625" style="21" customWidth="1"/>
    <col min="6394" max="6394" width="14.453125" style="21" customWidth="1"/>
    <col min="6395" max="6395" width="7.26953125" style="21" customWidth="1"/>
    <col min="6396" max="6396" width="5.54296875" style="21" customWidth="1"/>
    <col min="6397" max="6397" width="9" style="21" customWidth="1"/>
    <col min="6398" max="6399" width="9.81640625" style="21" customWidth="1"/>
    <col min="6400" max="6400" width="11.1796875" style="21" customWidth="1"/>
    <col min="6401" max="6401" width="2.81640625" style="21" customWidth="1"/>
    <col min="6402" max="6402" width="3.54296875" style="21" customWidth="1"/>
    <col min="6403" max="6647" width="9.1796875" style="21"/>
    <col min="6648" max="6648" width="8.7265625" style="21" customWidth="1"/>
    <col min="6649" max="6649" width="9.81640625" style="21" customWidth="1"/>
    <col min="6650" max="6650" width="14.453125" style="21" customWidth="1"/>
    <col min="6651" max="6651" width="7.26953125" style="21" customWidth="1"/>
    <col min="6652" max="6652" width="5.54296875" style="21" customWidth="1"/>
    <col min="6653" max="6653" width="9" style="21" customWidth="1"/>
    <col min="6654" max="6655" width="9.81640625" style="21" customWidth="1"/>
    <col min="6656" max="6656" width="11.1796875" style="21" customWidth="1"/>
    <col min="6657" max="6657" width="2.81640625" style="21" customWidth="1"/>
    <col min="6658" max="6658" width="3.54296875" style="21" customWidth="1"/>
    <col min="6659" max="6903" width="9.1796875" style="21"/>
    <col min="6904" max="6904" width="8.7265625" style="21" customWidth="1"/>
    <col min="6905" max="6905" width="9.81640625" style="21" customWidth="1"/>
    <col min="6906" max="6906" width="14.453125" style="21" customWidth="1"/>
    <col min="6907" max="6907" width="7.26953125" style="21" customWidth="1"/>
    <col min="6908" max="6908" width="5.54296875" style="21" customWidth="1"/>
    <col min="6909" max="6909" width="9" style="21" customWidth="1"/>
    <col min="6910" max="6911" width="9.81640625" style="21" customWidth="1"/>
    <col min="6912" max="6912" width="11.1796875" style="21" customWidth="1"/>
    <col min="6913" max="6913" width="2.81640625" style="21" customWidth="1"/>
    <col min="6914" max="6914" width="3.54296875" style="21" customWidth="1"/>
    <col min="6915" max="7159" width="9.1796875" style="21"/>
    <col min="7160" max="7160" width="8.7265625" style="21" customWidth="1"/>
    <col min="7161" max="7161" width="9.81640625" style="21" customWidth="1"/>
    <col min="7162" max="7162" width="14.453125" style="21" customWidth="1"/>
    <col min="7163" max="7163" width="7.26953125" style="21" customWidth="1"/>
    <col min="7164" max="7164" width="5.54296875" style="21" customWidth="1"/>
    <col min="7165" max="7165" width="9" style="21" customWidth="1"/>
    <col min="7166" max="7167" width="9.81640625" style="21" customWidth="1"/>
    <col min="7168" max="7168" width="11.1796875" style="21" customWidth="1"/>
    <col min="7169" max="7169" width="2.81640625" style="21" customWidth="1"/>
    <col min="7170" max="7170" width="3.54296875" style="21" customWidth="1"/>
    <col min="7171" max="7415" width="9.1796875" style="21"/>
    <col min="7416" max="7416" width="8.7265625" style="21" customWidth="1"/>
    <col min="7417" max="7417" width="9.81640625" style="21" customWidth="1"/>
    <col min="7418" max="7418" width="14.453125" style="21" customWidth="1"/>
    <col min="7419" max="7419" width="7.26953125" style="21" customWidth="1"/>
    <col min="7420" max="7420" width="5.54296875" style="21" customWidth="1"/>
    <col min="7421" max="7421" width="9" style="21" customWidth="1"/>
    <col min="7422" max="7423" width="9.81640625" style="21" customWidth="1"/>
    <col min="7424" max="7424" width="11.1796875" style="21" customWidth="1"/>
    <col min="7425" max="7425" width="2.81640625" style="21" customWidth="1"/>
    <col min="7426" max="7426" width="3.54296875" style="21" customWidth="1"/>
    <col min="7427" max="7671" width="9.1796875" style="21"/>
    <col min="7672" max="7672" width="8.7265625" style="21" customWidth="1"/>
    <col min="7673" max="7673" width="9.81640625" style="21" customWidth="1"/>
    <col min="7674" max="7674" width="14.453125" style="21" customWidth="1"/>
    <col min="7675" max="7675" width="7.26953125" style="21" customWidth="1"/>
    <col min="7676" max="7676" width="5.54296875" style="21" customWidth="1"/>
    <col min="7677" max="7677" width="9" style="21" customWidth="1"/>
    <col min="7678" max="7679" width="9.81640625" style="21" customWidth="1"/>
    <col min="7680" max="7680" width="11.1796875" style="21" customWidth="1"/>
    <col min="7681" max="7681" width="2.81640625" style="21" customWidth="1"/>
    <col min="7682" max="7682" width="3.54296875" style="21" customWidth="1"/>
    <col min="7683" max="7927" width="9.1796875" style="21"/>
    <col min="7928" max="7928" width="8.7265625" style="21" customWidth="1"/>
    <col min="7929" max="7929" width="9.81640625" style="21" customWidth="1"/>
    <col min="7930" max="7930" width="14.453125" style="21" customWidth="1"/>
    <col min="7931" max="7931" width="7.26953125" style="21" customWidth="1"/>
    <col min="7932" max="7932" width="5.54296875" style="21" customWidth="1"/>
    <col min="7933" max="7933" width="9" style="21" customWidth="1"/>
    <col min="7934" max="7935" width="9.81640625" style="21" customWidth="1"/>
    <col min="7936" max="7936" width="11.1796875" style="21" customWidth="1"/>
    <col min="7937" max="7937" width="2.81640625" style="21" customWidth="1"/>
    <col min="7938" max="7938" width="3.54296875" style="21" customWidth="1"/>
    <col min="7939" max="8183" width="9.1796875" style="21"/>
    <col min="8184" max="8184" width="8.7265625" style="21" customWidth="1"/>
    <col min="8185" max="8185" width="9.81640625" style="21" customWidth="1"/>
    <col min="8186" max="8186" width="14.453125" style="21" customWidth="1"/>
    <col min="8187" max="8187" width="7.26953125" style="21" customWidth="1"/>
    <col min="8188" max="8188" width="5.54296875" style="21" customWidth="1"/>
    <col min="8189" max="8189" width="9" style="21" customWidth="1"/>
    <col min="8190" max="8191" width="9.81640625" style="21" customWidth="1"/>
    <col min="8192" max="8192" width="11.1796875" style="21" customWidth="1"/>
    <col min="8193" max="8193" width="2.81640625" style="21" customWidth="1"/>
    <col min="8194" max="8194" width="3.54296875" style="21" customWidth="1"/>
    <col min="8195" max="8439" width="9.1796875" style="21"/>
    <col min="8440" max="8440" width="8.7265625" style="21" customWidth="1"/>
    <col min="8441" max="8441" width="9.81640625" style="21" customWidth="1"/>
    <col min="8442" max="8442" width="14.453125" style="21" customWidth="1"/>
    <col min="8443" max="8443" width="7.26953125" style="21" customWidth="1"/>
    <col min="8444" max="8444" width="5.54296875" style="21" customWidth="1"/>
    <col min="8445" max="8445" width="9" style="21" customWidth="1"/>
    <col min="8446" max="8447" width="9.81640625" style="21" customWidth="1"/>
    <col min="8448" max="8448" width="11.1796875" style="21" customWidth="1"/>
    <col min="8449" max="8449" width="2.81640625" style="21" customWidth="1"/>
    <col min="8450" max="8450" width="3.54296875" style="21" customWidth="1"/>
    <col min="8451" max="8695" width="9.1796875" style="21"/>
    <col min="8696" max="8696" width="8.7265625" style="21" customWidth="1"/>
    <col min="8697" max="8697" width="9.81640625" style="21" customWidth="1"/>
    <col min="8698" max="8698" width="14.453125" style="21" customWidth="1"/>
    <col min="8699" max="8699" width="7.26953125" style="21" customWidth="1"/>
    <col min="8700" max="8700" width="5.54296875" style="21" customWidth="1"/>
    <col min="8701" max="8701" width="9" style="21" customWidth="1"/>
    <col min="8702" max="8703" width="9.81640625" style="21" customWidth="1"/>
    <col min="8704" max="8704" width="11.1796875" style="21" customWidth="1"/>
    <col min="8705" max="8705" width="2.81640625" style="21" customWidth="1"/>
    <col min="8706" max="8706" width="3.54296875" style="21" customWidth="1"/>
    <col min="8707" max="8951" width="9.1796875" style="21"/>
    <col min="8952" max="8952" width="8.7265625" style="21" customWidth="1"/>
    <col min="8953" max="8953" width="9.81640625" style="21" customWidth="1"/>
    <col min="8954" max="8954" width="14.453125" style="21" customWidth="1"/>
    <col min="8955" max="8955" width="7.26953125" style="21" customWidth="1"/>
    <col min="8956" max="8956" width="5.54296875" style="21" customWidth="1"/>
    <col min="8957" max="8957" width="9" style="21" customWidth="1"/>
    <col min="8958" max="8959" width="9.81640625" style="21" customWidth="1"/>
    <col min="8960" max="8960" width="11.1796875" style="21" customWidth="1"/>
    <col min="8961" max="8961" width="2.81640625" style="21" customWidth="1"/>
    <col min="8962" max="8962" width="3.54296875" style="21" customWidth="1"/>
    <col min="8963" max="9207" width="9.1796875" style="21"/>
    <col min="9208" max="9208" width="8.7265625" style="21" customWidth="1"/>
    <col min="9209" max="9209" width="9.81640625" style="21" customWidth="1"/>
    <col min="9210" max="9210" width="14.453125" style="21" customWidth="1"/>
    <col min="9211" max="9211" width="7.26953125" style="21" customWidth="1"/>
    <col min="9212" max="9212" width="5.54296875" style="21" customWidth="1"/>
    <col min="9213" max="9213" width="9" style="21" customWidth="1"/>
    <col min="9214" max="9215" width="9.81640625" style="21" customWidth="1"/>
    <col min="9216" max="9216" width="11.1796875" style="21" customWidth="1"/>
    <col min="9217" max="9217" width="2.81640625" style="21" customWidth="1"/>
    <col min="9218" max="9218" width="3.54296875" style="21" customWidth="1"/>
    <col min="9219" max="9463" width="9.1796875" style="21"/>
    <col min="9464" max="9464" width="8.7265625" style="21" customWidth="1"/>
    <col min="9465" max="9465" width="9.81640625" style="21" customWidth="1"/>
    <col min="9466" max="9466" width="14.453125" style="21" customWidth="1"/>
    <col min="9467" max="9467" width="7.26953125" style="21" customWidth="1"/>
    <col min="9468" max="9468" width="5.54296875" style="21" customWidth="1"/>
    <col min="9469" max="9469" width="9" style="21" customWidth="1"/>
    <col min="9470" max="9471" width="9.81640625" style="21" customWidth="1"/>
    <col min="9472" max="9472" width="11.1796875" style="21" customWidth="1"/>
    <col min="9473" max="9473" width="2.81640625" style="21" customWidth="1"/>
    <col min="9474" max="9474" width="3.54296875" style="21" customWidth="1"/>
    <col min="9475" max="9719" width="9.1796875" style="21"/>
    <col min="9720" max="9720" width="8.7265625" style="21" customWidth="1"/>
    <col min="9721" max="9721" width="9.81640625" style="21" customWidth="1"/>
    <col min="9722" max="9722" width="14.453125" style="21" customWidth="1"/>
    <col min="9723" max="9723" width="7.26953125" style="21" customWidth="1"/>
    <col min="9724" max="9724" width="5.54296875" style="21" customWidth="1"/>
    <col min="9725" max="9725" width="9" style="21" customWidth="1"/>
    <col min="9726" max="9727" width="9.81640625" style="21" customWidth="1"/>
    <col min="9728" max="9728" width="11.1796875" style="21" customWidth="1"/>
    <col min="9729" max="9729" width="2.81640625" style="21" customWidth="1"/>
    <col min="9730" max="9730" width="3.54296875" style="21" customWidth="1"/>
    <col min="9731" max="9975" width="9.1796875" style="21"/>
    <col min="9976" max="9976" width="8.7265625" style="21" customWidth="1"/>
    <col min="9977" max="9977" width="9.81640625" style="21" customWidth="1"/>
    <col min="9978" max="9978" width="14.453125" style="21" customWidth="1"/>
    <col min="9979" max="9979" width="7.26953125" style="21" customWidth="1"/>
    <col min="9980" max="9980" width="5.54296875" style="21" customWidth="1"/>
    <col min="9981" max="9981" width="9" style="21" customWidth="1"/>
    <col min="9982" max="9983" width="9.81640625" style="21" customWidth="1"/>
    <col min="9984" max="9984" width="11.1796875" style="21" customWidth="1"/>
    <col min="9985" max="9985" width="2.81640625" style="21" customWidth="1"/>
    <col min="9986" max="9986" width="3.54296875" style="21" customWidth="1"/>
    <col min="9987" max="10231" width="9.1796875" style="21"/>
    <col min="10232" max="10232" width="8.7265625" style="21" customWidth="1"/>
    <col min="10233" max="10233" width="9.81640625" style="21" customWidth="1"/>
    <col min="10234" max="10234" width="14.453125" style="21" customWidth="1"/>
    <col min="10235" max="10235" width="7.26953125" style="21" customWidth="1"/>
    <col min="10236" max="10236" width="5.54296875" style="21" customWidth="1"/>
    <col min="10237" max="10237" width="9" style="21" customWidth="1"/>
    <col min="10238" max="10239" width="9.81640625" style="21" customWidth="1"/>
    <col min="10240" max="10240" width="11.1796875" style="21" customWidth="1"/>
    <col min="10241" max="10241" width="2.81640625" style="21" customWidth="1"/>
    <col min="10242" max="10242" width="3.54296875" style="21" customWidth="1"/>
    <col min="10243" max="10487" width="9.1796875" style="21"/>
    <col min="10488" max="10488" width="8.7265625" style="21" customWidth="1"/>
    <col min="10489" max="10489" width="9.81640625" style="21" customWidth="1"/>
    <col min="10490" max="10490" width="14.453125" style="21" customWidth="1"/>
    <col min="10491" max="10491" width="7.26953125" style="21" customWidth="1"/>
    <col min="10492" max="10492" width="5.54296875" style="21" customWidth="1"/>
    <col min="10493" max="10493" width="9" style="21" customWidth="1"/>
    <col min="10494" max="10495" width="9.81640625" style="21" customWidth="1"/>
    <col min="10496" max="10496" width="11.1796875" style="21" customWidth="1"/>
    <col min="10497" max="10497" width="2.81640625" style="21" customWidth="1"/>
    <col min="10498" max="10498" width="3.54296875" style="21" customWidth="1"/>
    <col min="10499" max="10743" width="9.1796875" style="21"/>
    <col min="10744" max="10744" width="8.7265625" style="21" customWidth="1"/>
    <col min="10745" max="10745" width="9.81640625" style="21" customWidth="1"/>
    <col min="10746" max="10746" width="14.453125" style="21" customWidth="1"/>
    <col min="10747" max="10747" width="7.26953125" style="21" customWidth="1"/>
    <col min="10748" max="10748" width="5.54296875" style="21" customWidth="1"/>
    <col min="10749" max="10749" width="9" style="21" customWidth="1"/>
    <col min="10750" max="10751" width="9.81640625" style="21" customWidth="1"/>
    <col min="10752" max="10752" width="11.1796875" style="21" customWidth="1"/>
    <col min="10753" max="10753" width="2.81640625" style="21" customWidth="1"/>
    <col min="10754" max="10754" width="3.54296875" style="21" customWidth="1"/>
    <col min="10755" max="10999" width="9.1796875" style="21"/>
    <col min="11000" max="11000" width="8.7265625" style="21" customWidth="1"/>
    <col min="11001" max="11001" width="9.81640625" style="21" customWidth="1"/>
    <col min="11002" max="11002" width="14.453125" style="21" customWidth="1"/>
    <col min="11003" max="11003" width="7.26953125" style="21" customWidth="1"/>
    <col min="11004" max="11004" width="5.54296875" style="21" customWidth="1"/>
    <col min="11005" max="11005" width="9" style="21" customWidth="1"/>
    <col min="11006" max="11007" width="9.81640625" style="21" customWidth="1"/>
    <col min="11008" max="11008" width="11.1796875" style="21" customWidth="1"/>
    <col min="11009" max="11009" width="2.81640625" style="21" customWidth="1"/>
    <col min="11010" max="11010" width="3.54296875" style="21" customWidth="1"/>
    <col min="11011" max="11255" width="9.1796875" style="21"/>
    <col min="11256" max="11256" width="8.7265625" style="21" customWidth="1"/>
    <col min="11257" max="11257" width="9.81640625" style="21" customWidth="1"/>
    <col min="11258" max="11258" width="14.453125" style="21" customWidth="1"/>
    <col min="11259" max="11259" width="7.26953125" style="21" customWidth="1"/>
    <col min="11260" max="11260" width="5.54296875" style="21" customWidth="1"/>
    <col min="11261" max="11261" width="9" style="21" customWidth="1"/>
    <col min="11262" max="11263" width="9.81640625" style="21" customWidth="1"/>
    <col min="11264" max="11264" width="11.1796875" style="21" customWidth="1"/>
    <col min="11265" max="11265" width="2.81640625" style="21" customWidth="1"/>
    <col min="11266" max="11266" width="3.54296875" style="21" customWidth="1"/>
    <col min="11267" max="11511" width="9.1796875" style="21"/>
    <col min="11512" max="11512" width="8.7265625" style="21" customWidth="1"/>
    <col min="11513" max="11513" width="9.81640625" style="21" customWidth="1"/>
    <col min="11514" max="11514" width="14.453125" style="21" customWidth="1"/>
    <col min="11515" max="11515" width="7.26953125" style="21" customWidth="1"/>
    <col min="11516" max="11516" width="5.54296875" style="21" customWidth="1"/>
    <col min="11517" max="11517" width="9" style="21" customWidth="1"/>
    <col min="11518" max="11519" width="9.81640625" style="21" customWidth="1"/>
    <col min="11520" max="11520" width="11.1796875" style="21" customWidth="1"/>
    <col min="11521" max="11521" width="2.81640625" style="21" customWidth="1"/>
    <col min="11522" max="11522" width="3.54296875" style="21" customWidth="1"/>
    <col min="11523" max="11767" width="9.1796875" style="21"/>
    <col min="11768" max="11768" width="8.7265625" style="21" customWidth="1"/>
    <col min="11769" max="11769" width="9.81640625" style="21" customWidth="1"/>
    <col min="11770" max="11770" width="14.453125" style="21" customWidth="1"/>
    <col min="11771" max="11771" width="7.26953125" style="21" customWidth="1"/>
    <col min="11772" max="11772" width="5.54296875" style="21" customWidth="1"/>
    <col min="11773" max="11773" width="9" style="21" customWidth="1"/>
    <col min="11774" max="11775" width="9.81640625" style="21" customWidth="1"/>
    <col min="11776" max="11776" width="11.1796875" style="21" customWidth="1"/>
    <col min="11777" max="11777" width="2.81640625" style="21" customWidth="1"/>
    <col min="11778" max="11778" width="3.54296875" style="21" customWidth="1"/>
    <col min="11779" max="12023" width="9.1796875" style="21"/>
    <col min="12024" max="12024" width="8.7265625" style="21" customWidth="1"/>
    <col min="12025" max="12025" width="9.81640625" style="21" customWidth="1"/>
    <col min="12026" max="12026" width="14.453125" style="21" customWidth="1"/>
    <col min="12027" max="12027" width="7.26953125" style="21" customWidth="1"/>
    <col min="12028" max="12028" width="5.54296875" style="21" customWidth="1"/>
    <col min="12029" max="12029" width="9" style="21" customWidth="1"/>
    <col min="12030" max="12031" width="9.81640625" style="21" customWidth="1"/>
    <col min="12032" max="12032" width="11.1796875" style="21" customWidth="1"/>
    <col min="12033" max="12033" width="2.81640625" style="21" customWidth="1"/>
    <col min="12034" max="12034" width="3.54296875" style="21" customWidth="1"/>
    <col min="12035" max="12279" width="9.1796875" style="21"/>
    <col min="12280" max="12280" width="8.7265625" style="21" customWidth="1"/>
    <col min="12281" max="12281" width="9.81640625" style="21" customWidth="1"/>
    <col min="12282" max="12282" width="14.453125" style="21" customWidth="1"/>
    <col min="12283" max="12283" width="7.26953125" style="21" customWidth="1"/>
    <col min="12284" max="12284" width="5.54296875" style="21" customWidth="1"/>
    <col min="12285" max="12285" width="9" style="21" customWidth="1"/>
    <col min="12286" max="12287" width="9.81640625" style="21" customWidth="1"/>
    <col min="12288" max="12288" width="11.1796875" style="21" customWidth="1"/>
    <col min="12289" max="12289" width="2.81640625" style="21" customWidth="1"/>
    <col min="12290" max="12290" width="3.54296875" style="21" customWidth="1"/>
    <col min="12291" max="12535" width="9.1796875" style="21"/>
    <col min="12536" max="12536" width="8.7265625" style="21" customWidth="1"/>
    <col min="12537" max="12537" width="9.81640625" style="21" customWidth="1"/>
    <col min="12538" max="12538" width="14.453125" style="21" customWidth="1"/>
    <col min="12539" max="12539" width="7.26953125" style="21" customWidth="1"/>
    <col min="12540" max="12540" width="5.54296875" style="21" customWidth="1"/>
    <col min="12541" max="12541" width="9" style="21" customWidth="1"/>
    <col min="12542" max="12543" width="9.81640625" style="21" customWidth="1"/>
    <col min="12544" max="12544" width="11.1796875" style="21" customWidth="1"/>
    <col min="12545" max="12545" width="2.81640625" style="21" customWidth="1"/>
    <col min="12546" max="12546" width="3.54296875" style="21" customWidth="1"/>
    <col min="12547" max="12791" width="9.1796875" style="21"/>
    <col min="12792" max="12792" width="8.7265625" style="21" customWidth="1"/>
    <col min="12793" max="12793" width="9.81640625" style="21" customWidth="1"/>
    <col min="12794" max="12794" width="14.453125" style="21" customWidth="1"/>
    <col min="12795" max="12795" width="7.26953125" style="21" customWidth="1"/>
    <col min="12796" max="12796" width="5.54296875" style="21" customWidth="1"/>
    <col min="12797" max="12797" width="9" style="21" customWidth="1"/>
    <col min="12798" max="12799" width="9.81640625" style="21" customWidth="1"/>
    <col min="12800" max="12800" width="11.1796875" style="21" customWidth="1"/>
    <col min="12801" max="12801" width="2.81640625" style="21" customWidth="1"/>
    <col min="12802" max="12802" width="3.54296875" style="21" customWidth="1"/>
    <col min="12803" max="13047" width="9.1796875" style="21"/>
    <col min="13048" max="13048" width="8.7265625" style="21" customWidth="1"/>
    <col min="13049" max="13049" width="9.81640625" style="21" customWidth="1"/>
    <col min="13050" max="13050" width="14.453125" style="21" customWidth="1"/>
    <col min="13051" max="13051" width="7.26953125" style="21" customWidth="1"/>
    <col min="13052" max="13052" width="5.54296875" style="21" customWidth="1"/>
    <col min="13053" max="13053" width="9" style="21" customWidth="1"/>
    <col min="13054" max="13055" width="9.81640625" style="21" customWidth="1"/>
    <col min="13056" max="13056" width="11.1796875" style="21" customWidth="1"/>
    <col min="13057" max="13057" width="2.81640625" style="21" customWidth="1"/>
    <col min="13058" max="13058" width="3.54296875" style="21" customWidth="1"/>
    <col min="13059" max="13303" width="9.1796875" style="21"/>
    <col min="13304" max="13304" width="8.7265625" style="21" customWidth="1"/>
    <col min="13305" max="13305" width="9.81640625" style="21" customWidth="1"/>
    <col min="13306" max="13306" width="14.453125" style="21" customWidth="1"/>
    <col min="13307" max="13307" width="7.26953125" style="21" customWidth="1"/>
    <col min="13308" max="13308" width="5.54296875" style="21" customWidth="1"/>
    <col min="13309" max="13309" width="9" style="21" customWidth="1"/>
    <col min="13310" max="13311" width="9.81640625" style="21" customWidth="1"/>
    <col min="13312" max="13312" width="11.1796875" style="21" customWidth="1"/>
    <col min="13313" max="13313" width="2.81640625" style="21" customWidth="1"/>
    <col min="13314" max="13314" width="3.54296875" style="21" customWidth="1"/>
    <col min="13315" max="13559" width="9.1796875" style="21"/>
    <col min="13560" max="13560" width="8.7265625" style="21" customWidth="1"/>
    <col min="13561" max="13561" width="9.81640625" style="21" customWidth="1"/>
    <col min="13562" max="13562" width="14.453125" style="21" customWidth="1"/>
    <col min="13563" max="13563" width="7.26953125" style="21" customWidth="1"/>
    <col min="13564" max="13564" width="5.54296875" style="21" customWidth="1"/>
    <col min="13565" max="13565" width="9" style="21" customWidth="1"/>
    <col min="13566" max="13567" width="9.81640625" style="21" customWidth="1"/>
    <col min="13568" max="13568" width="11.1796875" style="21" customWidth="1"/>
    <col min="13569" max="13569" width="2.81640625" style="21" customWidth="1"/>
    <col min="13570" max="13570" width="3.54296875" style="21" customWidth="1"/>
    <col min="13571" max="13815" width="9.1796875" style="21"/>
    <col min="13816" max="13816" width="8.7265625" style="21" customWidth="1"/>
    <col min="13817" max="13817" width="9.81640625" style="21" customWidth="1"/>
    <col min="13818" max="13818" width="14.453125" style="21" customWidth="1"/>
    <col min="13819" max="13819" width="7.26953125" style="21" customWidth="1"/>
    <col min="13820" max="13820" width="5.54296875" style="21" customWidth="1"/>
    <col min="13821" max="13821" width="9" style="21" customWidth="1"/>
    <col min="13822" max="13823" width="9.81640625" style="21" customWidth="1"/>
    <col min="13824" max="13824" width="11.1796875" style="21" customWidth="1"/>
    <col min="13825" max="13825" width="2.81640625" style="21" customWidth="1"/>
    <col min="13826" max="13826" width="3.54296875" style="21" customWidth="1"/>
    <col min="13827" max="14071" width="9.1796875" style="21"/>
    <col min="14072" max="14072" width="8.7265625" style="21" customWidth="1"/>
    <col min="14073" max="14073" width="9.81640625" style="21" customWidth="1"/>
    <col min="14074" max="14074" width="14.453125" style="21" customWidth="1"/>
    <col min="14075" max="14075" width="7.26953125" style="21" customWidth="1"/>
    <col min="14076" max="14076" width="5.54296875" style="21" customWidth="1"/>
    <col min="14077" max="14077" width="9" style="21" customWidth="1"/>
    <col min="14078" max="14079" width="9.81640625" style="21" customWidth="1"/>
    <col min="14080" max="14080" width="11.1796875" style="21" customWidth="1"/>
    <col min="14081" max="14081" width="2.81640625" style="21" customWidth="1"/>
    <col min="14082" max="14082" width="3.54296875" style="21" customWidth="1"/>
    <col min="14083" max="14327" width="9.1796875" style="21"/>
    <col min="14328" max="14328" width="8.7265625" style="21" customWidth="1"/>
    <col min="14329" max="14329" width="9.81640625" style="21" customWidth="1"/>
    <col min="14330" max="14330" width="14.453125" style="21" customWidth="1"/>
    <col min="14331" max="14331" width="7.26953125" style="21" customWidth="1"/>
    <col min="14332" max="14332" width="5.54296875" style="21" customWidth="1"/>
    <col min="14333" max="14333" width="9" style="21" customWidth="1"/>
    <col min="14334" max="14335" width="9.81640625" style="21" customWidth="1"/>
    <col min="14336" max="14336" width="11.1796875" style="21" customWidth="1"/>
    <col min="14337" max="14337" width="2.81640625" style="21" customWidth="1"/>
    <col min="14338" max="14338" width="3.54296875" style="21" customWidth="1"/>
    <col min="14339" max="14583" width="9.1796875" style="21"/>
    <col min="14584" max="14584" width="8.7265625" style="21" customWidth="1"/>
    <col min="14585" max="14585" width="9.81640625" style="21" customWidth="1"/>
    <col min="14586" max="14586" width="14.453125" style="21" customWidth="1"/>
    <col min="14587" max="14587" width="7.26953125" style="21" customWidth="1"/>
    <col min="14588" max="14588" width="5.54296875" style="21" customWidth="1"/>
    <col min="14589" max="14589" width="9" style="21" customWidth="1"/>
    <col min="14590" max="14591" width="9.81640625" style="21" customWidth="1"/>
    <col min="14592" max="14592" width="11.1796875" style="21" customWidth="1"/>
    <col min="14593" max="14593" width="2.81640625" style="21" customWidth="1"/>
    <col min="14594" max="14594" width="3.54296875" style="21" customWidth="1"/>
    <col min="14595" max="14839" width="9.1796875" style="21"/>
    <col min="14840" max="14840" width="8.7265625" style="21" customWidth="1"/>
    <col min="14841" max="14841" width="9.81640625" style="21" customWidth="1"/>
    <col min="14842" max="14842" width="14.453125" style="21" customWidth="1"/>
    <col min="14843" max="14843" width="7.26953125" style="21" customWidth="1"/>
    <col min="14844" max="14844" width="5.54296875" style="21" customWidth="1"/>
    <col min="14845" max="14845" width="9" style="21" customWidth="1"/>
    <col min="14846" max="14847" width="9.81640625" style="21" customWidth="1"/>
    <col min="14848" max="14848" width="11.1796875" style="21" customWidth="1"/>
    <col min="14849" max="14849" width="2.81640625" style="21" customWidth="1"/>
    <col min="14850" max="14850" width="3.54296875" style="21" customWidth="1"/>
    <col min="14851" max="15095" width="9.1796875" style="21"/>
    <col min="15096" max="15096" width="8.7265625" style="21" customWidth="1"/>
    <col min="15097" max="15097" width="9.81640625" style="21" customWidth="1"/>
    <col min="15098" max="15098" width="14.453125" style="21" customWidth="1"/>
    <col min="15099" max="15099" width="7.26953125" style="21" customWidth="1"/>
    <col min="15100" max="15100" width="5.54296875" style="21" customWidth="1"/>
    <col min="15101" max="15101" width="9" style="21" customWidth="1"/>
    <col min="15102" max="15103" width="9.81640625" style="21" customWidth="1"/>
    <col min="15104" max="15104" width="11.1796875" style="21" customWidth="1"/>
    <col min="15105" max="15105" width="2.81640625" style="21" customWidth="1"/>
    <col min="15106" max="15106" width="3.54296875" style="21" customWidth="1"/>
    <col min="15107" max="15351" width="9.1796875" style="21"/>
    <col min="15352" max="15352" width="8.7265625" style="21" customWidth="1"/>
    <col min="15353" max="15353" width="9.81640625" style="21" customWidth="1"/>
    <col min="15354" max="15354" width="14.453125" style="21" customWidth="1"/>
    <col min="15355" max="15355" width="7.26953125" style="21" customWidth="1"/>
    <col min="15356" max="15356" width="5.54296875" style="21" customWidth="1"/>
    <col min="15357" max="15357" width="9" style="21" customWidth="1"/>
    <col min="15358" max="15359" width="9.81640625" style="21" customWidth="1"/>
    <col min="15360" max="15360" width="11.1796875" style="21" customWidth="1"/>
    <col min="15361" max="15361" width="2.81640625" style="21" customWidth="1"/>
    <col min="15362" max="15362" width="3.54296875" style="21" customWidth="1"/>
    <col min="15363" max="15607" width="9.1796875" style="21"/>
    <col min="15608" max="15608" width="8.7265625" style="21" customWidth="1"/>
    <col min="15609" max="15609" width="9.81640625" style="21" customWidth="1"/>
    <col min="15610" max="15610" width="14.453125" style="21" customWidth="1"/>
    <col min="15611" max="15611" width="7.26953125" style="21" customWidth="1"/>
    <col min="15612" max="15612" width="5.54296875" style="21" customWidth="1"/>
    <col min="15613" max="15613" width="9" style="21" customWidth="1"/>
    <col min="15614" max="15615" width="9.81640625" style="21" customWidth="1"/>
    <col min="15616" max="15616" width="11.1796875" style="21" customWidth="1"/>
    <col min="15617" max="15617" width="2.81640625" style="21" customWidth="1"/>
    <col min="15618" max="15618" width="3.54296875" style="21" customWidth="1"/>
    <col min="15619" max="15863" width="9.1796875" style="21"/>
    <col min="15864" max="15864" width="8.7265625" style="21" customWidth="1"/>
    <col min="15865" max="15865" width="9.81640625" style="21" customWidth="1"/>
    <col min="15866" max="15866" width="14.453125" style="21" customWidth="1"/>
    <col min="15867" max="15867" width="7.26953125" style="21" customWidth="1"/>
    <col min="15868" max="15868" width="5.54296875" style="21" customWidth="1"/>
    <col min="15869" max="15869" width="9" style="21" customWidth="1"/>
    <col min="15870" max="15871" width="9.81640625" style="21" customWidth="1"/>
    <col min="15872" max="15872" width="11.1796875" style="21" customWidth="1"/>
    <col min="15873" max="15873" width="2.81640625" style="21" customWidth="1"/>
    <col min="15874" max="15874" width="3.54296875" style="21" customWidth="1"/>
    <col min="15875" max="16119" width="9.1796875" style="21"/>
    <col min="16120" max="16120" width="8.7265625" style="21" customWidth="1"/>
    <col min="16121" max="16121" width="9.81640625" style="21" customWidth="1"/>
    <col min="16122" max="16122" width="14.453125" style="21" customWidth="1"/>
    <col min="16123" max="16123" width="7.26953125" style="21" customWidth="1"/>
    <col min="16124" max="16124" width="5.54296875" style="21" customWidth="1"/>
    <col min="16125" max="16125" width="9" style="21" customWidth="1"/>
    <col min="16126" max="16127" width="9.81640625" style="21" customWidth="1"/>
    <col min="16128" max="16128" width="11.1796875" style="21" customWidth="1"/>
    <col min="16129" max="16129" width="2.81640625" style="21" customWidth="1"/>
    <col min="16130" max="16130" width="3.54296875" style="21" customWidth="1"/>
    <col min="16131" max="16384" width="9.1796875" style="21"/>
  </cols>
  <sheetData>
    <row r="1" spans="1:26" ht="46.5" customHeight="1" x14ac:dyDescent="0.35">
      <c r="A1" s="176" t="s">
        <v>166</v>
      </c>
      <c r="B1" s="176"/>
      <c r="C1" s="176"/>
      <c r="D1" s="176"/>
      <c r="E1" s="176"/>
      <c r="F1" s="176"/>
      <c r="G1" s="176"/>
      <c r="H1" s="176"/>
    </row>
    <row r="2" spans="1:26" ht="16.5" customHeight="1" x14ac:dyDescent="0.35">
      <c r="A2" s="177" t="s">
        <v>0</v>
      </c>
      <c r="B2" s="177"/>
      <c r="C2" s="177"/>
      <c r="D2" s="177"/>
      <c r="E2" s="177"/>
      <c r="F2" s="177"/>
      <c r="G2" s="177"/>
      <c r="H2" s="177"/>
    </row>
    <row r="3" spans="1:26" x14ac:dyDescent="0.35">
      <c r="A3" s="127" t="s">
        <v>1</v>
      </c>
      <c r="B3" s="127"/>
      <c r="C3" s="127"/>
      <c r="D3" s="127"/>
      <c r="E3" s="127" t="str">
        <f ca="1">TEXT(TODAY(),"DD/MM/YYYY")</f>
        <v>25/09/2025</v>
      </c>
      <c r="F3" s="127"/>
      <c r="G3" s="127"/>
      <c r="H3" s="127"/>
      <c r="K3" s="59" t="s">
        <v>236</v>
      </c>
      <c r="L3" s="56" t="s">
        <v>234</v>
      </c>
      <c r="M3" s="56" t="s">
        <v>239</v>
      </c>
      <c r="N3" s="56" t="s">
        <v>237</v>
      </c>
      <c r="O3" s="56" t="s">
        <v>238</v>
      </c>
      <c r="P3" s="56" t="s">
        <v>240</v>
      </c>
    </row>
    <row r="4" spans="1:26" ht="15" customHeight="1" x14ac:dyDescent="0.35">
      <c r="A4" s="127" t="s">
        <v>233</v>
      </c>
      <c r="B4" s="127"/>
      <c r="C4" s="127"/>
      <c r="D4" s="127"/>
      <c r="E4" s="127" t="s">
        <v>234</v>
      </c>
      <c r="F4" s="127"/>
      <c r="G4" s="127"/>
      <c r="H4" s="127"/>
      <c r="K4" s="55" t="s">
        <v>235</v>
      </c>
      <c r="L4" s="56" t="s">
        <v>172</v>
      </c>
      <c r="M4" s="56" t="s">
        <v>244</v>
      </c>
      <c r="N4" s="56" t="s">
        <v>246</v>
      </c>
      <c r="O4" s="56" t="s">
        <v>248</v>
      </c>
      <c r="P4" s="56"/>
    </row>
    <row r="5" spans="1:26" ht="15" customHeight="1" x14ac:dyDescent="0.35">
      <c r="A5" s="127" t="s">
        <v>2</v>
      </c>
      <c r="B5" s="127"/>
      <c r="C5" s="127"/>
      <c r="D5" s="127"/>
      <c r="E5" s="127" t="s">
        <v>172</v>
      </c>
      <c r="F5" s="127"/>
      <c r="G5" s="127"/>
      <c r="H5" s="127"/>
      <c r="K5" s="55"/>
      <c r="L5" s="56" t="s">
        <v>241</v>
      </c>
      <c r="M5" s="56" t="s">
        <v>245</v>
      </c>
      <c r="N5" s="56" t="s">
        <v>247</v>
      </c>
      <c r="O5" s="56" t="s">
        <v>249</v>
      </c>
      <c r="P5" s="56"/>
    </row>
    <row r="6" spans="1:26" x14ac:dyDescent="0.35">
      <c r="A6" s="127" t="s">
        <v>3</v>
      </c>
      <c r="B6" s="127"/>
      <c r="C6" s="127"/>
      <c r="D6" s="127"/>
      <c r="E6" s="179">
        <v>45924</v>
      </c>
      <c r="F6" s="127"/>
      <c r="G6" s="127"/>
      <c r="H6" s="127"/>
      <c r="K6" s="55"/>
      <c r="L6" s="56" t="s">
        <v>242</v>
      </c>
      <c r="M6" s="56"/>
      <c r="N6" s="56"/>
      <c r="O6" s="56" t="s">
        <v>250</v>
      </c>
      <c r="P6" s="56"/>
    </row>
    <row r="7" spans="1:26" ht="16.5" customHeight="1" x14ac:dyDescent="0.35">
      <c r="A7" s="127" t="s">
        <v>4</v>
      </c>
      <c r="B7" s="127"/>
      <c r="C7" s="127"/>
      <c r="D7" s="127"/>
      <c r="E7" s="126" t="s">
        <v>303</v>
      </c>
      <c r="F7" s="127"/>
      <c r="G7" s="127"/>
      <c r="H7" s="127"/>
      <c r="K7" s="55"/>
      <c r="L7" s="56" t="s">
        <v>243</v>
      </c>
      <c r="M7" s="56"/>
      <c r="N7" s="56"/>
      <c r="O7" s="56" t="s">
        <v>250</v>
      </c>
      <c r="P7" s="56"/>
    </row>
    <row r="8" spans="1:26" ht="15" customHeight="1" x14ac:dyDescent="0.35">
      <c r="A8" s="127" t="s">
        <v>5</v>
      </c>
      <c r="B8" s="127"/>
      <c r="C8" s="127"/>
      <c r="D8" s="127"/>
      <c r="E8" s="127" t="str">
        <f>E7</f>
        <v xml:space="preserve">Adiraj J P Infra
</v>
      </c>
      <c r="F8" s="127"/>
      <c r="G8" s="127"/>
      <c r="H8" s="127"/>
      <c r="K8" s="55"/>
      <c r="L8" s="56"/>
      <c r="M8" s="56"/>
      <c r="N8" s="56"/>
      <c r="O8" s="56" t="s">
        <v>251</v>
      </c>
      <c r="P8" s="56"/>
    </row>
    <row r="9" spans="1:26" x14ac:dyDescent="0.35">
      <c r="A9" s="127" t="s">
        <v>6</v>
      </c>
      <c r="B9" s="127"/>
      <c r="C9" s="127"/>
      <c r="D9" s="127"/>
      <c r="E9" s="178" t="s">
        <v>304</v>
      </c>
      <c r="F9" s="178"/>
      <c r="G9" s="178"/>
      <c r="H9" s="178"/>
      <c r="K9" s="55"/>
      <c r="L9" s="56"/>
      <c r="M9" s="56"/>
      <c r="N9" s="56"/>
      <c r="O9" s="56" t="s">
        <v>252</v>
      </c>
      <c r="P9" s="56"/>
    </row>
    <row r="10" spans="1:26" x14ac:dyDescent="0.35">
      <c r="A10" s="127" t="s">
        <v>169</v>
      </c>
      <c r="B10" s="127"/>
      <c r="C10" s="127"/>
      <c r="D10" s="127"/>
      <c r="E10" s="127" t="s">
        <v>305</v>
      </c>
      <c r="F10" s="127"/>
      <c r="G10" s="127"/>
      <c r="H10" s="127"/>
      <c r="K10" s="55"/>
      <c r="L10" s="56"/>
      <c r="M10" s="56"/>
      <c r="N10" s="56"/>
      <c r="O10" s="56"/>
      <c r="P10" s="56"/>
    </row>
    <row r="11" spans="1:26" x14ac:dyDescent="0.35">
      <c r="A11" s="127" t="s">
        <v>170</v>
      </c>
      <c r="B11" s="127"/>
      <c r="C11" s="127"/>
      <c r="D11" s="127"/>
      <c r="E11" s="127" t="s">
        <v>360</v>
      </c>
      <c r="F11" s="127"/>
      <c r="G11" s="127"/>
      <c r="H11" s="127"/>
    </row>
    <row r="12" spans="1:26" x14ac:dyDescent="0.35">
      <c r="A12" s="127" t="s">
        <v>7</v>
      </c>
      <c r="B12" s="127"/>
      <c r="C12" s="127"/>
      <c r="D12" s="127"/>
      <c r="E12" s="127" t="s">
        <v>119</v>
      </c>
      <c r="F12" s="127"/>
      <c r="G12" s="127"/>
      <c r="H12" s="127"/>
    </row>
    <row r="13" spans="1:26" x14ac:dyDescent="0.35">
      <c r="A13" s="127" t="s">
        <v>173</v>
      </c>
      <c r="B13" s="127"/>
      <c r="C13" s="127"/>
      <c r="D13" s="127"/>
      <c r="E13" s="127" t="s">
        <v>306</v>
      </c>
      <c r="F13" s="127"/>
      <c r="G13" s="127"/>
      <c r="H13" s="127"/>
      <c r="S13" s="56" t="s">
        <v>179</v>
      </c>
      <c r="T13" s="56" t="s">
        <v>189</v>
      </c>
      <c r="U13" s="56" t="s">
        <v>174</v>
      </c>
      <c r="V13" s="56" t="s">
        <v>194</v>
      </c>
      <c r="W13" s="56" t="s">
        <v>212</v>
      </c>
      <c r="X13"/>
      <c r="Y13" t="s">
        <v>194</v>
      </c>
      <c r="Z13" t="e">
        <f ca="1">OFFSET($S$13,1,MATCH($G20,$S$13:$W$13,0)-1,15,1)</f>
        <v>#VALUE!</v>
      </c>
    </row>
    <row r="14" spans="1:26" x14ac:dyDescent="0.35">
      <c r="A14" s="180" t="s">
        <v>279</v>
      </c>
      <c r="B14" s="180"/>
      <c r="C14" s="180"/>
      <c r="D14" s="180"/>
      <c r="E14" s="126" t="s">
        <v>227</v>
      </c>
      <c r="F14" s="126"/>
      <c r="G14" s="126"/>
      <c r="H14" s="126"/>
      <c r="S14" s="56" t="s">
        <v>180</v>
      </c>
      <c r="T14" s="56" t="s">
        <v>187</v>
      </c>
      <c r="U14" s="56" t="s">
        <v>209</v>
      </c>
      <c r="V14" s="56" t="s">
        <v>195</v>
      </c>
      <c r="W14" s="56" t="s">
        <v>213</v>
      </c>
      <c r="X14"/>
      <c r="Y14"/>
      <c r="Z14"/>
    </row>
    <row r="15" spans="1:26" x14ac:dyDescent="0.35">
      <c r="A15" s="127" t="s">
        <v>8</v>
      </c>
      <c r="B15" s="127"/>
      <c r="C15" s="127"/>
      <c r="D15" s="127"/>
      <c r="E15" s="126" t="s">
        <v>302</v>
      </c>
      <c r="F15" s="127"/>
      <c r="G15" s="127"/>
      <c r="H15" s="127"/>
      <c r="I15" s="95" t="e">
        <f ca="1">OFFSET($D$5,1,MATCH($J13,$D$5:$H$5,0)-1,15,1)</f>
        <v>#N/A</v>
      </c>
      <c r="J15" s="96"/>
      <c r="K15" s="96"/>
      <c r="L15" s="96"/>
      <c r="M15" s="96"/>
      <c r="N15" s="96"/>
      <c r="O15" s="96"/>
      <c r="P15" s="96"/>
      <c r="S15" s="56" t="s">
        <v>181</v>
      </c>
      <c r="T15" s="56" t="s">
        <v>188</v>
      </c>
      <c r="U15" s="56" t="s">
        <v>210</v>
      </c>
      <c r="V15" s="56" t="s">
        <v>196</v>
      </c>
      <c r="W15" s="56" t="s">
        <v>226</v>
      </c>
      <c r="X15"/>
      <c r="Y15"/>
      <c r="Z15"/>
    </row>
    <row r="16" spans="1:26" ht="48.75" customHeight="1" x14ac:dyDescent="0.35">
      <c r="A16" s="126" t="s">
        <v>9</v>
      </c>
      <c r="B16" s="126"/>
      <c r="C16" s="126" t="str">
        <f>CONCATENATE((IF(OR(E9="",E9="NA"),"",E9)),", ",(IF(OR(A17="",A17="NA"),"",A17)),".",(IF(OR(C17="",C17="NA"),"",C17)),", near ",(IF(OR(C22="",C22="NA"),"",C22)),", ",(IF(OR(C19="",C19="NA"),"",C19)),", ",(IF(OR(C18="",C18="NA"),"",C18)),", ",(IF(OR(G19="",G19="NA"),"",G19)),", ",(IF(OR(C20="",C20="NA"),"",C20)),", ",(IF(OR(C21="",C21="NA"),"",C21)),", ",(IF(OR(G20="",G20="NA"),"",G20))," - ",(IF(OR(G21="",G21="NA"),"",G21)),".")</f>
        <v>Ruchita Bliss, Survey No.89/1/3/2, Redevelopement of "Ruchita CHSL ", near Tania Horizon, Station Road, Shivaji Nagar, Nilmore, Nallasapoara West, Vasai, Palghar - 401203.</v>
      </c>
      <c r="D16" s="126"/>
      <c r="E16" s="126"/>
      <c r="F16" s="126"/>
      <c r="G16" s="126"/>
      <c r="H16" s="126"/>
      <c r="S16" s="56" t="s">
        <v>182</v>
      </c>
      <c r="T16" s="56" t="s">
        <v>190</v>
      </c>
      <c r="U16" s="56" t="s">
        <v>211</v>
      </c>
      <c r="V16" s="56" t="s">
        <v>197</v>
      </c>
      <c r="W16" s="56" t="s">
        <v>214</v>
      </c>
      <c r="X16"/>
      <c r="Y16"/>
      <c r="Z16"/>
    </row>
    <row r="17" spans="1:26" x14ac:dyDescent="0.35">
      <c r="A17" s="126" t="s">
        <v>307</v>
      </c>
      <c r="B17" s="126"/>
      <c r="C17" s="126" t="s">
        <v>308</v>
      </c>
      <c r="D17" s="126"/>
      <c r="E17" s="126"/>
      <c r="F17" s="126"/>
      <c r="G17" s="126"/>
      <c r="H17" s="126"/>
      <c r="S17" s="56" t="s">
        <v>183</v>
      </c>
      <c r="T17" s="56" t="s">
        <v>191</v>
      </c>
      <c r="U17" s="56" t="s">
        <v>174</v>
      </c>
      <c r="V17" s="56" t="s">
        <v>198</v>
      </c>
      <c r="W17" s="56" t="s">
        <v>215</v>
      </c>
      <c r="X17"/>
      <c r="Y17"/>
      <c r="Z17"/>
    </row>
    <row r="18" spans="1:26" ht="15.75" customHeight="1" x14ac:dyDescent="0.35">
      <c r="A18" s="126" t="s">
        <v>164</v>
      </c>
      <c r="B18" s="126"/>
      <c r="C18" s="126" t="s">
        <v>310</v>
      </c>
      <c r="D18" s="126"/>
      <c r="E18" s="126"/>
      <c r="F18" s="126"/>
      <c r="G18" s="126"/>
      <c r="H18" s="126"/>
      <c r="S18" s="56" t="s">
        <v>184</v>
      </c>
      <c r="T18" s="56" t="s">
        <v>189</v>
      </c>
      <c r="U18" s="56"/>
      <c r="V18" s="56" t="s">
        <v>199</v>
      </c>
      <c r="W18" s="56" t="s">
        <v>216</v>
      </c>
      <c r="X18"/>
      <c r="Y18"/>
      <c r="Z18"/>
    </row>
    <row r="19" spans="1:26" ht="15.75" customHeight="1" x14ac:dyDescent="0.35">
      <c r="A19" s="126" t="s">
        <v>10</v>
      </c>
      <c r="B19" s="126"/>
      <c r="C19" s="127" t="s">
        <v>311</v>
      </c>
      <c r="D19" s="127"/>
      <c r="E19" s="126" t="s">
        <v>70</v>
      </c>
      <c r="F19" s="126"/>
      <c r="G19" s="126" t="s">
        <v>309</v>
      </c>
      <c r="H19" s="126"/>
      <c r="S19" s="56" t="s">
        <v>185</v>
      </c>
      <c r="T19" s="56" t="s">
        <v>192</v>
      </c>
      <c r="U19" s="56"/>
      <c r="V19" s="56" t="s">
        <v>200</v>
      </c>
      <c r="W19" s="56" t="s">
        <v>217</v>
      </c>
      <c r="X19"/>
      <c r="Y19"/>
      <c r="Z19"/>
    </row>
    <row r="20" spans="1:26" x14ac:dyDescent="0.35">
      <c r="A20" s="127" t="s">
        <v>12</v>
      </c>
      <c r="B20" s="127"/>
      <c r="C20" s="126" t="s">
        <v>314</v>
      </c>
      <c r="D20" s="126"/>
      <c r="E20" s="126" t="s">
        <v>11</v>
      </c>
      <c r="F20" s="126"/>
      <c r="G20" s="181" t="s">
        <v>189</v>
      </c>
      <c r="H20" s="181"/>
      <c r="S20" s="56" t="s">
        <v>186</v>
      </c>
      <c r="T20" s="56" t="s">
        <v>193</v>
      </c>
      <c r="U20" s="56"/>
      <c r="V20" s="56" t="s">
        <v>201</v>
      </c>
      <c r="W20" s="56" t="s">
        <v>218</v>
      </c>
      <c r="X20"/>
      <c r="Y20"/>
      <c r="Z20"/>
    </row>
    <row r="21" spans="1:26" x14ac:dyDescent="0.35">
      <c r="A21" s="127" t="s">
        <v>71</v>
      </c>
      <c r="B21" s="127"/>
      <c r="C21" s="126" t="s">
        <v>190</v>
      </c>
      <c r="D21" s="126"/>
      <c r="E21" s="126" t="s">
        <v>13</v>
      </c>
      <c r="F21" s="126"/>
      <c r="G21" s="126">
        <v>401203</v>
      </c>
      <c r="H21" s="126"/>
      <c r="S21" s="56"/>
      <c r="T21" s="56"/>
      <c r="U21" s="56"/>
      <c r="V21" s="56" t="s">
        <v>202</v>
      </c>
      <c r="W21" s="56" t="s">
        <v>219</v>
      </c>
      <c r="X21"/>
      <c r="Y21"/>
      <c r="Z21"/>
    </row>
    <row r="22" spans="1:26" ht="32.25" customHeight="1" x14ac:dyDescent="0.35">
      <c r="A22" s="127" t="s">
        <v>120</v>
      </c>
      <c r="B22" s="127"/>
      <c r="C22" s="126" t="s">
        <v>312</v>
      </c>
      <c r="D22" s="126"/>
      <c r="E22" s="126" t="s">
        <v>14</v>
      </c>
      <c r="F22" s="126"/>
      <c r="G22" s="126" t="s">
        <v>313</v>
      </c>
      <c r="H22" s="126"/>
      <c r="S22" s="56"/>
      <c r="T22" s="56"/>
      <c r="U22" s="56"/>
      <c r="V22" s="56" t="s">
        <v>203</v>
      </c>
      <c r="W22" s="56" t="s">
        <v>220</v>
      </c>
      <c r="X22"/>
      <c r="Y22"/>
      <c r="Z22"/>
    </row>
    <row r="23" spans="1:26" ht="15" customHeight="1" x14ac:dyDescent="0.35">
      <c r="A23" s="111" t="s">
        <v>73</v>
      </c>
      <c r="B23" s="111"/>
      <c r="C23" s="111"/>
      <c r="D23" s="111"/>
      <c r="E23" s="127" t="s">
        <v>15</v>
      </c>
      <c r="F23" s="127"/>
      <c r="G23" s="127"/>
      <c r="H23" s="127"/>
      <c r="S23" s="56"/>
      <c r="T23" s="56"/>
      <c r="U23" s="56"/>
      <c r="V23" s="56" t="s">
        <v>204</v>
      </c>
      <c r="W23" s="56" t="s">
        <v>221</v>
      </c>
      <c r="X23"/>
      <c r="Y23"/>
      <c r="Z23"/>
    </row>
    <row r="24" spans="1:26" ht="18.75" customHeight="1" x14ac:dyDescent="0.35">
      <c r="A24" s="111"/>
      <c r="B24" s="111"/>
      <c r="C24" s="111"/>
      <c r="D24" s="111"/>
      <c r="E24" s="127"/>
      <c r="F24" s="127"/>
      <c r="G24" s="127"/>
      <c r="H24" s="127"/>
      <c r="S24" s="56"/>
      <c r="T24" s="56"/>
      <c r="U24" s="56"/>
      <c r="V24" s="56" t="s">
        <v>205</v>
      </c>
      <c r="W24" s="56" t="s">
        <v>222</v>
      </c>
      <c r="X24"/>
      <c r="Y24"/>
      <c r="Z24"/>
    </row>
    <row r="25" spans="1:26" ht="15" customHeight="1" x14ac:dyDescent="0.35">
      <c r="A25" s="111" t="s">
        <v>16</v>
      </c>
      <c r="B25" s="111"/>
      <c r="C25" s="111"/>
      <c r="D25" s="111"/>
      <c r="E25" s="126" t="s">
        <v>17</v>
      </c>
      <c r="F25" s="126"/>
      <c r="G25" s="126"/>
      <c r="H25" s="126"/>
      <c r="S25" s="56"/>
      <c r="T25" s="56"/>
      <c r="U25" s="56"/>
      <c r="V25" s="56" t="s">
        <v>206</v>
      </c>
      <c r="W25" s="56" t="s">
        <v>223</v>
      </c>
      <c r="X25"/>
      <c r="Y25"/>
      <c r="Z25"/>
    </row>
    <row r="26" spans="1:26" ht="15" customHeight="1" x14ac:dyDescent="0.35">
      <c r="A26" s="102" t="s">
        <v>18</v>
      </c>
      <c r="B26" s="102"/>
      <c r="C26" s="102"/>
      <c r="D26" s="102"/>
      <c r="E26" s="126" t="str">
        <f>IF(AND(G20="Mumbai"),"Upper Class","Middle Class")</f>
        <v>Middle Class</v>
      </c>
      <c r="F26" s="126"/>
      <c r="G26" s="126"/>
      <c r="H26" s="126"/>
      <c r="S26" s="56"/>
      <c r="T26" s="56"/>
      <c r="U26" s="56"/>
      <c r="V26" s="56" t="s">
        <v>207</v>
      </c>
      <c r="W26" s="56" t="s">
        <v>224</v>
      </c>
      <c r="X26"/>
      <c r="Y26"/>
      <c r="Z26"/>
    </row>
    <row r="27" spans="1:26" x14ac:dyDescent="0.35">
      <c r="A27" s="102" t="s">
        <v>19</v>
      </c>
      <c r="B27" s="102"/>
      <c r="C27" s="102"/>
      <c r="D27" s="102"/>
      <c r="E27" s="126" t="s">
        <v>20</v>
      </c>
      <c r="F27" s="126"/>
      <c r="G27" s="126"/>
      <c r="H27" s="126"/>
      <c r="S27" s="56"/>
      <c r="T27" s="56"/>
      <c r="U27" s="56"/>
      <c r="V27" s="56" t="s">
        <v>208</v>
      </c>
      <c r="W27" s="56" t="s">
        <v>225</v>
      </c>
      <c r="X27"/>
      <c r="Y27"/>
      <c r="Z27"/>
    </row>
    <row r="28" spans="1:26" ht="15.75" customHeight="1" x14ac:dyDescent="0.35">
      <c r="A28" s="102" t="s">
        <v>21</v>
      </c>
      <c r="B28" s="102"/>
      <c r="C28" s="102"/>
      <c r="D28" s="102"/>
      <c r="E28" s="126" t="str">
        <f>IF(AND(G20="Mumbai"),"Developed","Developing")</f>
        <v>Developing</v>
      </c>
      <c r="F28" s="126"/>
      <c r="G28" s="126"/>
      <c r="H28" s="126"/>
    </row>
    <row r="29" spans="1:26" x14ac:dyDescent="0.35">
      <c r="A29" s="102" t="s">
        <v>22</v>
      </c>
      <c r="B29" s="102"/>
      <c r="C29" s="102"/>
      <c r="D29" s="102"/>
      <c r="E29" s="126" t="s">
        <v>23</v>
      </c>
      <c r="F29" s="126"/>
      <c r="G29" s="126"/>
      <c r="H29" s="126"/>
    </row>
    <row r="30" spans="1:26" ht="15.75" customHeight="1" x14ac:dyDescent="0.35">
      <c r="A30" s="102" t="s">
        <v>78</v>
      </c>
      <c r="B30" s="102"/>
      <c r="C30" s="102"/>
      <c r="D30" s="102"/>
      <c r="E30" s="126" t="s">
        <v>79</v>
      </c>
      <c r="F30" s="126"/>
      <c r="G30" s="126"/>
      <c r="H30" s="126"/>
    </row>
    <row r="31" spans="1:26" ht="15" customHeight="1" x14ac:dyDescent="0.35">
      <c r="A31" s="102" t="s">
        <v>30</v>
      </c>
      <c r="B31" s="102"/>
      <c r="C31" s="102"/>
      <c r="D31" s="102"/>
      <c r="E31" s="126" t="str">
        <f>IF(AND(ISNUMBER(SEARCH("Flat",D63)),ISNUMBER(SEARCH("Shop",D63)),ISNUMBER(SEARCH("Office",D63))),"Residential + Commercial",IF(AND(ISNUMBER(SEARCH("Flat",D63)),ISNUMBER(SEARCH("Shop",D63))),"Residential + Commercial",IF(AND(ISNUMBER(SEARCH("Flat",D63)),ISNUMBER(SEARCH("Office",D63))),"Residential + Commercial",IF(AND(ISNUMBER(SEARCH("Shop",D63)),ISNUMBER(SEARCH("Office",D63))),"Commercial",IF(ISNUMBER(SEARCH("Shop",D63)),"Commercial",IF(ISNUMBER(SEARCH("Office",D63)),"Commercial",IF(ISNUMBER(SEARCH("Flat",D63)),"Residential")))))))</f>
        <v>Residential</v>
      </c>
      <c r="F31" s="126"/>
      <c r="G31" s="126"/>
      <c r="H31" s="126"/>
    </row>
    <row r="32" spans="1:26" ht="15.75" customHeight="1" x14ac:dyDescent="0.35">
      <c r="A32" s="102" t="s">
        <v>90</v>
      </c>
      <c r="B32" s="102"/>
      <c r="C32" s="102"/>
      <c r="D32" s="102"/>
      <c r="E32" s="126" t="s">
        <v>31</v>
      </c>
      <c r="F32" s="126"/>
      <c r="G32" s="126"/>
      <c r="H32" s="126"/>
    </row>
    <row r="33" spans="1:19" s="22" customFormat="1" x14ac:dyDescent="0.35">
      <c r="A33" s="183" t="s">
        <v>91</v>
      </c>
      <c r="B33" s="183"/>
      <c r="C33" s="100" t="s">
        <v>175</v>
      </c>
      <c r="D33" s="100"/>
      <c r="E33" s="100"/>
      <c r="F33" s="100" t="s">
        <v>29</v>
      </c>
      <c r="G33" s="100"/>
      <c r="H33" s="100"/>
      <c r="S33" s="22" t="e">
        <f ca="1">OFFSET($S$13,1,MATCH($G20,$S$13:$W$13,0)-1,15,1)</f>
        <v>#VALUE!</v>
      </c>
    </row>
    <row r="34" spans="1:19" s="22" customFormat="1" x14ac:dyDescent="0.35">
      <c r="A34" s="182" t="s">
        <v>24</v>
      </c>
      <c r="B34" s="182" t="s">
        <v>28</v>
      </c>
      <c r="C34" s="236" t="s">
        <v>316</v>
      </c>
      <c r="D34" s="236"/>
      <c r="E34" s="236"/>
      <c r="F34" s="236" t="s">
        <v>318</v>
      </c>
      <c r="G34" s="236"/>
      <c r="H34" s="236"/>
    </row>
    <row r="35" spans="1:19" x14ac:dyDescent="0.35">
      <c r="A35" s="182" t="s">
        <v>25</v>
      </c>
      <c r="B35" s="182" t="s">
        <v>28</v>
      </c>
      <c r="C35" s="236" t="s">
        <v>318</v>
      </c>
      <c r="D35" s="236"/>
      <c r="E35" s="236"/>
      <c r="F35" s="236" t="s">
        <v>345</v>
      </c>
      <c r="G35" s="236"/>
      <c r="H35" s="236"/>
    </row>
    <row r="36" spans="1:19" s="22" customFormat="1" x14ac:dyDescent="0.35">
      <c r="A36" s="182" t="s">
        <v>27</v>
      </c>
      <c r="B36" s="182" t="s">
        <v>28</v>
      </c>
      <c r="C36" s="236" t="s">
        <v>315</v>
      </c>
      <c r="D36" s="236"/>
      <c r="E36" s="236"/>
      <c r="F36" s="236" t="s">
        <v>318</v>
      </c>
      <c r="G36" s="236"/>
      <c r="H36" s="236"/>
    </row>
    <row r="37" spans="1:19" x14ac:dyDescent="0.35">
      <c r="A37" s="182" t="s">
        <v>26</v>
      </c>
      <c r="B37" s="182" t="s">
        <v>28</v>
      </c>
      <c r="C37" s="236" t="s">
        <v>317</v>
      </c>
      <c r="D37" s="236"/>
      <c r="E37" s="236"/>
      <c r="F37" s="236" t="s">
        <v>346</v>
      </c>
      <c r="G37" s="236"/>
      <c r="H37" s="236"/>
    </row>
    <row r="38" spans="1:19" x14ac:dyDescent="0.35">
      <c r="A38" s="102" t="s">
        <v>280</v>
      </c>
      <c r="B38" s="102"/>
      <c r="C38" s="102"/>
      <c r="D38" s="102"/>
      <c r="E38" s="102"/>
      <c r="F38" s="102"/>
      <c r="G38" s="102"/>
      <c r="H38" s="102"/>
    </row>
    <row r="39" spans="1:19" ht="15.75" customHeight="1" x14ac:dyDescent="0.35">
      <c r="A39" s="102" t="s">
        <v>167</v>
      </c>
      <c r="B39" s="102"/>
      <c r="C39" s="171" t="s">
        <v>319</v>
      </c>
      <c r="D39" s="171"/>
      <c r="E39" s="171"/>
      <c r="F39" s="171"/>
      <c r="G39" s="171"/>
      <c r="H39" s="171"/>
    </row>
    <row r="40" spans="1:19" x14ac:dyDescent="0.35">
      <c r="A40" s="102" t="s">
        <v>163</v>
      </c>
      <c r="B40" s="102"/>
      <c r="C40" s="215" t="s">
        <v>320</v>
      </c>
      <c r="D40" s="126"/>
      <c r="E40" s="126"/>
      <c r="F40" s="126"/>
      <c r="G40" s="126"/>
      <c r="H40" s="126"/>
    </row>
    <row r="41" spans="1:19" x14ac:dyDescent="0.35">
      <c r="A41" s="171" t="s">
        <v>32</v>
      </c>
      <c r="B41" s="171"/>
      <c r="C41" s="171"/>
      <c r="D41" s="171"/>
      <c r="E41" s="171"/>
      <c r="F41" s="171"/>
      <c r="G41" s="171"/>
      <c r="H41" s="171"/>
    </row>
    <row r="42" spans="1:19" x14ac:dyDescent="0.35">
      <c r="A42" s="102" t="s">
        <v>33</v>
      </c>
      <c r="B42" s="102"/>
      <c r="C42" s="102"/>
      <c r="D42" s="102"/>
      <c r="E42" s="190">
        <v>2420</v>
      </c>
      <c r="F42" s="190"/>
      <c r="G42" s="190"/>
      <c r="H42" s="190"/>
    </row>
    <row r="43" spans="1:19" x14ac:dyDescent="0.35">
      <c r="A43" s="102" t="s">
        <v>34</v>
      </c>
      <c r="B43" s="102"/>
      <c r="C43" s="102"/>
      <c r="D43" s="102"/>
      <c r="E43" s="113">
        <f>2662/E42</f>
        <v>1.1000000000000001</v>
      </c>
      <c r="F43" s="113"/>
      <c r="G43" s="113"/>
      <c r="H43" s="113"/>
    </row>
    <row r="44" spans="1:19" x14ac:dyDescent="0.35">
      <c r="A44" s="102" t="s">
        <v>35</v>
      </c>
      <c r="B44" s="102"/>
      <c r="C44" s="102"/>
      <c r="D44" s="102"/>
      <c r="E44" s="113">
        <f>E46/E42-E43</f>
        <v>4.4299876033057846</v>
      </c>
      <c r="F44" s="113"/>
      <c r="G44" s="113"/>
      <c r="H44" s="113"/>
    </row>
    <row r="45" spans="1:19" x14ac:dyDescent="0.35">
      <c r="A45" s="102" t="s">
        <v>36</v>
      </c>
      <c r="B45" s="102"/>
      <c r="C45" s="102"/>
      <c r="D45" s="102"/>
      <c r="E45" s="113">
        <f>E43+E44</f>
        <v>5.5299876033057842</v>
      </c>
      <c r="F45" s="113"/>
      <c r="G45" s="113"/>
      <c r="H45" s="113"/>
    </row>
    <row r="46" spans="1:19" x14ac:dyDescent="0.35">
      <c r="A46" s="102" t="s">
        <v>89</v>
      </c>
      <c r="B46" s="102"/>
      <c r="C46" s="102"/>
      <c r="D46" s="102"/>
      <c r="E46" s="204">
        <v>13382.57</v>
      </c>
      <c r="F46" s="204"/>
      <c r="G46" s="204"/>
      <c r="H46" s="204"/>
    </row>
    <row r="47" spans="1:19" x14ac:dyDescent="0.35">
      <c r="A47" s="127" t="s">
        <v>37</v>
      </c>
      <c r="B47" s="127"/>
      <c r="C47" s="127"/>
      <c r="D47" s="127"/>
      <c r="E47" s="127" t="s">
        <v>119</v>
      </c>
      <c r="F47" s="127"/>
      <c r="G47" s="127"/>
      <c r="H47" s="127"/>
    </row>
    <row r="48" spans="1:19" x14ac:dyDescent="0.35">
      <c r="A48" s="171" t="s">
        <v>38</v>
      </c>
      <c r="B48" s="171"/>
      <c r="C48" s="171"/>
      <c r="D48" s="171"/>
      <c r="E48" s="171"/>
      <c r="F48" s="171"/>
      <c r="G48" s="171"/>
      <c r="H48" s="171"/>
    </row>
    <row r="49" spans="1:24" ht="33.75" customHeight="1" x14ac:dyDescent="0.35">
      <c r="A49" s="111" t="s">
        <v>152</v>
      </c>
      <c r="B49" s="111"/>
      <c r="C49" s="178" t="s">
        <v>275</v>
      </c>
      <c r="D49" s="178"/>
      <c r="E49" s="178"/>
      <c r="F49" s="178"/>
      <c r="G49" s="178"/>
      <c r="H49" s="178"/>
      <c r="R49" t="s">
        <v>253</v>
      </c>
      <c r="S49" t="s">
        <v>174</v>
      </c>
      <c r="T49" t="s">
        <v>179</v>
      </c>
      <c r="U49" t="s">
        <v>194</v>
      </c>
      <c r="V49" t="s">
        <v>189</v>
      </c>
    </row>
    <row r="50" spans="1:24" ht="15.75" customHeight="1" x14ac:dyDescent="0.35">
      <c r="A50" s="121" t="s">
        <v>39</v>
      </c>
      <c r="B50" s="122"/>
      <c r="C50" s="121" t="s">
        <v>321</v>
      </c>
      <c r="D50" s="123"/>
      <c r="E50" s="122"/>
      <c r="F50" s="18" t="s">
        <v>40</v>
      </c>
      <c r="G50" s="124">
        <v>45275</v>
      </c>
      <c r="H50" s="122"/>
      <c r="R50"/>
      <c r="S50" t="s">
        <v>254</v>
      </c>
      <c r="T50" t="s">
        <v>259</v>
      </c>
      <c r="U50" t="s">
        <v>270</v>
      </c>
      <c r="V50" t="s">
        <v>275</v>
      </c>
    </row>
    <row r="51" spans="1:24" x14ac:dyDescent="0.35">
      <c r="A51" s="121" t="s">
        <v>41</v>
      </c>
      <c r="B51" s="122"/>
      <c r="C51" s="121" t="str">
        <f>C50</f>
        <v>VVCMC/TP/CC/VP/6964/224/2023-24</v>
      </c>
      <c r="D51" s="123"/>
      <c r="E51" s="122"/>
      <c r="F51" s="18" t="s">
        <v>40</v>
      </c>
      <c r="G51" s="124">
        <v>45275</v>
      </c>
      <c r="H51" s="122"/>
      <c r="R51"/>
      <c r="S51" t="s">
        <v>255</v>
      </c>
      <c r="T51" t="s">
        <v>260</v>
      </c>
      <c r="U51" t="s">
        <v>268</v>
      </c>
      <c r="V51" t="s">
        <v>276</v>
      </c>
    </row>
    <row r="52" spans="1:24" s="23" customFormat="1" ht="15.75" customHeight="1" x14ac:dyDescent="0.35">
      <c r="A52" s="134" t="s">
        <v>156</v>
      </c>
      <c r="B52" s="135"/>
      <c r="C52" s="121" t="s">
        <v>322</v>
      </c>
      <c r="D52" s="123"/>
      <c r="E52" s="122"/>
      <c r="F52" s="18" t="s">
        <v>40</v>
      </c>
      <c r="G52" s="124">
        <v>45275</v>
      </c>
      <c r="H52" s="122"/>
      <c r="R52"/>
      <c r="S52" t="s">
        <v>256</v>
      </c>
      <c r="T52" t="s">
        <v>261</v>
      </c>
      <c r="U52" t="s">
        <v>258</v>
      </c>
      <c r="V52" t="s">
        <v>277</v>
      </c>
    </row>
    <row r="53" spans="1:24" s="23" customFormat="1" x14ac:dyDescent="0.35">
      <c r="A53" s="136"/>
      <c r="B53" s="137"/>
      <c r="C53" s="121" t="s">
        <v>344</v>
      </c>
      <c r="D53" s="123"/>
      <c r="E53" s="123"/>
      <c r="F53" s="123"/>
      <c r="G53" s="123"/>
      <c r="H53" s="122"/>
      <c r="R53"/>
      <c r="S53" t="s">
        <v>257</v>
      </c>
      <c r="T53" t="s">
        <v>264</v>
      </c>
      <c r="U53" t="s">
        <v>271</v>
      </c>
    </row>
    <row r="54" spans="1:24" s="23" customFormat="1" hidden="1" x14ac:dyDescent="0.35">
      <c r="A54" s="130" t="s">
        <v>281</v>
      </c>
      <c r="B54" s="131"/>
      <c r="C54" s="121" t="str">
        <f>C53</f>
        <v>Stilt + 1st to 16th Floor</v>
      </c>
      <c r="D54" s="123"/>
      <c r="E54" s="122"/>
      <c r="F54" s="18" t="s">
        <v>40</v>
      </c>
      <c r="G54" s="121"/>
      <c r="H54" s="122"/>
      <c r="R54"/>
      <c r="S54" t="s">
        <v>256</v>
      </c>
      <c r="T54" t="s">
        <v>261</v>
      </c>
      <c r="U54" t="s">
        <v>258</v>
      </c>
      <c r="V54" t="s">
        <v>277</v>
      </c>
    </row>
    <row r="55" spans="1:24" s="23" customFormat="1" ht="32.25" hidden="1" customHeight="1" x14ac:dyDescent="0.35">
      <c r="A55" s="132"/>
      <c r="B55" s="133"/>
      <c r="C55" s="207"/>
      <c r="D55" s="208"/>
      <c r="E55" s="208"/>
      <c r="F55" s="208"/>
      <c r="G55" s="208"/>
      <c r="H55" s="209"/>
      <c r="R55"/>
      <c r="S55" t="s">
        <v>258</v>
      </c>
      <c r="T55" t="s">
        <v>262</v>
      </c>
      <c r="U55" t="s">
        <v>272</v>
      </c>
      <c r="V55" s="21"/>
      <c r="W55" s="21"/>
      <c r="X55" s="21"/>
    </row>
    <row r="56" spans="1:24" s="23" customFormat="1" ht="34.5" hidden="1" customHeight="1" x14ac:dyDescent="0.35">
      <c r="A56" s="130" t="s">
        <v>282</v>
      </c>
      <c r="B56" s="131"/>
      <c r="C56" s="121">
        <f>C55</f>
        <v>0</v>
      </c>
      <c r="D56" s="123"/>
      <c r="E56" s="122"/>
      <c r="F56" s="18" t="s">
        <v>40</v>
      </c>
      <c r="G56" s="121">
        <f>G55</f>
        <v>0</v>
      </c>
      <c r="H56" s="122"/>
      <c r="R56"/>
      <c r="S56" s="21"/>
      <c r="T56" t="s">
        <v>263</v>
      </c>
      <c r="U56" t="s">
        <v>273</v>
      </c>
      <c r="V56" s="21"/>
      <c r="W56" s="21"/>
      <c r="X56" s="21"/>
    </row>
    <row r="57" spans="1:24" s="23" customFormat="1" ht="41.25" hidden="1" customHeight="1" x14ac:dyDescent="0.35">
      <c r="A57" s="132"/>
      <c r="B57" s="133"/>
      <c r="C57" s="121"/>
      <c r="D57" s="123"/>
      <c r="E57" s="123"/>
      <c r="F57" s="123"/>
      <c r="G57" s="123"/>
      <c r="H57" s="122"/>
      <c r="R57"/>
      <c r="S57" s="21"/>
      <c r="T57" t="s">
        <v>265</v>
      </c>
      <c r="U57" t="s">
        <v>274</v>
      </c>
      <c r="V57" s="21"/>
      <c r="W57" s="21"/>
      <c r="X57" s="21"/>
    </row>
    <row r="58" spans="1:24" s="23" customFormat="1" ht="15.75" hidden="1" customHeight="1" x14ac:dyDescent="0.35">
      <c r="A58" s="130" t="s">
        <v>283</v>
      </c>
      <c r="B58" s="131"/>
      <c r="C58" s="121">
        <f>C57</f>
        <v>0</v>
      </c>
      <c r="D58" s="123"/>
      <c r="E58" s="122"/>
      <c r="F58" s="18" t="s">
        <v>40</v>
      </c>
      <c r="G58" s="121">
        <f>G57</f>
        <v>0</v>
      </c>
      <c r="H58" s="122"/>
      <c r="R58"/>
      <c r="S58" s="21"/>
      <c r="T58" t="s">
        <v>266</v>
      </c>
      <c r="U58" s="21" t="s">
        <v>297</v>
      </c>
      <c r="V58" s="21"/>
      <c r="W58" s="21"/>
      <c r="X58" s="21"/>
    </row>
    <row r="59" spans="1:24" s="23" customFormat="1" ht="33.75" hidden="1" customHeight="1" x14ac:dyDescent="0.35">
      <c r="A59" s="132"/>
      <c r="B59" s="133"/>
      <c r="C59" s="121"/>
      <c r="D59" s="123"/>
      <c r="E59" s="123"/>
      <c r="F59" s="123"/>
      <c r="G59" s="123"/>
      <c r="H59" s="122"/>
      <c r="R59"/>
      <c r="S59" s="21"/>
      <c r="T59" t="s">
        <v>267</v>
      </c>
      <c r="U59" s="21"/>
      <c r="V59" s="21"/>
      <c r="W59" s="21"/>
      <c r="X59" s="21"/>
    </row>
    <row r="60" spans="1:24" x14ac:dyDescent="0.35">
      <c r="A60" s="105" t="s">
        <v>42</v>
      </c>
      <c r="B60" s="106"/>
      <c r="C60" s="105" t="s">
        <v>103</v>
      </c>
      <c r="D60" s="107"/>
      <c r="E60" s="106"/>
      <c r="F60" s="45" t="s">
        <v>40</v>
      </c>
      <c r="G60" s="128" t="s">
        <v>28</v>
      </c>
      <c r="H60" s="129"/>
      <c r="R60"/>
      <c r="T60" t="s">
        <v>269</v>
      </c>
    </row>
    <row r="61" spans="1:24" x14ac:dyDescent="0.35">
      <c r="A61" s="125" t="s">
        <v>44</v>
      </c>
      <c r="B61" s="125"/>
      <c r="C61" s="125"/>
      <c r="D61" s="125"/>
      <c r="E61" s="125"/>
      <c r="F61" s="125"/>
      <c r="G61" s="125"/>
      <c r="H61" s="125"/>
      <c r="T61" t="s">
        <v>278</v>
      </c>
    </row>
    <row r="62" spans="1:24" x14ac:dyDescent="0.35">
      <c r="A62" s="111" t="s">
        <v>88</v>
      </c>
      <c r="B62" s="111"/>
      <c r="C62" s="111"/>
      <c r="D62" s="102">
        <f>E46</f>
        <v>13382.57</v>
      </c>
      <c r="E62" s="102"/>
      <c r="F62" s="102"/>
      <c r="G62" s="102"/>
      <c r="H62" s="102"/>
      <c r="R62"/>
    </row>
    <row r="63" spans="1:24" x14ac:dyDescent="0.35">
      <c r="A63" s="126" t="s">
        <v>45</v>
      </c>
      <c r="B63" s="127"/>
      <c r="C63" s="127"/>
      <c r="D63" s="127" t="s">
        <v>357</v>
      </c>
      <c r="E63" s="127"/>
      <c r="F63" s="127"/>
      <c r="G63" s="127"/>
      <c r="H63" s="127"/>
      <c r="I63" s="24"/>
      <c r="R63"/>
    </row>
    <row r="64" spans="1:24" x14ac:dyDescent="0.35">
      <c r="A64" s="85" t="s">
        <v>46</v>
      </c>
      <c r="B64" s="86"/>
      <c r="C64" s="221"/>
      <c r="D64" s="174" t="s">
        <v>324</v>
      </c>
      <c r="E64" s="220"/>
      <c r="F64" s="220"/>
      <c r="G64" s="220"/>
      <c r="H64" s="220"/>
      <c r="R64"/>
    </row>
    <row r="65" spans="1:19" ht="15.75" customHeight="1" x14ac:dyDescent="0.35">
      <c r="A65" s="85" t="s">
        <v>86</v>
      </c>
      <c r="B65" s="86"/>
      <c r="C65" s="86"/>
      <c r="D65" s="87" t="s">
        <v>326</v>
      </c>
      <c r="E65" s="88"/>
      <c r="F65" s="88"/>
      <c r="G65" s="88"/>
      <c r="H65" s="89"/>
      <c r="R65"/>
    </row>
    <row r="66" spans="1:19" ht="15.75" customHeight="1" x14ac:dyDescent="0.35">
      <c r="A66" s="127" t="s">
        <v>43</v>
      </c>
      <c r="B66" s="127"/>
      <c r="C66" s="127"/>
      <c r="D66" s="191" t="s">
        <v>323</v>
      </c>
      <c r="E66" s="191"/>
      <c r="F66" s="191"/>
      <c r="G66" s="191"/>
      <c r="H66" s="191"/>
      <c r="J66" s="25"/>
      <c r="K66" s="24"/>
      <c r="N66" s="24"/>
      <c r="S66"/>
    </row>
    <row r="67" spans="1:19" ht="15.75" customHeight="1" x14ac:dyDescent="0.35">
      <c r="A67" s="127" t="s">
        <v>84</v>
      </c>
      <c r="B67" s="127"/>
      <c r="C67" s="127"/>
      <c r="D67" s="203" t="str">
        <f>(IF(G60="NA","60 Years After Completion",IF(G60&lt;&gt;"NA",""&amp;60-ROUNDDOWN((E3-G60)/360,0)&amp;" Years"," ")))</f>
        <v>60 Years After Completion</v>
      </c>
      <c r="E67" s="203"/>
      <c r="F67" s="203"/>
      <c r="G67" s="203"/>
      <c r="H67" s="203"/>
      <c r="N67" s="24"/>
      <c r="S67"/>
    </row>
    <row r="68" spans="1:19" ht="15.75" customHeight="1" x14ac:dyDescent="0.35">
      <c r="A68" s="127" t="s">
        <v>85</v>
      </c>
      <c r="B68" s="127"/>
      <c r="C68" s="127"/>
      <c r="D68" s="126" t="s">
        <v>23</v>
      </c>
      <c r="E68" s="126"/>
      <c r="F68" s="126"/>
      <c r="G68" s="126"/>
      <c r="H68" s="126"/>
      <c r="J68" s="26"/>
      <c r="K68" s="26"/>
      <c r="S68"/>
    </row>
    <row r="69" spans="1:19" ht="48.75" customHeight="1" x14ac:dyDescent="0.35">
      <c r="A69" s="127" t="s">
        <v>358</v>
      </c>
      <c r="B69" s="127"/>
      <c r="C69" s="127"/>
      <c r="D69" s="126" t="s">
        <v>325</v>
      </c>
      <c r="E69" s="126"/>
      <c r="F69" s="126"/>
      <c r="G69" s="126"/>
      <c r="H69" s="126"/>
      <c r="S69"/>
    </row>
    <row r="70" spans="1:19" x14ac:dyDescent="0.35">
      <c r="A70" s="111" t="s">
        <v>148</v>
      </c>
      <c r="B70" s="111"/>
      <c r="C70" s="111"/>
      <c r="D70" s="111" t="s">
        <v>28</v>
      </c>
      <c r="E70" s="111"/>
      <c r="F70" s="111"/>
      <c r="G70" s="111"/>
      <c r="H70" s="111"/>
      <c r="I70" s="27"/>
      <c r="J70" s="27"/>
      <c r="K70" s="27"/>
      <c r="L70" s="27"/>
      <c r="M70" s="27"/>
      <c r="N70" s="27"/>
    </row>
    <row r="71" spans="1:19" ht="15.75" customHeight="1" x14ac:dyDescent="0.35">
      <c r="A71" s="112" t="s">
        <v>83</v>
      </c>
      <c r="B71" s="112"/>
      <c r="C71" s="112"/>
      <c r="D71" s="174" t="str">
        <f ca="1">(IF(G77&gt;95%,"Nothing",IF(G77&gt;0%,"Cement, Aggregate, Steel, etc",IF(G77=0%,"Work not yet Started"))))</f>
        <v>Cement, Aggregate, Steel, etc</v>
      </c>
      <c r="E71" s="174"/>
      <c r="F71" s="174"/>
      <c r="G71" s="174"/>
      <c r="H71" s="174"/>
      <c r="J71" s="26"/>
      <c r="S71"/>
    </row>
    <row r="72" spans="1:19" ht="33.75" customHeight="1" thickBot="1" x14ac:dyDescent="0.4">
      <c r="A72" s="173" t="s">
        <v>116</v>
      </c>
      <c r="B72" s="173"/>
      <c r="C72" s="173"/>
      <c r="D72" s="174" t="str">
        <f ca="1">(IF(D71="Nothing","Yes",IF(D71="Cement, Aggregate, Steel, etc","Under Construction",IF(D71="Work not yet Started","Work not yet Started"))))</f>
        <v>Under Construction</v>
      </c>
      <c r="E72" s="174"/>
      <c r="F72" s="174" t="str">
        <f ca="1">(IF(D71="Nothing","Yes",IF(D71="Cement, Aggregate, Steel, etc","Under Construction",IF(D71="Work not yet Started","Work not yet Started"))))</f>
        <v>Under Construction</v>
      </c>
      <c r="G72" s="174"/>
      <c r="H72" s="174"/>
      <c r="S72"/>
    </row>
    <row r="73" spans="1:19" ht="15.75" customHeight="1" x14ac:dyDescent="0.35">
      <c r="A73" s="224" t="s">
        <v>138</v>
      </c>
      <c r="B73" s="225"/>
      <c r="C73" s="226" t="s">
        <v>361</v>
      </c>
      <c r="D73" s="227"/>
      <c r="E73" s="227"/>
      <c r="F73" s="227"/>
      <c r="G73" s="227"/>
      <c r="H73" s="228"/>
      <c r="I73" s="49" t="str">
        <f ca="1">IF(D86=100%,"All work Completed. Possession granted to the Building.",IF(D85=100%,"All work Completed, Waiting for OC",I74&amp;""&amp;I75&amp;""&amp;J74&amp;""&amp;J73&amp;" "&amp;J75))</f>
        <v>Excavation, Plinth Completed, RCC upto 3 Slab, Brickwork upto 1 Floor Completed</v>
      </c>
      <c r="J73" s="50" t="str">
        <f ca="1">(IF(C79=(D74+F74+H74),"",IF(C79&gt;0,", RCC upto "&amp;C79&amp;" Slab","")))&amp;(IF(C80=H74,"",IF(C80&gt;0,", Brickwork upto "&amp;C80&amp;" Floor","")))&amp;(IF(C81=H74,"",IF(C81&gt;0,", Internal Plaster upto "&amp;C81&amp;" Floor","")))&amp;(IF(C82=H74,"",IF(C82&gt;0,", External Plaster upto "&amp;C82&amp;" Floor","")))&amp;(IF(C83=H74,"",IF(C83&gt;0,", Flooring upto "&amp;C83&amp;" Floor","")))&amp;(IF(C84=H74,"",IF(C84&gt;0,", Painting upto "&amp;C84&amp;" Floor","")))&amp;(IF(C85=H74,"",IF(C85&gt;0,", Finishing upto "&amp;C85&amp;" Floor","")))&amp;(IF(C86=H74,"",IF(C86&gt;0,", Possession upto "&amp;C86&amp;" Floor","")))</f>
        <v>, RCC upto 3 Slab, Brickwork upto 1 Floor</v>
      </c>
      <c r="S73"/>
    </row>
    <row r="74" spans="1:19" x14ac:dyDescent="0.35">
      <c r="A74" s="16" t="s">
        <v>140</v>
      </c>
      <c r="B74" s="53">
        <f>IF(AND(ISNUMBER(SEARCH("1B",C73))),1,IF(AND(ISNUMBER(SEARCH("2B",C73))),2,IF(AND(ISNUMBER(SEARCH("3B",C73))),3,IF(AND(ISNUMBER(SEARCH("4B",C73))),4,IF(ISNUMBER(SEARCH("5B",C73)),5,0)))))</f>
        <v>0</v>
      </c>
      <c r="C74" s="53" t="s">
        <v>69</v>
      </c>
      <c r="D74" s="53">
        <v>1</v>
      </c>
      <c r="E74" s="53" t="s">
        <v>68</v>
      </c>
      <c r="F74" s="53">
        <v>0</v>
      </c>
      <c r="G74" s="53" t="s">
        <v>77</v>
      </c>
      <c r="H74" s="17">
        <f ca="1">--TRIM(RIGHT(SUBSTITUTE(LEFT(C73,_xlfn.AGGREGATE(16,6,FIND({0,1,2,3,4,5,6,7,8,9},C73,ROW(INDIRECT("1:"&amp;LEN(C73)))),1))," ",REPT(" ",LEN(C73))),LEN(C73)))</f>
        <v>16</v>
      </c>
      <c r="I74" s="51" t="str">
        <f ca="1">IF(D77=100%,"Excavation","")&amp;IF(D78=100%,", Plinth","")&amp;IF(D79=100%,", RCC Slab","")&amp;IF(D80=100%,", Brickwork","")&amp;IF(D81=100%,", Internal Plaster","")&amp;IF(D82=100%,", External Plaster","")&amp;IF(D83=100%,", Flooring","")&amp;IF(D84=100%,", Painting","")&amp;IF(D85=100%,", Building common Amenities","")</f>
        <v>Excavation, Plinth</v>
      </c>
      <c r="J74" s="52" t="str">
        <f ca="1">(IF(C77=0,"Work not yet Started.",IF(D77=25%,"Piling work in process",IF(D77=50%,"Excavation work in process",IF(D77=100%,"","0")))))&amp;(IF(C78=0%,"",IF(C78=J79,", Footing work is process",IF(C78=J80,", Footing work Completed",IF(C78=J81,", 1st Basement Completed",IF(C78=J82,", 1st &amp; 2nd Basement Completed",IF(C78=J83,", 1st to 3rd Basement Completed",IF(C78=J84,", 1st to 4th Basement Completed",IF(C78=J85,", Plinth work is process",IF(C78=J86,"","0"))))))))))</f>
        <v/>
      </c>
      <c r="S74"/>
    </row>
    <row r="75" spans="1:19" x14ac:dyDescent="0.35">
      <c r="A75" s="205" t="s">
        <v>87</v>
      </c>
      <c r="B75" s="178"/>
      <c r="C75" s="222" t="str">
        <f ca="1">I73</f>
        <v>Excavation, Plinth Completed, RCC upto 3 Slab, Brickwork upto 1 Floor Completed</v>
      </c>
      <c r="D75" s="222"/>
      <c r="E75" s="222"/>
      <c r="F75" s="222"/>
      <c r="G75" s="222"/>
      <c r="H75" s="223"/>
      <c r="I75" s="51" t="str">
        <f ca="1">IF(I74&lt;&gt;""," Completed","")</f>
        <v xml:space="preserve"> Completed</v>
      </c>
      <c r="J75" s="52" t="str">
        <f ca="1">IF(J73&lt;&gt;"","Completed","")</f>
        <v>Completed</v>
      </c>
      <c r="S75"/>
    </row>
    <row r="76" spans="1:19" ht="15.75" customHeight="1" x14ac:dyDescent="0.35">
      <c r="A76" s="119" t="s">
        <v>47</v>
      </c>
      <c r="B76" s="120"/>
      <c r="C76" s="78" t="s">
        <v>137</v>
      </c>
      <c r="D76" s="78" t="s">
        <v>80</v>
      </c>
      <c r="E76" s="120" t="s">
        <v>82</v>
      </c>
      <c r="F76" s="120"/>
      <c r="G76" s="120" t="s">
        <v>81</v>
      </c>
      <c r="H76" s="175"/>
      <c r="I76" s="13" t="s">
        <v>139</v>
      </c>
      <c r="J76" s="28">
        <f ca="1">H74*25%</f>
        <v>4</v>
      </c>
      <c r="S76"/>
    </row>
    <row r="77" spans="1:19" x14ac:dyDescent="0.35">
      <c r="A77" s="119" t="s">
        <v>126</v>
      </c>
      <c r="B77" s="120"/>
      <c r="C77" s="78">
        <f ca="1">J78</f>
        <v>16</v>
      </c>
      <c r="D77" s="79">
        <f ca="1">((100/H74)*C77)/100</f>
        <v>1</v>
      </c>
      <c r="E77" s="192">
        <f ca="1">(((C78/H74*10)+(40/(D74+F74+H74)*C79)+(7.5/(H74)*C80)+(7.5/(H74)*C81)+(10/H74*C82)+(10/H74*C83)+(5/H74*C84)+(5/H74*C85)+(5/H74*C86))/100)</f>
        <v>0.17527573529411763</v>
      </c>
      <c r="F77" s="193"/>
      <c r="G77" s="192">
        <f ca="1">((((C77/H74)*20)+((C78/H74)*25)+(30/(H74+F74+D74)*C79)+(5/H74*C80)+(5/H74*C81)+(5/H74*C82)+(5/H74*C83)+(0/H74*C84)+(0/H74*C85)+(5/H74*C86))/100)</f>
        <v>0.50606617647058827</v>
      </c>
      <c r="H77" s="198"/>
      <c r="I77" s="13" t="s">
        <v>98</v>
      </c>
      <c r="J77" s="29">
        <f ca="1">H74*50%</f>
        <v>8</v>
      </c>
    </row>
    <row r="78" spans="1:19" x14ac:dyDescent="0.35">
      <c r="A78" s="119" t="s">
        <v>48</v>
      </c>
      <c r="B78" s="120"/>
      <c r="C78" s="80">
        <f ca="1">J86</f>
        <v>16</v>
      </c>
      <c r="D78" s="79">
        <f ca="1">((100/H74)*C78)/100</f>
        <v>1</v>
      </c>
      <c r="E78" s="194"/>
      <c r="F78" s="195"/>
      <c r="G78" s="194"/>
      <c r="H78" s="199"/>
      <c r="I78" s="13" t="s">
        <v>99</v>
      </c>
      <c r="J78" s="29">
        <f ca="1">H74</f>
        <v>16</v>
      </c>
      <c r="S78"/>
    </row>
    <row r="79" spans="1:19" ht="15.75" customHeight="1" x14ac:dyDescent="0.35">
      <c r="A79" s="119" t="s">
        <v>127</v>
      </c>
      <c r="B79" s="120"/>
      <c r="C79" s="78">
        <v>3</v>
      </c>
      <c r="D79" s="79">
        <f ca="1">((100/(D74+F74+H74))*C79)/100</f>
        <v>0.17647058823529413</v>
      </c>
      <c r="E79" s="194"/>
      <c r="F79" s="195"/>
      <c r="G79" s="194"/>
      <c r="H79" s="199"/>
      <c r="I79" s="13" t="s">
        <v>100</v>
      </c>
      <c r="J79" s="30">
        <f ca="1">(IF(B74&gt;1,(H74/(B74+2)),H74/4))</f>
        <v>4</v>
      </c>
      <c r="S79"/>
    </row>
    <row r="80" spans="1:19" ht="15.75" customHeight="1" x14ac:dyDescent="0.35">
      <c r="A80" s="119" t="s">
        <v>134</v>
      </c>
      <c r="B80" s="120" t="s">
        <v>128</v>
      </c>
      <c r="C80" s="78">
        <v>1</v>
      </c>
      <c r="D80" s="79">
        <f ca="1">((100/H74)*C80)/100</f>
        <v>6.25E-2</v>
      </c>
      <c r="E80" s="194"/>
      <c r="F80" s="195"/>
      <c r="G80" s="194"/>
      <c r="H80" s="199"/>
      <c r="I80" s="13" t="s">
        <v>101</v>
      </c>
      <c r="J80" s="30">
        <f ca="1">(IF(B74&gt;1,(H74/(B74+2)+J79),H74/4+J79))</f>
        <v>8</v>
      </c>
    </row>
    <row r="81" spans="1:10" ht="15.75" customHeight="1" x14ac:dyDescent="0.35">
      <c r="A81" s="119" t="s">
        <v>135</v>
      </c>
      <c r="B81" s="120" t="s">
        <v>128</v>
      </c>
      <c r="C81" s="78">
        <v>0</v>
      </c>
      <c r="D81" s="79">
        <f ca="1">((100/H74)*C81)/100</f>
        <v>0</v>
      </c>
      <c r="E81" s="194"/>
      <c r="F81" s="195"/>
      <c r="G81" s="194"/>
      <c r="H81" s="199"/>
      <c r="I81" s="13" t="s">
        <v>146</v>
      </c>
      <c r="J81" s="30">
        <f>(IF(B74&gt;1,(H74/(B74+2)+J80),0))</f>
        <v>0</v>
      </c>
    </row>
    <row r="82" spans="1:10" ht="15" customHeight="1" x14ac:dyDescent="0.35">
      <c r="A82" s="119" t="s">
        <v>133</v>
      </c>
      <c r="B82" s="120" t="s">
        <v>130</v>
      </c>
      <c r="C82" s="78">
        <v>0</v>
      </c>
      <c r="D82" s="79">
        <f ca="1">((100/(H74))*C82)/100</f>
        <v>0</v>
      </c>
      <c r="E82" s="194"/>
      <c r="F82" s="195"/>
      <c r="G82" s="194"/>
      <c r="H82" s="199"/>
      <c r="I82" s="13" t="s">
        <v>141</v>
      </c>
      <c r="J82" s="30">
        <f>(IF(B74&gt;2,(H74/(B74+2)+J81),0))</f>
        <v>0</v>
      </c>
    </row>
    <row r="83" spans="1:10" ht="15.75" customHeight="1" x14ac:dyDescent="0.35">
      <c r="A83" s="119" t="s">
        <v>129</v>
      </c>
      <c r="B83" s="120" t="s">
        <v>129</v>
      </c>
      <c r="C83" s="78">
        <v>0</v>
      </c>
      <c r="D83" s="79">
        <f ca="1">((100/H74)*C83)/100</f>
        <v>0</v>
      </c>
      <c r="E83" s="194"/>
      <c r="F83" s="195"/>
      <c r="G83" s="194"/>
      <c r="H83" s="199"/>
      <c r="I83" s="13" t="s">
        <v>142</v>
      </c>
      <c r="J83" s="31">
        <f>(IF(B74&gt;3,(H74/(B74+2)+J82),0))</f>
        <v>0</v>
      </c>
    </row>
    <row r="84" spans="1:10" ht="15.75" customHeight="1" x14ac:dyDescent="0.35">
      <c r="A84" s="119" t="s">
        <v>136</v>
      </c>
      <c r="B84" s="120"/>
      <c r="C84" s="78">
        <v>0</v>
      </c>
      <c r="D84" s="79">
        <f ca="1">((100/H74)*C84)/100</f>
        <v>0</v>
      </c>
      <c r="E84" s="194"/>
      <c r="F84" s="195"/>
      <c r="G84" s="194"/>
      <c r="H84" s="199"/>
      <c r="I84" s="13" t="s">
        <v>143</v>
      </c>
      <c r="J84" s="30">
        <f>(IF(B74&gt;4,(H74/(B74+2)+J83),0))</f>
        <v>0</v>
      </c>
    </row>
    <row r="85" spans="1:10" ht="15.75" customHeight="1" x14ac:dyDescent="0.35">
      <c r="A85" s="119" t="s">
        <v>131</v>
      </c>
      <c r="B85" s="120" t="s">
        <v>131</v>
      </c>
      <c r="C85" s="78">
        <v>0</v>
      </c>
      <c r="D85" s="79">
        <f ca="1">((100/(H74))*C85)/100</f>
        <v>0</v>
      </c>
      <c r="E85" s="194"/>
      <c r="F85" s="195"/>
      <c r="G85" s="194"/>
      <c r="H85" s="199"/>
      <c r="I85" s="13" t="s">
        <v>147</v>
      </c>
      <c r="J85" s="30">
        <f ca="1">(IF(B74=1,(H74/(B74+3)+J80),IF(B74=0,(H74/4+J80),IF(B74&gt;1,0))))</f>
        <v>12</v>
      </c>
    </row>
    <row r="86" spans="1:10" ht="16" thickBot="1" x14ac:dyDescent="0.4">
      <c r="A86" s="201" t="s">
        <v>132</v>
      </c>
      <c r="B86" s="202"/>
      <c r="C86" s="81">
        <v>0</v>
      </c>
      <c r="D86" s="82">
        <f ca="1">((100/(H74))*C86)/100</f>
        <v>0</v>
      </c>
      <c r="E86" s="196"/>
      <c r="F86" s="197"/>
      <c r="G86" s="196"/>
      <c r="H86" s="200"/>
      <c r="I86" s="15" t="s">
        <v>102</v>
      </c>
      <c r="J86" s="32">
        <f ca="1">(IF(B74&gt;1.5,(H74/(B74+2)+J80+MAX(0,J81-J80)+MAX(0,J82-J81)+MAX(0,J83-J82)+MAX(0,J84-J83)+MAX(0,J85-J84)),IF(B74=1,(H74/(B74+3)+J85),IF(B74=0,H74/4+J85))))</f>
        <v>16</v>
      </c>
    </row>
    <row r="87" spans="1:10" ht="15.75" customHeight="1" x14ac:dyDescent="0.35">
      <c r="A87" s="224" t="s">
        <v>138</v>
      </c>
      <c r="B87" s="225"/>
      <c r="C87" s="226" t="s">
        <v>362</v>
      </c>
      <c r="D87" s="227"/>
      <c r="E87" s="227"/>
      <c r="F87" s="227"/>
      <c r="G87" s="227"/>
      <c r="H87" s="228"/>
      <c r="I87" s="49" t="str">
        <f ca="1">IF(D100=100%,"All work Completed. Possession granted to the Building.",IF(D99=100%,"All work Completed, Waiting for OC",I88&amp;""&amp;I89&amp;""&amp;J88&amp;""&amp;J87&amp;" "&amp;J89))</f>
        <v>Excavation, Plinth Completed, RCC upto 4 Slab, Brickwork upto 1 Floor Completed</v>
      </c>
      <c r="J87" s="50" t="str">
        <f ca="1">(IF(C93=(D88+F88+H88),"",IF(C93&gt;0,", RCC upto "&amp;C93&amp;" Slab","")))&amp;(IF(C94=H88,"",IF(C94&gt;0,", Brickwork upto "&amp;C94&amp;" Floor","")))&amp;(IF(C95=H88,"",IF(C95&gt;0,", Internal Plaster upto "&amp;C95&amp;" Floor","")))&amp;(IF(C96=H88,"",IF(C96&gt;0,", External Plaster upto "&amp;C96&amp;" Floor","")))&amp;(IF(C97=H88,"",IF(C97&gt;0,", Flooring upto "&amp;C97&amp;" Floor","")))&amp;(IF(C98=H88,"",IF(C98&gt;0,", Painting upto "&amp;C98&amp;" Floor","")))&amp;(IF(C99=H88,"",IF(C99&gt;0,", Finishing upto "&amp;C99&amp;" Floor","")))&amp;(IF(C100=H88,"",IF(C100&gt;0,", Possession upto "&amp;C100&amp;" Floor","")))</f>
        <v>, RCC upto 4 Slab, Brickwork upto 1 Floor</v>
      </c>
    </row>
    <row r="88" spans="1:10" x14ac:dyDescent="0.35">
      <c r="A88" s="16" t="s">
        <v>140</v>
      </c>
      <c r="B88" s="53">
        <f>IF(AND(ISNUMBER(SEARCH("1B",C87))),1,IF(AND(ISNUMBER(SEARCH("2B",C87))),2,IF(AND(ISNUMBER(SEARCH("3B",C87))),3,IF(AND(ISNUMBER(SEARCH("4B",C87))),4,IF(ISNUMBER(SEARCH("5B",C87)),5,0)))))</f>
        <v>0</v>
      </c>
      <c r="C88" s="53" t="s">
        <v>69</v>
      </c>
      <c r="D88" s="53">
        <v>1</v>
      </c>
      <c r="E88" s="53" t="s">
        <v>68</v>
      </c>
      <c r="F88" s="53">
        <v>0</v>
      </c>
      <c r="G88" s="53" t="s">
        <v>77</v>
      </c>
      <c r="H88" s="17">
        <f ca="1">--TRIM(RIGHT(SUBSTITUTE(LEFT(C87,_xlfn.AGGREGATE(16,6,FIND({0,1,2,3,4,5,6,7,8,9},C87,ROW(INDIRECT("1:"&amp;LEN(C87)))),1))," ",REPT(" ",LEN(C87))),LEN(C87)))</f>
        <v>16</v>
      </c>
      <c r="I88" s="51" t="str">
        <f ca="1">IF(D91=100%,"Excavation","")&amp;IF(D92=100%,", Plinth","")&amp;IF(D93=100%,", RCC Slab","")&amp;IF(D94=100%,", Brickwork","")&amp;IF(D95=100%,", Internal Plaster","")&amp;IF(D96=100%,", External Plaster","")&amp;IF(D97=100%,", Flooring","")&amp;IF(D98=100%,", Painting","")&amp;IF(D99=100%,", Building common Amenities","")</f>
        <v>Excavation, Plinth</v>
      </c>
      <c r="J88" s="52" t="str">
        <f ca="1">(IF(C91=0,"Work not yet Started.",IF(D91=25%,"Piling work in process",IF(D91=50%,"Excavation work in process",IF(D91=100%,"","0")))))&amp;(IF(C92=0%,"",IF(C92=J93,", Footing work is process",IF(C92=J94,", Footing work Completed",IF(C92=J95,", 1st Basement Completed",IF(C92=J96,", 1st &amp; 2nd Basement Completed",IF(C92=J97,", 1st to 3rd Basement Completed",IF(C92=J98,", 1st to 4th Basement Completed",IF(C92=J99,", Plinth work is process",IF(C92=J100,"","0"))))))))))</f>
        <v/>
      </c>
    </row>
    <row r="89" spans="1:10" x14ac:dyDescent="0.35">
      <c r="A89" s="205" t="s">
        <v>87</v>
      </c>
      <c r="B89" s="178"/>
      <c r="C89" s="222" t="str">
        <f ca="1">(IF($G$60="NA",I87,"All work Completed. OC Received."))</f>
        <v>Excavation, Plinth Completed, RCC upto 4 Slab, Brickwork upto 1 Floor Completed</v>
      </c>
      <c r="D89" s="222"/>
      <c r="E89" s="222"/>
      <c r="F89" s="222"/>
      <c r="G89" s="222"/>
      <c r="H89" s="223"/>
      <c r="I89" s="51" t="str">
        <f ca="1">IF(I88&lt;&gt;""," Completed","")</f>
        <v xml:space="preserve"> Completed</v>
      </c>
      <c r="J89" s="52" t="str">
        <f ca="1">IF(J87&lt;&gt;"","Completed","")</f>
        <v>Completed</v>
      </c>
    </row>
    <row r="90" spans="1:10" ht="15.75" customHeight="1" x14ac:dyDescent="0.35">
      <c r="A90" s="119" t="s">
        <v>47</v>
      </c>
      <c r="B90" s="120"/>
      <c r="C90" s="83" t="s">
        <v>137</v>
      </c>
      <c r="D90" s="83" t="s">
        <v>80</v>
      </c>
      <c r="E90" s="120" t="s">
        <v>82</v>
      </c>
      <c r="F90" s="120"/>
      <c r="G90" s="120" t="s">
        <v>81</v>
      </c>
      <c r="H90" s="175"/>
      <c r="I90" s="13" t="s">
        <v>139</v>
      </c>
      <c r="J90" s="28">
        <f ca="1">H88*25%</f>
        <v>4</v>
      </c>
    </row>
    <row r="91" spans="1:10" x14ac:dyDescent="0.35">
      <c r="A91" s="119" t="s">
        <v>126</v>
      </c>
      <c r="B91" s="120"/>
      <c r="C91" s="83">
        <f ca="1">J92</f>
        <v>16</v>
      </c>
      <c r="D91" s="79">
        <f ca="1">((100/H88)*C91)/100</f>
        <v>1</v>
      </c>
      <c r="E91" s="192">
        <f ca="1">(((C92/H88*10)+(40/(D88+F88+H88)*C93)+(7.5/(H88)*C94)+(7.5/(H88)*C95)+(10/H88*C96)+(10/H88*C97)+(5/H88*C98)+(5/H88*C99)+(5/H88*C100))/100)</f>
        <v>0.19880514705882354</v>
      </c>
      <c r="F91" s="193"/>
      <c r="G91" s="192">
        <f ca="1">((((C91/H88)*20)+((C92/H88)*25)+(30/(H88+F88+D88)*C93)+(5/H88*C94)+(5/H88*C95)+(5/H88*C96)+(5/H88*C97)+(0/H88*C98)+(0/H88*C99)+(5/H88*C100))/100)</f>
        <v>0.52371323529411773</v>
      </c>
      <c r="H91" s="198"/>
      <c r="I91" s="13" t="s">
        <v>98</v>
      </c>
      <c r="J91" s="29">
        <f ca="1">H88*50%</f>
        <v>8</v>
      </c>
    </row>
    <row r="92" spans="1:10" x14ac:dyDescent="0.35">
      <c r="A92" s="119" t="s">
        <v>48</v>
      </c>
      <c r="B92" s="120"/>
      <c r="C92" s="80">
        <f ca="1">J100</f>
        <v>16</v>
      </c>
      <c r="D92" s="79">
        <f ca="1">((100/H88)*C92)/100</f>
        <v>1</v>
      </c>
      <c r="E92" s="194"/>
      <c r="F92" s="195"/>
      <c r="G92" s="194"/>
      <c r="H92" s="199"/>
      <c r="I92" s="13" t="s">
        <v>99</v>
      </c>
      <c r="J92" s="29">
        <f ca="1">H88</f>
        <v>16</v>
      </c>
    </row>
    <row r="93" spans="1:10" ht="15.75" customHeight="1" x14ac:dyDescent="0.35">
      <c r="A93" s="119" t="s">
        <v>127</v>
      </c>
      <c r="B93" s="120"/>
      <c r="C93" s="83">
        <v>4</v>
      </c>
      <c r="D93" s="79">
        <f ca="1">((100/(D88+F88+H88))*C93)/100</f>
        <v>0.23529411764705885</v>
      </c>
      <c r="E93" s="194"/>
      <c r="F93" s="195"/>
      <c r="G93" s="194"/>
      <c r="H93" s="199"/>
      <c r="I93" s="13" t="s">
        <v>100</v>
      </c>
      <c r="J93" s="30">
        <f ca="1">(IF(B88&gt;1,(H88/(B88+2)),H88/4))</f>
        <v>4</v>
      </c>
    </row>
    <row r="94" spans="1:10" ht="15.75" customHeight="1" x14ac:dyDescent="0.35">
      <c r="A94" s="119" t="s">
        <v>134</v>
      </c>
      <c r="B94" s="120" t="s">
        <v>128</v>
      </c>
      <c r="C94" s="83">
        <v>1</v>
      </c>
      <c r="D94" s="79">
        <f ca="1">((100/H88)*C94)/100</f>
        <v>6.25E-2</v>
      </c>
      <c r="E94" s="194"/>
      <c r="F94" s="195"/>
      <c r="G94" s="194"/>
      <c r="H94" s="199"/>
      <c r="I94" s="13" t="s">
        <v>101</v>
      </c>
      <c r="J94" s="30">
        <f ca="1">(IF(B88&gt;1,(H88/(B88+2)+J93),H88/4+J93))</f>
        <v>8</v>
      </c>
    </row>
    <row r="95" spans="1:10" ht="15.75" customHeight="1" x14ac:dyDescent="0.35">
      <c r="A95" s="119" t="s">
        <v>135</v>
      </c>
      <c r="B95" s="120" t="s">
        <v>128</v>
      </c>
      <c r="C95" s="83">
        <v>0</v>
      </c>
      <c r="D95" s="79">
        <f ca="1">((100/H88)*C95)/100</f>
        <v>0</v>
      </c>
      <c r="E95" s="194"/>
      <c r="F95" s="195"/>
      <c r="G95" s="194"/>
      <c r="H95" s="199"/>
      <c r="I95" s="13" t="s">
        <v>146</v>
      </c>
      <c r="J95" s="30">
        <f>(IF(B88&gt;1,(H88/(B88+2)+J94),0))</f>
        <v>0</v>
      </c>
    </row>
    <row r="96" spans="1:10" ht="15" customHeight="1" x14ac:dyDescent="0.35">
      <c r="A96" s="119" t="s">
        <v>133</v>
      </c>
      <c r="B96" s="120" t="s">
        <v>130</v>
      </c>
      <c r="C96" s="83">
        <v>0</v>
      </c>
      <c r="D96" s="79">
        <f ca="1">((100/(H88))*C96)/100</f>
        <v>0</v>
      </c>
      <c r="E96" s="194"/>
      <c r="F96" s="195"/>
      <c r="G96" s="194"/>
      <c r="H96" s="199"/>
      <c r="I96" s="13" t="s">
        <v>141</v>
      </c>
      <c r="J96" s="30">
        <f>(IF(B88&gt;2,(H88/(B88+2)+J95),0))</f>
        <v>0</v>
      </c>
    </row>
    <row r="97" spans="1:10" ht="15.75" customHeight="1" x14ac:dyDescent="0.35">
      <c r="A97" s="119" t="s">
        <v>129</v>
      </c>
      <c r="B97" s="120" t="s">
        <v>129</v>
      </c>
      <c r="C97" s="83">
        <v>0</v>
      </c>
      <c r="D97" s="79">
        <f ca="1">((100/H88)*C97)/100</f>
        <v>0</v>
      </c>
      <c r="E97" s="194"/>
      <c r="F97" s="195"/>
      <c r="G97" s="194"/>
      <c r="H97" s="199"/>
      <c r="I97" s="13" t="s">
        <v>142</v>
      </c>
      <c r="J97" s="31">
        <f>(IF(B88&gt;3,(H88/(B88+2)+J96),0))</f>
        <v>0</v>
      </c>
    </row>
    <row r="98" spans="1:10" ht="15.75" customHeight="1" x14ac:dyDescent="0.35">
      <c r="A98" s="119" t="s">
        <v>136</v>
      </c>
      <c r="B98" s="120"/>
      <c r="C98" s="83">
        <v>0</v>
      </c>
      <c r="D98" s="79">
        <f ca="1">((100/H88)*C98)/100</f>
        <v>0</v>
      </c>
      <c r="E98" s="194"/>
      <c r="F98" s="195"/>
      <c r="G98" s="194"/>
      <c r="H98" s="199"/>
      <c r="I98" s="13" t="s">
        <v>143</v>
      </c>
      <c r="J98" s="30">
        <f>(IF(B88&gt;4,(H88/(B88+2)+J97),0))</f>
        <v>0</v>
      </c>
    </row>
    <row r="99" spans="1:10" ht="15.75" customHeight="1" x14ac:dyDescent="0.35">
      <c r="A99" s="119" t="s">
        <v>131</v>
      </c>
      <c r="B99" s="120" t="s">
        <v>131</v>
      </c>
      <c r="C99" s="83">
        <v>0</v>
      </c>
      <c r="D99" s="79">
        <f ca="1">((100/(H88))*C99)/100</f>
        <v>0</v>
      </c>
      <c r="E99" s="194"/>
      <c r="F99" s="195"/>
      <c r="G99" s="194"/>
      <c r="H99" s="199"/>
      <c r="I99" s="13" t="s">
        <v>147</v>
      </c>
      <c r="J99" s="30">
        <f ca="1">(IF(B88=1,(H88/(B88+3)+J94),IF(B88=0,(H88/4+J94),IF(B88&gt;1,0))))</f>
        <v>12</v>
      </c>
    </row>
    <row r="100" spans="1:10" ht="16" thickBot="1" x14ac:dyDescent="0.4">
      <c r="A100" s="201" t="s">
        <v>132</v>
      </c>
      <c r="B100" s="202"/>
      <c r="C100" s="84">
        <v>0</v>
      </c>
      <c r="D100" s="82">
        <f ca="1">((100/(H88))*C100)/100</f>
        <v>0</v>
      </c>
      <c r="E100" s="196"/>
      <c r="F100" s="197"/>
      <c r="G100" s="196"/>
      <c r="H100" s="200"/>
      <c r="I100" s="15" t="s">
        <v>102</v>
      </c>
      <c r="J100" s="32">
        <f ca="1">(IF(B88&gt;1.5,(H88/(B88+2)+J94+MAX(0,J95-J94)+MAX(0,J96-J95)+MAX(0,J97-J96)+MAX(0,J98-J97)+MAX(0,J99-J98)),IF(B88=1,(H88/(B88+3)+J99),IF(B88=0,H88/4+J99))))</f>
        <v>16</v>
      </c>
    </row>
    <row r="101" spans="1:10" ht="33" customHeight="1" thickBot="1" x14ac:dyDescent="0.4">
      <c r="A101" s="237" t="s">
        <v>363</v>
      </c>
      <c r="B101" s="238"/>
      <c r="C101" s="242">
        <f ca="1">AVERAGE(E77,E91)</f>
        <v>0.18704044117647059</v>
      </c>
      <c r="D101" s="240"/>
      <c r="E101" s="239" t="s">
        <v>364</v>
      </c>
      <c r="F101" s="240"/>
      <c r="G101" s="242">
        <f ca="1">AVERAGE(G77,G91)</f>
        <v>0.51488970588235294</v>
      </c>
      <c r="H101" s="241"/>
      <c r="I101" s="51"/>
      <c r="J101" s="52"/>
    </row>
    <row r="102" spans="1:10" ht="15.75" hidden="1" customHeight="1" x14ac:dyDescent="0.35">
      <c r="A102" s="114" t="s">
        <v>138</v>
      </c>
      <c r="B102" s="115"/>
      <c r="C102" s="116" t="e">
        <f>#REF!</f>
        <v>#REF!</v>
      </c>
      <c r="D102" s="117"/>
      <c r="E102" s="117"/>
      <c r="F102" s="117"/>
      <c r="G102" s="117"/>
      <c r="H102" s="118"/>
      <c r="I102" s="49" t="e">
        <f ca="1">IF(D115=100%,"All work Completed. Possession granted to the Building.",IF(D114=100%,"All work Completed, Waiting for OC",I103&amp;""&amp;I104&amp;""&amp;J103&amp;""&amp;J102&amp;" "&amp;J104))</f>
        <v>#REF!</v>
      </c>
      <c r="J102" s="50" t="e">
        <f ca="1">(IF(C108=(D103+F103+H103),"",IF(C108&gt;0,", RCC upto "&amp;C108&amp;" Slab","")))&amp;(IF(C109=H103,"",IF(C109&gt;0,", Brickwork upto "&amp;C109&amp;" Floor","")))&amp;(IF(C110=H103,"",IF(C110&gt;0,", Internal Plaster upto "&amp;C110&amp;" Floor","")))&amp;(IF(C111=H103,"",IF(C111&gt;0,", External Plaster upto "&amp;C111&amp;" Floor","")))&amp;(IF(C112=H103,"",IF(C112&gt;0,", Flooring upto "&amp;C112&amp;" Floor","")))&amp;(IF(C113=H103,"",IF(C113&gt;0,", Painting upto "&amp;C113&amp;" Floor","")))&amp;(IF(C114=H103,"",IF(C114&gt;0,", Finishing upto "&amp;C114&amp;" Floor","")))&amp;(IF(C115=H103,"",IF(C115&gt;0,", Possession upto "&amp;C115&amp;" Floor","")))</f>
        <v>#REF!</v>
      </c>
    </row>
    <row r="103" spans="1:10" hidden="1" x14ac:dyDescent="0.35">
      <c r="A103" s="16" t="s">
        <v>140</v>
      </c>
      <c r="B103" s="53">
        <f>IF(AND(ISNUMBER(SEARCH("1B",C102))),1,IF(AND(ISNUMBER(SEARCH("2B",C102))),2,IF(AND(ISNUMBER(SEARCH("3B",C102))),3,IF(AND(ISNUMBER(SEARCH("4B",C102))),4,IF(ISNUMBER(SEARCH("5B",C102)),5,0)))))</f>
        <v>0</v>
      </c>
      <c r="C103" s="47" t="s">
        <v>69</v>
      </c>
      <c r="D103" s="47">
        <v>1</v>
      </c>
      <c r="E103" s="47" t="s">
        <v>68</v>
      </c>
      <c r="F103" s="14">
        <v>0</v>
      </c>
      <c r="G103" s="48" t="s">
        <v>77</v>
      </c>
      <c r="H103" s="17" t="e">
        <f ca="1">--TRIM(RIGHT(SUBSTITUTE(LEFT(C102,_xlfn.AGGREGATE(16,6,FIND({0,1,2,3,4,5,6,7,8,9},C102,ROW(INDIRECT("1:"&amp;LEN(C102)))),1))," ",REPT(" ",LEN(C102))),LEN(C102)))</f>
        <v>#REF!</v>
      </c>
      <c r="I103" s="51" t="e">
        <f ca="1">IF(D106=100%,"Excavation","")&amp;IF(D107=100%,", Plinth","")&amp;IF(D108=100%,", RCC Slab","")&amp;IF(D109=100%,", Brickwork","")&amp;IF(D110=100%,", Internal Plaster","")&amp;IF(D111=100%,", External Plaster","")&amp;IF(D112=100%,", Flooring","")&amp;IF(D113=100%,", Painting","")&amp;IF(D114=100%,", Building common Amenities","")</f>
        <v>#REF!</v>
      </c>
      <c r="J103" s="52" t="e">
        <f ca="1">(IF(C106=0,"Work not yet Started.",IF(D106=25%,"Piling work in process",IF(D106=50%,"Excavation work in process",IF(D106=100%,"","0")))))&amp;(IF(C107=0%,"",IF(C107=J108,", Footing work is process",IF(C107=J109,", Footing work Completed",IF(C107=J110,", 1st Basement Completed",IF(C107=J111,", 1st &amp; 2nd Basement Completed",IF(C107=J112,", 1st to 3rd Basement Completed",IF(C107=J113,", 1st to 4th Basement Completed",IF(C107=J114,", Plinth work is process",IF(C107=J115,"","0"))))))))))</f>
        <v>#REF!</v>
      </c>
    </row>
    <row r="104" spans="1:10" hidden="1" x14ac:dyDescent="0.35">
      <c r="A104" s="205" t="s">
        <v>87</v>
      </c>
      <c r="B104" s="178"/>
      <c r="C104" s="222" t="e">
        <f ca="1">(IF($G$60="NA",I102,"All work Completed. OC Received."))</f>
        <v>#REF!</v>
      </c>
      <c r="D104" s="222"/>
      <c r="E104" s="222"/>
      <c r="F104" s="222"/>
      <c r="G104" s="222"/>
      <c r="H104" s="223"/>
      <c r="I104" s="51" t="e">
        <f ca="1">IF(I103&lt;&gt;""," Completed","")</f>
        <v>#REF!</v>
      </c>
      <c r="J104" s="52" t="e">
        <f ca="1">IF(J102&lt;&gt;"","Completed","")</f>
        <v>#REF!</v>
      </c>
    </row>
    <row r="105" spans="1:10" ht="15.75" hidden="1" customHeight="1" x14ac:dyDescent="0.35">
      <c r="A105" s="94" t="s">
        <v>47</v>
      </c>
      <c r="B105" s="92"/>
      <c r="C105" s="43" t="s">
        <v>137</v>
      </c>
      <c r="D105" s="43" t="s">
        <v>80</v>
      </c>
      <c r="E105" s="92" t="s">
        <v>82</v>
      </c>
      <c r="F105" s="92"/>
      <c r="G105" s="92" t="s">
        <v>81</v>
      </c>
      <c r="H105" s="93"/>
      <c r="I105" s="13" t="s">
        <v>139</v>
      </c>
      <c r="J105" s="28" t="e">
        <f ca="1">H103*25%</f>
        <v>#REF!</v>
      </c>
    </row>
    <row r="106" spans="1:10" hidden="1" x14ac:dyDescent="0.35">
      <c r="A106" s="94" t="s">
        <v>126</v>
      </c>
      <c r="B106" s="92"/>
      <c r="C106" s="43" t="e">
        <f ca="1">J107</f>
        <v>#REF!</v>
      </c>
      <c r="D106" s="19" t="e">
        <f ca="1">((100/H103)*C106)/100</f>
        <v>#REF!</v>
      </c>
      <c r="E106" s="184" t="e">
        <f ca="1">(((C107/H103*10)+(40/(D103+F103+H103)*C108)+(7.5/(H103)*C109)+(7.5/(H103)*C110)+(10/H103*C111)+(10/H103*C112)+(5/H103*C113)+(5/H103*C114)+(5/H103*C115))/100)</f>
        <v>#REF!</v>
      </c>
      <c r="F106" s="231"/>
      <c r="G106" s="184" t="e">
        <f ca="1">((((C106/H103)*20)+((C107/H103)*25)+(30/(H103+F103+D103)*C108)+(5/H103*C109)+(5/H103*C110)+(5/H103*C111)+(5/H103*C112)+(0/H103*C113)+(0/H103*C114)+(5/H103*C115))/100)</f>
        <v>#REF!</v>
      </c>
      <c r="H106" s="185"/>
      <c r="I106" s="13" t="s">
        <v>98</v>
      </c>
      <c r="J106" s="29" t="e">
        <f ca="1">H103*50%</f>
        <v>#REF!</v>
      </c>
    </row>
    <row r="107" spans="1:10" hidden="1" x14ac:dyDescent="0.35">
      <c r="A107" s="94" t="s">
        <v>48</v>
      </c>
      <c r="B107" s="92"/>
      <c r="C107" s="43" t="e">
        <f ca="1">J115</f>
        <v>#REF!</v>
      </c>
      <c r="D107" s="19" t="e">
        <f ca="1">((100/H103)*C107)/100</f>
        <v>#REF!</v>
      </c>
      <c r="E107" s="186"/>
      <c r="F107" s="232"/>
      <c r="G107" s="186"/>
      <c r="H107" s="187"/>
      <c r="I107" s="13" t="s">
        <v>99</v>
      </c>
      <c r="J107" s="29" t="e">
        <f ca="1">H103</f>
        <v>#REF!</v>
      </c>
    </row>
    <row r="108" spans="1:10" ht="15.75" hidden="1" customHeight="1" x14ac:dyDescent="0.35">
      <c r="A108" s="94" t="s">
        <v>127</v>
      </c>
      <c r="B108" s="92"/>
      <c r="C108" s="43" t="e">
        <f ca="1">D103+H103</f>
        <v>#REF!</v>
      </c>
      <c r="D108" s="19" t="e">
        <f ca="1">((100/(D103+F103+H103))*C108)/100</f>
        <v>#REF!</v>
      </c>
      <c r="E108" s="186"/>
      <c r="F108" s="232"/>
      <c r="G108" s="186"/>
      <c r="H108" s="187"/>
      <c r="I108" s="13" t="s">
        <v>100</v>
      </c>
      <c r="J108" s="30" t="e">
        <f ca="1">(IF(B103&gt;1,(H103/(B103+2)),H103/4))</f>
        <v>#REF!</v>
      </c>
    </row>
    <row r="109" spans="1:10" ht="15.75" hidden="1" customHeight="1" x14ac:dyDescent="0.35">
      <c r="A109" s="94" t="s">
        <v>134</v>
      </c>
      <c r="B109" s="92" t="s">
        <v>128</v>
      </c>
      <c r="C109" s="43">
        <v>0</v>
      </c>
      <c r="D109" s="19" t="e">
        <f ca="1">((100/H103)*C109)/100</f>
        <v>#REF!</v>
      </c>
      <c r="E109" s="186"/>
      <c r="F109" s="232"/>
      <c r="G109" s="186"/>
      <c r="H109" s="187"/>
      <c r="I109" s="13" t="s">
        <v>101</v>
      </c>
      <c r="J109" s="30" t="e">
        <f ca="1">(IF(B103&gt;1,(H103/(B103+2)+J108),H103/4+J108))</f>
        <v>#REF!</v>
      </c>
    </row>
    <row r="110" spans="1:10" ht="15.75" hidden="1" customHeight="1" x14ac:dyDescent="0.35">
      <c r="A110" s="94" t="s">
        <v>135</v>
      </c>
      <c r="B110" s="92" t="s">
        <v>128</v>
      </c>
      <c r="C110" s="43">
        <v>0</v>
      </c>
      <c r="D110" s="19" t="e">
        <f ca="1">((100/H103)*C110)/100</f>
        <v>#REF!</v>
      </c>
      <c r="E110" s="186"/>
      <c r="F110" s="232"/>
      <c r="G110" s="186"/>
      <c r="H110" s="187"/>
      <c r="I110" s="13" t="s">
        <v>146</v>
      </c>
      <c r="J110" s="30">
        <f>(IF(B103&gt;1,(H103/(B103+2)+J109),0))</f>
        <v>0</v>
      </c>
    </row>
    <row r="111" spans="1:10" ht="15" hidden="1" customHeight="1" x14ac:dyDescent="0.35">
      <c r="A111" s="94" t="s">
        <v>133</v>
      </c>
      <c r="B111" s="92" t="s">
        <v>130</v>
      </c>
      <c r="C111" s="43">
        <v>0</v>
      </c>
      <c r="D111" s="19" t="e">
        <f ca="1">((100/(H103))*C111)/100</f>
        <v>#REF!</v>
      </c>
      <c r="E111" s="186"/>
      <c r="F111" s="232"/>
      <c r="G111" s="186"/>
      <c r="H111" s="187"/>
      <c r="I111" s="13" t="s">
        <v>141</v>
      </c>
      <c r="J111" s="30">
        <f>(IF(B103&gt;2,(H103/(B103+2)+J110),0))</f>
        <v>0</v>
      </c>
    </row>
    <row r="112" spans="1:10" ht="15.75" hidden="1" customHeight="1" x14ac:dyDescent="0.35">
      <c r="A112" s="94" t="s">
        <v>129</v>
      </c>
      <c r="B112" s="92" t="s">
        <v>129</v>
      </c>
      <c r="C112" s="43">
        <v>0</v>
      </c>
      <c r="D112" s="19" t="e">
        <f ca="1">((100/H103)*C112)/100</f>
        <v>#REF!</v>
      </c>
      <c r="E112" s="186"/>
      <c r="F112" s="232"/>
      <c r="G112" s="186"/>
      <c r="H112" s="187"/>
      <c r="I112" s="13" t="s">
        <v>142</v>
      </c>
      <c r="J112" s="31">
        <f>(IF(B103&gt;3,(H103/(B103+2)+J111),0))</f>
        <v>0</v>
      </c>
    </row>
    <row r="113" spans="1:22" ht="15.75" hidden="1" customHeight="1" x14ac:dyDescent="0.35">
      <c r="A113" s="94" t="s">
        <v>136</v>
      </c>
      <c r="B113" s="92"/>
      <c r="C113" s="43">
        <v>0</v>
      </c>
      <c r="D113" s="19" t="e">
        <f ca="1">((100/H103)*C113)/100</f>
        <v>#REF!</v>
      </c>
      <c r="E113" s="186"/>
      <c r="F113" s="232"/>
      <c r="G113" s="186"/>
      <c r="H113" s="187"/>
      <c r="I113" s="13" t="s">
        <v>143</v>
      </c>
      <c r="J113" s="30">
        <f>(IF(B103&gt;4,(H103/(B103+2)+J112),0))</f>
        <v>0</v>
      </c>
    </row>
    <row r="114" spans="1:22" ht="15.75" hidden="1" customHeight="1" x14ac:dyDescent="0.35">
      <c r="A114" s="94" t="s">
        <v>131</v>
      </c>
      <c r="B114" s="92" t="s">
        <v>131</v>
      </c>
      <c r="C114" s="43">
        <v>0</v>
      </c>
      <c r="D114" s="19" t="e">
        <f ca="1">((100/(H103))*C114)/100</f>
        <v>#REF!</v>
      </c>
      <c r="E114" s="186"/>
      <c r="F114" s="232"/>
      <c r="G114" s="186"/>
      <c r="H114" s="187"/>
      <c r="I114" s="13" t="s">
        <v>147</v>
      </c>
      <c r="J114" s="30" t="e">
        <f ca="1">(IF(B103=1,(H103/(B103+3)+J109),IF(B103=0,(H103/4+J109),IF(B103&gt;1,0))))</f>
        <v>#REF!</v>
      </c>
    </row>
    <row r="115" spans="1:22" ht="16" hidden="1" thickBot="1" x14ac:dyDescent="0.4">
      <c r="A115" s="143" t="s">
        <v>132</v>
      </c>
      <c r="B115" s="144"/>
      <c r="C115" s="44">
        <v>0</v>
      </c>
      <c r="D115" s="20" t="e">
        <f ca="1">((100/(H103))*C115)/100</f>
        <v>#REF!</v>
      </c>
      <c r="E115" s="188"/>
      <c r="F115" s="233"/>
      <c r="G115" s="188"/>
      <c r="H115" s="189"/>
      <c r="I115" s="15" t="s">
        <v>102</v>
      </c>
      <c r="J115" s="32" t="e">
        <f ca="1">(IF(B103&gt;1.5,(H103/(B103+2)+J109+MAX(0,J110-J109)+MAX(0,J111-J110)+MAX(0,J112-J111)+MAX(0,J113-J112)+MAX(0,J114-J113)),IF(B103=1,(H103/(B103+3)+J114),IF(B103=0,H103/4+J114))))</f>
        <v>#REF!</v>
      </c>
    </row>
    <row r="116" spans="1:22" x14ac:dyDescent="0.35">
      <c r="A116" s="229" t="s">
        <v>158</v>
      </c>
      <c r="B116" s="229"/>
      <c r="C116" s="229"/>
      <c r="D116" s="229"/>
      <c r="E116" s="229"/>
      <c r="F116" s="234" t="s">
        <v>162</v>
      </c>
      <c r="G116" s="234"/>
      <c r="H116" s="234"/>
      <c r="R116" t="s">
        <v>253</v>
      </c>
      <c r="S116" t="s">
        <v>174</v>
      </c>
      <c r="T116" t="s">
        <v>179</v>
      </c>
      <c r="U116" t="s">
        <v>194</v>
      </c>
      <c r="V116" t="s">
        <v>189</v>
      </c>
    </row>
    <row r="117" spans="1:22" x14ac:dyDescent="0.35">
      <c r="A117" s="102" t="s">
        <v>160</v>
      </c>
      <c r="B117" s="102"/>
      <c r="C117" s="102"/>
      <c r="D117" s="102"/>
      <c r="E117" s="102"/>
      <c r="F117" s="97">
        <v>5300</v>
      </c>
      <c r="G117" s="97"/>
      <c r="H117" s="97"/>
      <c r="R117"/>
      <c r="S117">
        <v>800000</v>
      </c>
      <c r="T117">
        <v>150000</v>
      </c>
      <c r="U117">
        <v>100000</v>
      </c>
      <c r="V117">
        <v>100000</v>
      </c>
    </row>
    <row r="118" spans="1:22" hidden="1" x14ac:dyDescent="0.35">
      <c r="A118" s="102" t="s">
        <v>159</v>
      </c>
      <c r="B118" s="102"/>
      <c r="C118" s="102"/>
      <c r="D118" s="102"/>
      <c r="E118" s="102"/>
      <c r="F118" s="97"/>
      <c r="G118" s="97"/>
      <c r="H118" s="97"/>
      <c r="R118"/>
      <c r="S118">
        <v>900000</v>
      </c>
      <c r="T118">
        <v>200000</v>
      </c>
      <c r="U118">
        <v>150000</v>
      </c>
      <c r="V118">
        <v>150000</v>
      </c>
    </row>
    <row r="119" spans="1:22" hidden="1" x14ac:dyDescent="0.35">
      <c r="A119" s="102" t="s">
        <v>161</v>
      </c>
      <c r="B119" s="102"/>
      <c r="C119" s="102"/>
      <c r="D119" s="102"/>
      <c r="E119" s="102"/>
      <c r="F119" s="97"/>
      <c r="G119" s="97"/>
      <c r="H119" s="97"/>
      <c r="R119"/>
      <c r="S119">
        <v>1000000</v>
      </c>
      <c r="T119">
        <v>250000</v>
      </c>
      <c r="U119">
        <v>200000</v>
      </c>
      <c r="V119">
        <v>200000</v>
      </c>
    </row>
    <row r="120" spans="1:22" s="33" customFormat="1" hidden="1" x14ac:dyDescent="0.35">
      <c r="A120" s="102" t="s">
        <v>176</v>
      </c>
      <c r="B120" s="102"/>
      <c r="C120" s="102"/>
      <c r="D120" s="102"/>
      <c r="E120" s="102"/>
      <c r="F120" s="97"/>
      <c r="G120" s="97"/>
      <c r="H120" s="97"/>
      <c r="R120"/>
      <c r="S120">
        <v>1100000</v>
      </c>
      <c r="T120">
        <v>300000</v>
      </c>
      <c r="U120">
        <v>250000</v>
      </c>
      <c r="V120" s="23">
        <v>250000</v>
      </c>
    </row>
    <row r="121" spans="1:22" s="33" customFormat="1" hidden="1" x14ac:dyDescent="0.35">
      <c r="A121" s="102" t="s">
        <v>92</v>
      </c>
      <c r="B121" s="102"/>
      <c r="C121" s="102"/>
      <c r="D121" s="102"/>
      <c r="E121" s="102"/>
      <c r="F121" s="97"/>
      <c r="G121" s="97"/>
      <c r="H121" s="97"/>
      <c r="R121"/>
      <c r="S121">
        <v>1200000</v>
      </c>
      <c r="T121">
        <v>350000</v>
      </c>
      <c r="U121">
        <v>300000</v>
      </c>
      <c r="V121">
        <v>300000</v>
      </c>
    </row>
    <row r="122" spans="1:22" s="33" customFormat="1" hidden="1" x14ac:dyDescent="0.35">
      <c r="A122" s="102" t="s">
        <v>93</v>
      </c>
      <c r="B122" s="102"/>
      <c r="C122" s="102"/>
      <c r="D122" s="102"/>
      <c r="E122" s="102"/>
      <c r="F122" s="97"/>
      <c r="G122" s="97"/>
      <c r="H122" s="97"/>
      <c r="R122"/>
      <c r="S122">
        <v>1300000</v>
      </c>
      <c r="T122">
        <v>400000</v>
      </c>
      <c r="U122">
        <v>350000</v>
      </c>
      <c r="V122" s="23">
        <v>400000</v>
      </c>
    </row>
    <row r="123" spans="1:22" s="33" customFormat="1" hidden="1" x14ac:dyDescent="0.35">
      <c r="A123" s="102" t="s">
        <v>94</v>
      </c>
      <c r="B123" s="102"/>
      <c r="C123" s="102"/>
      <c r="D123" s="102"/>
      <c r="E123" s="102"/>
      <c r="F123" s="97"/>
      <c r="G123" s="97"/>
      <c r="H123" s="97"/>
      <c r="R123"/>
      <c r="S123">
        <v>1400000</v>
      </c>
      <c r="T123">
        <v>500000</v>
      </c>
      <c r="U123">
        <v>400000</v>
      </c>
      <c r="V123"/>
    </row>
    <row r="124" spans="1:22" s="33" customFormat="1" hidden="1" x14ac:dyDescent="0.35">
      <c r="A124" s="102" t="s">
        <v>95</v>
      </c>
      <c r="B124" s="102"/>
      <c r="C124" s="102"/>
      <c r="D124" s="102"/>
      <c r="E124" s="102"/>
      <c r="F124" s="97"/>
      <c r="G124" s="97"/>
      <c r="H124" s="97"/>
      <c r="R124"/>
      <c r="S124">
        <v>1500000</v>
      </c>
      <c r="T124">
        <v>600000</v>
      </c>
      <c r="U124">
        <v>500000</v>
      </c>
      <c r="V124" s="23"/>
    </row>
    <row r="125" spans="1:22" s="33" customFormat="1" hidden="1" x14ac:dyDescent="0.35">
      <c r="A125" s="102" t="s">
        <v>96</v>
      </c>
      <c r="B125" s="102"/>
      <c r="C125" s="102"/>
      <c r="D125" s="102"/>
      <c r="E125" s="102"/>
      <c r="F125" s="97"/>
      <c r="G125" s="97"/>
      <c r="H125" s="97"/>
      <c r="R125"/>
      <c r="S125">
        <v>1600000</v>
      </c>
      <c r="T125">
        <v>700000</v>
      </c>
      <c r="U125">
        <v>600000</v>
      </c>
      <c r="V125"/>
    </row>
    <row r="126" spans="1:22" s="33" customFormat="1" hidden="1" x14ac:dyDescent="0.35">
      <c r="A126" s="102" t="s">
        <v>97</v>
      </c>
      <c r="B126" s="102"/>
      <c r="C126" s="102"/>
      <c r="D126" s="102"/>
      <c r="E126" s="102"/>
      <c r="F126" s="97"/>
      <c r="G126" s="97"/>
      <c r="H126" s="97"/>
      <c r="R126"/>
      <c r="S126">
        <v>1700000</v>
      </c>
      <c r="T126">
        <v>800000</v>
      </c>
      <c r="U126"/>
      <c r="V126" s="23"/>
    </row>
    <row r="127" spans="1:22" x14ac:dyDescent="0.35">
      <c r="A127" s="102" t="s">
        <v>49</v>
      </c>
      <c r="B127" s="102"/>
      <c r="C127" s="102"/>
      <c r="D127" s="102"/>
      <c r="E127" s="102"/>
      <c r="F127" s="97">
        <v>300000</v>
      </c>
      <c r="G127" s="97"/>
      <c r="H127" s="97"/>
      <c r="R127"/>
      <c r="S127">
        <v>1800000</v>
      </c>
      <c r="T127">
        <v>900000</v>
      </c>
      <c r="U127"/>
    </row>
    <row r="128" spans="1:22" s="34" customFormat="1" x14ac:dyDescent="0.35">
      <c r="A128" s="171" t="s">
        <v>50</v>
      </c>
      <c r="B128" s="171"/>
      <c r="C128" s="171"/>
      <c r="D128" s="171"/>
      <c r="E128" s="171"/>
      <c r="F128" s="97">
        <f>F117*0.8</f>
        <v>4240</v>
      </c>
      <c r="G128" s="97"/>
      <c r="H128" s="97"/>
      <c r="R128" s="21"/>
      <c r="S128" s="21"/>
      <c r="T128">
        <v>1000000</v>
      </c>
      <c r="U128"/>
      <c r="V128" s="21"/>
    </row>
    <row r="129" spans="1:22" s="35" customFormat="1" ht="16.5" hidden="1" customHeight="1" x14ac:dyDescent="0.35">
      <c r="A129" s="170" t="s">
        <v>72</v>
      </c>
      <c r="B129" s="170"/>
      <c r="C129" s="170"/>
      <c r="D129" s="170"/>
      <c r="E129" s="170"/>
      <c r="F129" s="170"/>
      <c r="G129" s="170"/>
      <c r="H129" s="170"/>
      <c r="R129"/>
      <c r="S129" s="21"/>
      <c r="T129"/>
      <c r="U129"/>
      <c r="V129" s="21"/>
    </row>
    <row r="130" spans="1:22" s="35" customFormat="1" ht="16.5" hidden="1" customHeight="1" x14ac:dyDescent="0.35">
      <c r="A130" s="101" t="s">
        <v>51</v>
      </c>
      <c r="B130" s="101"/>
      <c r="C130" s="110" t="s">
        <v>75</v>
      </c>
      <c r="D130" s="110"/>
      <c r="E130" s="108" t="s">
        <v>52</v>
      </c>
      <c r="F130" s="108"/>
      <c r="G130" s="101" t="s">
        <v>53</v>
      </c>
      <c r="H130" s="101"/>
      <c r="R130"/>
      <c r="S130" s="21"/>
      <c r="T130"/>
      <c r="U130" s="21"/>
      <c r="V130" s="21"/>
    </row>
    <row r="131" spans="1:22" s="35" customFormat="1" ht="16.5" hidden="1" customHeight="1" x14ac:dyDescent="0.35">
      <c r="A131" s="109"/>
      <c r="B131" s="109"/>
      <c r="C131" s="216"/>
      <c r="D131" s="216"/>
      <c r="E131" s="217"/>
      <c r="F131" s="217"/>
      <c r="G131" s="142"/>
      <c r="H131" s="142"/>
      <c r="R131"/>
      <c r="S131" s="21"/>
      <c r="T131"/>
      <c r="U131" s="21"/>
      <c r="V131" s="21"/>
    </row>
    <row r="132" spans="1:22" s="35" customFormat="1" ht="16.5" hidden="1" customHeight="1" x14ac:dyDescent="0.35">
      <c r="A132" s="109"/>
      <c r="B132" s="109"/>
      <c r="C132" s="216"/>
      <c r="D132" s="216"/>
      <c r="E132" s="217"/>
      <c r="F132" s="217"/>
      <c r="G132" s="142"/>
      <c r="H132" s="142"/>
      <c r="R132"/>
      <c r="S132" s="21"/>
      <c r="T132"/>
      <c r="U132" s="21"/>
      <c r="V132" s="21"/>
    </row>
    <row r="133" spans="1:22" s="35" customFormat="1" ht="16.5" hidden="1" customHeight="1" x14ac:dyDescent="0.35">
      <c r="A133" s="170" t="s">
        <v>151</v>
      </c>
      <c r="B133" s="170"/>
      <c r="C133" s="110"/>
      <c r="D133" s="110"/>
      <c r="E133" s="108"/>
      <c r="F133" s="108"/>
      <c r="G133" s="101"/>
      <c r="H133" s="101"/>
      <c r="R133"/>
      <c r="S133" s="21"/>
      <c r="T133"/>
      <c r="U133" s="21"/>
      <c r="V133" s="21"/>
    </row>
    <row r="134" spans="1:22" s="35" customFormat="1" x14ac:dyDescent="0.35">
      <c r="A134" s="170" t="s">
        <v>67</v>
      </c>
      <c r="B134" s="170"/>
      <c r="C134" s="170"/>
      <c r="D134" s="170"/>
      <c r="E134" s="170"/>
      <c r="F134" s="170"/>
      <c r="G134" s="170"/>
      <c r="H134" s="170"/>
      <c r="T134"/>
    </row>
    <row r="135" spans="1:22" s="35" customFormat="1" ht="15.75" customHeight="1" x14ac:dyDescent="0.35">
      <c r="A135" s="101" t="s">
        <v>51</v>
      </c>
      <c r="B135" s="101"/>
      <c r="C135" s="110" t="s">
        <v>75</v>
      </c>
      <c r="D135" s="110"/>
      <c r="E135" s="108" t="s">
        <v>52</v>
      </c>
      <c r="F135" s="108"/>
      <c r="G135" s="101" t="s">
        <v>53</v>
      </c>
      <c r="H135" s="101"/>
      <c r="T135"/>
    </row>
    <row r="136" spans="1:22" s="35" customFormat="1" x14ac:dyDescent="0.35">
      <c r="A136" s="109" t="s">
        <v>355</v>
      </c>
      <c r="B136" s="109"/>
      <c r="C136" s="167">
        <f>COUNT(D160:D163,D166)+COUNT(D168:D169)+COUNT(D177:D180,D183:D186)*13+COUNT(D194:D197,D200:D203)*2</f>
        <v>127</v>
      </c>
      <c r="D136" s="167"/>
      <c r="E136" s="167">
        <f>SUM(F160:F163,F166)+SUM(F168:F169)+SUM(F177:F180,F183:F186)*13+SUM(F194:F197,F200:F203)*2</f>
        <v>57959.242379999996</v>
      </c>
      <c r="F136" s="167"/>
      <c r="G136" s="167">
        <f>SUM(H160:H163,H166)+SUM(H168:H169)+SUM(H177:H180,H183:H186)*13+SUM(H194:H197,H200:H203)*2</f>
        <v>86938.863569999987</v>
      </c>
      <c r="H136" s="167"/>
      <c r="T136"/>
    </row>
    <row r="137" spans="1:22" s="35" customFormat="1" x14ac:dyDescent="0.35">
      <c r="A137" s="109" t="s">
        <v>356</v>
      </c>
      <c r="B137" s="109"/>
      <c r="C137" s="167">
        <f>COUNT(D154,D158:D159,D164:D165)+COUNT(D171:D176,D181:D182)*13+COUNT(D188:D193,D198)*2</f>
        <v>123</v>
      </c>
      <c r="D137" s="167"/>
      <c r="E137" s="167">
        <f>SUM(F154,F158:F159,F164:F165)+SUM(F171:F176,F181:F182)*13+SUM(F188:F193,F198)*2</f>
        <v>65136.650669999995</v>
      </c>
      <c r="F137" s="167"/>
      <c r="G137" s="167">
        <f>SUM(H154,H158:H159,H164:H165)+SUM(H171:H176,H181:H182)*13+SUM(H188:H193,H198)*2</f>
        <v>97704.97600499999</v>
      </c>
      <c r="H137" s="167"/>
      <c r="T137"/>
    </row>
    <row r="138" spans="1:22" s="35" customFormat="1" ht="16" thickBot="1" x14ac:dyDescent="0.4">
      <c r="A138" s="230" t="s">
        <v>151</v>
      </c>
      <c r="B138" s="230"/>
      <c r="C138" s="145">
        <f>SUM(C136:C137)</f>
        <v>250</v>
      </c>
      <c r="D138" s="146"/>
      <c r="E138" s="145">
        <f>SUM(E136:E137)</f>
        <v>123095.89304999998</v>
      </c>
      <c r="F138" s="146"/>
      <c r="G138" s="145">
        <f>SUM(G136:G137)</f>
        <v>184643.83957499999</v>
      </c>
      <c r="H138" s="146"/>
      <c r="T138"/>
    </row>
    <row r="139" spans="1:22" s="35" customFormat="1" ht="16" thickBot="1" x14ac:dyDescent="0.4">
      <c r="A139" s="153" t="s">
        <v>168</v>
      </c>
      <c r="B139" s="154"/>
      <c r="C139" s="90">
        <f>C133+C138</f>
        <v>250</v>
      </c>
      <c r="D139" s="90"/>
      <c r="E139" s="91">
        <f>E133+E138</f>
        <v>123095.89304999998</v>
      </c>
      <c r="F139" s="91"/>
      <c r="G139" s="218">
        <f>G133+G138</f>
        <v>184643.83957499999</v>
      </c>
      <c r="H139" s="219"/>
      <c r="T139"/>
    </row>
    <row r="140" spans="1:22" s="34" customFormat="1" x14ac:dyDescent="0.35">
      <c r="A140" s="166" t="s">
        <v>54</v>
      </c>
      <c r="B140" s="166"/>
      <c r="C140" s="166"/>
      <c r="D140" s="166"/>
      <c r="E140" s="166"/>
      <c r="F140" s="166"/>
      <c r="G140" s="166"/>
      <c r="H140" s="166"/>
      <c r="T140" s="35"/>
    </row>
    <row r="141" spans="1:22" x14ac:dyDescent="0.35">
      <c r="A141" s="100" t="s">
        <v>343</v>
      </c>
      <c r="B141" s="100"/>
      <c r="C141" s="100"/>
      <c r="D141" s="100"/>
      <c r="E141" s="100"/>
      <c r="F141" s="100"/>
      <c r="G141" s="100"/>
      <c r="H141" s="100"/>
      <c r="T141" s="35"/>
    </row>
    <row r="142" spans="1:22" ht="47.25" hidden="1" customHeight="1" x14ac:dyDescent="0.35">
      <c r="A142" s="140" t="s">
        <v>348</v>
      </c>
      <c r="B142" s="140" t="s">
        <v>177</v>
      </c>
      <c r="C142" s="140" t="s">
        <v>55</v>
      </c>
      <c r="D142" s="140" t="s">
        <v>232</v>
      </c>
      <c r="E142" s="213" t="s">
        <v>157</v>
      </c>
      <c r="F142" s="140" t="s">
        <v>56</v>
      </c>
      <c r="G142" s="213" t="s">
        <v>57</v>
      </c>
      <c r="H142" s="74" t="s">
        <v>149</v>
      </c>
      <c r="T142" s="35"/>
    </row>
    <row r="143" spans="1:22" s="37" customFormat="1" hidden="1" x14ac:dyDescent="0.35">
      <c r="A143" s="141"/>
      <c r="B143" s="141"/>
      <c r="C143" s="141"/>
      <c r="D143" s="141"/>
      <c r="E143" s="214"/>
      <c r="F143" s="141"/>
      <c r="G143" s="214"/>
      <c r="H143" s="75">
        <v>0.45</v>
      </c>
      <c r="T143" s="35"/>
    </row>
    <row r="144" spans="1:22" s="37" customFormat="1" hidden="1" x14ac:dyDescent="0.35">
      <c r="A144" s="210" t="s">
        <v>117</v>
      </c>
      <c r="B144" s="211"/>
      <c r="C144" s="211"/>
      <c r="D144" s="211"/>
      <c r="E144" s="211"/>
      <c r="F144" s="211"/>
      <c r="G144" s="211"/>
      <c r="H144" s="212"/>
      <c r="J144" s="36"/>
      <c r="T144" s="35"/>
    </row>
    <row r="145" spans="1:20" s="37" customFormat="1" ht="15.75" hidden="1" customHeight="1" x14ac:dyDescent="0.35">
      <c r="A145" s="103">
        <v>1</v>
      </c>
      <c r="B145" s="104"/>
      <c r="C145" s="76"/>
      <c r="D145" s="76">
        <v>0</v>
      </c>
      <c r="E145" s="76">
        <v>0</v>
      </c>
      <c r="F145" s="76">
        <f>D145+(IF(E145&lt;201,E145,IF(E145&lt;301,E145/2,E145/3)))</f>
        <v>0</v>
      </c>
      <c r="G145" s="77">
        <v>0</v>
      </c>
      <c r="H145" s="76">
        <f>(F145+(IF(G145&lt;101,G145,IF(G145&lt;201,G145/2,IF(G145&lt;=301,G145/3,G145/4)))))*(($H$143)+1)</f>
        <v>0</v>
      </c>
      <c r="I145" s="36"/>
      <c r="L145" s="206"/>
      <c r="M145" s="206"/>
      <c r="N145" s="36"/>
      <c r="T145" s="35"/>
    </row>
    <row r="146" spans="1:20" s="37" customFormat="1" ht="15.75" hidden="1" customHeight="1" x14ac:dyDescent="0.35">
      <c r="A146" s="103">
        <f>A145+1</f>
        <v>2</v>
      </c>
      <c r="B146" s="104"/>
      <c r="C146" s="76"/>
      <c r="D146" s="76"/>
      <c r="E146" s="76">
        <v>0</v>
      </c>
      <c r="F146" s="76">
        <f t="shared" ref="F146:F148" si="0">D146+(IF(E146&lt;201,E146,IF(E146&lt;301,E146/2,E146/3)))</f>
        <v>0</v>
      </c>
      <c r="G146" s="76">
        <v>0</v>
      </c>
      <c r="H146" s="76">
        <f t="shared" ref="H146:H148" si="1">(F146+(IF(G146&lt;101,G146,IF(G146&lt;201,G146/2,IF(G146&lt;=301,G146/3,G146/4)))))*(($H$143)+1)</f>
        <v>0</v>
      </c>
      <c r="I146" s="36"/>
      <c r="L146" s="206"/>
      <c r="M146" s="206"/>
      <c r="N146" s="36"/>
      <c r="T146" s="34"/>
    </row>
    <row r="147" spans="1:20" s="37" customFormat="1" ht="15.75" hidden="1" customHeight="1" x14ac:dyDescent="0.35">
      <c r="A147" s="103">
        <f>A146+1</f>
        <v>3</v>
      </c>
      <c r="B147" s="104"/>
      <c r="C147" s="76"/>
      <c r="D147" s="76"/>
      <c r="E147" s="76">
        <v>0</v>
      </c>
      <c r="F147" s="76">
        <f t="shared" si="0"/>
        <v>0</v>
      </c>
      <c r="G147" s="76">
        <v>0</v>
      </c>
      <c r="H147" s="76">
        <f t="shared" si="1"/>
        <v>0</v>
      </c>
      <c r="I147" s="36"/>
      <c r="L147" s="206"/>
      <c r="M147" s="206"/>
      <c r="N147" s="36"/>
      <c r="T147" s="21"/>
    </row>
    <row r="148" spans="1:20" s="37" customFormat="1" ht="15.75" hidden="1" customHeight="1" x14ac:dyDescent="0.35">
      <c r="A148" s="103">
        <f>A147+1</f>
        <v>4</v>
      </c>
      <c r="B148" s="104"/>
      <c r="C148" s="76"/>
      <c r="D148" s="76"/>
      <c r="E148" s="76">
        <v>0</v>
      </c>
      <c r="F148" s="76">
        <f t="shared" si="0"/>
        <v>0</v>
      </c>
      <c r="G148" s="76">
        <v>0</v>
      </c>
      <c r="H148" s="76">
        <f t="shared" si="1"/>
        <v>0</v>
      </c>
      <c r="I148" s="36"/>
      <c r="L148" s="206"/>
      <c r="M148" s="206"/>
      <c r="N148" s="36"/>
      <c r="T148" s="21"/>
    </row>
    <row r="149" spans="1:20" s="37" customFormat="1" hidden="1" x14ac:dyDescent="0.35">
      <c r="A149" s="103"/>
      <c r="B149" s="165"/>
      <c r="C149" s="165"/>
      <c r="D149" s="165"/>
      <c r="E149" s="165"/>
      <c r="F149" s="165"/>
      <c r="G149" s="165"/>
      <c r="H149" s="104"/>
      <c r="I149" s="36"/>
      <c r="N149" s="36"/>
    </row>
    <row r="150" spans="1:20" ht="47.25" customHeight="1" x14ac:dyDescent="0.35">
      <c r="A150" s="156" t="s">
        <v>349</v>
      </c>
      <c r="B150" s="140" t="s">
        <v>351</v>
      </c>
      <c r="C150" s="140" t="s">
        <v>55</v>
      </c>
      <c r="D150" s="140" t="s">
        <v>347</v>
      </c>
      <c r="E150" s="140" t="s">
        <v>350</v>
      </c>
      <c r="F150" s="140" t="s">
        <v>56</v>
      </c>
      <c r="G150" s="213" t="s">
        <v>57</v>
      </c>
      <c r="H150" s="74" t="s">
        <v>149</v>
      </c>
      <c r="I150" s="36"/>
      <c r="T150" s="37"/>
    </row>
    <row r="151" spans="1:20" s="37" customFormat="1" x14ac:dyDescent="0.35">
      <c r="A151" s="157"/>
      <c r="B151" s="141"/>
      <c r="C151" s="141"/>
      <c r="D151" s="141"/>
      <c r="E151" s="141"/>
      <c r="F151" s="141"/>
      <c r="G151" s="214"/>
      <c r="H151" s="75">
        <v>0.5</v>
      </c>
      <c r="I151" s="36"/>
    </row>
    <row r="152" spans="1:20" s="69" customFormat="1" x14ac:dyDescent="0.35">
      <c r="A152" s="147" t="s">
        <v>327</v>
      </c>
      <c r="B152" s="148"/>
      <c r="C152" s="148"/>
      <c r="D152" s="148"/>
      <c r="E152" s="148"/>
      <c r="F152" s="148"/>
      <c r="G152" s="148"/>
      <c r="H152" s="149"/>
      <c r="I152" s="36"/>
    </row>
    <row r="153" spans="1:20" s="69" customFormat="1" x14ac:dyDescent="0.35">
      <c r="A153" s="172" t="s">
        <v>332</v>
      </c>
      <c r="B153" s="172"/>
      <c r="C153" s="172"/>
      <c r="D153" s="172"/>
      <c r="E153" s="172"/>
      <c r="F153" s="172"/>
      <c r="G153" s="172"/>
      <c r="H153" s="172"/>
      <c r="I153" s="36"/>
      <c r="L153" s="206"/>
      <c r="M153" s="206"/>
    </row>
    <row r="154" spans="1:20" s="69" customFormat="1" x14ac:dyDescent="0.35">
      <c r="A154" s="72">
        <v>1</v>
      </c>
      <c r="B154" s="72" t="s">
        <v>352</v>
      </c>
      <c r="C154" s="68" t="s">
        <v>328</v>
      </c>
      <c r="D154" s="73">
        <f>(42.79)*(10.764)</f>
        <v>460.59155999999996</v>
      </c>
      <c r="E154" s="73">
        <f>(0.75*(2.75+2.1+2.45+2.75))*(10.764)</f>
        <v>81.133650000000003</v>
      </c>
      <c r="F154" s="68">
        <f>D154+E154</f>
        <v>541.72520999999995</v>
      </c>
      <c r="G154" s="68">
        <v>0</v>
      </c>
      <c r="H154" s="68">
        <f>F154*(($H$151)+1)+(IF(G154&lt;101,G154,IF(G154&lt;201,G154/2,IF(G154&lt;=301,G154/3,G154/4))))</f>
        <v>812.58781499999986</v>
      </c>
      <c r="I154" s="36"/>
      <c r="J154" s="73">
        <f>10.764</f>
        <v>10.763999999999999</v>
      </c>
      <c r="N154" s="36"/>
    </row>
    <row r="155" spans="1:20" s="69" customFormat="1" x14ac:dyDescent="0.35">
      <c r="A155" s="72">
        <f>A154+1</f>
        <v>2</v>
      </c>
      <c r="B155" s="72" t="s">
        <v>331</v>
      </c>
      <c r="C155" s="98" t="s">
        <v>333</v>
      </c>
      <c r="D155" s="155"/>
      <c r="E155" s="155"/>
      <c r="F155" s="155"/>
      <c r="G155" s="155"/>
      <c r="H155" s="99"/>
      <c r="I155" s="36"/>
      <c r="N155" s="36"/>
    </row>
    <row r="156" spans="1:20" s="69" customFormat="1" x14ac:dyDescent="0.35">
      <c r="A156" s="72">
        <f>A155+1</f>
        <v>3</v>
      </c>
      <c r="B156" s="72" t="s">
        <v>331</v>
      </c>
      <c r="C156" s="98" t="s">
        <v>334</v>
      </c>
      <c r="D156" s="155"/>
      <c r="E156" s="155"/>
      <c r="F156" s="155"/>
      <c r="G156" s="155"/>
      <c r="H156" s="99"/>
      <c r="I156" s="36"/>
      <c r="N156" s="36"/>
    </row>
    <row r="157" spans="1:20" s="69" customFormat="1" x14ac:dyDescent="0.35">
      <c r="A157" s="72">
        <f>A156+1</f>
        <v>4</v>
      </c>
      <c r="B157" s="72" t="s">
        <v>331</v>
      </c>
      <c r="C157" s="98" t="s">
        <v>335</v>
      </c>
      <c r="D157" s="155"/>
      <c r="E157" s="155"/>
      <c r="F157" s="155"/>
      <c r="G157" s="155"/>
      <c r="H157" s="99"/>
      <c r="I157" s="36"/>
      <c r="N157" s="36"/>
    </row>
    <row r="158" spans="1:20" s="69" customFormat="1" x14ac:dyDescent="0.35">
      <c r="A158" s="72">
        <f>A157+1</f>
        <v>5</v>
      </c>
      <c r="B158" s="72" t="s">
        <v>352</v>
      </c>
      <c r="C158" s="68" t="s">
        <v>329</v>
      </c>
      <c r="D158" s="73">
        <f>(35.62)*(10.764)</f>
        <v>383.41367999999994</v>
      </c>
      <c r="E158" s="73">
        <f>0*(10.764)</f>
        <v>0</v>
      </c>
      <c r="F158" s="68">
        <f t="shared" ref="F158:F166" si="2">D158+E158</f>
        <v>383.41367999999994</v>
      </c>
      <c r="G158" s="68">
        <v>0</v>
      </c>
      <c r="H158" s="68">
        <f t="shared" ref="H158:H166" si="3">F158*(($H$151)+1)+(IF(G158&lt;101,G158,IF(G158&lt;201,G158/2,IF(G158&lt;=301,G158/3,G158/4))))</f>
        <v>575.12051999999994</v>
      </c>
      <c r="I158" s="36"/>
      <c r="N158" s="36"/>
    </row>
    <row r="159" spans="1:20" s="69" customFormat="1" x14ac:dyDescent="0.35">
      <c r="A159" s="72">
        <f t="shared" ref="A159:A163" si="4">A158+1</f>
        <v>6</v>
      </c>
      <c r="B159" s="72" t="s">
        <v>352</v>
      </c>
      <c r="C159" s="68" t="s">
        <v>329</v>
      </c>
      <c r="D159" s="73">
        <f>(38.65)*(10.764)</f>
        <v>416.02859999999998</v>
      </c>
      <c r="E159" s="73">
        <f>0*(10.764)</f>
        <v>0</v>
      </c>
      <c r="F159" s="68">
        <f t="shared" si="2"/>
        <v>416.02859999999998</v>
      </c>
      <c r="G159" s="68">
        <v>0</v>
      </c>
      <c r="H159" s="68">
        <f t="shared" si="3"/>
        <v>624.04289999999992</v>
      </c>
      <c r="I159" s="36"/>
      <c r="N159" s="36"/>
    </row>
    <row r="160" spans="1:20" s="69" customFormat="1" x14ac:dyDescent="0.35">
      <c r="A160" s="72">
        <f t="shared" si="4"/>
        <v>7</v>
      </c>
      <c r="B160" s="72" t="s">
        <v>353</v>
      </c>
      <c r="C160" s="68" t="s">
        <v>329</v>
      </c>
      <c r="D160" s="73">
        <f>(35.83)*(10.764)</f>
        <v>385.67411999999996</v>
      </c>
      <c r="E160" s="73">
        <f>(0.75*(3.15+2.15+2.75))*(10.764)</f>
        <v>64.987650000000002</v>
      </c>
      <c r="F160" s="68">
        <f t="shared" si="2"/>
        <v>450.66176999999993</v>
      </c>
      <c r="G160" s="68">
        <v>0</v>
      </c>
      <c r="H160" s="68">
        <f t="shared" si="3"/>
        <v>675.9926549999999</v>
      </c>
      <c r="I160" s="36"/>
      <c r="N160" s="36"/>
    </row>
    <row r="161" spans="1:14" s="69" customFormat="1" x14ac:dyDescent="0.35">
      <c r="A161" s="72">
        <f t="shared" si="4"/>
        <v>8</v>
      </c>
      <c r="B161" s="72" t="s">
        <v>353</v>
      </c>
      <c r="C161" s="68" t="s">
        <v>329</v>
      </c>
      <c r="D161" s="73">
        <f>(29.79)*(10.764)</f>
        <v>320.65956</v>
      </c>
      <c r="E161" s="73">
        <f>(0.75*(3.3+2.15+2.75)+1*(2.15+2.75))*(10.764)</f>
        <v>118.9422</v>
      </c>
      <c r="F161" s="68">
        <f t="shared" si="2"/>
        <v>439.60176000000001</v>
      </c>
      <c r="G161" s="68">
        <v>0</v>
      </c>
      <c r="H161" s="68">
        <f t="shared" si="3"/>
        <v>659.40264000000002</v>
      </c>
      <c r="I161" s="36">
        <f>(3.45*2.75+2.3*2.15+2.75*3.3+1.15*1.95+1.15*2.15)</f>
        <v>28.2225</v>
      </c>
      <c r="N161" s="36"/>
    </row>
    <row r="162" spans="1:14" s="69" customFormat="1" x14ac:dyDescent="0.35">
      <c r="A162" s="72">
        <f t="shared" si="4"/>
        <v>9</v>
      </c>
      <c r="B162" s="72" t="s">
        <v>353</v>
      </c>
      <c r="C162" s="68" t="s">
        <v>329</v>
      </c>
      <c r="D162" s="73">
        <f>(29.65)*(10.764)</f>
        <v>319.15259999999995</v>
      </c>
      <c r="E162" s="73">
        <f>(0.75*(2.75+2.25+2.75)+1.2*(2.75+2.25))*(10.764)</f>
        <v>127.14975</v>
      </c>
      <c r="F162" s="68">
        <f t="shared" si="2"/>
        <v>446.30234999999993</v>
      </c>
      <c r="G162" s="68">
        <v>0</v>
      </c>
      <c r="H162" s="68">
        <f t="shared" si="3"/>
        <v>669.4535249999999</v>
      </c>
      <c r="I162" s="36"/>
      <c r="N162" s="36"/>
    </row>
    <row r="163" spans="1:14" s="69" customFormat="1" x14ac:dyDescent="0.35">
      <c r="A163" s="72">
        <f t="shared" si="4"/>
        <v>10</v>
      </c>
      <c r="B163" s="72" t="s">
        <v>353</v>
      </c>
      <c r="C163" s="68" t="s">
        <v>329</v>
      </c>
      <c r="D163" s="73">
        <f>(29.65)*(10.764)</f>
        <v>319.15259999999995</v>
      </c>
      <c r="E163" s="73">
        <f>(0.75*(2.75+2.25+2.75)+1.2*(2.25+2.75))*(10.764)</f>
        <v>127.14975</v>
      </c>
      <c r="F163" s="68">
        <f t="shared" si="2"/>
        <v>446.30234999999993</v>
      </c>
      <c r="G163" s="68">
        <v>0</v>
      </c>
      <c r="H163" s="68">
        <f t="shared" si="3"/>
        <v>669.4535249999999</v>
      </c>
      <c r="I163" s="36"/>
      <c r="N163" s="36"/>
    </row>
    <row r="164" spans="1:14" s="69" customFormat="1" x14ac:dyDescent="0.35">
      <c r="A164" s="72">
        <f>A163+1</f>
        <v>11</v>
      </c>
      <c r="B164" s="72" t="s">
        <v>352</v>
      </c>
      <c r="C164" s="68" t="s">
        <v>330</v>
      </c>
      <c r="D164" s="73">
        <f>(50)*(10.764)</f>
        <v>538.19999999999993</v>
      </c>
      <c r="E164" s="73">
        <f>(0.75*(2.75+2.15+2.15+2.75+2.75)+1.2*(2.75+2.15)+(1*2.15+2.75*1.1+2.75*1.1))*(10.764)</f>
        <v>252.87326999999999</v>
      </c>
      <c r="F164" s="68">
        <f t="shared" si="2"/>
        <v>791.07326999999987</v>
      </c>
      <c r="G164" s="68">
        <v>0</v>
      </c>
      <c r="H164" s="68">
        <f t="shared" si="3"/>
        <v>1186.6099049999998</v>
      </c>
      <c r="I164" s="36"/>
      <c r="N164" s="36"/>
    </row>
    <row r="165" spans="1:14" s="69" customFormat="1" x14ac:dyDescent="0.35">
      <c r="A165" s="72">
        <f t="shared" ref="A165:A169" si="5">A164+1</f>
        <v>12</v>
      </c>
      <c r="B165" s="72" t="s">
        <v>352</v>
      </c>
      <c r="C165" s="68" t="s">
        <v>330</v>
      </c>
      <c r="D165" s="73">
        <f>(49.25)*(10.764)</f>
        <v>530.12699999999995</v>
      </c>
      <c r="E165" s="73">
        <f>(0.75*(2.9+2.15+2.75+2.75)+(1.15*2.9))*(10.764)</f>
        <v>121.06809</v>
      </c>
      <c r="F165" s="68">
        <f t="shared" si="2"/>
        <v>651.19508999999994</v>
      </c>
      <c r="G165" s="68">
        <v>0</v>
      </c>
      <c r="H165" s="68">
        <f t="shared" si="3"/>
        <v>976.7926349999999</v>
      </c>
      <c r="I165" s="36">
        <f>(2.9*3.3+2.15*2.15+2.75*2.6+2.75*3.35+4.05*0.9+1.9*1.15+1.15*2.25+2.6*2.25)</f>
        <v>44.822500000000005</v>
      </c>
      <c r="N165" s="36"/>
    </row>
    <row r="166" spans="1:14" s="69" customFormat="1" x14ac:dyDescent="0.35">
      <c r="A166" s="72">
        <f t="shared" si="5"/>
        <v>13</v>
      </c>
      <c r="B166" s="72" t="s">
        <v>353</v>
      </c>
      <c r="C166" s="68" t="s">
        <v>329</v>
      </c>
      <c r="D166" s="73">
        <f>(29.75)*(10.764)</f>
        <v>320.22899999999998</v>
      </c>
      <c r="E166" s="73">
        <f>(0.75*(2.75+2.25+2.75)+(1.25*2.75+1.1*2.25))*(10.764)</f>
        <v>126.2079</v>
      </c>
      <c r="F166" s="68">
        <f t="shared" si="2"/>
        <v>446.43689999999998</v>
      </c>
      <c r="G166" s="68">
        <v>0</v>
      </c>
      <c r="H166" s="68">
        <f t="shared" si="3"/>
        <v>669.65535</v>
      </c>
      <c r="I166" s="36"/>
      <c r="N166" s="36"/>
    </row>
    <row r="167" spans="1:14" s="69" customFormat="1" x14ac:dyDescent="0.35">
      <c r="A167" s="72">
        <f t="shared" si="5"/>
        <v>14</v>
      </c>
      <c r="B167" s="72" t="s">
        <v>331</v>
      </c>
      <c r="C167" s="98" t="s">
        <v>354</v>
      </c>
      <c r="D167" s="155"/>
      <c r="E167" s="155"/>
      <c r="F167" s="155"/>
      <c r="G167" s="155"/>
      <c r="H167" s="99"/>
      <c r="I167" s="36"/>
      <c r="N167" s="36"/>
    </row>
    <row r="168" spans="1:14" s="69" customFormat="1" x14ac:dyDescent="0.35">
      <c r="A168" s="72">
        <f t="shared" si="5"/>
        <v>15</v>
      </c>
      <c r="B168" s="72" t="s">
        <v>353</v>
      </c>
      <c r="C168" s="68" t="s">
        <v>329</v>
      </c>
      <c r="D168" s="73">
        <f>(36)*(10.764)</f>
        <v>387.50399999999996</v>
      </c>
      <c r="E168" s="73">
        <f>(0.75*(2.75+2.25+2.75))*(10.764)</f>
        <v>62.565749999999994</v>
      </c>
      <c r="F168" s="68">
        <f>D168+E168</f>
        <v>450.06974999999994</v>
      </c>
      <c r="G168" s="68">
        <v>0</v>
      </c>
      <c r="H168" s="68">
        <f>F168*(($H$151)+1)+(IF(G168&lt;101,G168,IF(G168&lt;201,G168/2,IF(G168&lt;=301,G168/3,G168/4))))</f>
        <v>675.10462499999994</v>
      </c>
      <c r="I168" s="36"/>
      <c r="N168" s="36"/>
    </row>
    <row r="169" spans="1:14" s="69" customFormat="1" x14ac:dyDescent="0.35">
      <c r="A169" s="72">
        <f t="shared" si="5"/>
        <v>16</v>
      </c>
      <c r="B169" s="72" t="s">
        <v>353</v>
      </c>
      <c r="C169" s="68" t="s">
        <v>328</v>
      </c>
      <c r="D169" s="73">
        <f>(39.74)*(10.764)</f>
        <v>427.76135999999997</v>
      </c>
      <c r="E169" s="73">
        <f>(0.75*(2.75+2.2+2.75+2.6))*(10.764)</f>
        <v>83.151899999999998</v>
      </c>
      <c r="F169" s="68">
        <f>D169+E169</f>
        <v>510.91325999999998</v>
      </c>
      <c r="G169" s="68">
        <v>0</v>
      </c>
      <c r="H169" s="68">
        <f>F169*(($H$151)+1)+(IF(G169&lt;101,G169,IF(G169&lt;201,G169/2,IF(G169&lt;=301,G169/3,G169/4))))</f>
        <v>766.36988999999994</v>
      </c>
      <c r="I169" s="36"/>
      <c r="N169" s="36"/>
    </row>
    <row r="170" spans="1:14" s="69" customFormat="1" ht="15.75" customHeight="1" x14ac:dyDescent="0.35">
      <c r="A170" s="147" t="s">
        <v>336</v>
      </c>
      <c r="B170" s="148"/>
      <c r="C170" s="148"/>
      <c r="D170" s="148"/>
      <c r="E170" s="148"/>
      <c r="F170" s="148"/>
      <c r="G170" s="148"/>
      <c r="H170" s="149"/>
      <c r="I170" s="36"/>
    </row>
    <row r="171" spans="1:14" s="69" customFormat="1" ht="15.75" customHeight="1" x14ac:dyDescent="0.35">
      <c r="A171" s="72">
        <v>1</v>
      </c>
      <c r="B171" s="72" t="s">
        <v>352</v>
      </c>
      <c r="C171" s="68" t="s">
        <v>328</v>
      </c>
      <c r="D171" s="73">
        <f>(42.79)*(10.764)</f>
        <v>460.59155999999996</v>
      </c>
      <c r="E171" s="73">
        <f>(0.75*(2.75+2.1+2.45+2.75))*(10.764)</f>
        <v>81.133650000000003</v>
      </c>
      <c r="F171" s="68">
        <f t="shared" ref="F171:F186" si="6">D171+E171</f>
        <v>541.72520999999995</v>
      </c>
      <c r="G171" s="68">
        <v>0</v>
      </c>
      <c r="H171" s="68">
        <f t="shared" ref="H171:H186" si="7">F171*(($H$151)+1)+(IF(G171&lt;101,G171,IF(G171&lt;201,G171/2,IF(G171&lt;=301,G171/3,G171/4))))</f>
        <v>812.58781499999986</v>
      </c>
      <c r="I171" s="36"/>
    </row>
    <row r="172" spans="1:14" s="69" customFormat="1" ht="15.75" customHeight="1" x14ac:dyDescent="0.35">
      <c r="A172" s="72">
        <v>2</v>
      </c>
      <c r="B172" s="72" t="s">
        <v>352</v>
      </c>
      <c r="C172" s="68" t="s">
        <v>328</v>
      </c>
      <c r="D172" s="73">
        <f>(42.79)*(10.764)</f>
        <v>460.59155999999996</v>
      </c>
      <c r="E172" s="73">
        <f>(0.75*(2.75+2.1+2.45+2.75))*(10.764)</f>
        <v>81.133650000000003</v>
      </c>
      <c r="F172" s="68">
        <f t="shared" si="6"/>
        <v>541.72520999999995</v>
      </c>
      <c r="G172" s="68">
        <v>0</v>
      </c>
      <c r="H172" s="68">
        <f t="shared" si="7"/>
        <v>812.58781499999986</v>
      </c>
      <c r="I172" s="36"/>
    </row>
    <row r="173" spans="1:14" s="69" customFormat="1" ht="15.75" customHeight="1" x14ac:dyDescent="0.35">
      <c r="A173" s="72">
        <v>3</v>
      </c>
      <c r="B173" s="72" t="s">
        <v>352</v>
      </c>
      <c r="C173" s="68" t="s">
        <v>329</v>
      </c>
      <c r="D173" s="73">
        <f>(28.93)*(10.764)</f>
        <v>311.40251999999998</v>
      </c>
      <c r="E173" s="73">
        <f>(0.75*(2.75+2.15+2.75)+(2.15*1))*(10.764)</f>
        <v>84.901050000000012</v>
      </c>
      <c r="F173" s="68">
        <f t="shared" si="6"/>
        <v>396.30356999999998</v>
      </c>
      <c r="G173" s="68">
        <v>0</v>
      </c>
      <c r="H173" s="68">
        <f t="shared" si="7"/>
        <v>594.45535499999994</v>
      </c>
      <c r="I173" s="36">
        <f>(2.75*4.2+2.15*2.15+2.75*3.15+1.15*1.05+1.35*1.05)</f>
        <v>27.46</v>
      </c>
    </row>
    <row r="174" spans="1:14" s="69" customFormat="1" ht="15.75" customHeight="1" x14ac:dyDescent="0.35">
      <c r="A174" s="72">
        <v>4</v>
      </c>
      <c r="B174" s="72" t="s">
        <v>352</v>
      </c>
      <c r="C174" s="68" t="s">
        <v>329</v>
      </c>
      <c r="D174" s="73">
        <f>(28.93)*(10.764)</f>
        <v>311.40251999999998</v>
      </c>
      <c r="E174" s="73">
        <f>(0.75*(2.75+2.15+2.75)+(2.15*1))*(10.764)</f>
        <v>84.901050000000012</v>
      </c>
      <c r="F174" s="68">
        <f t="shared" si="6"/>
        <v>396.30356999999998</v>
      </c>
      <c r="G174" s="68">
        <v>0</v>
      </c>
      <c r="H174" s="68">
        <f t="shared" si="7"/>
        <v>594.45535499999994</v>
      </c>
      <c r="I174" s="36"/>
    </row>
    <row r="175" spans="1:14" s="69" customFormat="1" ht="15.75" customHeight="1" x14ac:dyDescent="0.35">
      <c r="A175" s="72">
        <v>5</v>
      </c>
      <c r="B175" s="72" t="s">
        <v>352</v>
      </c>
      <c r="C175" s="68" t="s">
        <v>329</v>
      </c>
      <c r="D175" s="73">
        <f>(35.62)*(10.764)</f>
        <v>383.41367999999994</v>
      </c>
      <c r="E175" s="73">
        <f>(0.75*(2.75+2.15+2.9))*(10.764)</f>
        <v>62.9694</v>
      </c>
      <c r="F175" s="68">
        <f t="shared" si="6"/>
        <v>446.38307999999995</v>
      </c>
      <c r="G175" s="68">
        <v>0</v>
      </c>
      <c r="H175" s="68">
        <f t="shared" si="7"/>
        <v>669.57461999999987</v>
      </c>
      <c r="I175" s="36"/>
    </row>
    <row r="176" spans="1:14" s="69" customFormat="1" ht="15.75" customHeight="1" x14ac:dyDescent="0.35">
      <c r="A176" s="72">
        <v>6</v>
      </c>
      <c r="B176" s="72" t="s">
        <v>352</v>
      </c>
      <c r="C176" s="68" t="s">
        <v>329</v>
      </c>
      <c r="D176" s="73">
        <f>(38.65)*(10.764)</f>
        <v>416.02859999999998</v>
      </c>
      <c r="E176" s="73">
        <f>(0.75*(2.75+2.15+2.9))*(10.764)</f>
        <v>62.9694</v>
      </c>
      <c r="F176" s="68">
        <f t="shared" si="6"/>
        <v>478.99799999999999</v>
      </c>
      <c r="G176" s="68">
        <v>0</v>
      </c>
      <c r="H176" s="68">
        <f t="shared" si="7"/>
        <v>718.49699999999996</v>
      </c>
      <c r="I176" s="36"/>
    </row>
    <row r="177" spans="1:9" s="69" customFormat="1" ht="15.75" customHeight="1" x14ac:dyDescent="0.35">
      <c r="A177" s="72">
        <v>7</v>
      </c>
      <c r="B177" s="72" t="s">
        <v>353</v>
      </c>
      <c r="C177" s="68" t="s">
        <v>329</v>
      </c>
      <c r="D177" s="73">
        <f>(35.83)*(10.764)</f>
        <v>385.67411999999996</v>
      </c>
      <c r="E177" s="73">
        <f>(0.75*(3.15+2.15+2.75))*(10.764)</f>
        <v>64.987650000000002</v>
      </c>
      <c r="F177" s="68">
        <f t="shared" si="6"/>
        <v>450.66176999999993</v>
      </c>
      <c r="G177" s="68">
        <v>0</v>
      </c>
      <c r="H177" s="68">
        <f t="shared" si="7"/>
        <v>675.9926549999999</v>
      </c>
      <c r="I177" s="36"/>
    </row>
    <row r="178" spans="1:9" s="69" customFormat="1" ht="15.75" customHeight="1" x14ac:dyDescent="0.35">
      <c r="A178" s="72">
        <v>8</v>
      </c>
      <c r="B178" s="72" t="s">
        <v>353</v>
      </c>
      <c r="C178" s="68" t="s">
        <v>329</v>
      </c>
      <c r="D178" s="73">
        <f>(29.79)*(10.764)</f>
        <v>320.65956</v>
      </c>
      <c r="E178" s="73">
        <f>(0.75*(3.3+2.15+2.75)+1*(2.15+2.75))*(10.764)</f>
        <v>118.9422</v>
      </c>
      <c r="F178" s="68">
        <f t="shared" si="6"/>
        <v>439.60176000000001</v>
      </c>
      <c r="G178" s="68">
        <v>0</v>
      </c>
      <c r="H178" s="68">
        <f t="shared" si="7"/>
        <v>659.40264000000002</v>
      </c>
      <c r="I178" s="36"/>
    </row>
    <row r="179" spans="1:9" s="69" customFormat="1" ht="15.75" customHeight="1" x14ac:dyDescent="0.35">
      <c r="A179" s="72">
        <v>9</v>
      </c>
      <c r="B179" s="72" t="s">
        <v>353</v>
      </c>
      <c r="C179" s="68" t="s">
        <v>329</v>
      </c>
      <c r="D179" s="73">
        <f>(29.65)*(10.764)</f>
        <v>319.15259999999995</v>
      </c>
      <c r="E179" s="73">
        <f>(0.75*(2.75+2.25+2.75)+1.2*(2.75+2.25))*(10.764)</f>
        <v>127.14975</v>
      </c>
      <c r="F179" s="68">
        <f t="shared" si="6"/>
        <v>446.30234999999993</v>
      </c>
      <c r="G179" s="68">
        <v>0</v>
      </c>
      <c r="H179" s="68">
        <f t="shared" si="7"/>
        <v>669.4535249999999</v>
      </c>
      <c r="I179" s="36"/>
    </row>
    <row r="180" spans="1:9" s="69" customFormat="1" ht="15.75" customHeight="1" x14ac:dyDescent="0.35">
      <c r="A180" s="72">
        <v>10</v>
      </c>
      <c r="B180" s="72" t="s">
        <v>353</v>
      </c>
      <c r="C180" s="68" t="s">
        <v>329</v>
      </c>
      <c r="D180" s="73">
        <f>(29.75)*(10.764)</f>
        <v>320.22899999999998</v>
      </c>
      <c r="E180" s="73">
        <f>(0.75*(2.75+2.25+2.75)+(1.28*2.75+1.1*2.25))*(10.764)</f>
        <v>127.09593000000001</v>
      </c>
      <c r="F180" s="68">
        <f t="shared" si="6"/>
        <v>447.32492999999999</v>
      </c>
      <c r="G180" s="68">
        <v>0</v>
      </c>
      <c r="H180" s="68">
        <f t="shared" si="7"/>
        <v>670.98739499999999</v>
      </c>
      <c r="I180" s="36"/>
    </row>
    <row r="181" spans="1:9" s="69" customFormat="1" ht="15.75" customHeight="1" x14ac:dyDescent="0.35">
      <c r="A181" s="72">
        <v>11</v>
      </c>
      <c r="B181" s="72" t="s">
        <v>352</v>
      </c>
      <c r="C181" s="68" t="s">
        <v>330</v>
      </c>
      <c r="D181" s="73">
        <f>(50)*(10.764)</f>
        <v>538.19999999999993</v>
      </c>
      <c r="E181" s="73">
        <f>(0.75*(2.75+2.15+2.15+2.75+2.75)+1.2*(2.75+2.15)+(1*2.15+2.75*1.1+2.75*1.1))*(10.764)</f>
        <v>252.87326999999999</v>
      </c>
      <c r="F181" s="68">
        <f t="shared" si="6"/>
        <v>791.07326999999987</v>
      </c>
      <c r="G181" s="68">
        <v>0</v>
      </c>
      <c r="H181" s="68">
        <f t="shared" si="7"/>
        <v>1186.6099049999998</v>
      </c>
      <c r="I181" s="36"/>
    </row>
    <row r="182" spans="1:9" s="69" customFormat="1" ht="15.75" customHeight="1" x14ac:dyDescent="0.35">
      <c r="A182" s="72">
        <v>12</v>
      </c>
      <c r="B182" s="72" t="s">
        <v>352</v>
      </c>
      <c r="C182" s="68" t="s">
        <v>330</v>
      </c>
      <c r="D182" s="73">
        <f>(49.25)*(10.764)</f>
        <v>530.12699999999995</v>
      </c>
      <c r="E182" s="73">
        <f>(0.75*(2.9+2.15+2.75+2.75)+(1.15*2.9))*(10.764)</f>
        <v>121.06809</v>
      </c>
      <c r="F182" s="68">
        <f t="shared" si="6"/>
        <v>651.19508999999994</v>
      </c>
      <c r="G182" s="68">
        <v>0</v>
      </c>
      <c r="H182" s="68">
        <f t="shared" si="7"/>
        <v>976.7926349999999</v>
      </c>
      <c r="I182" s="36"/>
    </row>
    <row r="183" spans="1:9" s="69" customFormat="1" ht="15.75" customHeight="1" x14ac:dyDescent="0.35">
      <c r="A183" s="72">
        <v>13</v>
      </c>
      <c r="B183" s="72" t="s">
        <v>353</v>
      </c>
      <c r="C183" s="68" t="s">
        <v>329</v>
      </c>
      <c r="D183" s="73">
        <f>(29.75)*(10.764)</f>
        <v>320.22899999999998</v>
      </c>
      <c r="E183" s="73">
        <f>(0.75*(2.75+2.25+2.75)+(1.25*2.75+1.1*2.25))*(10.764)</f>
        <v>126.2079</v>
      </c>
      <c r="F183" s="68">
        <f t="shared" si="6"/>
        <v>446.43689999999998</v>
      </c>
      <c r="G183" s="68">
        <v>0</v>
      </c>
      <c r="H183" s="68">
        <f t="shared" si="7"/>
        <v>669.65535</v>
      </c>
      <c r="I183" s="36"/>
    </row>
    <row r="184" spans="1:9" s="69" customFormat="1" ht="15.75" customHeight="1" x14ac:dyDescent="0.35">
      <c r="A184" s="72">
        <v>14</v>
      </c>
      <c r="B184" s="72" t="s">
        <v>353</v>
      </c>
      <c r="C184" s="68" t="s">
        <v>329</v>
      </c>
      <c r="D184" s="73">
        <f>(29.75)*(10.764)</f>
        <v>320.22899999999998</v>
      </c>
      <c r="E184" s="73">
        <f>(0.75*(2.75+2.25+2.75)+(1.25*2.75+1.1*2.25))*(10.764)</f>
        <v>126.2079</v>
      </c>
      <c r="F184" s="68">
        <f t="shared" si="6"/>
        <v>446.43689999999998</v>
      </c>
      <c r="G184" s="68">
        <v>0</v>
      </c>
      <c r="H184" s="68">
        <f t="shared" si="7"/>
        <v>669.65535</v>
      </c>
      <c r="I184" s="36"/>
    </row>
    <row r="185" spans="1:9" s="69" customFormat="1" ht="15.75" customHeight="1" x14ac:dyDescent="0.35">
      <c r="A185" s="72">
        <v>15</v>
      </c>
      <c r="B185" s="72" t="s">
        <v>353</v>
      </c>
      <c r="C185" s="68" t="s">
        <v>329</v>
      </c>
      <c r="D185" s="73">
        <f>(36)*(10.764)</f>
        <v>387.50399999999996</v>
      </c>
      <c r="E185" s="73">
        <f>(0.75*(2.75+2.25+2.75))*(10.764)</f>
        <v>62.565749999999994</v>
      </c>
      <c r="F185" s="68">
        <f t="shared" si="6"/>
        <v>450.06974999999994</v>
      </c>
      <c r="G185" s="68">
        <v>0</v>
      </c>
      <c r="H185" s="68">
        <f t="shared" si="7"/>
        <v>675.10462499999994</v>
      </c>
      <c r="I185" s="36"/>
    </row>
    <row r="186" spans="1:9" s="69" customFormat="1" ht="15.75" customHeight="1" x14ac:dyDescent="0.35">
      <c r="A186" s="72">
        <v>16</v>
      </c>
      <c r="B186" s="72" t="s">
        <v>353</v>
      </c>
      <c r="C186" s="68" t="s">
        <v>328</v>
      </c>
      <c r="D186" s="73">
        <f>(39.74)*(10.764)</f>
        <v>427.76135999999997</v>
      </c>
      <c r="E186" s="73">
        <f>(0.75*(2.75+2.2+2.75+2.6))*(10.764)</f>
        <v>83.151899999999998</v>
      </c>
      <c r="F186" s="68">
        <f t="shared" si="6"/>
        <v>510.91325999999998</v>
      </c>
      <c r="G186" s="68">
        <v>0</v>
      </c>
      <c r="H186" s="68">
        <f t="shared" si="7"/>
        <v>766.36988999999994</v>
      </c>
      <c r="I186" s="36"/>
    </row>
    <row r="187" spans="1:9" s="71" customFormat="1" x14ac:dyDescent="0.35">
      <c r="A187" s="147" t="s">
        <v>337</v>
      </c>
      <c r="B187" s="148"/>
      <c r="C187" s="148"/>
      <c r="D187" s="148"/>
      <c r="E187" s="148"/>
      <c r="F187" s="148"/>
      <c r="G187" s="148"/>
      <c r="H187" s="149"/>
      <c r="I187" s="36"/>
    </row>
    <row r="188" spans="1:9" s="71" customFormat="1" ht="15.75" customHeight="1" x14ac:dyDescent="0.35">
      <c r="A188" s="72">
        <v>1</v>
      </c>
      <c r="B188" s="72" t="s">
        <v>352</v>
      </c>
      <c r="C188" s="70" t="s">
        <v>328</v>
      </c>
      <c r="D188" s="73">
        <f>(42.79)*(10.764)</f>
        <v>460.59155999999996</v>
      </c>
      <c r="E188" s="73">
        <f>(0.75*(2.75+2.1+2.45+2.75))*(10.764)</f>
        <v>81.133650000000003</v>
      </c>
      <c r="F188" s="70">
        <f t="shared" ref="F188:F198" si="8">D188+E188</f>
        <v>541.72520999999995</v>
      </c>
      <c r="G188" s="70">
        <v>0</v>
      </c>
      <c r="H188" s="70">
        <f t="shared" ref="H188:H198" si="9">F188*(($H$151)+1)+(IF(G188&lt;101,G188,IF(G188&lt;201,G188/2,IF(G188&lt;=301,G188/3,G188/4))))</f>
        <v>812.58781499999986</v>
      </c>
      <c r="I188" s="36"/>
    </row>
    <row r="189" spans="1:9" s="71" customFormat="1" ht="15.75" customHeight="1" x14ac:dyDescent="0.35">
      <c r="A189" s="72">
        <v>2</v>
      </c>
      <c r="B189" s="72" t="s">
        <v>352</v>
      </c>
      <c r="C189" s="70" t="s">
        <v>328</v>
      </c>
      <c r="D189" s="73">
        <f>(42.79)*(10.764)</f>
        <v>460.59155999999996</v>
      </c>
      <c r="E189" s="73">
        <f>(0.75*(2.75+2.1+2.45+2.75))*(10.764)</f>
        <v>81.133650000000003</v>
      </c>
      <c r="F189" s="70">
        <f t="shared" si="8"/>
        <v>541.72520999999995</v>
      </c>
      <c r="G189" s="70">
        <v>0</v>
      </c>
      <c r="H189" s="70">
        <f t="shared" si="9"/>
        <v>812.58781499999986</v>
      </c>
      <c r="I189" s="36"/>
    </row>
    <row r="190" spans="1:9" s="71" customFormat="1" ht="15.75" customHeight="1" x14ac:dyDescent="0.35">
      <c r="A190" s="72">
        <v>3</v>
      </c>
      <c r="B190" s="72" t="s">
        <v>352</v>
      </c>
      <c r="C190" s="70" t="s">
        <v>329</v>
      </c>
      <c r="D190" s="73">
        <f>(28.93)*(10.764)</f>
        <v>311.40251999999998</v>
      </c>
      <c r="E190" s="73">
        <f>(0.75*(2.75+2.15+2.75)+(2.15*1))*(10.764)</f>
        <v>84.901050000000012</v>
      </c>
      <c r="F190" s="70">
        <f t="shared" si="8"/>
        <v>396.30356999999998</v>
      </c>
      <c r="G190" s="70">
        <v>0</v>
      </c>
      <c r="H190" s="70">
        <f t="shared" si="9"/>
        <v>594.45535499999994</v>
      </c>
      <c r="I190" s="36"/>
    </row>
    <row r="191" spans="1:9" s="71" customFormat="1" ht="15.75" customHeight="1" x14ac:dyDescent="0.35">
      <c r="A191" s="72">
        <v>4</v>
      </c>
      <c r="B191" s="72" t="s">
        <v>352</v>
      </c>
      <c r="C191" s="70" t="s">
        <v>329</v>
      </c>
      <c r="D191" s="73">
        <f>(28.93)*(10.764)</f>
        <v>311.40251999999998</v>
      </c>
      <c r="E191" s="73">
        <f>(0.75*(2.75+2.15+2.75)+(2.15*1))*(10.764)</f>
        <v>84.901050000000012</v>
      </c>
      <c r="F191" s="70">
        <f t="shared" si="8"/>
        <v>396.30356999999998</v>
      </c>
      <c r="G191" s="70">
        <v>0</v>
      </c>
      <c r="H191" s="70">
        <f t="shared" si="9"/>
        <v>594.45535499999994</v>
      </c>
      <c r="I191" s="36"/>
    </row>
    <row r="192" spans="1:9" s="71" customFormat="1" ht="15.75" customHeight="1" x14ac:dyDescent="0.35">
      <c r="A192" s="72">
        <v>5</v>
      </c>
      <c r="B192" s="72" t="s">
        <v>352</v>
      </c>
      <c r="C192" s="70" t="s">
        <v>329</v>
      </c>
      <c r="D192" s="73">
        <f>(35.62)*(10.764)</f>
        <v>383.41367999999994</v>
      </c>
      <c r="E192" s="73">
        <f>(0.75*(2.75+2.15+2.9))*(10.764)</f>
        <v>62.9694</v>
      </c>
      <c r="F192" s="70">
        <f t="shared" si="8"/>
        <v>446.38307999999995</v>
      </c>
      <c r="G192" s="70">
        <v>0</v>
      </c>
      <c r="H192" s="70">
        <f t="shared" si="9"/>
        <v>669.57461999999987</v>
      </c>
      <c r="I192" s="36"/>
    </row>
    <row r="193" spans="1:20" s="71" customFormat="1" ht="15.75" customHeight="1" x14ac:dyDescent="0.35">
      <c r="A193" s="72">
        <v>6</v>
      </c>
      <c r="B193" s="72" t="s">
        <v>352</v>
      </c>
      <c r="C193" s="70" t="s">
        <v>329</v>
      </c>
      <c r="D193" s="73">
        <f>(38.65)*(10.764)</f>
        <v>416.02859999999998</v>
      </c>
      <c r="E193" s="73">
        <f>(0.75*(2.75+2.15+2.9))*(10.764)</f>
        <v>62.9694</v>
      </c>
      <c r="F193" s="70">
        <f t="shared" si="8"/>
        <v>478.99799999999999</v>
      </c>
      <c r="G193" s="70">
        <v>0</v>
      </c>
      <c r="H193" s="70">
        <f t="shared" si="9"/>
        <v>718.49699999999996</v>
      </c>
      <c r="I193" s="36"/>
    </row>
    <row r="194" spans="1:20" s="71" customFormat="1" ht="15.75" customHeight="1" x14ac:dyDescent="0.35">
      <c r="A194" s="72">
        <v>7</v>
      </c>
      <c r="B194" s="72" t="s">
        <v>353</v>
      </c>
      <c r="C194" s="70" t="s">
        <v>329</v>
      </c>
      <c r="D194" s="73">
        <f>(35.83)*(10.764)</f>
        <v>385.67411999999996</v>
      </c>
      <c r="E194" s="73">
        <f>(0.75*(3.15+2.15+2.75))*(10.764)</f>
        <v>64.987650000000002</v>
      </c>
      <c r="F194" s="70">
        <f t="shared" si="8"/>
        <v>450.66176999999993</v>
      </c>
      <c r="G194" s="70">
        <v>0</v>
      </c>
      <c r="H194" s="70">
        <f t="shared" si="9"/>
        <v>675.9926549999999</v>
      </c>
      <c r="I194" s="36"/>
    </row>
    <row r="195" spans="1:20" s="71" customFormat="1" ht="15.75" customHeight="1" x14ac:dyDescent="0.35">
      <c r="A195" s="72">
        <v>8</v>
      </c>
      <c r="B195" s="72" t="s">
        <v>353</v>
      </c>
      <c r="C195" s="70" t="s">
        <v>329</v>
      </c>
      <c r="D195" s="73">
        <f>(29.79)*(10.764)</f>
        <v>320.65956</v>
      </c>
      <c r="E195" s="73">
        <f>(0.75*(3.3+2.15+2.75)+1*(2.15+2.75))*(10.764)</f>
        <v>118.9422</v>
      </c>
      <c r="F195" s="70">
        <f t="shared" si="8"/>
        <v>439.60176000000001</v>
      </c>
      <c r="G195" s="70">
        <v>0</v>
      </c>
      <c r="H195" s="70">
        <f t="shared" si="9"/>
        <v>659.40264000000002</v>
      </c>
      <c r="I195" s="36"/>
    </row>
    <row r="196" spans="1:20" s="71" customFormat="1" ht="15.75" customHeight="1" x14ac:dyDescent="0.35">
      <c r="A196" s="72">
        <v>9</v>
      </c>
      <c r="B196" s="72" t="s">
        <v>353</v>
      </c>
      <c r="C196" s="70" t="s">
        <v>329</v>
      </c>
      <c r="D196" s="73">
        <f>(29.65)*(10.764)</f>
        <v>319.15259999999995</v>
      </c>
      <c r="E196" s="73">
        <f>(0.75*(2.75+2.25+2.75)+1.2*(2.75+2.25))*(10.764)</f>
        <v>127.14975</v>
      </c>
      <c r="F196" s="70">
        <f t="shared" si="8"/>
        <v>446.30234999999993</v>
      </c>
      <c r="G196" s="70">
        <v>0</v>
      </c>
      <c r="H196" s="70">
        <f t="shared" si="9"/>
        <v>669.4535249999999</v>
      </c>
      <c r="I196" s="36"/>
    </row>
    <row r="197" spans="1:20" s="71" customFormat="1" ht="15.75" customHeight="1" x14ac:dyDescent="0.35">
      <c r="A197" s="72">
        <v>10</v>
      </c>
      <c r="B197" s="72" t="s">
        <v>353</v>
      </c>
      <c r="C197" s="70" t="s">
        <v>329</v>
      </c>
      <c r="D197" s="73">
        <f>(29.65)*(10.764)</f>
        <v>319.15259999999995</v>
      </c>
      <c r="E197" s="73">
        <f>(0.75*(2.75+2.25+2.75)+1.2*(2.75+2.25))*(10.764)</f>
        <v>127.14975</v>
      </c>
      <c r="F197" s="70">
        <f t="shared" si="8"/>
        <v>446.30234999999993</v>
      </c>
      <c r="G197" s="70">
        <v>0</v>
      </c>
      <c r="H197" s="70">
        <f t="shared" si="9"/>
        <v>669.4535249999999</v>
      </c>
      <c r="I197" s="36"/>
    </row>
    <row r="198" spans="1:20" s="71" customFormat="1" ht="15.75" customHeight="1" x14ac:dyDescent="0.35">
      <c r="A198" s="72">
        <v>11</v>
      </c>
      <c r="B198" s="72" t="s">
        <v>352</v>
      </c>
      <c r="C198" s="70" t="s">
        <v>330</v>
      </c>
      <c r="D198" s="73">
        <f>(50)*(10.764)</f>
        <v>538.19999999999993</v>
      </c>
      <c r="E198" s="73">
        <f>(0.75*(2.75+2.15+2.15+2.75+2.75)+1.2*(2.75+2.15)+(1*2.15+2.75*1.1+2.75*1.1))*(10.764)</f>
        <v>252.87326999999999</v>
      </c>
      <c r="F198" s="70">
        <f t="shared" si="8"/>
        <v>791.07326999999987</v>
      </c>
      <c r="G198" s="70">
        <v>0</v>
      </c>
      <c r="H198" s="70">
        <f t="shared" si="9"/>
        <v>1186.6099049999998</v>
      </c>
      <c r="I198" s="36"/>
    </row>
    <row r="199" spans="1:20" s="71" customFormat="1" ht="15.75" customHeight="1" x14ac:dyDescent="0.35">
      <c r="A199" s="72">
        <v>12</v>
      </c>
      <c r="B199" s="72" t="s">
        <v>331</v>
      </c>
      <c r="C199" s="98" t="s">
        <v>338</v>
      </c>
      <c r="D199" s="155"/>
      <c r="E199" s="155"/>
      <c r="F199" s="155"/>
      <c r="G199" s="155"/>
      <c r="H199" s="99"/>
      <c r="I199" s="36"/>
    </row>
    <row r="200" spans="1:20" s="71" customFormat="1" ht="15.75" customHeight="1" x14ac:dyDescent="0.35">
      <c r="A200" s="72">
        <v>13</v>
      </c>
      <c r="B200" s="72" t="s">
        <v>353</v>
      </c>
      <c r="C200" s="70" t="s">
        <v>339</v>
      </c>
      <c r="D200" s="73">
        <f>(40.3)*(10.764)</f>
        <v>433.78919999999994</v>
      </c>
      <c r="E200" s="73">
        <f>(0.75*(2.75+2.25+2.75+2.9)+(1.2*2.25))*(10.764)</f>
        <v>115.04024999999999</v>
      </c>
      <c r="F200" s="70">
        <f>D200+E200</f>
        <v>548.82944999999995</v>
      </c>
      <c r="G200" s="70">
        <v>0</v>
      </c>
      <c r="H200" s="70">
        <f>F200*(($H$151)+1)+(IF(G200&lt;101,G200,IF(G200&lt;201,G200/2,IF(G200&lt;=301,G200/3,G200/4))))</f>
        <v>823.24417499999993</v>
      </c>
      <c r="I200" s="36">
        <f>(2.75*4.45+2.25*2.15+2.75*3.35+2.9*2.35+1.15*1.85+2.15*1.15+0.4*1.15)</f>
        <v>38.162499999999994</v>
      </c>
    </row>
    <row r="201" spans="1:20" s="71" customFormat="1" ht="15.75" customHeight="1" x14ac:dyDescent="0.35">
      <c r="A201" s="72">
        <v>14</v>
      </c>
      <c r="B201" s="72" t="s">
        <v>353</v>
      </c>
      <c r="C201" s="70" t="s">
        <v>329</v>
      </c>
      <c r="D201" s="73">
        <f>(29.75)*(10.764)</f>
        <v>320.22899999999998</v>
      </c>
      <c r="E201" s="73">
        <f>(0.75*(2.75+2.25+2.75)+(1.25*2.75+1.1*2.25))*(10.764)</f>
        <v>126.2079</v>
      </c>
      <c r="F201" s="70">
        <f>D201+E201</f>
        <v>446.43689999999998</v>
      </c>
      <c r="G201" s="70">
        <v>0</v>
      </c>
      <c r="H201" s="70">
        <f>F201*(($H$151)+1)+(IF(G201&lt;101,G201,IF(G201&lt;201,G201/2,IF(G201&lt;=301,G201/3,G201/4))))</f>
        <v>669.65535</v>
      </c>
      <c r="I201" s="36"/>
    </row>
    <row r="202" spans="1:20" s="71" customFormat="1" ht="15.75" customHeight="1" x14ac:dyDescent="0.35">
      <c r="A202" s="72">
        <v>15</v>
      </c>
      <c r="B202" s="72" t="s">
        <v>353</v>
      </c>
      <c r="C202" s="70" t="s">
        <v>329</v>
      </c>
      <c r="D202" s="73">
        <f>(36)*(10.764)</f>
        <v>387.50399999999996</v>
      </c>
      <c r="E202" s="73">
        <f>(0.75*(2.75+2.25+2.75))*(10.764)</f>
        <v>62.565749999999994</v>
      </c>
      <c r="F202" s="70">
        <f>D202+E202</f>
        <v>450.06974999999994</v>
      </c>
      <c r="G202" s="70">
        <v>0</v>
      </c>
      <c r="H202" s="70">
        <f>F202*(($H$151)+1)+(IF(G202&lt;101,G202,IF(G202&lt;201,G202/2,IF(G202&lt;=301,G202/3,G202/4))))</f>
        <v>675.10462499999994</v>
      </c>
      <c r="I202" s="36"/>
    </row>
    <row r="203" spans="1:20" s="71" customFormat="1" ht="15.75" customHeight="1" x14ac:dyDescent="0.35">
      <c r="A203" s="72">
        <v>16</v>
      </c>
      <c r="B203" s="72" t="s">
        <v>353</v>
      </c>
      <c r="C203" s="70" t="s">
        <v>328</v>
      </c>
      <c r="D203" s="73">
        <f>(39.74)*(10.764)</f>
        <v>427.76135999999997</v>
      </c>
      <c r="E203" s="73">
        <f>(0.75*(2.75+2.2+2.75+2.6))*(10.764)</f>
        <v>83.151899999999998</v>
      </c>
      <c r="F203" s="70">
        <f>D203+E203</f>
        <v>510.91325999999998</v>
      </c>
      <c r="G203" s="70">
        <v>0</v>
      </c>
      <c r="H203" s="70">
        <f>F203*(($H$151)+1)+(IF(G203&lt;101,G203,IF(G203&lt;201,G203/2,IF(G203&lt;=301,G203/3,G203/4))))</f>
        <v>766.36988999999994</v>
      </c>
      <c r="I203" s="36"/>
    </row>
    <row r="204" spans="1:20" s="37" customFormat="1" hidden="1" x14ac:dyDescent="0.35">
      <c r="A204" s="147" t="s">
        <v>117</v>
      </c>
      <c r="B204" s="148"/>
      <c r="C204" s="148"/>
      <c r="D204" s="148"/>
      <c r="E204" s="148"/>
      <c r="F204" s="148"/>
      <c r="G204" s="148"/>
      <c r="H204" s="149"/>
      <c r="J204" s="36"/>
    </row>
    <row r="205" spans="1:20" s="37" customFormat="1" ht="15.75" hidden="1" customHeight="1" x14ac:dyDescent="0.35">
      <c r="A205" s="98">
        <v>1</v>
      </c>
      <c r="B205" s="99"/>
      <c r="C205" s="42"/>
      <c r="D205" s="42"/>
      <c r="E205" s="42">
        <v>0</v>
      </c>
      <c r="F205" s="42">
        <f>D205+E205</f>
        <v>0</v>
      </c>
      <c r="G205" s="57">
        <v>0</v>
      </c>
      <c r="H205" s="57">
        <f>F205*(($H$151)+1)+(IF(G205&lt;101,G205,IF(G205&lt;201,G205/2,IF(G205&lt;=301,G205/3,G205/4))))</f>
        <v>0</v>
      </c>
      <c r="I205" s="36"/>
      <c r="L205" s="206"/>
      <c r="M205" s="206"/>
      <c r="N205" s="36"/>
    </row>
    <row r="206" spans="1:20" s="37" customFormat="1" ht="15.75" hidden="1" customHeight="1" x14ac:dyDescent="0.35">
      <c r="A206" s="98">
        <f>A205+1</f>
        <v>2</v>
      </c>
      <c r="B206" s="99"/>
      <c r="C206" s="42"/>
      <c r="D206" s="42"/>
      <c r="E206" s="42">
        <v>0</v>
      </c>
      <c r="F206" s="57">
        <f>D206+E206</f>
        <v>0</v>
      </c>
      <c r="G206" s="57">
        <v>0</v>
      </c>
      <c r="H206" s="57">
        <f>F206*(($H$151)+1)+(IF(G206&lt;101,G206,IF(G206&lt;201,G206/2,IF(G206&lt;=301,G206/3,G206/4))))</f>
        <v>0</v>
      </c>
      <c r="I206" s="36"/>
      <c r="L206" s="206"/>
      <c r="M206" s="206"/>
      <c r="N206" s="36"/>
    </row>
    <row r="207" spans="1:20" s="37" customFormat="1" ht="15.75" hidden="1" customHeight="1" x14ac:dyDescent="0.35">
      <c r="A207" s="98">
        <f>A206+1</f>
        <v>3</v>
      </c>
      <c r="B207" s="99"/>
      <c r="C207" s="42"/>
      <c r="D207" s="42"/>
      <c r="E207" s="42">
        <v>0</v>
      </c>
      <c r="F207" s="57">
        <f>D207+E207</f>
        <v>0</v>
      </c>
      <c r="G207" s="57">
        <v>0</v>
      </c>
      <c r="H207" s="57">
        <f>F207*(($H$151)+1)+(IF(G207&lt;101,G207,IF(G207&lt;201,G207/2,IF(G207&lt;=301,G207/3,G207/4))))</f>
        <v>0</v>
      </c>
      <c r="I207" s="36"/>
      <c r="L207" s="206"/>
      <c r="M207" s="206"/>
      <c r="N207" s="36"/>
    </row>
    <row r="208" spans="1:20" s="37" customFormat="1" ht="15.75" hidden="1" customHeight="1" x14ac:dyDescent="0.35">
      <c r="A208" s="98">
        <f>A207+1</f>
        <v>4</v>
      </c>
      <c r="B208" s="99"/>
      <c r="C208" s="42"/>
      <c r="D208" s="42"/>
      <c r="E208" s="42">
        <v>0</v>
      </c>
      <c r="F208" s="57">
        <f>D208+E208</f>
        <v>0</v>
      </c>
      <c r="G208" s="57">
        <v>0</v>
      </c>
      <c r="H208" s="57">
        <f>F208*(($H$151)+1)+(IF(G208&lt;101,G208,IF(G208&lt;201,G208/2,IF(G208&lt;=301,G208/3,G208/4))))</f>
        <v>0</v>
      </c>
      <c r="I208" s="36"/>
      <c r="L208" s="206"/>
      <c r="M208" s="206"/>
      <c r="N208" s="36"/>
      <c r="T208" s="21"/>
    </row>
    <row r="209" spans="1:14" s="37" customFormat="1" hidden="1" x14ac:dyDescent="0.35">
      <c r="A209" s="172" t="s">
        <v>118</v>
      </c>
      <c r="B209" s="172"/>
      <c r="C209" s="172"/>
      <c r="D209" s="172"/>
      <c r="E209" s="172"/>
      <c r="F209" s="172"/>
      <c r="G209" s="172"/>
      <c r="H209" s="172"/>
      <c r="I209" s="36"/>
      <c r="L209" s="206"/>
      <c r="M209" s="206"/>
    </row>
    <row r="210" spans="1:14" s="37" customFormat="1" hidden="1" x14ac:dyDescent="0.35">
      <c r="A210" s="139">
        <f>LEFT(A209,SUM(LEN(A209)-LEN(SUBSTITUTE(A209,{"0","1","2","3","4","5","6","7","8","9"},""))))*100+1</f>
        <v>201</v>
      </c>
      <c r="B210" s="139"/>
      <c r="C210" s="42"/>
      <c r="D210" s="42"/>
      <c r="E210" s="57">
        <v>0</v>
      </c>
      <c r="F210" s="57">
        <f>D210+E210</f>
        <v>0</v>
      </c>
      <c r="G210" s="57">
        <v>0</v>
      </c>
      <c r="H210" s="57">
        <f>F210*(($H$151)+1)+(IF(G210&lt;101,G210,IF(G210&lt;201,G210/2,IF(G210&lt;=301,G210/3,G210/4))))</f>
        <v>0</v>
      </c>
      <c r="I210" s="36"/>
      <c r="N210" s="36"/>
    </row>
    <row r="211" spans="1:14" s="37" customFormat="1" hidden="1" x14ac:dyDescent="0.35">
      <c r="A211" s="139">
        <f>A210+1</f>
        <v>202</v>
      </c>
      <c r="B211" s="139"/>
      <c r="C211" s="42"/>
      <c r="D211" s="42"/>
      <c r="E211" s="57">
        <v>0</v>
      </c>
      <c r="F211" s="57">
        <f>D211+E211</f>
        <v>0</v>
      </c>
      <c r="G211" s="57">
        <v>0</v>
      </c>
      <c r="H211" s="57">
        <f>F211*(($H$151)+1)+(IF(G211&lt;101,G211,IF(G211&lt;201,G211/2,IF(G211&lt;=301,G211/3,G211/4))))</f>
        <v>0</v>
      </c>
      <c r="I211" s="36"/>
      <c r="N211" s="36"/>
    </row>
    <row r="212" spans="1:14" s="37" customFormat="1" hidden="1" x14ac:dyDescent="0.35">
      <c r="A212" s="139">
        <f>A211+1</f>
        <v>203</v>
      </c>
      <c r="B212" s="139"/>
      <c r="C212" s="42"/>
      <c r="D212" s="42"/>
      <c r="E212" s="57">
        <v>0</v>
      </c>
      <c r="F212" s="57">
        <f>D212+E212</f>
        <v>0</v>
      </c>
      <c r="G212" s="57">
        <v>0</v>
      </c>
      <c r="H212" s="57">
        <f>F212*(($H$151)+1)+(IF(G212&lt;101,G212,IF(G212&lt;201,G212/2,IF(G212&lt;=301,G212/3,G212/4))))</f>
        <v>0</v>
      </c>
      <c r="I212" s="36"/>
      <c r="N212" s="36"/>
    </row>
    <row r="213" spans="1:14" s="37" customFormat="1" hidden="1" x14ac:dyDescent="0.35">
      <c r="A213" s="139">
        <f>A212+1</f>
        <v>204</v>
      </c>
      <c r="B213" s="139"/>
      <c r="C213" s="42"/>
      <c r="D213" s="42"/>
      <c r="E213" s="57">
        <v>0</v>
      </c>
      <c r="F213" s="57">
        <f>D213+E213</f>
        <v>0</v>
      </c>
      <c r="G213" s="57">
        <v>0</v>
      </c>
      <c r="H213" s="57">
        <f>F213*(($H$151)+1)+(IF(G213&lt;101,G213,IF(G213&lt;201,G213/2,IF(G213&lt;=301,G213/3,G213/4))))</f>
        <v>0</v>
      </c>
      <c r="I213" s="36"/>
      <c r="N213" s="36"/>
    </row>
    <row r="214" spans="1:14" s="37" customFormat="1" hidden="1" x14ac:dyDescent="0.35">
      <c r="A214" s="139">
        <f>A213+1</f>
        <v>205</v>
      </c>
      <c r="B214" s="139"/>
      <c r="C214" s="42"/>
      <c r="D214" s="42"/>
      <c r="E214" s="57">
        <v>0</v>
      </c>
      <c r="F214" s="57">
        <f>D214+E214</f>
        <v>0</v>
      </c>
      <c r="G214" s="57">
        <v>0</v>
      </c>
      <c r="H214" s="57">
        <f>F214*(($H$151)+1)+(IF(G214&lt;101,G214,IF(G214&lt;201,G214/2,IF(G214&lt;=301,G214/3,G214/4))))</f>
        <v>0</v>
      </c>
      <c r="I214" s="36"/>
      <c r="N214" s="36"/>
    </row>
    <row r="215" spans="1:14" s="37" customFormat="1" ht="15.75" hidden="1" customHeight="1" x14ac:dyDescent="0.35">
      <c r="A215" s="147" t="s">
        <v>150</v>
      </c>
      <c r="B215" s="148"/>
      <c r="C215" s="148"/>
      <c r="D215" s="148"/>
      <c r="E215" s="148"/>
      <c r="F215" s="148"/>
      <c r="G215" s="148"/>
      <c r="H215" s="149"/>
      <c r="I215" s="36"/>
    </row>
    <row r="216" spans="1:14" s="37" customFormat="1" ht="15.75" hidden="1" customHeight="1" x14ac:dyDescent="0.35">
      <c r="A216" s="98" t="str">
        <f ca="1">(SUMPRODUCT(MID(0&amp;(LEFT(A215,SUM(LEN(A215)-LEN(SUBSTITUTE(A215,{"0","1","2"},""))))), LARGE(INDEX(ISNUMBER(--MID((LEFT(A215,SUM(LEN(A215)-LEN(SUBSTITUTE(A215,{"0","1","2"},""))))), ROW(INDIRECT("1:"&amp;LEN((LEFT(A215,SUM(LEN(A215)-LEN(SUBSTITUTE(A215,{"0","1","2"},"")))))))), 1)) * ROW(INDIRECT("1:"&amp;LEN((LEFT(A215,SUM(LEN(A215)-LEN(SUBSTITUTE(A215,{"0","1","2"},"")))))))), 0), ROW(INDIRECT("1:"&amp;LEN((LEFT(A215,SUM(LEN(A215)-LEN(SUBSTITUTE(A215,{"0","1","2"},"")))))))))+1, 1) * 10^ROW(INDIRECT("1:"&amp;LEN((LEFT(A215,SUM(LEN(A215)-LEN(SUBSTITUTE(A215,{"0","1","2"},""))))))))/10))*100+1&amp;""&amp;" ,.., "&amp;""&amp;(SUMPRODUCT(MID(0&amp;(--TRIM(RIGHT(SUBSTITUTE(LEFT(A215,_xlfn.AGGREGATE(16,6,FIND({0,1,2,3,4,5,6,7,8,9},A215,ROW(INDIRECT("1:"&amp;LEN(A215)))),1))," ",REPT(" ",LEN(A215))),LEN(A215)))), LARGE(INDEX(ISNUMBER(--MID((--TRIM(RIGHT(SUBSTITUTE(LEFT(A215,_xlfn.AGGREGATE(16,6,FIND({0,1,2,3,4,5,6,7,8,9},A215,ROW(INDIRECT("1:"&amp;LEN(A215)))),1))," ",REPT(" ",LEN(A215))),LEN(A215)))), ROW(INDIRECT("1:"&amp;LEN((--TRIM(RIGHT(SUBSTITUTE(LEFT(A215,_xlfn.AGGREGATE(16,6,FIND({0,1,2,3,4,5,6,7,8,9},A215,ROW(INDIRECT("1:"&amp;LEN(A215)))),1))," ",REPT(" ",LEN(A215))),LEN(A215))))))), 1)) * ROW(INDIRECT("1:"&amp;LEN((--TRIM(RIGHT(SUBSTITUTE(LEFT(A215,_xlfn.AGGREGATE(16,6,FIND({0,1,2,3,4,5,6,7,8,9},A215,ROW(INDIRECT("1:"&amp;LEN(A215)))),1))," ",REPT(" ",LEN(A215))),LEN(A215))))))), 0), ROW(INDIRECT("1:"&amp;LEN((--TRIM(RIGHT(SUBSTITUTE(LEFT(A215,_xlfn.AGGREGATE(16,6,FIND({0,1,2,3,4,5,6,7,8,9},A215,ROW(INDIRECT("1:"&amp;LEN(A215)))),1))," ",REPT(" ",LEN(A215))),LEN(A215))))))))+1, 1) * 10^ROW(INDIRECT("1:"&amp;LEN((--TRIM(RIGHT(SUBSTITUTE(LEFT(A215,_xlfn.AGGREGATE(16,6,FIND({0,1,2,3,4,5,6,7,8,9},A215,ROW(INDIRECT("1:"&amp;LEN(A215)))),1))," ",REPT(" ",LEN(A215))),LEN(A215)))))))/10))*100+1</f>
        <v>301 ,.., 1501</v>
      </c>
      <c r="B216" s="99"/>
      <c r="C216" s="42"/>
      <c r="D216" s="42"/>
      <c r="E216" s="57">
        <v>0</v>
      </c>
      <c r="F216" s="57">
        <f>D216+E216</f>
        <v>0</v>
      </c>
      <c r="G216" s="57">
        <v>0</v>
      </c>
      <c r="H216" s="57">
        <f>F216*(($H$151)+1)+(IF(G216&lt;101,G216,IF(G216&lt;201,G216/2,IF(G216&lt;=301,G216/3,G216/4))))</f>
        <v>0</v>
      </c>
      <c r="I216" s="36"/>
    </row>
    <row r="217" spans="1:14" s="37" customFormat="1" ht="15.75" hidden="1" customHeight="1" x14ac:dyDescent="0.35">
      <c r="A217" s="98" t="str">
        <f ca="1">(SUMPRODUCT(MID(0&amp;(LEFT(A216,SUM(LEN(A216)-LEN(SUBSTITUTE(A216,{"0","1","2"},""))))), LARGE(INDEX(ISNUMBER(--MID((LEFT(A216,SUM(LEN(A216)-LEN(SUBSTITUTE(A216,{"0","1","2"},""))))), ROW(INDIRECT("1:"&amp;LEN((LEFT(A216,SUM(LEN(A216)-LEN(SUBSTITUTE(A216,{"0","1","2"},"")))))))), 1)) * ROW(INDIRECT("1:"&amp;LEN((LEFT(A216,SUM(LEN(A216)-LEN(SUBSTITUTE(A216,{"0","1","2"},"")))))))), 0), ROW(INDIRECT("1:"&amp;LEN((LEFT(A216,SUM(LEN(A216)-LEN(SUBSTITUTE(A216,{"0","1","2"},"")))))))))+1, 1) * 10^ROW(INDIRECT("1:"&amp;LEN((LEFT(A216,SUM(LEN(A216)-LEN(SUBSTITUTE(A216,{"0","1","2"},""))))))))/10))*1+1&amp;""&amp;" ,.., "&amp;""&amp;(SUMPRODUCT(MID(0&amp;(--TRIM(RIGHT(SUBSTITUTE(LEFT(A216,_xlfn.AGGREGATE(16,6,FIND({0,1,2,3,4,5,6,7,8,9},A216,ROW(INDIRECT("1:"&amp;LEN(A216)))),1))," ",REPT(" ",LEN(A216))),LEN(A216)))), LARGE(INDEX(ISNUMBER(--MID((--TRIM(RIGHT(SUBSTITUTE(LEFT(A216,_xlfn.AGGREGATE(16,6,FIND({0,1,2,3,4,5,6,7,8,9},A216,ROW(INDIRECT("1:"&amp;LEN(A216)))),1))," ",REPT(" ",LEN(A216))),LEN(A216)))), ROW(INDIRECT("1:"&amp;LEN((--TRIM(RIGHT(SUBSTITUTE(LEFT(A216,_xlfn.AGGREGATE(16,6,FIND({0,1,2,3,4,5,6,7,8,9},A216,ROW(INDIRECT("1:"&amp;LEN(A216)))),1))," ",REPT(" ",LEN(A216))),LEN(A216))))))), 1)) * ROW(INDIRECT("1:"&amp;LEN((--TRIM(RIGHT(SUBSTITUTE(LEFT(A216,_xlfn.AGGREGATE(16,6,FIND({0,1,2,3,4,5,6,7,8,9},A216,ROW(INDIRECT("1:"&amp;LEN(A216)))),1))," ",REPT(" ",LEN(A216))),LEN(A216))))))), 0), ROW(INDIRECT("1:"&amp;LEN((--TRIM(RIGHT(SUBSTITUTE(LEFT(A216,_xlfn.AGGREGATE(16,6,FIND({0,1,2,3,4,5,6,7,8,9},A216,ROW(INDIRECT("1:"&amp;LEN(A216)))),1))," ",REPT(" ",LEN(A216))),LEN(A216))))))))+1, 1) * 10^ROW(INDIRECT("1:"&amp;LEN((--TRIM(RIGHT(SUBSTITUTE(LEFT(A216,_xlfn.AGGREGATE(16,6,FIND({0,1,2,3,4,5,6,7,8,9},A216,ROW(INDIRECT("1:"&amp;LEN(A216)))),1))," ",REPT(" ",LEN(A216))),LEN(A216)))))))/10))*1+1</f>
        <v>302 ,.., 1502</v>
      </c>
      <c r="B217" s="99"/>
      <c r="C217" s="42"/>
      <c r="D217" s="42"/>
      <c r="E217" s="57">
        <v>0</v>
      </c>
      <c r="F217" s="57">
        <f>D217+E217</f>
        <v>0</v>
      </c>
      <c r="G217" s="57">
        <v>0</v>
      </c>
      <c r="H217" s="57">
        <f>F217*(($H$151)+1)+(IF(G217&lt;101,G217,IF(G217&lt;201,G217/2,IF(G217&lt;=301,G217/3,G217/4))))</f>
        <v>0</v>
      </c>
      <c r="I217" s="36"/>
    </row>
    <row r="218" spans="1:14" s="37" customFormat="1" ht="15.75" hidden="1" customHeight="1" x14ac:dyDescent="0.35">
      <c r="A218" s="98" t="str">
        <f ca="1">(SUMPRODUCT(MID(0&amp;(LEFT(A217,SUM(LEN(A217)-LEN(SUBSTITUTE(A217,{"0","1","2"},""))))), LARGE(INDEX(ISNUMBER(--MID((LEFT(A217,SUM(LEN(A217)-LEN(SUBSTITUTE(A217,{"0","1","2"},""))))), ROW(INDIRECT("1:"&amp;LEN((LEFT(A217,SUM(LEN(A217)-LEN(SUBSTITUTE(A217,{"0","1","2"},"")))))))), 1)) * ROW(INDIRECT("1:"&amp;LEN((LEFT(A217,SUM(LEN(A217)-LEN(SUBSTITUTE(A217,{"0","1","2"},"")))))))), 0), ROW(INDIRECT("1:"&amp;LEN((LEFT(A217,SUM(LEN(A217)-LEN(SUBSTITUTE(A217,{"0","1","2"},"")))))))))+1, 1) * 10^ROW(INDIRECT("1:"&amp;LEN((LEFT(A217,SUM(LEN(A217)-LEN(SUBSTITUTE(A217,{"0","1","2"},""))))))))/10))*1+1&amp;""&amp;" ,.., "&amp;""&amp;(SUMPRODUCT(MID(0&amp;(--TRIM(RIGHT(SUBSTITUTE(LEFT(A217,_xlfn.AGGREGATE(16,6,FIND({0,1,2,3,4,5,6,7,8,9},A217,ROW(INDIRECT("1:"&amp;LEN(A217)))),1))," ",REPT(" ",LEN(A217))),LEN(A217)))), LARGE(INDEX(ISNUMBER(--MID((--TRIM(RIGHT(SUBSTITUTE(LEFT(A217,_xlfn.AGGREGATE(16,6,FIND({0,1,2,3,4,5,6,7,8,9},A217,ROW(INDIRECT("1:"&amp;LEN(A217)))),1))," ",REPT(" ",LEN(A217))),LEN(A217)))), ROW(INDIRECT("1:"&amp;LEN((--TRIM(RIGHT(SUBSTITUTE(LEFT(A217,_xlfn.AGGREGATE(16,6,FIND({0,1,2,3,4,5,6,7,8,9},A217,ROW(INDIRECT("1:"&amp;LEN(A217)))),1))," ",REPT(" ",LEN(A217))),LEN(A217))))))), 1)) * ROW(INDIRECT("1:"&amp;LEN((--TRIM(RIGHT(SUBSTITUTE(LEFT(A217,_xlfn.AGGREGATE(16,6,FIND({0,1,2,3,4,5,6,7,8,9},A217,ROW(INDIRECT("1:"&amp;LEN(A217)))),1))," ",REPT(" ",LEN(A217))),LEN(A217))))))), 0), ROW(INDIRECT("1:"&amp;LEN((--TRIM(RIGHT(SUBSTITUTE(LEFT(A217,_xlfn.AGGREGATE(16,6,FIND({0,1,2,3,4,5,6,7,8,9},A217,ROW(INDIRECT("1:"&amp;LEN(A217)))),1))," ",REPT(" ",LEN(A217))),LEN(A217))))))))+1, 1) * 10^ROW(INDIRECT("1:"&amp;LEN((--TRIM(RIGHT(SUBSTITUTE(LEFT(A217,_xlfn.AGGREGATE(16,6,FIND({0,1,2,3,4,5,6,7,8,9},A217,ROW(INDIRECT("1:"&amp;LEN(A217)))),1))," ",REPT(" ",LEN(A217))),LEN(A217)))))))/10))*1+1</f>
        <v>303 ,.., 1503</v>
      </c>
      <c r="B218" s="99"/>
      <c r="C218" s="42"/>
      <c r="D218" s="42"/>
      <c r="E218" s="57">
        <v>0</v>
      </c>
      <c r="F218" s="57">
        <f>D218+E218</f>
        <v>0</v>
      </c>
      <c r="G218" s="57">
        <v>0</v>
      </c>
      <c r="H218" s="57">
        <f>F218*(($H$151)+1)+(IF(G218&lt;101,G218,IF(G218&lt;201,G218/2,IF(G218&lt;=301,G218/3,G218/4))))</f>
        <v>0</v>
      </c>
      <c r="I218" s="36"/>
    </row>
    <row r="219" spans="1:14" s="37" customFormat="1" ht="15.75" hidden="1" customHeight="1" x14ac:dyDescent="0.35">
      <c r="A219" s="98" t="str">
        <f ca="1">(SUMPRODUCT(MID(0&amp;(LEFT(A218,SUM(LEN(A218)-LEN(SUBSTITUTE(A218,{"0","1","2"},""))))), LARGE(INDEX(ISNUMBER(--MID((LEFT(A218,SUM(LEN(A218)-LEN(SUBSTITUTE(A218,{"0","1","2"},""))))), ROW(INDIRECT("1:"&amp;LEN((LEFT(A218,SUM(LEN(A218)-LEN(SUBSTITUTE(A218,{"0","1","2"},"")))))))), 1)) * ROW(INDIRECT("1:"&amp;LEN((LEFT(A218,SUM(LEN(A218)-LEN(SUBSTITUTE(A218,{"0","1","2"},"")))))))), 0), ROW(INDIRECT("1:"&amp;LEN((LEFT(A218,SUM(LEN(A218)-LEN(SUBSTITUTE(A218,{"0","1","2"},"")))))))))+1, 1) * 10^ROW(INDIRECT("1:"&amp;LEN((LEFT(A218,SUM(LEN(A218)-LEN(SUBSTITUTE(A218,{"0","1","2"},""))))))))/10))*1+1&amp;""&amp;" ,.., "&amp;""&amp;(SUMPRODUCT(MID(0&amp;(--TRIM(RIGHT(SUBSTITUTE(LEFT(A218,_xlfn.AGGREGATE(16,6,FIND({0,1,2,3,4,5,6,7,8,9},A218,ROW(INDIRECT("1:"&amp;LEN(A218)))),1))," ",REPT(" ",LEN(A218))),LEN(A218)))), LARGE(INDEX(ISNUMBER(--MID((--TRIM(RIGHT(SUBSTITUTE(LEFT(A218,_xlfn.AGGREGATE(16,6,FIND({0,1,2,3,4,5,6,7,8,9},A218,ROW(INDIRECT("1:"&amp;LEN(A218)))),1))," ",REPT(" ",LEN(A218))),LEN(A218)))), ROW(INDIRECT("1:"&amp;LEN((--TRIM(RIGHT(SUBSTITUTE(LEFT(A218,_xlfn.AGGREGATE(16,6,FIND({0,1,2,3,4,5,6,7,8,9},A218,ROW(INDIRECT("1:"&amp;LEN(A218)))),1))," ",REPT(" ",LEN(A218))),LEN(A218))))))), 1)) * ROW(INDIRECT("1:"&amp;LEN((--TRIM(RIGHT(SUBSTITUTE(LEFT(A218,_xlfn.AGGREGATE(16,6,FIND({0,1,2,3,4,5,6,7,8,9},A218,ROW(INDIRECT("1:"&amp;LEN(A218)))),1))," ",REPT(" ",LEN(A218))),LEN(A218))))))), 0), ROW(INDIRECT("1:"&amp;LEN((--TRIM(RIGHT(SUBSTITUTE(LEFT(A218,_xlfn.AGGREGATE(16,6,FIND({0,1,2,3,4,5,6,7,8,9},A218,ROW(INDIRECT("1:"&amp;LEN(A218)))),1))," ",REPT(" ",LEN(A218))),LEN(A218))))))))+1, 1) * 10^ROW(INDIRECT("1:"&amp;LEN((--TRIM(RIGHT(SUBSTITUTE(LEFT(A218,_xlfn.AGGREGATE(16,6,FIND({0,1,2,3,4,5,6,7,8,9},A218,ROW(INDIRECT("1:"&amp;LEN(A218)))),1))," ",REPT(" ",LEN(A218))),LEN(A218)))))))/10))*1+1</f>
        <v>304 ,.., 1504</v>
      </c>
      <c r="B219" s="99"/>
      <c r="C219" s="42"/>
      <c r="D219" s="42"/>
      <c r="E219" s="57">
        <v>0</v>
      </c>
      <c r="F219" s="57">
        <f>D219+E219</f>
        <v>0</v>
      </c>
      <c r="G219" s="57">
        <v>0</v>
      </c>
      <c r="H219" s="57">
        <f>F219*(($H$151)+1)+(IF(G219&lt;101,G219,IF(G219&lt;201,G219/2,IF(G219&lt;=301,G219/3,G219/4))))</f>
        <v>0</v>
      </c>
      <c r="I219" s="36"/>
    </row>
    <row r="220" spans="1:14" s="37" customFormat="1" ht="15.75" hidden="1" customHeight="1" x14ac:dyDescent="0.35">
      <c r="A220" s="98" t="str">
        <f ca="1">(SUMPRODUCT(MID(0&amp;(LEFT(A219,SUM(LEN(A219)-LEN(SUBSTITUTE(A219,{"0","1","2"},""))))), LARGE(INDEX(ISNUMBER(--MID((LEFT(A219,SUM(LEN(A219)-LEN(SUBSTITUTE(A219,{"0","1","2"},""))))), ROW(INDIRECT("1:"&amp;LEN((LEFT(A219,SUM(LEN(A219)-LEN(SUBSTITUTE(A219,{"0","1","2"},"")))))))), 1)) * ROW(INDIRECT("1:"&amp;LEN((LEFT(A219,SUM(LEN(A219)-LEN(SUBSTITUTE(A219,{"0","1","2"},"")))))))), 0), ROW(INDIRECT("1:"&amp;LEN((LEFT(A219,SUM(LEN(A219)-LEN(SUBSTITUTE(A219,{"0","1","2"},"")))))))))+1, 1) * 10^ROW(INDIRECT("1:"&amp;LEN((LEFT(A219,SUM(LEN(A219)-LEN(SUBSTITUTE(A219,{"0","1","2"},""))))))))/10))*1+1&amp;""&amp;" ,.., "&amp;""&amp;(SUMPRODUCT(MID(0&amp;(--TRIM(RIGHT(SUBSTITUTE(LEFT(A219,_xlfn.AGGREGATE(16,6,FIND({0,1,2,3,4,5,6,7,8,9},A219,ROW(INDIRECT("1:"&amp;LEN(A219)))),1))," ",REPT(" ",LEN(A219))),LEN(A219)))), LARGE(INDEX(ISNUMBER(--MID((--TRIM(RIGHT(SUBSTITUTE(LEFT(A219,_xlfn.AGGREGATE(16,6,FIND({0,1,2,3,4,5,6,7,8,9},A219,ROW(INDIRECT("1:"&amp;LEN(A219)))),1))," ",REPT(" ",LEN(A219))),LEN(A219)))), ROW(INDIRECT("1:"&amp;LEN((--TRIM(RIGHT(SUBSTITUTE(LEFT(A219,_xlfn.AGGREGATE(16,6,FIND({0,1,2,3,4,5,6,7,8,9},A219,ROW(INDIRECT("1:"&amp;LEN(A219)))),1))," ",REPT(" ",LEN(A219))),LEN(A219))))))), 1)) * ROW(INDIRECT("1:"&amp;LEN((--TRIM(RIGHT(SUBSTITUTE(LEFT(A219,_xlfn.AGGREGATE(16,6,FIND({0,1,2,3,4,5,6,7,8,9},A219,ROW(INDIRECT("1:"&amp;LEN(A219)))),1))," ",REPT(" ",LEN(A219))),LEN(A219))))))), 0), ROW(INDIRECT("1:"&amp;LEN((--TRIM(RIGHT(SUBSTITUTE(LEFT(A219,_xlfn.AGGREGATE(16,6,FIND({0,1,2,3,4,5,6,7,8,9},A219,ROW(INDIRECT("1:"&amp;LEN(A219)))),1))," ",REPT(" ",LEN(A219))),LEN(A219))))))))+1, 1) * 10^ROW(INDIRECT("1:"&amp;LEN((--TRIM(RIGHT(SUBSTITUTE(LEFT(A219,_xlfn.AGGREGATE(16,6,FIND({0,1,2,3,4,5,6,7,8,9},A219,ROW(INDIRECT("1:"&amp;LEN(A219)))),1))," ",REPT(" ",LEN(A219))),LEN(A219)))))))/10))*1+1</f>
        <v>305 ,.., 1505</v>
      </c>
      <c r="B220" s="99"/>
      <c r="C220" s="42"/>
      <c r="D220" s="42"/>
      <c r="E220" s="57">
        <v>0</v>
      </c>
      <c r="F220" s="57">
        <f>D220+E220</f>
        <v>0</v>
      </c>
      <c r="G220" s="57">
        <v>0</v>
      </c>
      <c r="H220" s="57">
        <f>F220*(($H$151)+1)+(IF(G220&lt;101,G220,IF(G220&lt;201,G220/2,IF(G220&lt;=301,G220/3,G220/4))))</f>
        <v>0</v>
      </c>
      <c r="I220" s="36"/>
    </row>
    <row r="221" spans="1:14" s="37" customFormat="1" hidden="1" x14ac:dyDescent="0.35">
      <c r="A221" s="147" t="s">
        <v>144</v>
      </c>
      <c r="B221" s="148"/>
      <c r="C221" s="148"/>
      <c r="D221" s="148"/>
      <c r="E221" s="148"/>
      <c r="F221" s="148"/>
      <c r="G221" s="148"/>
      <c r="H221" s="149"/>
      <c r="I221" s="36"/>
    </row>
    <row r="222" spans="1:14" s="37" customFormat="1" ht="15.75" hidden="1" customHeight="1" x14ac:dyDescent="0.35">
      <c r="A222" s="98" t="str">
        <f ca="1">(SUMPRODUCT(MID(0&amp;(LEFT(A221,SUM(LEN(A221)-LEN(SUBSTITUTE(A221,{"0","1","2"},""))))), LARGE(INDEX(ISNUMBER(--MID((LEFT(A221,SUM(LEN(A221)-LEN(SUBSTITUTE(A221,{"0","1","2"},""))))), ROW(INDIRECT("1:"&amp;LEN((LEFT(A221,SUM(LEN(A221)-LEN(SUBSTITUTE(A221,{"0","1","2"},"")))))))), 1)) * ROW(INDIRECT("1:"&amp;LEN((LEFT(A221,SUM(LEN(A221)-LEN(SUBSTITUTE(A221,{"0","1","2"},"")))))))), 0), ROW(INDIRECT("1:"&amp;LEN((LEFT(A221,SUM(LEN(A221)-LEN(SUBSTITUTE(A221,{"0","1","2"},"")))))))))+1, 1) * 10^ROW(INDIRECT("1:"&amp;LEN((LEFT(A221,SUM(LEN(A221)-LEN(SUBSTITUTE(A221,{"0","1","2"},""))))))))/10))*100+1&amp;""&amp;" to "&amp;""&amp;(SUMPRODUCT(MID(0&amp;(--TRIM(RIGHT(SUBSTITUTE(LEFT(A221,_xlfn.AGGREGATE(16,6,FIND({0,1,2,3,4,5,6,7,8,9},A221,ROW(INDIRECT("1:"&amp;LEN(A221)))),1))," ",REPT(" ",LEN(A221))),LEN(A221)))), LARGE(INDEX(ISNUMBER(--MID((--TRIM(RIGHT(SUBSTITUTE(LEFT(A221,_xlfn.AGGREGATE(16,6,FIND({0,1,2,3,4,5,6,7,8,9},A221,ROW(INDIRECT("1:"&amp;LEN(A221)))),1))," ",REPT(" ",LEN(A221))),LEN(A221)))), ROW(INDIRECT("1:"&amp;LEN((--TRIM(RIGHT(SUBSTITUTE(LEFT(A221,_xlfn.AGGREGATE(16,6,FIND({0,1,2,3,4,5,6,7,8,9},A221,ROW(INDIRECT("1:"&amp;LEN(A221)))),1))," ",REPT(" ",LEN(A221))),LEN(A221))))))), 1)) * ROW(INDIRECT("1:"&amp;LEN((--TRIM(RIGHT(SUBSTITUTE(LEFT(A221,_xlfn.AGGREGATE(16,6,FIND({0,1,2,3,4,5,6,7,8,9},A221,ROW(INDIRECT("1:"&amp;LEN(A221)))),1))," ",REPT(" ",LEN(A221))),LEN(A221))))))), 0), ROW(INDIRECT("1:"&amp;LEN((--TRIM(RIGHT(SUBSTITUTE(LEFT(A221,_xlfn.AGGREGATE(16,6,FIND({0,1,2,3,4,5,6,7,8,9},A221,ROW(INDIRECT("1:"&amp;LEN(A221)))),1))," ",REPT(" ",LEN(A221))),LEN(A221))))))))+1, 1) * 10^ROW(INDIRECT("1:"&amp;LEN((--TRIM(RIGHT(SUBSTITUTE(LEFT(A221,_xlfn.AGGREGATE(16,6,FIND({0,1,2,3,4,5,6,7,8,9},A221,ROW(INDIRECT("1:"&amp;LEN(A221)))),1))," ",REPT(" ",LEN(A221))),LEN(A221)))))))/10))*100+1</f>
        <v>201 to 501</v>
      </c>
      <c r="B222" s="99"/>
      <c r="C222" s="42"/>
      <c r="D222" s="42"/>
      <c r="E222" s="57">
        <v>0</v>
      </c>
      <c r="F222" s="57">
        <f>D222+E222</f>
        <v>0</v>
      </c>
      <c r="G222" s="57">
        <v>0</v>
      </c>
      <c r="H222" s="57">
        <f>F222*(($H$151)+1)+(IF(G222&lt;101,G222,IF(G222&lt;201,G222/2,IF(G222&lt;=301,G222/3,G222/4))))</f>
        <v>0</v>
      </c>
      <c r="I222" s="36"/>
    </row>
    <row r="223" spans="1:14" s="37" customFormat="1" ht="15.75" hidden="1" customHeight="1" x14ac:dyDescent="0.35">
      <c r="A223" s="98" t="str">
        <f ca="1">(SUMPRODUCT(MID(0&amp;(LEFT(A222,SUM(LEN(A222)-LEN(SUBSTITUTE(A222,{"0","1","2"},""))))), LARGE(INDEX(ISNUMBER(--MID((LEFT(A222,SUM(LEN(A222)-LEN(SUBSTITUTE(A222,{"0","1","2"},""))))), ROW(INDIRECT("1:"&amp;LEN((LEFT(A222,SUM(LEN(A222)-LEN(SUBSTITUTE(A222,{"0","1","2"},"")))))))), 1)) * ROW(INDIRECT("1:"&amp;LEN((LEFT(A222,SUM(LEN(A222)-LEN(SUBSTITUTE(A222,{"0","1","2"},"")))))))), 0), ROW(INDIRECT("1:"&amp;LEN((LEFT(A222,SUM(LEN(A222)-LEN(SUBSTITUTE(A222,{"0","1","2"},"")))))))))+1, 1) * 10^ROW(INDIRECT("1:"&amp;LEN((LEFT(A222,SUM(LEN(A222)-LEN(SUBSTITUTE(A222,{"0","1","2"},""))))))))/10))*1+1&amp;""&amp;" to "&amp;""&amp;(SUMPRODUCT(MID(0&amp;(--TRIM(RIGHT(SUBSTITUTE(LEFT(A222,_xlfn.AGGREGATE(16,6,FIND({0,1,2,3,4,5,6,7,8,9},A222,ROW(INDIRECT("1:"&amp;LEN(A222)))),1))," ",REPT(" ",LEN(A222))),LEN(A222)))), LARGE(INDEX(ISNUMBER(--MID((--TRIM(RIGHT(SUBSTITUTE(LEFT(A222,_xlfn.AGGREGATE(16,6,FIND({0,1,2,3,4,5,6,7,8,9},A222,ROW(INDIRECT("1:"&amp;LEN(A222)))),1))," ",REPT(" ",LEN(A222))),LEN(A222)))), ROW(INDIRECT("1:"&amp;LEN((--TRIM(RIGHT(SUBSTITUTE(LEFT(A222,_xlfn.AGGREGATE(16,6,FIND({0,1,2,3,4,5,6,7,8,9},A222,ROW(INDIRECT("1:"&amp;LEN(A222)))),1))," ",REPT(" ",LEN(A222))),LEN(A222))))))), 1)) * ROW(INDIRECT("1:"&amp;LEN((--TRIM(RIGHT(SUBSTITUTE(LEFT(A222,_xlfn.AGGREGATE(16,6,FIND({0,1,2,3,4,5,6,7,8,9},A222,ROW(INDIRECT("1:"&amp;LEN(A222)))),1))," ",REPT(" ",LEN(A222))),LEN(A222))))))), 0), ROW(INDIRECT("1:"&amp;LEN((--TRIM(RIGHT(SUBSTITUTE(LEFT(A222,_xlfn.AGGREGATE(16,6,FIND({0,1,2,3,4,5,6,7,8,9},A222,ROW(INDIRECT("1:"&amp;LEN(A222)))),1))," ",REPT(" ",LEN(A222))),LEN(A222))))))))+1, 1) * 10^ROW(INDIRECT("1:"&amp;LEN((--TRIM(RIGHT(SUBSTITUTE(LEFT(A222,_xlfn.AGGREGATE(16,6,FIND({0,1,2,3,4,5,6,7,8,9},A222,ROW(INDIRECT("1:"&amp;LEN(A222)))),1))," ",REPT(" ",LEN(A222))),LEN(A222)))))))/10))*1+1</f>
        <v>202 to 502</v>
      </c>
      <c r="B223" s="99"/>
      <c r="C223" s="42"/>
      <c r="D223" s="42"/>
      <c r="E223" s="57">
        <v>0</v>
      </c>
      <c r="F223" s="57">
        <f>D223+E223</f>
        <v>0</v>
      </c>
      <c r="G223" s="57">
        <v>0</v>
      </c>
      <c r="H223" s="57">
        <f>F223*(($H$151)+1)+(IF(G223&lt;101,G223,IF(G223&lt;201,G223/2,IF(G223&lt;=301,G223/3,G223/4))))</f>
        <v>0</v>
      </c>
      <c r="I223" s="36"/>
    </row>
    <row r="224" spans="1:14" s="37" customFormat="1" ht="15.75" hidden="1" customHeight="1" x14ac:dyDescent="0.35">
      <c r="A224" s="98" t="str">
        <f ca="1">(SUMPRODUCT(MID(0&amp;(LEFT(A223,SUM(LEN(A223)-LEN(SUBSTITUTE(A223,{"0","1","2"},""))))), LARGE(INDEX(ISNUMBER(--MID((LEFT(A223,SUM(LEN(A223)-LEN(SUBSTITUTE(A223,{"0","1","2"},""))))), ROW(INDIRECT("1:"&amp;LEN((LEFT(A223,SUM(LEN(A223)-LEN(SUBSTITUTE(A223,{"0","1","2"},"")))))))), 1)) * ROW(INDIRECT("1:"&amp;LEN((LEFT(A223,SUM(LEN(A223)-LEN(SUBSTITUTE(A223,{"0","1","2"},"")))))))), 0), ROW(INDIRECT("1:"&amp;LEN((LEFT(A223,SUM(LEN(A223)-LEN(SUBSTITUTE(A223,{"0","1","2"},"")))))))))+1, 1) * 10^ROW(INDIRECT("1:"&amp;LEN((LEFT(A223,SUM(LEN(A223)-LEN(SUBSTITUTE(A223,{"0","1","2"},""))))))))/10))*1+1&amp;""&amp;" to "&amp;""&amp;(SUMPRODUCT(MID(0&amp;(--TRIM(RIGHT(SUBSTITUTE(LEFT(A223,_xlfn.AGGREGATE(16,6,FIND({0,1,2,3,4,5,6,7,8,9},A223,ROW(INDIRECT("1:"&amp;LEN(A223)))),1))," ",REPT(" ",LEN(A223))),LEN(A223)))), LARGE(INDEX(ISNUMBER(--MID((--TRIM(RIGHT(SUBSTITUTE(LEFT(A223,_xlfn.AGGREGATE(16,6,FIND({0,1,2,3,4,5,6,7,8,9},A223,ROW(INDIRECT("1:"&amp;LEN(A223)))),1))," ",REPT(" ",LEN(A223))),LEN(A223)))), ROW(INDIRECT("1:"&amp;LEN((--TRIM(RIGHT(SUBSTITUTE(LEFT(A223,_xlfn.AGGREGATE(16,6,FIND({0,1,2,3,4,5,6,7,8,9},A223,ROW(INDIRECT("1:"&amp;LEN(A223)))),1))," ",REPT(" ",LEN(A223))),LEN(A223))))))), 1)) * ROW(INDIRECT("1:"&amp;LEN((--TRIM(RIGHT(SUBSTITUTE(LEFT(A223,_xlfn.AGGREGATE(16,6,FIND({0,1,2,3,4,5,6,7,8,9},A223,ROW(INDIRECT("1:"&amp;LEN(A223)))),1))," ",REPT(" ",LEN(A223))),LEN(A223))))))), 0), ROW(INDIRECT("1:"&amp;LEN((--TRIM(RIGHT(SUBSTITUTE(LEFT(A223,_xlfn.AGGREGATE(16,6,FIND({0,1,2,3,4,5,6,7,8,9},A223,ROW(INDIRECT("1:"&amp;LEN(A223)))),1))," ",REPT(" ",LEN(A223))),LEN(A223))))))))+1, 1) * 10^ROW(INDIRECT("1:"&amp;LEN((--TRIM(RIGHT(SUBSTITUTE(LEFT(A223,_xlfn.AGGREGATE(16,6,FIND({0,1,2,3,4,5,6,7,8,9},A223,ROW(INDIRECT("1:"&amp;LEN(A223)))),1))," ",REPT(" ",LEN(A223))),LEN(A223)))))))/10))*1+1</f>
        <v>203 to 503</v>
      </c>
      <c r="B224" s="99"/>
      <c r="C224" s="42"/>
      <c r="D224" s="42"/>
      <c r="E224" s="57">
        <v>0</v>
      </c>
      <c r="F224" s="57">
        <f>D224+E224</f>
        <v>0</v>
      </c>
      <c r="G224" s="57">
        <v>0</v>
      </c>
      <c r="H224" s="57">
        <f>F224*(($H$151)+1)+(IF(G224&lt;101,G224,IF(G224&lt;201,G224/2,IF(G224&lt;=301,G224/3,G224/4))))</f>
        <v>0</v>
      </c>
      <c r="I224" s="36"/>
    </row>
    <row r="225" spans="1:20" s="37" customFormat="1" ht="15.75" hidden="1" customHeight="1" x14ac:dyDescent="0.35">
      <c r="A225" s="98" t="str">
        <f ca="1">(SUMPRODUCT(MID(0&amp;(LEFT(A224,SUM(LEN(A224)-LEN(SUBSTITUTE(A224,{"0","1","2"},""))))), LARGE(INDEX(ISNUMBER(--MID((LEFT(A224,SUM(LEN(A224)-LEN(SUBSTITUTE(A224,{"0","1","2"},""))))), ROW(INDIRECT("1:"&amp;LEN((LEFT(A224,SUM(LEN(A224)-LEN(SUBSTITUTE(A224,{"0","1","2"},"")))))))), 1)) * ROW(INDIRECT("1:"&amp;LEN((LEFT(A224,SUM(LEN(A224)-LEN(SUBSTITUTE(A224,{"0","1","2"},"")))))))), 0), ROW(INDIRECT("1:"&amp;LEN((LEFT(A224,SUM(LEN(A224)-LEN(SUBSTITUTE(A224,{"0","1","2"},"")))))))))+1, 1) * 10^ROW(INDIRECT("1:"&amp;LEN((LEFT(A224,SUM(LEN(A224)-LEN(SUBSTITUTE(A224,{"0","1","2"},""))))))))/10))*1+1&amp;""&amp;" to "&amp;""&amp;(SUMPRODUCT(MID(0&amp;(--TRIM(RIGHT(SUBSTITUTE(LEFT(A224,_xlfn.AGGREGATE(16,6,FIND({0,1,2,3,4,5,6,7,8,9},A224,ROW(INDIRECT("1:"&amp;LEN(A224)))),1))," ",REPT(" ",LEN(A224))),LEN(A224)))), LARGE(INDEX(ISNUMBER(--MID((--TRIM(RIGHT(SUBSTITUTE(LEFT(A224,_xlfn.AGGREGATE(16,6,FIND({0,1,2,3,4,5,6,7,8,9},A224,ROW(INDIRECT("1:"&amp;LEN(A224)))),1))," ",REPT(" ",LEN(A224))),LEN(A224)))), ROW(INDIRECT("1:"&amp;LEN((--TRIM(RIGHT(SUBSTITUTE(LEFT(A224,_xlfn.AGGREGATE(16,6,FIND({0,1,2,3,4,5,6,7,8,9},A224,ROW(INDIRECT("1:"&amp;LEN(A224)))),1))," ",REPT(" ",LEN(A224))),LEN(A224))))))), 1)) * ROW(INDIRECT("1:"&amp;LEN((--TRIM(RIGHT(SUBSTITUTE(LEFT(A224,_xlfn.AGGREGATE(16,6,FIND({0,1,2,3,4,5,6,7,8,9},A224,ROW(INDIRECT("1:"&amp;LEN(A224)))),1))," ",REPT(" ",LEN(A224))),LEN(A224))))))), 0), ROW(INDIRECT("1:"&amp;LEN((--TRIM(RIGHT(SUBSTITUTE(LEFT(A224,_xlfn.AGGREGATE(16,6,FIND({0,1,2,3,4,5,6,7,8,9},A224,ROW(INDIRECT("1:"&amp;LEN(A224)))),1))," ",REPT(" ",LEN(A224))),LEN(A224))))))))+1, 1) * 10^ROW(INDIRECT("1:"&amp;LEN((--TRIM(RIGHT(SUBSTITUTE(LEFT(A224,_xlfn.AGGREGATE(16,6,FIND({0,1,2,3,4,5,6,7,8,9},A224,ROW(INDIRECT("1:"&amp;LEN(A224)))),1))," ",REPT(" ",LEN(A224))),LEN(A224)))))))/10))*1+1</f>
        <v>204 to 504</v>
      </c>
      <c r="B225" s="99"/>
      <c r="C225" s="42"/>
      <c r="D225" s="42"/>
      <c r="E225" s="57">
        <v>0</v>
      </c>
      <c r="F225" s="57">
        <f>D225+E225</f>
        <v>0</v>
      </c>
      <c r="G225" s="57">
        <v>0</v>
      </c>
      <c r="H225" s="57">
        <f>F225*(($H$151)+1)+(IF(G225&lt;101,G225,IF(G225&lt;201,G225/2,IF(G225&lt;=301,G225/3,G225/4))))</f>
        <v>0</v>
      </c>
      <c r="I225" s="36"/>
    </row>
    <row r="226" spans="1:20" s="37" customFormat="1" ht="15.75" hidden="1" customHeight="1" x14ac:dyDescent="0.35">
      <c r="A226" s="98" t="str">
        <f ca="1">(SUMPRODUCT(MID(0&amp;(LEFT(A225,SUM(LEN(A225)-LEN(SUBSTITUTE(A225,{"0","1","2"},""))))), LARGE(INDEX(ISNUMBER(--MID((LEFT(A225,SUM(LEN(A225)-LEN(SUBSTITUTE(A225,{"0","1","2"},""))))), ROW(INDIRECT("1:"&amp;LEN((LEFT(A225,SUM(LEN(A225)-LEN(SUBSTITUTE(A225,{"0","1","2"},"")))))))), 1)) * ROW(INDIRECT("1:"&amp;LEN((LEFT(A225,SUM(LEN(A225)-LEN(SUBSTITUTE(A225,{"0","1","2"},"")))))))), 0), ROW(INDIRECT("1:"&amp;LEN((LEFT(A225,SUM(LEN(A225)-LEN(SUBSTITUTE(A225,{"0","1","2"},"")))))))))+1, 1) * 10^ROW(INDIRECT("1:"&amp;LEN((LEFT(A225,SUM(LEN(A225)-LEN(SUBSTITUTE(A225,{"0","1","2"},""))))))))/10))*1+1&amp;""&amp;" to "&amp;""&amp;(SUMPRODUCT(MID(0&amp;(--TRIM(RIGHT(SUBSTITUTE(LEFT(A225,_xlfn.AGGREGATE(16,6,FIND({0,1,2,3,4,5,6,7,8,9},A225,ROW(INDIRECT("1:"&amp;LEN(A225)))),1))," ",REPT(" ",LEN(A225))),LEN(A225)))), LARGE(INDEX(ISNUMBER(--MID((--TRIM(RIGHT(SUBSTITUTE(LEFT(A225,_xlfn.AGGREGATE(16,6,FIND({0,1,2,3,4,5,6,7,8,9},A225,ROW(INDIRECT("1:"&amp;LEN(A225)))),1))," ",REPT(" ",LEN(A225))),LEN(A225)))), ROW(INDIRECT("1:"&amp;LEN((--TRIM(RIGHT(SUBSTITUTE(LEFT(A225,_xlfn.AGGREGATE(16,6,FIND({0,1,2,3,4,5,6,7,8,9},A225,ROW(INDIRECT("1:"&amp;LEN(A225)))),1))," ",REPT(" ",LEN(A225))),LEN(A225))))))), 1)) * ROW(INDIRECT("1:"&amp;LEN((--TRIM(RIGHT(SUBSTITUTE(LEFT(A225,_xlfn.AGGREGATE(16,6,FIND({0,1,2,3,4,5,6,7,8,9},A225,ROW(INDIRECT("1:"&amp;LEN(A225)))),1))," ",REPT(" ",LEN(A225))),LEN(A225))))))), 0), ROW(INDIRECT("1:"&amp;LEN((--TRIM(RIGHT(SUBSTITUTE(LEFT(A225,_xlfn.AGGREGATE(16,6,FIND({0,1,2,3,4,5,6,7,8,9},A225,ROW(INDIRECT("1:"&amp;LEN(A225)))),1))," ",REPT(" ",LEN(A225))),LEN(A225))))))))+1, 1) * 10^ROW(INDIRECT("1:"&amp;LEN((--TRIM(RIGHT(SUBSTITUTE(LEFT(A225,_xlfn.AGGREGATE(16,6,FIND({0,1,2,3,4,5,6,7,8,9},A225,ROW(INDIRECT("1:"&amp;LEN(A225)))),1))," ",REPT(" ",LEN(A225))),LEN(A225)))))))/10))*1+1</f>
        <v>205 to 505</v>
      </c>
      <c r="B226" s="99"/>
      <c r="C226" s="42"/>
      <c r="D226" s="42"/>
      <c r="E226" s="57">
        <v>0</v>
      </c>
      <c r="F226" s="57">
        <f>D226+E226</f>
        <v>0</v>
      </c>
      <c r="G226" s="57">
        <v>0</v>
      </c>
      <c r="H226" s="57">
        <f>F226*(($H$151)+1)+(IF(G226&lt;101,G226,IF(G226&lt;201,G226/2,IF(G226&lt;=301,G226/3,G226/4))))</f>
        <v>0</v>
      </c>
      <c r="I226" s="36"/>
    </row>
    <row r="227" spans="1:20" s="37" customFormat="1" hidden="1" x14ac:dyDescent="0.35">
      <c r="A227" s="147" t="s">
        <v>145</v>
      </c>
      <c r="B227" s="148"/>
      <c r="C227" s="148"/>
      <c r="D227" s="148"/>
      <c r="E227" s="148"/>
      <c r="F227" s="148"/>
      <c r="G227" s="148"/>
      <c r="H227" s="149"/>
      <c r="I227" s="36"/>
    </row>
    <row r="228" spans="1:20" s="37" customFormat="1" ht="15.75" hidden="1" customHeight="1" x14ac:dyDescent="0.35">
      <c r="A228" s="98" t="str">
        <f ca="1">(SUMPRODUCT(MID(0&amp;(LEFT(A227,SUM(LEN(A227)-LEN(SUBSTITUTE(A227,{"0","1","2"},""))))), LARGE(INDEX(ISNUMBER(--MID((LEFT(A227,SUM(LEN(A227)-LEN(SUBSTITUTE(A227,{"0","1","2"},""))))), ROW(INDIRECT("1:"&amp;LEN((LEFT(A227,SUM(LEN(A227)-LEN(SUBSTITUTE(A227,{"0","1","2"},"")))))))), 1)) * ROW(INDIRECT("1:"&amp;LEN((LEFT(A227,SUM(LEN(A227)-LEN(SUBSTITUTE(A227,{"0","1","2"},"")))))))), 0), ROW(INDIRECT("1:"&amp;LEN((LEFT(A227,SUM(LEN(A227)-LEN(SUBSTITUTE(A227,{"0","1","2"},"")))))))))+1, 1) * 10^ROW(INDIRECT("1:"&amp;LEN((LEFT(A227,SUM(LEN(A227)-LEN(SUBSTITUTE(A227,{"0","1","2"},""))))))))/10))*100+1&amp;""&amp;" &amp; "&amp;""&amp;(SUMPRODUCT(MID(0&amp;(--TRIM(RIGHT(SUBSTITUTE(LEFT(A227,_xlfn.AGGREGATE(16,6,FIND({0,1,2,3,4,5,6,7,8,9},A227,ROW(INDIRECT("1:"&amp;LEN(A227)))),1))," ",REPT(" ",LEN(A227))),LEN(A227)))), LARGE(INDEX(ISNUMBER(--MID((--TRIM(RIGHT(SUBSTITUTE(LEFT(A227,_xlfn.AGGREGATE(16,6,FIND({0,1,2,3,4,5,6,7,8,9},A227,ROW(INDIRECT("1:"&amp;LEN(A227)))),1))," ",REPT(" ",LEN(A227))),LEN(A227)))), ROW(INDIRECT("1:"&amp;LEN((--TRIM(RIGHT(SUBSTITUTE(LEFT(A227,_xlfn.AGGREGATE(16,6,FIND({0,1,2,3,4,5,6,7,8,9},A227,ROW(INDIRECT("1:"&amp;LEN(A227)))),1))," ",REPT(" ",LEN(A227))),LEN(A227))))))), 1)) * ROW(INDIRECT("1:"&amp;LEN((--TRIM(RIGHT(SUBSTITUTE(LEFT(A227,_xlfn.AGGREGATE(16,6,FIND({0,1,2,3,4,5,6,7,8,9},A227,ROW(INDIRECT("1:"&amp;LEN(A227)))),1))," ",REPT(" ",LEN(A227))),LEN(A227))))))), 0), ROW(INDIRECT("1:"&amp;LEN((--TRIM(RIGHT(SUBSTITUTE(LEFT(A227,_xlfn.AGGREGATE(16,6,FIND({0,1,2,3,4,5,6,7,8,9},A227,ROW(INDIRECT("1:"&amp;LEN(A227)))),1))," ",REPT(" ",LEN(A227))),LEN(A227))))))))+1, 1) * 10^ROW(INDIRECT("1:"&amp;LEN((--TRIM(RIGHT(SUBSTITUTE(LEFT(A227,_xlfn.AGGREGATE(16,6,FIND({0,1,2,3,4,5,6,7,8,9},A227,ROW(INDIRECT("1:"&amp;LEN(A227)))),1))," ",REPT(" ",LEN(A227))),LEN(A227)))))))/10))*100+1</f>
        <v>201 &amp; 501</v>
      </c>
      <c r="B228" s="99"/>
      <c r="C228" s="42"/>
      <c r="D228" s="42"/>
      <c r="E228" s="57">
        <v>0</v>
      </c>
      <c r="F228" s="57">
        <f>D228+E228</f>
        <v>0</v>
      </c>
      <c r="G228" s="57">
        <v>0</v>
      </c>
      <c r="H228" s="57">
        <f>F228*(($H$151)+1)+(IF(G228&lt;101,G228,IF(G228&lt;201,G228/2,IF(G228&lt;=301,G228/3,G228/4))))</f>
        <v>0</v>
      </c>
      <c r="I228" s="36"/>
    </row>
    <row r="229" spans="1:20" s="37" customFormat="1" ht="15.75" hidden="1" customHeight="1" x14ac:dyDescent="0.35">
      <c r="A229" s="98" t="str">
        <f ca="1">(SUMPRODUCT(MID(0&amp;(LEFT(A228,SUM(LEN(A228)-LEN(SUBSTITUTE(A228,{"0","1","2"},""))))), LARGE(INDEX(ISNUMBER(--MID((LEFT(A228,SUM(LEN(A228)-LEN(SUBSTITUTE(A228,{"0","1","2"},""))))), ROW(INDIRECT("1:"&amp;LEN((LEFT(A228,SUM(LEN(A228)-LEN(SUBSTITUTE(A228,{"0","1","2"},"")))))))), 1)) * ROW(INDIRECT("1:"&amp;LEN((LEFT(A228,SUM(LEN(A228)-LEN(SUBSTITUTE(A228,{"0","1","2"},"")))))))), 0), ROW(INDIRECT("1:"&amp;LEN((LEFT(A228,SUM(LEN(A228)-LEN(SUBSTITUTE(A228,{"0","1","2"},"")))))))))+1, 1) * 10^ROW(INDIRECT("1:"&amp;LEN((LEFT(A228,SUM(LEN(A228)-LEN(SUBSTITUTE(A228,{"0","1","2"},""))))))))/10))*1+1&amp;""&amp;" &amp; "&amp;""&amp;(SUMPRODUCT(MID(0&amp;(--TRIM(RIGHT(SUBSTITUTE(LEFT(A228,_xlfn.AGGREGATE(16,6,FIND({0,1,2,3,4,5,6,7,8,9},A228,ROW(INDIRECT("1:"&amp;LEN(A228)))),1))," ",REPT(" ",LEN(A228))),LEN(A228)))), LARGE(INDEX(ISNUMBER(--MID((--TRIM(RIGHT(SUBSTITUTE(LEFT(A228,_xlfn.AGGREGATE(16,6,FIND({0,1,2,3,4,5,6,7,8,9},A228,ROW(INDIRECT("1:"&amp;LEN(A228)))),1))," ",REPT(" ",LEN(A228))),LEN(A228)))), ROW(INDIRECT("1:"&amp;LEN((--TRIM(RIGHT(SUBSTITUTE(LEFT(A228,_xlfn.AGGREGATE(16,6,FIND({0,1,2,3,4,5,6,7,8,9},A228,ROW(INDIRECT("1:"&amp;LEN(A228)))),1))," ",REPT(" ",LEN(A228))),LEN(A228))))))), 1)) * ROW(INDIRECT("1:"&amp;LEN((--TRIM(RIGHT(SUBSTITUTE(LEFT(A228,_xlfn.AGGREGATE(16,6,FIND({0,1,2,3,4,5,6,7,8,9},A228,ROW(INDIRECT("1:"&amp;LEN(A228)))),1))," ",REPT(" ",LEN(A228))),LEN(A228))))))), 0), ROW(INDIRECT("1:"&amp;LEN((--TRIM(RIGHT(SUBSTITUTE(LEFT(A228,_xlfn.AGGREGATE(16,6,FIND({0,1,2,3,4,5,6,7,8,9},A228,ROW(INDIRECT("1:"&amp;LEN(A228)))),1))," ",REPT(" ",LEN(A228))),LEN(A228))))))))+1, 1) * 10^ROW(INDIRECT("1:"&amp;LEN((--TRIM(RIGHT(SUBSTITUTE(LEFT(A228,_xlfn.AGGREGATE(16,6,FIND({0,1,2,3,4,5,6,7,8,9},A228,ROW(INDIRECT("1:"&amp;LEN(A228)))),1))," ",REPT(" ",LEN(A228))),LEN(A228)))))))/10))*1+1</f>
        <v>202 &amp; 502</v>
      </c>
      <c r="B229" s="99"/>
      <c r="C229" s="42"/>
      <c r="D229" s="42"/>
      <c r="E229" s="57">
        <v>0</v>
      </c>
      <c r="F229" s="57">
        <f>D229+E229</f>
        <v>0</v>
      </c>
      <c r="G229" s="57">
        <v>0</v>
      </c>
      <c r="H229" s="57">
        <f>F229*(($H$151)+1)+(IF(G229&lt;101,G229,IF(G229&lt;201,G229/2,IF(G229&lt;=301,G229/3,G229/4))))</f>
        <v>0</v>
      </c>
      <c r="I229" s="36"/>
    </row>
    <row r="230" spans="1:20" s="37" customFormat="1" ht="15.75" hidden="1" customHeight="1" x14ac:dyDescent="0.35">
      <c r="A230" s="98" t="str">
        <f ca="1">(SUMPRODUCT(MID(0&amp;(LEFT(A229,SUM(LEN(A229)-LEN(SUBSTITUTE(A229,{"0","1","2"},""))))), LARGE(INDEX(ISNUMBER(--MID((LEFT(A229,SUM(LEN(A229)-LEN(SUBSTITUTE(A229,{"0","1","2"},""))))), ROW(INDIRECT("1:"&amp;LEN((LEFT(A229,SUM(LEN(A229)-LEN(SUBSTITUTE(A229,{"0","1","2"},"")))))))), 1)) * ROW(INDIRECT("1:"&amp;LEN((LEFT(A229,SUM(LEN(A229)-LEN(SUBSTITUTE(A229,{"0","1","2"},"")))))))), 0), ROW(INDIRECT("1:"&amp;LEN((LEFT(A229,SUM(LEN(A229)-LEN(SUBSTITUTE(A229,{"0","1","2"},"")))))))))+1, 1) * 10^ROW(INDIRECT("1:"&amp;LEN((LEFT(A229,SUM(LEN(A229)-LEN(SUBSTITUTE(A229,{"0","1","2"},""))))))))/10))*1+1&amp;""&amp;" &amp; "&amp;""&amp;(SUMPRODUCT(MID(0&amp;(--TRIM(RIGHT(SUBSTITUTE(LEFT(A229,_xlfn.AGGREGATE(16,6,FIND({0,1,2,3,4,5,6,7,8,9},A229,ROW(INDIRECT("1:"&amp;LEN(A229)))),1))," ",REPT(" ",LEN(A229))),LEN(A229)))), LARGE(INDEX(ISNUMBER(--MID((--TRIM(RIGHT(SUBSTITUTE(LEFT(A229,_xlfn.AGGREGATE(16,6,FIND({0,1,2,3,4,5,6,7,8,9},A229,ROW(INDIRECT("1:"&amp;LEN(A229)))),1))," ",REPT(" ",LEN(A229))),LEN(A229)))), ROW(INDIRECT("1:"&amp;LEN((--TRIM(RIGHT(SUBSTITUTE(LEFT(A229,_xlfn.AGGREGATE(16,6,FIND({0,1,2,3,4,5,6,7,8,9},A229,ROW(INDIRECT("1:"&amp;LEN(A229)))),1))," ",REPT(" ",LEN(A229))),LEN(A229))))))), 1)) * ROW(INDIRECT("1:"&amp;LEN((--TRIM(RIGHT(SUBSTITUTE(LEFT(A229,_xlfn.AGGREGATE(16,6,FIND({0,1,2,3,4,5,6,7,8,9},A229,ROW(INDIRECT("1:"&amp;LEN(A229)))),1))," ",REPT(" ",LEN(A229))),LEN(A229))))))), 0), ROW(INDIRECT("1:"&amp;LEN((--TRIM(RIGHT(SUBSTITUTE(LEFT(A229,_xlfn.AGGREGATE(16,6,FIND({0,1,2,3,4,5,6,7,8,9},A229,ROW(INDIRECT("1:"&amp;LEN(A229)))),1))," ",REPT(" ",LEN(A229))),LEN(A229))))))))+1, 1) * 10^ROW(INDIRECT("1:"&amp;LEN((--TRIM(RIGHT(SUBSTITUTE(LEFT(A229,_xlfn.AGGREGATE(16,6,FIND({0,1,2,3,4,5,6,7,8,9},A229,ROW(INDIRECT("1:"&amp;LEN(A229)))),1))," ",REPT(" ",LEN(A229))),LEN(A229)))))))/10))*1+1</f>
        <v>203 &amp; 503</v>
      </c>
      <c r="B230" s="99"/>
      <c r="C230" s="42"/>
      <c r="D230" s="42"/>
      <c r="E230" s="57">
        <v>0</v>
      </c>
      <c r="F230" s="57">
        <f>D230+E230</f>
        <v>0</v>
      </c>
      <c r="G230" s="57">
        <v>0</v>
      </c>
      <c r="H230" s="57">
        <f>F230*(($H$151)+1)+(IF(G230&lt;101,G230,IF(G230&lt;201,G230/2,IF(G230&lt;=301,G230/3,G230/4))))</f>
        <v>0</v>
      </c>
      <c r="I230" s="36"/>
    </row>
    <row r="231" spans="1:20" s="37" customFormat="1" ht="15.75" hidden="1" customHeight="1" x14ac:dyDescent="0.35">
      <c r="A231" s="98" t="str">
        <f ca="1">(SUMPRODUCT(MID(0&amp;(LEFT(A230,SUM(LEN(A230)-LEN(SUBSTITUTE(A230,{"0","1","2"},""))))), LARGE(INDEX(ISNUMBER(--MID((LEFT(A230,SUM(LEN(A230)-LEN(SUBSTITUTE(A230,{"0","1","2"},""))))), ROW(INDIRECT("1:"&amp;LEN((LEFT(A230,SUM(LEN(A230)-LEN(SUBSTITUTE(A230,{"0","1","2"},"")))))))), 1)) * ROW(INDIRECT("1:"&amp;LEN((LEFT(A230,SUM(LEN(A230)-LEN(SUBSTITUTE(A230,{"0","1","2"},"")))))))), 0), ROW(INDIRECT("1:"&amp;LEN((LEFT(A230,SUM(LEN(A230)-LEN(SUBSTITUTE(A230,{"0","1","2"},"")))))))))+1, 1) * 10^ROW(INDIRECT("1:"&amp;LEN((LEFT(A230,SUM(LEN(A230)-LEN(SUBSTITUTE(A230,{"0","1","2"},""))))))))/10))*1+1&amp;""&amp;" &amp; "&amp;""&amp;(SUMPRODUCT(MID(0&amp;(--TRIM(RIGHT(SUBSTITUTE(LEFT(A230,_xlfn.AGGREGATE(16,6,FIND({0,1,2,3,4,5,6,7,8,9},A230,ROW(INDIRECT("1:"&amp;LEN(A230)))),1))," ",REPT(" ",LEN(A230))),LEN(A230)))), LARGE(INDEX(ISNUMBER(--MID((--TRIM(RIGHT(SUBSTITUTE(LEFT(A230,_xlfn.AGGREGATE(16,6,FIND({0,1,2,3,4,5,6,7,8,9},A230,ROW(INDIRECT("1:"&amp;LEN(A230)))),1))," ",REPT(" ",LEN(A230))),LEN(A230)))), ROW(INDIRECT("1:"&amp;LEN((--TRIM(RIGHT(SUBSTITUTE(LEFT(A230,_xlfn.AGGREGATE(16,6,FIND({0,1,2,3,4,5,6,7,8,9},A230,ROW(INDIRECT("1:"&amp;LEN(A230)))),1))," ",REPT(" ",LEN(A230))),LEN(A230))))))), 1)) * ROW(INDIRECT("1:"&amp;LEN((--TRIM(RIGHT(SUBSTITUTE(LEFT(A230,_xlfn.AGGREGATE(16,6,FIND({0,1,2,3,4,5,6,7,8,9},A230,ROW(INDIRECT("1:"&amp;LEN(A230)))),1))," ",REPT(" ",LEN(A230))),LEN(A230))))))), 0), ROW(INDIRECT("1:"&amp;LEN((--TRIM(RIGHT(SUBSTITUTE(LEFT(A230,_xlfn.AGGREGATE(16,6,FIND({0,1,2,3,4,5,6,7,8,9},A230,ROW(INDIRECT("1:"&amp;LEN(A230)))),1))," ",REPT(" ",LEN(A230))),LEN(A230))))))))+1, 1) * 10^ROW(INDIRECT("1:"&amp;LEN((--TRIM(RIGHT(SUBSTITUTE(LEFT(A230,_xlfn.AGGREGATE(16,6,FIND({0,1,2,3,4,5,6,7,8,9},A230,ROW(INDIRECT("1:"&amp;LEN(A230)))),1))," ",REPT(" ",LEN(A230))),LEN(A230)))))))/10))*1+1</f>
        <v>204 &amp; 504</v>
      </c>
      <c r="B231" s="99"/>
      <c r="C231" s="42"/>
      <c r="D231" s="42"/>
      <c r="E231" s="57">
        <v>0</v>
      </c>
      <c r="F231" s="57">
        <f>D231+E231</f>
        <v>0</v>
      </c>
      <c r="G231" s="57">
        <v>0</v>
      </c>
      <c r="H231" s="57">
        <f>F231*(($H$151)+1)+(IF(G231&lt;101,G231,IF(G231&lt;201,G231/2,IF(G231&lt;=301,G231/3,G231/4))))</f>
        <v>0</v>
      </c>
      <c r="I231" s="36"/>
    </row>
    <row r="232" spans="1:20" s="37" customFormat="1" ht="15.75" hidden="1" customHeight="1" x14ac:dyDescent="0.35">
      <c r="A232" s="98" t="str">
        <f ca="1">(SUMPRODUCT(MID(0&amp;(LEFT(A231,SUM(LEN(A231)-LEN(SUBSTITUTE(A231,{"0","1","2"},""))))), LARGE(INDEX(ISNUMBER(--MID((LEFT(A231,SUM(LEN(A231)-LEN(SUBSTITUTE(A231,{"0","1","2"},""))))), ROW(INDIRECT("1:"&amp;LEN((LEFT(A231,SUM(LEN(A231)-LEN(SUBSTITUTE(A231,{"0","1","2"},"")))))))), 1)) * ROW(INDIRECT("1:"&amp;LEN((LEFT(A231,SUM(LEN(A231)-LEN(SUBSTITUTE(A231,{"0","1","2"},"")))))))), 0), ROW(INDIRECT("1:"&amp;LEN((LEFT(A231,SUM(LEN(A231)-LEN(SUBSTITUTE(A231,{"0","1","2"},"")))))))))+1, 1) * 10^ROW(INDIRECT("1:"&amp;LEN((LEFT(A231,SUM(LEN(A231)-LEN(SUBSTITUTE(A231,{"0","1","2"},""))))))))/10))*1+1&amp;""&amp;" &amp; "&amp;""&amp;(SUMPRODUCT(MID(0&amp;(--TRIM(RIGHT(SUBSTITUTE(LEFT(A231,_xlfn.AGGREGATE(16,6,FIND({0,1,2,3,4,5,6,7,8,9},A231,ROW(INDIRECT("1:"&amp;LEN(A231)))),1))," ",REPT(" ",LEN(A231))),LEN(A231)))), LARGE(INDEX(ISNUMBER(--MID((--TRIM(RIGHT(SUBSTITUTE(LEFT(A231,_xlfn.AGGREGATE(16,6,FIND({0,1,2,3,4,5,6,7,8,9},A231,ROW(INDIRECT("1:"&amp;LEN(A231)))),1))," ",REPT(" ",LEN(A231))),LEN(A231)))), ROW(INDIRECT("1:"&amp;LEN((--TRIM(RIGHT(SUBSTITUTE(LEFT(A231,_xlfn.AGGREGATE(16,6,FIND({0,1,2,3,4,5,6,7,8,9},A231,ROW(INDIRECT("1:"&amp;LEN(A231)))),1))," ",REPT(" ",LEN(A231))),LEN(A231))))))), 1)) * ROW(INDIRECT("1:"&amp;LEN((--TRIM(RIGHT(SUBSTITUTE(LEFT(A231,_xlfn.AGGREGATE(16,6,FIND({0,1,2,3,4,5,6,7,8,9},A231,ROW(INDIRECT("1:"&amp;LEN(A231)))),1))," ",REPT(" ",LEN(A231))),LEN(A231))))))), 0), ROW(INDIRECT("1:"&amp;LEN((--TRIM(RIGHT(SUBSTITUTE(LEFT(A231,_xlfn.AGGREGATE(16,6,FIND({0,1,2,3,4,5,6,7,8,9},A231,ROW(INDIRECT("1:"&amp;LEN(A231)))),1))," ",REPT(" ",LEN(A231))),LEN(A231))))))))+1, 1) * 10^ROW(INDIRECT("1:"&amp;LEN((--TRIM(RIGHT(SUBSTITUTE(LEFT(A231,_xlfn.AGGREGATE(16,6,FIND({0,1,2,3,4,5,6,7,8,9},A231,ROW(INDIRECT("1:"&amp;LEN(A231)))),1))," ",REPT(" ",LEN(A231))),LEN(A231)))))))/10))*1+1</f>
        <v>205 &amp; 505</v>
      </c>
      <c r="B232" s="99"/>
      <c r="C232" s="42"/>
      <c r="D232" s="42"/>
      <c r="E232" s="57">
        <v>0</v>
      </c>
      <c r="F232" s="57">
        <f>D232+E232</f>
        <v>0</v>
      </c>
      <c r="G232" s="57">
        <v>0</v>
      </c>
      <c r="H232" s="57">
        <f>F232*(($H$151)+1)+(IF(G232&lt;101,G232,IF(G232&lt;201,G232/2,IF(G232&lt;=301,G232/3,G232/4))))</f>
        <v>0</v>
      </c>
      <c r="I232" s="36"/>
    </row>
    <row r="233" spans="1:20" s="35" customFormat="1" x14ac:dyDescent="0.35">
      <c r="A233" s="164" t="s">
        <v>65</v>
      </c>
      <c r="B233" s="164"/>
      <c r="C233" s="164"/>
      <c r="D233" s="164"/>
      <c r="E233" s="164"/>
      <c r="F233" s="164"/>
      <c r="G233" s="164"/>
      <c r="H233" s="164"/>
      <c r="T233" s="37"/>
    </row>
    <row r="234" spans="1:20" s="35" customFormat="1" x14ac:dyDescent="0.35">
      <c r="A234" s="46" t="s">
        <v>154</v>
      </c>
      <c r="B234" s="161" t="s">
        <v>365</v>
      </c>
      <c r="C234" s="162"/>
      <c r="D234" s="162"/>
      <c r="E234" s="162"/>
      <c r="F234" s="162"/>
      <c r="G234" s="162"/>
      <c r="H234" s="163"/>
      <c r="T234" s="37"/>
    </row>
    <row r="235" spans="1:20" s="35" customFormat="1" x14ac:dyDescent="0.35">
      <c r="A235" s="46" t="s">
        <v>154</v>
      </c>
      <c r="B235" s="161" t="str">
        <f>(IF(H150="Saleable area Loading :","We have considered Saleable area of Flats as per our Calculation.","We considered Saleable area of Flat as per Builder area Sheet."))</f>
        <v>We have considered Saleable area of Flats as per our Calculation.</v>
      </c>
      <c r="C235" s="162"/>
      <c r="D235" s="162"/>
      <c r="E235" s="162"/>
      <c r="F235" s="162"/>
      <c r="G235" s="162"/>
      <c r="H235" s="163"/>
      <c r="T235" s="37"/>
    </row>
    <row r="236" spans="1:20" s="35" customFormat="1" x14ac:dyDescent="0.35">
      <c r="A236" s="46" t="s">
        <v>154</v>
      </c>
      <c r="B236" s="161" t="str">
        <f>(IF(H142="Saleable area Loading :","We have considered Saleable area of Commercial as per our Calculation.","We considered Saleable area of Commercial as per Builder area Sheet."))</f>
        <v>We have considered Saleable area of Commercial as per our Calculation.</v>
      </c>
      <c r="C236" s="162"/>
      <c r="D236" s="162"/>
      <c r="E236" s="162"/>
      <c r="F236" s="162"/>
      <c r="G236" s="162"/>
      <c r="H236" s="163"/>
      <c r="T236" s="37"/>
    </row>
    <row r="237" spans="1:20" s="35" customFormat="1" x14ac:dyDescent="0.35">
      <c r="A237" s="46" t="s">
        <v>154</v>
      </c>
      <c r="B237" s="158" t="s">
        <v>121</v>
      </c>
      <c r="C237" s="159"/>
      <c r="D237" s="159"/>
      <c r="E237" s="159"/>
      <c r="F237" s="159"/>
      <c r="G237" s="159"/>
      <c r="H237" s="160"/>
      <c r="T237" s="37"/>
    </row>
    <row r="238" spans="1:20" s="35" customFormat="1" x14ac:dyDescent="0.35">
      <c r="A238" s="46" t="s">
        <v>154</v>
      </c>
      <c r="B238" s="158" t="s">
        <v>342</v>
      </c>
      <c r="C238" s="159"/>
      <c r="D238" s="159"/>
      <c r="E238" s="159"/>
      <c r="F238" s="159"/>
      <c r="G238" s="159"/>
      <c r="H238" s="160"/>
      <c r="T238" s="37"/>
    </row>
    <row r="239" spans="1:20" s="35" customFormat="1" x14ac:dyDescent="0.35">
      <c r="A239" s="46" t="s">
        <v>154</v>
      </c>
      <c r="B239" s="158" t="s">
        <v>153</v>
      </c>
      <c r="C239" s="159"/>
      <c r="D239" s="159"/>
      <c r="E239" s="159"/>
      <c r="F239" s="159"/>
      <c r="G239" s="159"/>
      <c r="H239" s="160"/>
    </row>
    <row r="240" spans="1:20" s="35" customFormat="1" x14ac:dyDescent="0.35">
      <c r="A240" s="46" t="s">
        <v>154</v>
      </c>
      <c r="B240" s="158" t="s">
        <v>122</v>
      </c>
      <c r="C240" s="159"/>
      <c r="D240" s="159"/>
      <c r="E240" s="159"/>
      <c r="F240" s="159"/>
      <c r="G240" s="159"/>
      <c r="H240" s="160"/>
    </row>
    <row r="241" spans="1:20" s="35" customFormat="1" ht="34.5" customHeight="1" x14ac:dyDescent="0.35">
      <c r="A241" s="46" t="s">
        <v>154</v>
      </c>
      <c r="B241" s="158" t="s">
        <v>155</v>
      </c>
      <c r="C241" s="159"/>
      <c r="D241" s="159"/>
      <c r="E241" s="159"/>
      <c r="F241" s="159"/>
      <c r="G241" s="159"/>
      <c r="H241" s="160"/>
    </row>
    <row r="242" spans="1:20" s="35" customFormat="1" x14ac:dyDescent="0.35">
      <c r="A242" s="46" t="s">
        <v>154</v>
      </c>
      <c r="B242" s="158" t="s">
        <v>123</v>
      </c>
      <c r="C242" s="159"/>
      <c r="D242" s="159"/>
      <c r="E242" s="159"/>
      <c r="F242" s="159"/>
      <c r="G242" s="159"/>
      <c r="H242" s="160"/>
    </row>
    <row r="243" spans="1:20" s="35" customFormat="1" ht="32.25" hidden="1" customHeight="1" x14ac:dyDescent="0.35">
      <c r="A243" s="54" t="s">
        <v>154</v>
      </c>
      <c r="B243" s="150" t="s">
        <v>178</v>
      </c>
      <c r="C243" s="151"/>
      <c r="D243" s="151"/>
      <c r="E243" s="151"/>
      <c r="F243" s="151"/>
      <c r="G243" s="151"/>
      <c r="H243" s="152"/>
    </row>
    <row r="244" spans="1:20" s="35" customFormat="1" hidden="1" x14ac:dyDescent="0.35">
      <c r="A244" s="58" t="s">
        <v>154</v>
      </c>
      <c r="B244" s="150" t="s">
        <v>341</v>
      </c>
      <c r="C244" s="151"/>
      <c r="D244" s="151"/>
      <c r="E244" s="151"/>
      <c r="F244" s="151"/>
      <c r="G244" s="151"/>
      <c r="H244" s="152"/>
    </row>
    <row r="245" spans="1:20" x14ac:dyDescent="0.35">
      <c r="A245" s="125" t="s">
        <v>58</v>
      </c>
      <c r="B245" s="125"/>
      <c r="C245" s="125"/>
      <c r="D245" s="125"/>
      <c r="E245" s="125"/>
      <c r="F245" s="125"/>
      <c r="G245" s="125"/>
      <c r="H245" s="125"/>
      <c r="T245" s="35"/>
    </row>
    <row r="246" spans="1:20" x14ac:dyDescent="0.35">
      <c r="A246" s="102" t="s">
        <v>59</v>
      </c>
      <c r="B246" s="102"/>
      <c r="C246" s="102"/>
      <c r="D246" s="102"/>
      <c r="E246" s="102"/>
      <c r="F246" s="102"/>
      <c r="G246" s="102"/>
      <c r="H246" s="102"/>
      <c r="T246" s="35"/>
    </row>
    <row r="247" spans="1:20" ht="15.75" customHeight="1" x14ac:dyDescent="0.35">
      <c r="A247" s="138" t="s">
        <v>60</v>
      </c>
      <c r="B247" s="138"/>
      <c r="C247" s="138"/>
      <c r="D247" s="138"/>
      <c r="E247" s="138"/>
      <c r="F247" s="138"/>
      <c r="G247" s="138"/>
      <c r="H247" s="138"/>
      <c r="T247" s="35"/>
    </row>
    <row r="248" spans="1:20" x14ac:dyDescent="0.35">
      <c r="A248" s="102" t="s">
        <v>61</v>
      </c>
      <c r="B248" s="102"/>
      <c r="C248" s="102"/>
      <c r="D248" s="102"/>
      <c r="E248" s="102"/>
      <c r="F248" s="102"/>
      <c r="G248" s="102"/>
      <c r="H248" s="102"/>
      <c r="T248" s="35"/>
    </row>
    <row r="249" spans="1:20" x14ac:dyDescent="0.35">
      <c r="A249" s="102" t="s">
        <v>62</v>
      </c>
      <c r="B249" s="102"/>
      <c r="C249" s="102"/>
      <c r="D249" s="102"/>
      <c r="E249" s="102"/>
      <c r="F249" s="102"/>
      <c r="G249" s="102"/>
      <c r="H249" s="102"/>
      <c r="T249" s="35"/>
    </row>
    <row r="250" spans="1:20" x14ac:dyDescent="0.35">
      <c r="A250" s="102" t="s">
        <v>124</v>
      </c>
      <c r="B250" s="102"/>
      <c r="C250" s="102"/>
      <c r="D250" s="102"/>
      <c r="E250" s="102"/>
      <c r="F250" s="102"/>
      <c r="G250" s="102"/>
      <c r="H250" s="102"/>
      <c r="T250" s="35"/>
    </row>
    <row r="251" spans="1:20" ht="34" customHeight="1" x14ac:dyDescent="0.35">
      <c r="A251" s="111" t="s">
        <v>125</v>
      </c>
      <c r="B251" s="111"/>
      <c r="C251" s="111"/>
      <c r="D251" s="111"/>
      <c r="E251" s="111"/>
      <c r="F251" s="111"/>
      <c r="G251" s="111"/>
      <c r="H251" s="111"/>
    </row>
    <row r="252" spans="1:20" x14ac:dyDescent="0.35">
      <c r="A252" s="169" t="s">
        <v>74</v>
      </c>
      <c r="B252" s="169"/>
      <c r="C252" s="169" t="s">
        <v>340</v>
      </c>
      <c r="D252" s="169"/>
      <c r="E252" s="169" t="s">
        <v>104</v>
      </c>
      <c r="F252" s="169"/>
      <c r="G252" s="169" t="s">
        <v>359</v>
      </c>
      <c r="H252" s="169"/>
    </row>
    <row r="253" spans="1:20" x14ac:dyDescent="0.35">
      <c r="A253" s="168" t="s">
        <v>76</v>
      </c>
      <c r="B253" s="168"/>
      <c r="C253" s="168"/>
      <c r="D253" s="168"/>
      <c r="E253" s="168"/>
      <c r="F253" s="168"/>
      <c r="G253" s="168"/>
      <c r="H253" s="168"/>
    </row>
    <row r="254" spans="1:20" x14ac:dyDescent="0.35">
      <c r="A254" s="168"/>
      <c r="B254" s="168"/>
      <c r="C254" s="168"/>
      <c r="D254" s="168"/>
      <c r="E254" s="168"/>
      <c r="F254" s="168"/>
      <c r="G254" s="168"/>
      <c r="H254" s="168"/>
    </row>
    <row r="255" spans="1:20" x14ac:dyDescent="0.35">
      <c r="A255" s="168"/>
      <c r="B255" s="168"/>
      <c r="C255" s="168"/>
      <c r="D255" s="168"/>
      <c r="E255" s="168"/>
      <c r="F255" s="168"/>
      <c r="G255" s="168"/>
      <c r="H255" s="168"/>
    </row>
    <row r="256" spans="1:20" x14ac:dyDescent="0.35">
      <c r="A256" s="168"/>
      <c r="B256" s="168"/>
      <c r="C256" s="168"/>
      <c r="D256" s="168"/>
      <c r="E256" s="168"/>
      <c r="F256" s="168"/>
      <c r="G256" s="168"/>
      <c r="H256" s="168"/>
    </row>
    <row r="257" spans="1:8" x14ac:dyDescent="0.35">
      <c r="A257" s="38" t="s">
        <v>63</v>
      </c>
      <c r="B257" s="39"/>
      <c r="C257" s="39"/>
      <c r="D257" s="38" t="str">
        <f>E9</f>
        <v>Ruchita Bliss</v>
      </c>
      <c r="F257" s="39"/>
      <c r="G257" s="39"/>
      <c r="H257" s="39"/>
    </row>
    <row r="258" spans="1:8" x14ac:dyDescent="0.35">
      <c r="A258" s="39"/>
      <c r="B258" s="39"/>
      <c r="C258" s="39"/>
      <c r="D258" s="39"/>
      <c r="E258" s="39"/>
      <c r="F258" s="39"/>
      <c r="G258" s="39"/>
      <c r="H258" s="39"/>
    </row>
    <row r="259" spans="1:8" x14ac:dyDescent="0.35">
      <c r="A259" s="39"/>
      <c r="B259" s="39"/>
      <c r="C259" s="39"/>
      <c r="D259" s="39"/>
      <c r="E259" s="39"/>
      <c r="F259" s="39"/>
      <c r="G259" s="39"/>
      <c r="H259" s="39"/>
    </row>
    <row r="260" spans="1:8" ht="15" customHeight="1" x14ac:dyDescent="0.35"/>
    <row r="299" spans="1:1" x14ac:dyDescent="0.35">
      <c r="A299" s="41" t="s">
        <v>165</v>
      </c>
    </row>
    <row r="342" spans="1:1" x14ac:dyDescent="0.35">
      <c r="A342" s="41" t="s">
        <v>64</v>
      </c>
    </row>
  </sheetData>
  <mergeCells count="372">
    <mergeCell ref="L153:M153"/>
    <mergeCell ref="C155:H155"/>
    <mergeCell ref="C156:H156"/>
    <mergeCell ref="C157:H157"/>
    <mergeCell ref="C167:H167"/>
    <mergeCell ref="B244:H244"/>
    <mergeCell ref="A121:E121"/>
    <mergeCell ref="B241:H241"/>
    <mergeCell ref="A224:B224"/>
    <mergeCell ref="A213:B213"/>
    <mergeCell ref="A152:H152"/>
    <mergeCell ref="A153:H153"/>
    <mergeCell ref="A170:H170"/>
    <mergeCell ref="L209:M209"/>
    <mergeCell ref="A214:B214"/>
    <mergeCell ref="A211:B211"/>
    <mergeCell ref="A212:B212"/>
    <mergeCell ref="A222:B222"/>
    <mergeCell ref="L208:M208"/>
    <mergeCell ref="L205:M205"/>
    <mergeCell ref="A206:B206"/>
    <mergeCell ref="L206:M206"/>
    <mergeCell ref="E91:F100"/>
    <mergeCell ref="A98:B98"/>
    <mergeCell ref="A99:B99"/>
    <mergeCell ref="E105:F105"/>
    <mergeCell ref="E106:F115"/>
    <mergeCell ref="F116:H116"/>
    <mergeCell ref="F121:H121"/>
    <mergeCell ref="A122:E122"/>
    <mergeCell ref="A137:B137"/>
    <mergeCell ref="C137:D137"/>
    <mergeCell ref="A101:B101"/>
    <mergeCell ref="C101:D101"/>
    <mergeCell ref="E101:F101"/>
    <mergeCell ref="G101:H101"/>
    <mergeCell ref="A106:B106"/>
    <mergeCell ref="A138:B138"/>
    <mergeCell ref="E138:F138"/>
    <mergeCell ref="C104:H104"/>
    <mergeCell ref="A105:B105"/>
    <mergeCell ref="A126:E126"/>
    <mergeCell ref="G138:H138"/>
    <mergeCell ref="C132:D132"/>
    <mergeCell ref="E132:F132"/>
    <mergeCell ref="G132:H132"/>
    <mergeCell ref="A133:B133"/>
    <mergeCell ref="C133:D133"/>
    <mergeCell ref="E133:F133"/>
    <mergeCell ref="G133:H133"/>
    <mergeCell ref="A110:B110"/>
    <mergeCell ref="C49:H49"/>
    <mergeCell ref="B239:H239"/>
    <mergeCell ref="A107:B107"/>
    <mergeCell ref="A108:B108"/>
    <mergeCell ref="G91:H100"/>
    <mergeCell ref="A92:B92"/>
    <mergeCell ref="A93:B93"/>
    <mergeCell ref="A94:B94"/>
    <mergeCell ref="F118:H118"/>
    <mergeCell ref="A118:E118"/>
    <mergeCell ref="D142:D143"/>
    <mergeCell ref="A120:E120"/>
    <mergeCell ref="A111:B111"/>
    <mergeCell ref="A113:B113"/>
    <mergeCell ref="A114:B114"/>
    <mergeCell ref="A119:E119"/>
    <mergeCell ref="A116:E116"/>
    <mergeCell ref="F120:H120"/>
    <mergeCell ref="G105:H105"/>
    <mergeCell ref="A104:B104"/>
    <mergeCell ref="G142:G143"/>
    <mergeCell ref="A223:B223"/>
    <mergeCell ref="A79:B79"/>
    <mergeCell ref="A100:B100"/>
    <mergeCell ref="C40:H40"/>
    <mergeCell ref="F142:F143"/>
    <mergeCell ref="C131:D131"/>
    <mergeCell ref="E131:F131"/>
    <mergeCell ref="B142:B143"/>
    <mergeCell ref="A142:A143"/>
    <mergeCell ref="C150:C151"/>
    <mergeCell ref="G150:G151"/>
    <mergeCell ref="G139:H139"/>
    <mergeCell ref="D64:H64"/>
    <mergeCell ref="A64:C64"/>
    <mergeCell ref="A83:B83"/>
    <mergeCell ref="C89:H89"/>
    <mergeCell ref="A45:D45"/>
    <mergeCell ref="A75:B75"/>
    <mergeCell ref="A73:B73"/>
    <mergeCell ref="C73:H73"/>
    <mergeCell ref="A81:B81"/>
    <mergeCell ref="A68:C68"/>
    <mergeCell ref="D68:H68"/>
    <mergeCell ref="C75:H75"/>
    <mergeCell ref="A78:B78"/>
    <mergeCell ref="A80:B80"/>
    <mergeCell ref="A49:B49"/>
    <mergeCell ref="L207:M207"/>
    <mergeCell ref="C55:H55"/>
    <mergeCell ref="A208:B208"/>
    <mergeCell ref="A76:B76"/>
    <mergeCell ref="A39:B39"/>
    <mergeCell ref="C39:H39"/>
    <mergeCell ref="A46:D46"/>
    <mergeCell ref="L148:M148"/>
    <mergeCell ref="L147:M147"/>
    <mergeCell ref="L146:M146"/>
    <mergeCell ref="L145:M145"/>
    <mergeCell ref="A84:B84"/>
    <mergeCell ref="C136:D136"/>
    <mergeCell ref="E136:F136"/>
    <mergeCell ref="G136:H136"/>
    <mergeCell ref="A117:E117"/>
    <mergeCell ref="A102:B102"/>
    <mergeCell ref="C102:H102"/>
    <mergeCell ref="A144:H144"/>
    <mergeCell ref="E142:E143"/>
    <mergeCell ref="A91:B91"/>
    <mergeCell ref="A47:D47"/>
    <mergeCell ref="A48:H48"/>
    <mergeCell ref="A40:B40"/>
    <mergeCell ref="A38:H38"/>
    <mergeCell ref="A37:B37"/>
    <mergeCell ref="C37:E37"/>
    <mergeCell ref="G106:H115"/>
    <mergeCell ref="A42:D42"/>
    <mergeCell ref="E42:H42"/>
    <mergeCell ref="A41:H41"/>
    <mergeCell ref="A66:C66"/>
    <mergeCell ref="A67:C67"/>
    <mergeCell ref="D66:H66"/>
    <mergeCell ref="E77:F86"/>
    <mergeCell ref="G77:H86"/>
    <mergeCell ref="A85:B85"/>
    <mergeCell ref="A86:B86"/>
    <mergeCell ref="D67:H67"/>
    <mergeCell ref="A44:D44"/>
    <mergeCell ref="E44:H44"/>
    <mergeCell ref="E45:H45"/>
    <mergeCell ref="E46:H46"/>
    <mergeCell ref="A90:B90"/>
    <mergeCell ref="E47:H47"/>
    <mergeCell ref="C57:H57"/>
    <mergeCell ref="C59:H59"/>
    <mergeCell ref="A89:B89"/>
    <mergeCell ref="F37:H37"/>
    <mergeCell ref="E27:H27"/>
    <mergeCell ref="A29:D29"/>
    <mergeCell ref="E29:H29"/>
    <mergeCell ref="A26:D26"/>
    <mergeCell ref="E26:H26"/>
    <mergeCell ref="A30:D30"/>
    <mergeCell ref="E30:H30"/>
    <mergeCell ref="A27:D27"/>
    <mergeCell ref="A36:B36"/>
    <mergeCell ref="C36:E36"/>
    <mergeCell ref="A31:D31"/>
    <mergeCell ref="E31:H31"/>
    <mergeCell ref="A32:D32"/>
    <mergeCell ref="E32:H32"/>
    <mergeCell ref="A28:D28"/>
    <mergeCell ref="E28:H28"/>
    <mergeCell ref="C33:E33"/>
    <mergeCell ref="F36:H36"/>
    <mergeCell ref="F33:H33"/>
    <mergeCell ref="A34:B34"/>
    <mergeCell ref="A33:B33"/>
    <mergeCell ref="C34:E34"/>
    <mergeCell ref="A35:B35"/>
    <mergeCell ref="C35:E35"/>
    <mergeCell ref="A25:D25"/>
    <mergeCell ref="E25:H25"/>
    <mergeCell ref="A19:B19"/>
    <mergeCell ref="C19:D19"/>
    <mergeCell ref="E19:F19"/>
    <mergeCell ref="G19:H19"/>
    <mergeCell ref="A20:B20"/>
    <mergeCell ref="C20:D20"/>
    <mergeCell ref="E20:F20"/>
    <mergeCell ref="G20:H20"/>
    <mergeCell ref="A21:B21"/>
    <mergeCell ref="C21:D21"/>
    <mergeCell ref="E21:F21"/>
    <mergeCell ref="G21:H21"/>
    <mergeCell ref="A22:B22"/>
    <mergeCell ref="C22:D22"/>
    <mergeCell ref="E22:F22"/>
    <mergeCell ref="G22:H22"/>
    <mergeCell ref="F34:H34"/>
    <mergeCell ref="F35:H35"/>
    <mergeCell ref="E14:H14"/>
    <mergeCell ref="A15:D15"/>
    <mergeCell ref="A11:D11"/>
    <mergeCell ref="E11:H11"/>
    <mergeCell ref="A23:D24"/>
    <mergeCell ref="E23:H24"/>
    <mergeCell ref="E15:H15"/>
    <mergeCell ref="A16:B16"/>
    <mergeCell ref="C16:H16"/>
    <mergeCell ref="C17:H17"/>
    <mergeCell ref="A18:B18"/>
    <mergeCell ref="C18:H18"/>
    <mergeCell ref="A13:D13"/>
    <mergeCell ref="E13:H13"/>
    <mergeCell ref="A12:D12"/>
    <mergeCell ref="E12:H12"/>
    <mergeCell ref="A17:B17"/>
    <mergeCell ref="A14:D14"/>
    <mergeCell ref="A1:H1"/>
    <mergeCell ref="A2:H2"/>
    <mergeCell ref="A3:D3"/>
    <mergeCell ref="E3:H3"/>
    <mergeCell ref="A5:D5"/>
    <mergeCell ref="A9:D9"/>
    <mergeCell ref="E9:H9"/>
    <mergeCell ref="A10:D10"/>
    <mergeCell ref="E10:H10"/>
    <mergeCell ref="E5:H5"/>
    <mergeCell ref="A6:D6"/>
    <mergeCell ref="E6:H6"/>
    <mergeCell ref="A7:D7"/>
    <mergeCell ref="E7:H7"/>
    <mergeCell ref="A8:D8"/>
    <mergeCell ref="E8:H8"/>
    <mergeCell ref="A4:D4"/>
    <mergeCell ref="E4:H4"/>
    <mergeCell ref="E76:F76"/>
    <mergeCell ref="A69:C69"/>
    <mergeCell ref="D69:H69"/>
    <mergeCell ref="A72:C72"/>
    <mergeCell ref="D72:H72"/>
    <mergeCell ref="A70:C70"/>
    <mergeCell ref="D71:H71"/>
    <mergeCell ref="A77:B77"/>
    <mergeCell ref="G76:H76"/>
    <mergeCell ref="A253:H256"/>
    <mergeCell ref="A252:B252"/>
    <mergeCell ref="E252:F252"/>
    <mergeCell ref="C252:D252"/>
    <mergeCell ref="G252:H252"/>
    <mergeCell ref="A129:H129"/>
    <mergeCell ref="A127:E127"/>
    <mergeCell ref="F127:H127"/>
    <mergeCell ref="A128:E128"/>
    <mergeCell ref="F128:H128"/>
    <mergeCell ref="A209:H209"/>
    <mergeCell ref="A136:B136"/>
    <mergeCell ref="A218:B218"/>
    <mergeCell ref="A131:B131"/>
    <mergeCell ref="A248:H248"/>
    <mergeCell ref="A134:H134"/>
    <mergeCell ref="A251:H251"/>
    <mergeCell ref="A249:H249"/>
    <mergeCell ref="A245:H245"/>
    <mergeCell ref="G135:H135"/>
    <mergeCell ref="A220:B220"/>
    <mergeCell ref="C142:C143"/>
    <mergeCell ref="B150:B151"/>
    <mergeCell ref="A246:H246"/>
    <mergeCell ref="B238:H238"/>
    <mergeCell ref="A233:H233"/>
    <mergeCell ref="A149:H149"/>
    <mergeCell ref="E135:F135"/>
    <mergeCell ref="A140:H140"/>
    <mergeCell ref="E137:F137"/>
    <mergeCell ref="G137:H137"/>
    <mergeCell ref="A225:B225"/>
    <mergeCell ref="A226:B226"/>
    <mergeCell ref="A221:H221"/>
    <mergeCell ref="A215:H215"/>
    <mergeCell ref="A205:B205"/>
    <mergeCell ref="A148:B148"/>
    <mergeCell ref="A147:B147"/>
    <mergeCell ref="A207:B207"/>
    <mergeCell ref="A219:B219"/>
    <mergeCell ref="A187:H187"/>
    <mergeCell ref="A216:B216"/>
    <mergeCell ref="A145:B145"/>
    <mergeCell ref="B243:H243"/>
    <mergeCell ref="A139:B139"/>
    <mergeCell ref="C199:H199"/>
    <mergeCell ref="F122:H122"/>
    <mergeCell ref="A124:E124"/>
    <mergeCell ref="A123:E123"/>
    <mergeCell ref="A150:A151"/>
    <mergeCell ref="F150:F151"/>
    <mergeCell ref="B242:H242"/>
    <mergeCell ref="B240:H240"/>
    <mergeCell ref="B236:H236"/>
    <mergeCell ref="A230:B230"/>
    <mergeCell ref="A227:H227"/>
    <mergeCell ref="A228:B228"/>
    <mergeCell ref="A229:B229"/>
    <mergeCell ref="A232:B232"/>
    <mergeCell ref="A231:B231"/>
    <mergeCell ref="B234:H234"/>
    <mergeCell ref="B235:H235"/>
    <mergeCell ref="B237:H237"/>
    <mergeCell ref="C58:E58"/>
    <mergeCell ref="G58:H58"/>
    <mergeCell ref="G51:H51"/>
    <mergeCell ref="A52:B53"/>
    <mergeCell ref="C52:E52"/>
    <mergeCell ref="C51:E51"/>
    <mergeCell ref="C53:H53"/>
    <mergeCell ref="A250:H250"/>
    <mergeCell ref="A247:H247"/>
    <mergeCell ref="A210:B210"/>
    <mergeCell ref="A135:B135"/>
    <mergeCell ref="D150:D151"/>
    <mergeCell ref="E150:E151"/>
    <mergeCell ref="A95:B95"/>
    <mergeCell ref="A96:B96"/>
    <mergeCell ref="A97:B97"/>
    <mergeCell ref="A112:B112"/>
    <mergeCell ref="F117:H117"/>
    <mergeCell ref="G131:H131"/>
    <mergeCell ref="A115:B115"/>
    <mergeCell ref="F123:H123"/>
    <mergeCell ref="C130:D130"/>
    <mergeCell ref="C138:D138"/>
    <mergeCell ref="A204:H204"/>
    <mergeCell ref="A217:B217"/>
    <mergeCell ref="A141:H141"/>
    <mergeCell ref="G130:H130"/>
    <mergeCell ref="A125:E125"/>
    <mergeCell ref="A146:B146"/>
    <mergeCell ref="A60:B60"/>
    <mergeCell ref="C60:E60"/>
    <mergeCell ref="D62:H62"/>
    <mergeCell ref="F125:H125"/>
    <mergeCell ref="E130:F130"/>
    <mergeCell ref="A130:B130"/>
    <mergeCell ref="A132:B132"/>
    <mergeCell ref="C135:D135"/>
    <mergeCell ref="D70:H70"/>
    <mergeCell ref="A71:C71"/>
    <mergeCell ref="A87:B87"/>
    <mergeCell ref="C87:H87"/>
    <mergeCell ref="A82:B82"/>
    <mergeCell ref="A61:H61"/>
    <mergeCell ref="A62:C62"/>
    <mergeCell ref="A63:C63"/>
    <mergeCell ref="D63:H63"/>
    <mergeCell ref="G60:H60"/>
    <mergeCell ref="F119:H119"/>
    <mergeCell ref="A65:C65"/>
    <mergeCell ref="D65:H65"/>
    <mergeCell ref="C139:D139"/>
    <mergeCell ref="E139:F139"/>
    <mergeCell ref="E90:F90"/>
    <mergeCell ref="G90:H90"/>
    <mergeCell ref="A109:B109"/>
    <mergeCell ref="I15:P15"/>
    <mergeCell ref="F126:H126"/>
    <mergeCell ref="F124:H124"/>
    <mergeCell ref="E43:H43"/>
    <mergeCell ref="A43:D43"/>
    <mergeCell ref="A50:B50"/>
    <mergeCell ref="C50:E50"/>
    <mergeCell ref="G50:H50"/>
    <mergeCell ref="G52:H52"/>
    <mergeCell ref="A51:B51"/>
    <mergeCell ref="A54:B55"/>
    <mergeCell ref="C54:E54"/>
    <mergeCell ref="G54:H54"/>
    <mergeCell ref="A56:B57"/>
    <mergeCell ref="C56:E56"/>
    <mergeCell ref="G56:H56"/>
    <mergeCell ref="A58:B59"/>
  </mergeCells>
  <dataValidations count="18">
    <dataValidation type="list" allowBlank="1" showInputMessage="1" showErrorMessage="1" sqref="E5:H5">
      <formula1>OFFSET($L$3,1,MATCH($E4,$L$3:$P$3,0)-1,10,1)</formula1>
    </dataValidation>
    <dataValidation type="list" allowBlank="1" showInputMessage="1" showErrorMessage="1" sqref="A17:B17">
      <formula1>"CTS No,Survey No,Plot No,Gut No,FP No,"</formula1>
    </dataValidation>
    <dataValidation type="list" allowBlank="1" showInputMessage="1" showErrorMessage="1" sqref="G20:H20">
      <formula1>$S$13:$W$13</formula1>
    </dataValidation>
    <dataValidation type="list" allowBlank="1" showInputMessage="1" showErrorMessage="1" sqref="E142:E143">
      <formula1>"Attached Loft area,Attached Otla area,Attached Mezzanine area"</formula1>
    </dataValidation>
    <dataValidation type="list" allowBlank="1" showInputMessage="1" showErrorMessage="1" sqref="G252:H252">
      <formula1>"Kunal Kadam,Pranita Mhatre,Shruti Fule,Pooja Kawale,Neha Dhokale,Shruti Tathare, Hitakshi Mhatre, Sachin Sawant"</formula1>
    </dataValidation>
    <dataValidation type="list" allowBlank="1" showInputMessage="1" showErrorMessage="1" sqref="F116:H116">
      <formula1>"On Saleable Area,On Builtup Area,On Carpet Area,On Plot Area"</formula1>
    </dataValidation>
    <dataValidation type="list" allowBlank="1" showInputMessage="1" showErrorMessage="1" sqref="F127:H127">
      <formula1>OFFSET($S$116,1,MATCH($G20,$S$116:$W$116,0)-1,15,1)</formula1>
    </dataValidation>
    <dataValidation type="list" allowBlank="1" showInputMessage="1" showErrorMessage="1" sqref="B142:B143">
      <formula1>"Shop No. (Sale Plan),Sale / Rehab,Sale / Mhada"</formula1>
    </dataValidation>
    <dataValidation type="list" allowBlank="1" showInputMessage="1" showErrorMessage="1" sqref="B150:B151">
      <formula1>"Flat No. (Sale Plan),Sale / Rehab,Sale / Mhada"</formula1>
    </dataValidation>
    <dataValidation type="list" allowBlank="1" showInputMessage="1" showErrorMessage="1" sqref="C21:D21">
      <formula1>OFFSET($S$13,1,MATCH($G20,$S$13:$W$13,0)-1,15,1)</formula1>
    </dataValidation>
    <dataValidation type="list" allowBlank="1" showInputMessage="1" showErrorMessage="1" sqref="Y13">
      <formula1>$D$5:$H$5</formula1>
    </dataValidation>
    <dataValidation type="list" allowBlank="1" showInputMessage="1" showErrorMessage="1" sqref="E150:E151">
      <formula1>"Fungible area,Balcony Area,Chajja Area,Cornice Area,AP Area,WS Area"</formula1>
    </dataValidation>
    <dataValidation type="list" allowBlank="1" showInputMessage="1" showErrorMessage="1" sqref="H143 H151">
      <formula1>".45,.50,.55,.60"</formula1>
    </dataValidation>
    <dataValidation type="list" allowBlank="1" showInputMessage="1" showErrorMessage="1" sqref="E4:H4">
      <formula1>$L$3:$P$3</formula1>
    </dataValidation>
    <dataValidation type="list" allowBlank="1" showInputMessage="1" showErrorMessage="1" sqref="C49:H49">
      <formula1>OFFSET($S$49,1,MATCH($G20,$S$49:$W$49,0)-1,15,1)</formula1>
    </dataValidation>
    <dataValidation type="whole" allowBlank="1" showInputMessage="1" showErrorMessage="1" sqref="C82">
      <formula1>0</formula1>
      <formula2>H74</formula2>
    </dataValidation>
    <dataValidation type="list" allowBlank="1" showInputMessage="1" showErrorMessage="1" sqref="H142 H150">
      <formula1>"Saleable area Loading :,Builder Saleable Area"</formula1>
    </dataValidation>
    <dataValidation type="list" allowBlank="1" showInputMessage="1" showErrorMessage="1" sqref="D142:D143 D150:D151">
      <formula1>"Carpet area,RERA Carpet area"</formula1>
    </dataValidation>
  </dataValidations>
  <hyperlinks>
    <hyperlink ref="C40" r:id="rId1"/>
  </hyperlinks>
  <printOptions horizontalCentered="1"/>
  <pageMargins left="0.39370078740157483" right="0.39370078740157483" top="0.82677165354330717" bottom="0.78740157480314965" header="0.15748031496062992" footer="0.19685039370078741"/>
  <pageSetup paperSize="2" fitToHeight="0" orientation="portrait" r:id="rId2"/>
  <headerFooter>
    <oddHeader>&amp;C&amp;G</oddHeader>
    <oddFooter>&amp;L&amp;"Times New Roman,Bold"&amp;12Ref No: &amp;F&amp;C&amp;G&amp;R&amp;"Times New Roman,Bold"&amp;12&amp;P</oddFooter>
  </headerFooter>
  <rowBreaks count="3" manualBreakCount="3">
    <brk id="256" max="16383" man="1"/>
    <brk id="298" max="16383" man="1"/>
    <brk id="341" max="16383" man="1"/>
  </rowBreaks>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16"/>
  <sheetViews>
    <sheetView zoomScale="85" zoomScaleNormal="85" workbookViewId="0">
      <selection activeCell="K3" sqref="K3"/>
    </sheetView>
  </sheetViews>
  <sheetFormatPr defaultColWidth="8.7265625" defaultRowHeight="14.5" x14ac:dyDescent="0.35"/>
  <cols>
    <col min="1" max="1" width="8.7265625" style="1"/>
    <col min="2" max="2" width="22.1796875" style="1" customWidth="1"/>
    <col min="3" max="3" width="37" style="1" customWidth="1"/>
    <col min="4" max="5" width="11.453125" style="1" customWidth="1"/>
    <col min="6" max="6" width="14" style="1" customWidth="1"/>
    <col min="7" max="7" width="20" style="1" customWidth="1"/>
    <col min="8" max="8" width="16.453125" style="1" customWidth="1"/>
    <col min="9" max="16384" width="8.7265625" style="1"/>
  </cols>
  <sheetData>
    <row r="1" spans="1:9" ht="15" customHeight="1" x14ac:dyDescent="0.35"/>
    <row r="2" spans="1:9" ht="15" customHeight="1" x14ac:dyDescent="0.35">
      <c r="A2" s="2"/>
      <c r="B2" s="2"/>
      <c r="C2" s="2"/>
      <c r="D2" s="2"/>
      <c r="E2" s="2"/>
      <c r="F2" s="2"/>
      <c r="G2" s="2"/>
      <c r="H2" s="2"/>
    </row>
    <row r="3" spans="1:9" ht="15.75" customHeight="1" x14ac:dyDescent="0.35">
      <c r="A3" s="2"/>
      <c r="B3" s="235" t="s">
        <v>105</v>
      </c>
      <c r="C3" s="235"/>
      <c r="D3" s="235"/>
      <c r="E3" s="235"/>
      <c r="F3" s="235"/>
      <c r="G3" s="235"/>
      <c r="H3" s="235"/>
    </row>
    <row r="4" spans="1:9" x14ac:dyDescent="0.35">
      <c r="A4" s="2"/>
      <c r="B4" s="3" t="s">
        <v>106</v>
      </c>
      <c r="C4" s="3" t="s">
        <v>107</v>
      </c>
      <c r="D4" s="3" t="s">
        <v>66</v>
      </c>
      <c r="E4" s="3" t="s">
        <v>108</v>
      </c>
      <c r="F4" s="3" t="s">
        <v>114</v>
      </c>
      <c r="G4" s="3" t="s">
        <v>115</v>
      </c>
      <c r="H4" s="3" t="s">
        <v>109</v>
      </c>
    </row>
    <row r="5" spans="1:9" ht="15" customHeight="1" x14ac:dyDescent="0.35">
      <c r="A5" s="2"/>
      <c r="B5" s="5" t="s">
        <v>110</v>
      </c>
      <c r="C5" s="6"/>
      <c r="D5" s="5"/>
      <c r="E5" s="5"/>
      <c r="F5" s="7">
        <f>E5*1.6</f>
        <v>0</v>
      </c>
      <c r="G5" s="7" t="e">
        <f>H5/F5</f>
        <v>#DIV/0!</v>
      </c>
      <c r="H5" s="8"/>
    </row>
    <row r="6" spans="1:9" x14ac:dyDescent="0.35">
      <c r="A6" s="2"/>
      <c r="B6" s="5" t="s">
        <v>110</v>
      </c>
      <c r="C6" s="9"/>
      <c r="D6" s="5"/>
      <c r="E6" s="5"/>
      <c r="F6" s="7">
        <f t="shared" ref="F6:F11" si="0">E6*1.6</f>
        <v>0</v>
      </c>
      <c r="G6" s="7" t="e">
        <f t="shared" ref="G6:G11" si="1">H6/F6</f>
        <v>#DIV/0!</v>
      </c>
      <c r="H6" s="8"/>
    </row>
    <row r="7" spans="1:9" ht="15" customHeight="1" x14ac:dyDescent="0.35">
      <c r="A7" s="2"/>
      <c r="B7" s="5" t="s">
        <v>110</v>
      </c>
      <c r="C7" s="6"/>
      <c r="D7" s="5"/>
      <c r="E7" s="5"/>
      <c r="F7" s="7">
        <f t="shared" si="0"/>
        <v>0</v>
      </c>
      <c r="G7" s="7" t="e">
        <f t="shared" si="1"/>
        <v>#DIV/0!</v>
      </c>
      <c r="H7" s="8"/>
    </row>
    <row r="8" spans="1:9" x14ac:dyDescent="0.35">
      <c r="A8" s="2"/>
      <c r="B8" s="5" t="s">
        <v>110</v>
      </c>
      <c r="C8" s="9"/>
      <c r="D8" s="5"/>
      <c r="E8" s="5"/>
      <c r="F8" s="7">
        <f t="shared" si="0"/>
        <v>0</v>
      </c>
      <c r="G8" s="7" t="e">
        <f t="shared" si="1"/>
        <v>#DIV/0!</v>
      </c>
      <c r="H8" s="8"/>
    </row>
    <row r="9" spans="1:9" ht="15" customHeight="1" x14ac:dyDescent="0.35">
      <c r="A9" s="2"/>
      <c r="B9" s="5" t="s">
        <v>110</v>
      </c>
      <c r="C9" s="9"/>
      <c r="D9" s="5"/>
      <c r="E9" s="5"/>
      <c r="F9" s="7">
        <f t="shared" si="0"/>
        <v>0</v>
      </c>
      <c r="G9" s="7" t="e">
        <f t="shared" si="1"/>
        <v>#DIV/0!</v>
      </c>
      <c r="H9" s="8"/>
    </row>
    <row r="10" spans="1:9" ht="15" customHeight="1" x14ac:dyDescent="0.35">
      <c r="A10" s="2"/>
      <c r="B10" s="5" t="s">
        <v>111</v>
      </c>
      <c r="C10" s="6"/>
      <c r="D10" s="5"/>
      <c r="E10" s="5"/>
      <c r="F10" s="7">
        <f t="shared" si="0"/>
        <v>0</v>
      </c>
      <c r="G10" s="7" t="e">
        <f t="shared" si="1"/>
        <v>#DIV/0!</v>
      </c>
      <c r="H10" s="8"/>
    </row>
    <row r="11" spans="1:9" ht="15" customHeight="1" x14ac:dyDescent="0.35">
      <c r="A11" s="2"/>
      <c r="B11" s="5" t="s">
        <v>111</v>
      </c>
      <c r="C11" s="6"/>
      <c r="D11" s="5"/>
      <c r="E11" s="5"/>
      <c r="F11" s="7">
        <f t="shared" si="0"/>
        <v>0</v>
      </c>
      <c r="G11" s="7" t="e">
        <f t="shared" si="1"/>
        <v>#DIV/0!</v>
      </c>
      <c r="H11" s="8"/>
    </row>
    <row r="12" spans="1:9" ht="15" customHeight="1" x14ac:dyDescent="0.35">
      <c r="A12" s="2"/>
      <c r="B12" s="10" t="s">
        <v>112</v>
      </c>
      <c r="C12" s="5"/>
      <c r="D12" s="5"/>
      <c r="E12" s="5"/>
      <c r="F12" s="5"/>
      <c r="G12" s="11" t="e">
        <f>AVERAGE(G5:G11)</f>
        <v>#DIV/0!</v>
      </c>
      <c r="H12" s="5"/>
    </row>
    <row r="13" spans="1:9" ht="15" customHeight="1" x14ac:dyDescent="0.35">
      <c r="B13" s="10" t="s">
        <v>113</v>
      </c>
      <c r="C13" s="5"/>
      <c r="D13" s="5"/>
      <c r="E13" s="5"/>
      <c r="F13" s="12"/>
      <c r="G13" s="10"/>
      <c r="H13" s="10"/>
      <c r="I13" s="4"/>
    </row>
    <row r="14" spans="1:9" ht="15" customHeight="1" x14ac:dyDescent="0.35"/>
    <row r="15" spans="1:9" ht="15" customHeight="1" x14ac:dyDescent="0.35"/>
    <row r="16" spans="1:9" ht="15" customHeight="1" x14ac:dyDescent="0.35"/>
  </sheetData>
  <mergeCells count="1">
    <mergeCell ref="B3:H3"/>
  </mergeCell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3:K69"/>
  <sheetViews>
    <sheetView topLeftCell="A55" zoomScale="130" zoomScaleNormal="130" workbookViewId="0">
      <selection activeCell="C43" sqref="C43:D69"/>
    </sheetView>
  </sheetViews>
  <sheetFormatPr defaultRowHeight="14.5" x14ac:dyDescent="0.35"/>
  <cols>
    <col min="4" max="4" width="13.81640625" bestFit="1" customWidth="1"/>
    <col min="5" max="5" width="10.453125" bestFit="1" customWidth="1"/>
    <col min="6" max="6" width="12.453125" bestFit="1" customWidth="1"/>
    <col min="7" max="7" width="18.1796875" customWidth="1"/>
    <col min="8" max="8" width="10.54296875" bestFit="1" customWidth="1"/>
  </cols>
  <sheetData>
    <row r="3" spans="2:11" x14ac:dyDescent="0.35">
      <c r="J3">
        <v>1</v>
      </c>
      <c r="K3">
        <v>2</v>
      </c>
    </row>
    <row r="4" spans="2:11" x14ac:dyDescent="0.35">
      <c r="B4" s="55"/>
      <c r="C4" s="55" t="s">
        <v>11</v>
      </c>
      <c r="D4" s="56" t="s">
        <v>179</v>
      </c>
      <c r="E4" s="56" t="s">
        <v>189</v>
      </c>
      <c r="F4" s="56" t="s">
        <v>174</v>
      </c>
      <c r="G4" s="56" t="s">
        <v>194</v>
      </c>
      <c r="H4" s="56" t="s">
        <v>212</v>
      </c>
      <c r="J4" t="s">
        <v>194</v>
      </c>
      <c r="K4" t="s">
        <v>210</v>
      </c>
    </row>
    <row r="5" spans="2:11" x14ac:dyDescent="0.35">
      <c r="B5" s="55"/>
      <c r="C5" s="55"/>
      <c r="D5" s="56" t="s">
        <v>180</v>
      </c>
      <c r="E5" s="56" t="s">
        <v>187</v>
      </c>
      <c r="F5" s="56" t="s">
        <v>209</v>
      </c>
      <c r="G5" s="56" t="s">
        <v>195</v>
      </c>
      <c r="H5" s="56" t="s">
        <v>213</v>
      </c>
    </row>
    <row r="6" spans="2:11" x14ac:dyDescent="0.35">
      <c r="B6" s="55"/>
      <c r="C6" s="55"/>
      <c r="D6" s="56" t="s">
        <v>181</v>
      </c>
      <c r="E6" s="56" t="s">
        <v>188</v>
      </c>
      <c r="F6" s="56" t="s">
        <v>210</v>
      </c>
      <c r="G6" s="56" t="s">
        <v>196</v>
      </c>
      <c r="H6" s="56" t="s">
        <v>226</v>
      </c>
    </row>
    <row r="7" spans="2:11" x14ac:dyDescent="0.35">
      <c r="B7" s="55"/>
      <c r="C7" s="55"/>
      <c r="D7" s="56" t="s">
        <v>182</v>
      </c>
      <c r="E7" s="56" t="s">
        <v>190</v>
      </c>
      <c r="F7" s="56" t="s">
        <v>211</v>
      </c>
      <c r="G7" s="56" t="s">
        <v>197</v>
      </c>
      <c r="H7" s="56" t="s">
        <v>214</v>
      </c>
    </row>
    <row r="8" spans="2:11" x14ac:dyDescent="0.35">
      <c r="B8" s="55"/>
      <c r="C8" s="55"/>
      <c r="D8" s="56" t="s">
        <v>183</v>
      </c>
      <c r="E8" s="56" t="s">
        <v>191</v>
      </c>
      <c r="F8" s="56"/>
      <c r="G8" s="56" t="s">
        <v>198</v>
      </c>
      <c r="H8" s="56" t="s">
        <v>215</v>
      </c>
    </row>
    <row r="9" spans="2:11" x14ac:dyDescent="0.35">
      <c r="B9" s="55"/>
      <c r="C9" s="55"/>
      <c r="D9" s="56" t="s">
        <v>184</v>
      </c>
      <c r="E9" s="56" t="s">
        <v>189</v>
      </c>
      <c r="F9" s="56"/>
      <c r="G9" s="56" t="s">
        <v>199</v>
      </c>
      <c r="H9" s="56" t="s">
        <v>216</v>
      </c>
    </row>
    <row r="10" spans="2:11" x14ac:dyDescent="0.35">
      <c r="B10" s="55"/>
      <c r="C10" s="55"/>
      <c r="D10" s="56" t="s">
        <v>185</v>
      </c>
      <c r="E10" s="56" t="s">
        <v>192</v>
      </c>
      <c r="F10" s="56"/>
      <c r="G10" s="56" t="s">
        <v>200</v>
      </c>
      <c r="H10" s="56" t="s">
        <v>217</v>
      </c>
    </row>
    <row r="11" spans="2:11" x14ac:dyDescent="0.35">
      <c r="B11" s="55"/>
      <c r="C11" s="55"/>
      <c r="D11" s="56" t="s">
        <v>186</v>
      </c>
      <c r="E11" s="56" t="s">
        <v>193</v>
      </c>
      <c r="F11" s="56"/>
      <c r="G11" s="56" t="s">
        <v>201</v>
      </c>
      <c r="H11" s="56" t="s">
        <v>218</v>
      </c>
    </row>
    <row r="12" spans="2:11" x14ac:dyDescent="0.35">
      <c r="B12" s="55"/>
      <c r="C12" s="55"/>
      <c r="D12" s="56"/>
      <c r="E12" s="56"/>
      <c r="F12" s="56"/>
      <c r="G12" s="56" t="s">
        <v>202</v>
      </c>
      <c r="H12" s="56" t="s">
        <v>219</v>
      </c>
    </row>
    <row r="13" spans="2:11" x14ac:dyDescent="0.35">
      <c r="B13" s="55"/>
      <c r="C13" s="55"/>
      <c r="D13" s="56"/>
      <c r="E13" s="56"/>
      <c r="F13" s="56"/>
      <c r="G13" s="56" t="s">
        <v>203</v>
      </c>
      <c r="H13" s="56" t="s">
        <v>220</v>
      </c>
    </row>
    <row r="14" spans="2:11" x14ac:dyDescent="0.35">
      <c r="B14" s="55"/>
      <c r="C14" s="55"/>
      <c r="D14" s="56"/>
      <c r="E14" s="56"/>
      <c r="F14" s="56"/>
      <c r="G14" s="56" t="s">
        <v>204</v>
      </c>
      <c r="H14" s="56" t="s">
        <v>221</v>
      </c>
    </row>
    <row r="15" spans="2:11" x14ac:dyDescent="0.35">
      <c r="B15" s="55"/>
      <c r="C15" s="55"/>
      <c r="D15" s="56"/>
      <c r="E15" s="56"/>
      <c r="F15" s="56"/>
      <c r="G15" s="56" t="s">
        <v>205</v>
      </c>
      <c r="H15" s="56" t="s">
        <v>222</v>
      </c>
    </row>
    <row r="16" spans="2:11" x14ac:dyDescent="0.35">
      <c r="B16" s="55"/>
      <c r="C16" s="55"/>
      <c r="D16" s="56"/>
      <c r="E16" s="56"/>
      <c r="F16" s="56"/>
      <c r="G16" s="56" t="s">
        <v>206</v>
      </c>
      <c r="H16" s="56" t="s">
        <v>223</v>
      </c>
    </row>
    <row r="17" spans="2:8" x14ac:dyDescent="0.35">
      <c r="B17" s="55"/>
      <c r="C17" s="55"/>
      <c r="D17" s="56"/>
      <c r="E17" s="56"/>
      <c r="F17" s="56"/>
      <c r="G17" s="56" t="s">
        <v>207</v>
      </c>
      <c r="H17" s="56" t="s">
        <v>224</v>
      </c>
    </row>
    <row r="18" spans="2:8" x14ac:dyDescent="0.35">
      <c r="B18" s="55"/>
      <c r="C18" s="55"/>
      <c r="D18" s="56"/>
      <c r="E18" s="56"/>
      <c r="F18" s="56"/>
      <c r="G18" s="56" t="s">
        <v>208</v>
      </c>
      <c r="H18" s="56" t="s">
        <v>225</v>
      </c>
    </row>
    <row r="24" spans="2:8" x14ac:dyDescent="0.35">
      <c r="C24" t="s">
        <v>171</v>
      </c>
    </row>
    <row r="25" spans="2:8" x14ac:dyDescent="0.35">
      <c r="C25" t="s">
        <v>227</v>
      </c>
    </row>
    <row r="26" spans="2:8" x14ac:dyDescent="0.35">
      <c r="C26" t="s">
        <v>228</v>
      </c>
    </row>
    <row r="27" spans="2:8" x14ac:dyDescent="0.35">
      <c r="C27" t="s">
        <v>229</v>
      </c>
    </row>
    <row r="28" spans="2:8" x14ac:dyDescent="0.35">
      <c r="C28" t="s">
        <v>230</v>
      </c>
    </row>
    <row r="29" spans="2:8" x14ac:dyDescent="0.35">
      <c r="C29" t="s">
        <v>231</v>
      </c>
    </row>
    <row r="30" spans="2:8" x14ac:dyDescent="0.35">
      <c r="C30" t="s">
        <v>171</v>
      </c>
    </row>
    <row r="33" spans="3:11" x14ac:dyDescent="0.35">
      <c r="J33">
        <v>1</v>
      </c>
      <c r="K33">
        <v>2</v>
      </c>
    </row>
    <row r="34" spans="3:11" x14ac:dyDescent="0.35">
      <c r="C34" s="59" t="s">
        <v>236</v>
      </c>
      <c r="D34" s="56" t="s">
        <v>234</v>
      </c>
      <c r="E34" s="56" t="s">
        <v>239</v>
      </c>
      <c r="F34" s="56" t="s">
        <v>237</v>
      </c>
      <c r="G34" s="56" t="s">
        <v>238</v>
      </c>
      <c r="H34" s="56" t="s">
        <v>240</v>
      </c>
      <c r="J34" t="s">
        <v>194</v>
      </c>
      <c r="K34" t="s">
        <v>210</v>
      </c>
    </row>
    <row r="35" spans="3:11" x14ac:dyDescent="0.35">
      <c r="C35" s="55" t="s">
        <v>235</v>
      </c>
      <c r="D35" s="56" t="s">
        <v>172</v>
      </c>
      <c r="E35" s="56" t="s">
        <v>244</v>
      </c>
      <c r="F35" s="56" t="s">
        <v>246</v>
      </c>
      <c r="G35" s="56" t="s">
        <v>248</v>
      </c>
      <c r="H35" s="56"/>
    </row>
    <row r="36" spans="3:11" x14ac:dyDescent="0.35">
      <c r="C36" s="55"/>
      <c r="D36" s="56" t="s">
        <v>241</v>
      </c>
      <c r="E36" s="56" t="s">
        <v>245</v>
      </c>
      <c r="F36" s="56" t="s">
        <v>247</v>
      </c>
      <c r="G36" s="56" t="s">
        <v>249</v>
      </c>
      <c r="H36" s="56"/>
    </row>
    <row r="37" spans="3:11" x14ac:dyDescent="0.35">
      <c r="C37" s="55"/>
      <c r="D37" s="56" t="s">
        <v>242</v>
      </c>
      <c r="E37" s="56"/>
      <c r="F37" s="56"/>
      <c r="G37" s="56" t="s">
        <v>250</v>
      </c>
      <c r="H37" s="56"/>
    </row>
    <row r="38" spans="3:11" x14ac:dyDescent="0.35">
      <c r="C38" s="55"/>
      <c r="D38" s="56" t="s">
        <v>243</v>
      </c>
      <c r="E38" s="56"/>
      <c r="F38" s="56"/>
      <c r="G38" s="56" t="s">
        <v>250</v>
      </c>
      <c r="H38" s="56"/>
    </row>
    <row r="39" spans="3:11" x14ac:dyDescent="0.35">
      <c r="C39" s="55"/>
      <c r="D39" s="56"/>
      <c r="E39" s="56"/>
      <c r="F39" s="56"/>
      <c r="G39" s="56" t="s">
        <v>251</v>
      </c>
      <c r="H39" s="56"/>
    </row>
    <row r="40" spans="3:11" x14ac:dyDescent="0.35">
      <c r="C40" s="55"/>
      <c r="D40" s="56"/>
      <c r="E40" s="56"/>
      <c r="F40" s="56"/>
      <c r="G40" s="56" t="s">
        <v>252</v>
      </c>
      <c r="H40" s="56"/>
    </row>
    <row r="41" spans="3:11" x14ac:dyDescent="0.35">
      <c r="C41" s="55"/>
      <c r="D41" s="56"/>
      <c r="E41" s="56"/>
      <c r="F41" s="56"/>
      <c r="G41" s="56"/>
      <c r="H41" s="56"/>
    </row>
    <row r="43" spans="3:11" x14ac:dyDescent="0.35">
      <c r="C43" t="s">
        <v>253</v>
      </c>
    </row>
    <row r="44" spans="3:11" x14ac:dyDescent="0.35">
      <c r="C44" t="s">
        <v>174</v>
      </c>
      <c r="D44" t="s">
        <v>254</v>
      </c>
    </row>
    <row r="45" spans="3:11" x14ac:dyDescent="0.35">
      <c r="D45" t="s">
        <v>255</v>
      </c>
    </row>
    <row r="46" spans="3:11" x14ac:dyDescent="0.35">
      <c r="D46" t="s">
        <v>256</v>
      </c>
    </row>
    <row r="47" spans="3:11" x14ac:dyDescent="0.35">
      <c r="D47" t="s">
        <v>257</v>
      </c>
    </row>
    <row r="48" spans="3:11" x14ac:dyDescent="0.35">
      <c r="D48" t="s">
        <v>258</v>
      </c>
    </row>
    <row r="49" spans="3:4" x14ac:dyDescent="0.35">
      <c r="C49" t="s">
        <v>179</v>
      </c>
      <c r="D49" t="s">
        <v>259</v>
      </c>
    </row>
    <row r="50" spans="3:4" x14ac:dyDescent="0.35">
      <c r="D50" t="s">
        <v>260</v>
      </c>
    </row>
    <row r="51" spans="3:4" x14ac:dyDescent="0.35">
      <c r="D51" t="s">
        <v>261</v>
      </c>
    </row>
    <row r="52" spans="3:4" x14ac:dyDescent="0.35">
      <c r="D52" t="s">
        <v>264</v>
      </c>
    </row>
    <row r="53" spans="3:4" x14ac:dyDescent="0.35">
      <c r="D53" t="s">
        <v>262</v>
      </c>
    </row>
    <row r="54" spans="3:4" x14ac:dyDescent="0.35">
      <c r="D54" t="s">
        <v>263</v>
      </c>
    </row>
    <row r="55" spans="3:4" x14ac:dyDescent="0.35">
      <c r="D55" t="s">
        <v>265</v>
      </c>
    </row>
    <row r="56" spans="3:4" x14ac:dyDescent="0.35">
      <c r="D56" t="s">
        <v>266</v>
      </c>
    </row>
    <row r="57" spans="3:4" x14ac:dyDescent="0.35">
      <c r="D57" t="s">
        <v>267</v>
      </c>
    </row>
    <row r="58" spans="3:4" x14ac:dyDescent="0.35">
      <c r="D58" t="s">
        <v>269</v>
      </c>
    </row>
    <row r="59" spans="3:4" x14ac:dyDescent="0.35">
      <c r="D59" t="s">
        <v>278</v>
      </c>
    </row>
    <row r="60" spans="3:4" x14ac:dyDescent="0.35">
      <c r="C60" t="s">
        <v>194</v>
      </c>
      <c r="D60" t="s">
        <v>270</v>
      </c>
    </row>
    <row r="61" spans="3:4" x14ac:dyDescent="0.35">
      <c r="D61" t="s">
        <v>268</v>
      </c>
    </row>
    <row r="62" spans="3:4" x14ac:dyDescent="0.35">
      <c r="D62" t="s">
        <v>258</v>
      </c>
    </row>
    <row r="63" spans="3:4" x14ac:dyDescent="0.35">
      <c r="D63" t="s">
        <v>271</v>
      </c>
    </row>
    <row r="64" spans="3:4" x14ac:dyDescent="0.35">
      <c r="D64" t="s">
        <v>272</v>
      </c>
    </row>
    <row r="65" spans="3:4" x14ac:dyDescent="0.35">
      <c r="D65" t="s">
        <v>273</v>
      </c>
    </row>
    <row r="66" spans="3:4" x14ac:dyDescent="0.35">
      <c r="D66" t="s">
        <v>274</v>
      </c>
    </row>
    <row r="67" spans="3:4" x14ac:dyDescent="0.35">
      <c r="C67" t="s">
        <v>189</v>
      </c>
      <c r="D67" t="s">
        <v>275</v>
      </c>
    </row>
    <row r="68" spans="3:4" x14ac:dyDescent="0.35">
      <c r="D68" t="s">
        <v>276</v>
      </c>
    </row>
    <row r="69" spans="3:4" x14ac:dyDescent="0.35">
      <c r="D69" t="s">
        <v>277</v>
      </c>
    </row>
  </sheetData>
  <dataValidations count="2">
    <dataValidation type="list" allowBlank="1" showInputMessage="1" showErrorMessage="1" sqref="J4 J34">
      <formula1>$D$4:$H$4</formula1>
    </dataValidation>
    <dataValidation type="list" allowBlank="1" showInputMessage="1" showErrorMessage="1" sqref="K4 K34">
      <formula1>OFFSET($D$4,1,MATCH($J4,$D$4:$H$4,0)-1,15,1)</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2:C26"/>
  <sheetViews>
    <sheetView topLeftCell="A9" workbookViewId="0">
      <selection activeCell="D22" sqref="D22"/>
    </sheetView>
  </sheetViews>
  <sheetFormatPr defaultRowHeight="14.5" x14ac:dyDescent="0.35"/>
  <cols>
    <col min="2" max="2" width="3" bestFit="1" customWidth="1"/>
    <col min="3" max="3" width="130" customWidth="1"/>
  </cols>
  <sheetData>
    <row r="2" spans="2:3" ht="15" customHeight="1" x14ac:dyDescent="0.35">
      <c r="B2" s="60">
        <v>1</v>
      </c>
      <c r="C2" s="63" t="s">
        <v>284</v>
      </c>
    </row>
    <row r="3" spans="2:3" x14ac:dyDescent="0.35">
      <c r="B3" s="60">
        <v>2</v>
      </c>
      <c r="C3" s="61" t="s">
        <v>285</v>
      </c>
    </row>
    <row r="4" spans="2:3" x14ac:dyDescent="0.35">
      <c r="B4" s="60">
        <v>3</v>
      </c>
      <c r="C4" s="62" t="s">
        <v>286</v>
      </c>
    </row>
    <row r="5" spans="2:3" x14ac:dyDescent="0.35">
      <c r="B5" s="60">
        <v>4</v>
      </c>
      <c r="C5" s="61" t="s">
        <v>287</v>
      </c>
    </row>
    <row r="6" spans="2:3" x14ac:dyDescent="0.35">
      <c r="B6" s="60">
        <v>5</v>
      </c>
      <c r="C6" s="62" t="s">
        <v>288</v>
      </c>
    </row>
    <row r="7" spans="2:3" ht="29" x14ac:dyDescent="0.35">
      <c r="B7" s="60">
        <v>6</v>
      </c>
      <c r="C7" s="61" t="s">
        <v>289</v>
      </c>
    </row>
    <row r="8" spans="2:3" ht="72.5" x14ac:dyDescent="0.35">
      <c r="B8" s="60">
        <v>7</v>
      </c>
      <c r="C8" s="61" t="s">
        <v>290</v>
      </c>
    </row>
    <row r="9" spans="2:3" x14ac:dyDescent="0.35">
      <c r="B9" s="60">
        <v>8</v>
      </c>
      <c r="C9" s="62" t="s">
        <v>291</v>
      </c>
    </row>
    <row r="10" spans="2:3" x14ac:dyDescent="0.35">
      <c r="B10" s="60">
        <v>9</v>
      </c>
      <c r="C10" s="62" t="s">
        <v>292</v>
      </c>
    </row>
    <row r="11" spans="2:3" x14ac:dyDescent="0.35">
      <c r="B11" s="60">
        <v>10</v>
      </c>
      <c r="C11" s="62" t="s">
        <v>293</v>
      </c>
    </row>
    <row r="12" spans="2:3" x14ac:dyDescent="0.35">
      <c r="B12" s="60">
        <v>11</v>
      </c>
      <c r="C12" s="62" t="s">
        <v>294</v>
      </c>
    </row>
    <row r="13" spans="2:3" x14ac:dyDescent="0.35">
      <c r="B13" s="60">
        <v>12</v>
      </c>
      <c r="C13" s="62" t="s">
        <v>295</v>
      </c>
    </row>
    <row r="14" spans="2:3" x14ac:dyDescent="0.35">
      <c r="B14" s="60">
        <v>13</v>
      </c>
      <c r="C14" s="62" t="s">
        <v>296</v>
      </c>
    </row>
    <row r="15" spans="2:3" x14ac:dyDescent="0.35">
      <c r="B15" s="60">
        <v>14</v>
      </c>
      <c r="C15" s="62" t="s">
        <v>286</v>
      </c>
    </row>
    <row r="16" spans="2:3" x14ac:dyDescent="0.35">
      <c r="B16" s="60">
        <v>15</v>
      </c>
      <c r="C16" s="62" t="s">
        <v>298</v>
      </c>
    </row>
    <row r="17" spans="2:3" ht="31.5" customHeight="1" x14ac:dyDescent="0.35">
      <c r="B17" s="64">
        <v>16</v>
      </c>
      <c r="C17" s="66" t="s">
        <v>299</v>
      </c>
    </row>
    <row r="18" spans="2:3" x14ac:dyDescent="0.35">
      <c r="B18" s="65">
        <v>17</v>
      </c>
      <c r="C18" s="66" t="s">
        <v>300</v>
      </c>
    </row>
    <row r="19" spans="2:3" x14ac:dyDescent="0.35">
      <c r="B19" s="64">
        <v>18</v>
      </c>
      <c r="C19" s="60" t="s">
        <v>301</v>
      </c>
    </row>
    <row r="20" spans="2:3" x14ac:dyDescent="0.35">
      <c r="B20" s="65">
        <v>19</v>
      </c>
      <c r="C20" s="60"/>
    </row>
    <row r="21" spans="2:3" x14ac:dyDescent="0.35">
      <c r="B21" s="67">
        <v>20</v>
      </c>
      <c r="C21" s="60"/>
    </row>
    <row r="22" spans="2:3" x14ac:dyDescent="0.35">
      <c r="B22" s="60"/>
      <c r="C22" s="60"/>
    </row>
    <row r="23" spans="2:3" x14ac:dyDescent="0.35">
      <c r="B23" s="60"/>
      <c r="C23" s="60"/>
    </row>
    <row r="24" spans="2:3" x14ac:dyDescent="0.35">
      <c r="B24" s="60"/>
      <c r="C24" s="60"/>
    </row>
    <row r="25" spans="2:3" x14ac:dyDescent="0.35">
      <c r="B25" s="60"/>
      <c r="C25" s="60"/>
    </row>
    <row r="26" spans="2:3" x14ac:dyDescent="0.35">
      <c r="B26" s="60"/>
      <c r="C26" s="60"/>
    </row>
  </sheetData>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Report</vt:lpstr>
      <vt:lpstr>valuation</vt:lpstr>
      <vt:lpstr>Research</vt:lpstr>
      <vt:lpstr>Remarks</vt:lpstr>
      <vt:lpstr>Report!Print_Area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Hp Elitebook 840 G6</cp:lastModifiedBy>
  <cp:lastPrinted>2024-07-18T06:53:30Z</cp:lastPrinted>
  <dcterms:created xsi:type="dcterms:W3CDTF">2019-07-16T09:29:46Z</dcterms:created>
  <dcterms:modified xsi:type="dcterms:W3CDTF">2025-09-25T06:12:02Z</dcterms:modified>
</cp:coreProperties>
</file>