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Z:\APF\25-26\Sep 2025\SBI\22537 - Renucorp Vanaha\"/>
    </mc:Choice>
  </mc:AlternateContent>
  <xr:revisionPtr revIDLastSave="0" documentId="13_ncr:1_{C668D0E0-1479-45A2-AF6C-662B75D7BF29}" xr6:coauthVersionLast="47" xr6:coauthVersionMax="47" xr10:uidLastSave="{00000000-0000-0000-0000-000000000000}"/>
  <bookViews>
    <workbookView xWindow="-120" yWindow="-120" windowWidth="20730" windowHeight="11160" tabRatio="850" xr2:uid="{00000000-000D-0000-FFFF-FFFF00000000}"/>
  </bookViews>
  <sheets>
    <sheet name="Report" sheetId="11" r:id="rId1"/>
    <sheet name="Const. %" sheetId="12" r:id="rId2"/>
    <sheet name="unsold" sheetId="14" r:id="rId3"/>
    <sheet name="valuation" sheetId="2" r:id="rId4"/>
    <sheet name="Sheet1" sheetId="15" r:id="rId5"/>
    <sheet name="Sheet2" sheetId="16" r:id="rId6"/>
  </sheets>
  <definedNames>
    <definedName name="_xlnm.Print_Area" localSheetId="0">Report!$A$1:$N$992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7" i="11" l="1"/>
  <c r="C253" i="11"/>
  <c r="C254" i="11" s="1"/>
  <c r="C255" i="11" s="1"/>
  <c r="C256" i="11" s="1"/>
  <c r="C257" i="11" s="1"/>
  <c r="C258" i="11" s="1"/>
  <c r="C259" i="11" s="1"/>
  <c r="C260" i="11" s="1"/>
  <c r="C261" i="11" s="1"/>
  <c r="C262" i="11" s="1"/>
  <c r="C263" i="11" s="1"/>
  <c r="C264" i="11" s="1"/>
  <c r="C265" i="11" s="1"/>
  <c r="C266" i="11" s="1"/>
  <c r="C267" i="11" s="1"/>
  <c r="C268" i="11" s="1"/>
  <c r="C269" i="11" s="1"/>
  <c r="C238" i="11"/>
  <c r="C239" i="11" s="1"/>
  <c r="C240" i="11" s="1"/>
  <c r="C241" i="11" s="1"/>
  <c r="C242" i="11" s="1"/>
  <c r="C243" i="11" s="1"/>
  <c r="C244" i="11" s="1"/>
  <c r="C245" i="11" s="1"/>
  <c r="C246" i="11" s="1"/>
  <c r="C247" i="11" s="1"/>
  <c r="C248" i="11" s="1"/>
  <c r="C249" i="11" s="1"/>
  <c r="C250" i="11" s="1"/>
  <c r="C251" i="11" s="1"/>
  <c r="C252" i="11" s="1"/>
  <c r="C237" i="11"/>
  <c r="H457" i="11"/>
  <c r="K141" i="11"/>
  <c r="P413" i="11"/>
  <c r="Q414" i="11"/>
  <c r="P414" i="11"/>
  <c r="R414" i="11" l="1"/>
  <c r="E452" i="11"/>
  <c r="G452" i="11" s="1"/>
  <c r="J452" i="11" s="1"/>
  <c r="L452" i="11" s="1"/>
  <c r="N452" i="11" s="1"/>
  <c r="E451" i="11"/>
  <c r="G451" i="11" s="1"/>
  <c r="J451" i="11" s="1"/>
  <c r="L451" i="11" s="1"/>
  <c r="N451" i="11" s="1"/>
  <c r="E450" i="11"/>
  <c r="G450" i="11" s="1"/>
  <c r="J450" i="11" s="1"/>
  <c r="L450" i="11" s="1"/>
  <c r="N450" i="11" s="1"/>
  <c r="E449" i="11"/>
  <c r="G449" i="11" s="1"/>
  <c r="J449" i="11" s="1"/>
  <c r="L449" i="11" s="1"/>
  <c r="N449" i="11" s="1"/>
  <c r="E448" i="11"/>
  <c r="G448" i="11" s="1"/>
  <c r="J448" i="11" s="1"/>
  <c r="L448" i="11" s="1"/>
  <c r="N448" i="11" s="1"/>
  <c r="E447" i="11"/>
  <c r="G447" i="11" s="1"/>
  <c r="J447" i="11" s="1"/>
  <c r="L447" i="11" s="1"/>
  <c r="N447" i="11" s="1"/>
  <c r="E446" i="11"/>
  <c r="E445" i="11"/>
  <c r="G445" i="11" s="1"/>
  <c r="J445" i="11" s="1"/>
  <c r="L445" i="11" s="1"/>
  <c r="N445" i="11" s="1"/>
  <c r="E444" i="11"/>
  <c r="G444" i="11" s="1"/>
  <c r="J444" i="11" s="1"/>
  <c r="L444" i="11" s="1"/>
  <c r="N444" i="11" s="1"/>
  <c r="E443" i="11"/>
  <c r="G443" i="11" s="1"/>
  <c r="J443" i="11" s="1"/>
  <c r="L443" i="11" s="1"/>
  <c r="N443" i="11" s="1"/>
  <c r="E442" i="11"/>
  <c r="G442" i="11" s="1"/>
  <c r="J442" i="11" s="1"/>
  <c r="L442" i="11" s="1"/>
  <c r="N442" i="11" s="1"/>
  <c r="E441" i="11"/>
  <c r="G441" i="11" s="1"/>
  <c r="J441" i="11" s="1"/>
  <c r="L441" i="11" s="1"/>
  <c r="N441" i="11" s="1"/>
  <c r="E440" i="11"/>
  <c r="G440" i="11" s="1"/>
  <c r="J440" i="11" s="1"/>
  <c r="L440" i="11" s="1"/>
  <c r="N440" i="11" s="1"/>
  <c r="E439" i="11"/>
  <c r="G439" i="11" s="1"/>
  <c r="J439" i="11" s="1"/>
  <c r="L439" i="11" s="1"/>
  <c r="N439" i="11" s="1"/>
  <c r="E438" i="11"/>
  <c r="G438" i="11" s="1"/>
  <c r="J438" i="11" s="1"/>
  <c r="L438" i="11" s="1"/>
  <c r="N438" i="11" s="1"/>
  <c r="E437" i="11"/>
  <c r="G437" i="11" s="1"/>
  <c r="J437" i="11" s="1"/>
  <c r="L437" i="11" s="1"/>
  <c r="N437" i="11" s="1"/>
  <c r="E436" i="11"/>
  <c r="G436" i="11" s="1"/>
  <c r="J436" i="11" s="1"/>
  <c r="L436" i="11" s="1"/>
  <c r="N436" i="11" s="1"/>
  <c r="E435" i="11"/>
  <c r="G435" i="11" s="1"/>
  <c r="J435" i="11" s="1"/>
  <c r="L435" i="11" s="1"/>
  <c r="N435" i="11" s="1"/>
  <c r="E434" i="11"/>
  <c r="G434" i="11" s="1"/>
  <c r="J434" i="11" s="1"/>
  <c r="L434" i="11" s="1"/>
  <c r="N434" i="11" s="1"/>
  <c r="E433" i="11"/>
  <c r="G433" i="11" s="1"/>
  <c r="J433" i="11" s="1"/>
  <c r="L433" i="11" s="1"/>
  <c r="N433" i="11" s="1"/>
  <c r="E432" i="11"/>
  <c r="G432" i="11" s="1"/>
  <c r="J432" i="11" s="1"/>
  <c r="L432" i="11" s="1"/>
  <c r="N432" i="11" s="1"/>
  <c r="E431" i="11"/>
  <c r="G431" i="11" s="1"/>
  <c r="J431" i="11" s="1"/>
  <c r="L431" i="11" s="1"/>
  <c r="N431" i="11" s="1"/>
  <c r="E430" i="11"/>
  <c r="G430" i="11" s="1"/>
  <c r="J430" i="11" s="1"/>
  <c r="L430" i="11" s="1"/>
  <c r="N430" i="11" s="1"/>
  <c r="E429" i="11"/>
  <c r="G429" i="11" s="1"/>
  <c r="J429" i="11" s="1"/>
  <c r="L429" i="11" s="1"/>
  <c r="N429" i="11" s="1"/>
  <c r="E428" i="11"/>
  <c r="G428" i="11" s="1"/>
  <c r="J428" i="11" s="1"/>
  <c r="L428" i="11" s="1"/>
  <c r="N428" i="11" s="1"/>
  <c r="E427" i="11"/>
  <c r="G427" i="11" s="1"/>
  <c r="J427" i="11" s="1"/>
  <c r="L427" i="11" s="1"/>
  <c r="N427" i="11" s="1"/>
  <c r="E426" i="11"/>
  <c r="G426" i="11" s="1"/>
  <c r="J426" i="11" s="1"/>
  <c r="L426" i="11" s="1"/>
  <c r="N426" i="11" s="1"/>
  <c r="E425" i="11"/>
  <c r="G425" i="11" s="1"/>
  <c r="J425" i="11" s="1"/>
  <c r="L425" i="11" s="1"/>
  <c r="N425" i="11" s="1"/>
  <c r="E424" i="11"/>
  <c r="G424" i="11" s="1"/>
  <c r="J424" i="11" s="1"/>
  <c r="L424" i="11" s="1"/>
  <c r="N424" i="11" s="1"/>
  <c r="E423" i="11"/>
  <c r="G423" i="11" s="1"/>
  <c r="J423" i="11" s="1"/>
  <c r="L423" i="11" s="1"/>
  <c r="N423" i="11" s="1"/>
  <c r="E422" i="11"/>
  <c r="G422" i="11" s="1"/>
  <c r="J422" i="11" s="1"/>
  <c r="L422" i="11" s="1"/>
  <c r="N422" i="11" s="1"/>
  <c r="E421" i="11"/>
  <c r="G421" i="11" s="1"/>
  <c r="J421" i="11" s="1"/>
  <c r="L421" i="11" s="1"/>
  <c r="N421" i="11" s="1"/>
  <c r="E420" i="11"/>
  <c r="G420" i="11" s="1"/>
  <c r="J420" i="11" s="1"/>
  <c r="L420" i="11" s="1"/>
  <c r="N420" i="11" s="1"/>
  <c r="E419" i="11"/>
  <c r="G419" i="11" s="1"/>
  <c r="J419" i="11" s="1"/>
  <c r="L419" i="11" s="1"/>
  <c r="N419" i="11" s="1"/>
  <c r="E418" i="11"/>
  <c r="G418" i="11" s="1"/>
  <c r="J418" i="11" s="1"/>
  <c r="L418" i="11" s="1"/>
  <c r="N418" i="11" s="1"/>
  <c r="E417" i="11"/>
  <c r="G417" i="11" s="1"/>
  <c r="J417" i="11" s="1"/>
  <c r="L417" i="11" s="1"/>
  <c r="N417" i="11" s="1"/>
  <c r="E416" i="11"/>
  <c r="G416" i="11" s="1"/>
  <c r="J416" i="11" s="1"/>
  <c r="L416" i="11" s="1"/>
  <c r="N416" i="11" s="1"/>
  <c r="E415" i="11"/>
  <c r="G415" i="11" s="1"/>
  <c r="J415" i="11" s="1"/>
  <c r="L415" i="11" s="1"/>
  <c r="N415" i="11" s="1"/>
  <c r="E414" i="11"/>
  <c r="G414" i="11" s="1"/>
  <c r="J414" i="11" s="1"/>
  <c r="L414" i="11" s="1"/>
  <c r="N414" i="11" s="1"/>
  <c r="E413" i="11"/>
  <c r="G413" i="11" s="1"/>
  <c r="J413" i="11" s="1"/>
  <c r="L413" i="11" s="1"/>
  <c r="N413" i="11" s="1"/>
  <c r="E412" i="11"/>
  <c r="G412" i="11" s="1"/>
  <c r="J412" i="11" s="1"/>
  <c r="L412" i="11" s="1"/>
  <c r="N412" i="11" s="1"/>
  <c r="E411" i="11"/>
  <c r="E410" i="11"/>
  <c r="G410" i="11" s="1"/>
  <c r="J410" i="11" s="1"/>
  <c r="L410" i="11" s="1"/>
  <c r="N410" i="11" s="1"/>
  <c r="E409" i="11"/>
  <c r="G409" i="11" s="1"/>
  <c r="J409" i="11" s="1"/>
  <c r="L409" i="11" s="1"/>
  <c r="N409" i="11" s="1"/>
  <c r="E408" i="11"/>
  <c r="G408" i="11" s="1"/>
  <c r="J408" i="11" s="1"/>
  <c r="L408" i="11" s="1"/>
  <c r="N408" i="11" s="1"/>
  <c r="E407" i="11"/>
  <c r="G407" i="11" s="1"/>
  <c r="J407" i="11" s="1"/>
  <c r="L407" i="11" s="1"/>
  <c r="N407" i="11" s="1"/>
  <c r="E406" i="11"/>
  <c r="G406" i="11" s="1"/>
  <c r="J406" i="11" s="1"/>
  <c r="L406" i="11" s="1"/>
  <c r="N406" i="11" s="1"/>
  <c r="E405" i="11"/>
  <c r="G405" i="11" s="1"/>
  <c r="J405" i="11" s="1"/>
  <c r="L405" i="11" s="1"/>
  <c r="N405" i="11" s="1"/>
  <c r="E404" i="11"/>
  <c r="G404" i="11" s="1"/>
  <c r="J404" i="11" s="1"/>
  <c r="L404" i="11" s="1"/>
  <c r="N404" i="11" s="1"/>
  <c r="E403" i="11"/>
  <c r="G403" i="11" s="1"/>
  <c r="J403" i="11" s="1"/>
  <c r="L403" i="11" s="1"/>
  <c r="N403" i="11" s="1"/>
  <c r="E402" i="11"/>
  <c r="G402" i="11" s="1"/>
  <c r="J402" i="11" s="1"/>
  <c r="L402" i="11" s="1"/>
  <c r="N402" i="11" s="1"/>
  <c r="E401" i="11"/>
  <c r="G401" i="11" s="1"/>
  <c r="J401" i="11" s="1"/>
  <c r="L401" i="11" s="1"/>
  <c r="N401" i="11" s="1"/>
  <c r="E400" i="11"/>
  <c r="G400" i="11" s="1"/>
  <c r="J400" i="11" s="1"/>
  <c r="L400" i="11" s="1"/>
  <c r="N400" i="11" s="1"/>
  <c r="E399" i="11"/>
  <c r="G399" i="11" s="1"/>
  <c r="J399" i="11" s="1"/>
  <c r="L399" i="11" s="1"/>
  <c r="N399" i="11" s="1"/>
  <c r="E398" i="11"/>
  <c r="G398" i="11" s="1"/>
  <c r="J398" i="11" s="1"/>
  <c r="L398" i="11" s="1"/>
  <c r="N398" i="11" s="1"/>
  <c r="E397" i="11"/>
  <c r="G397" i="11" s="1"/>
  <c r="J397" i="11" s="1"/>
  <c r="L397" i="11" s="1"/>
  <c r="N397" i="11" s="1"/>
  <c r="E396" i="11"/>
  <c r="G396" i="11" s="1"/>
  <c r="J396" i="11" s="1"/>
  <c r="L396" i="11" s="1"/>
  <c r="N396" i="11" s="1"/>
  <c r="E395" i="11"/>
  <c r="G395" i="11" s="1"/>
  <c r="J395" i="11" s="1"/>
  <c r="L395" i="11" s="1"/>
  <c r="N395" i="11" s="1"/>
  <c r="E394" i="11"/>
  <c r="G394" i="11" s="1"/>
  <c r="J394" i="11" s="1"/>
  <c r="L394" i="11" s="1"/>
  <c r="N394" i="11" s="1"/>
  <c r="E393" i="11"/>
  <c r="G393" i="11" s="1"/>
  <c r="J393" i="11" s="1"/>
  <c r="L393" i="11" s="1"/>
  <c r="N393" i="11" s="1"/>
  <c r="E392" i="11"/>
  <c r="G392" i="11" s="1"/>
  <c r="J392" i="11" s="1"/>
  <c r="L392" i="11" s="1"/>
  <c r="N392" i="11" s="1"/>
  <c r="E391" i="11"/>
  <c r="G391" i="11" s="1"/>
  <c r="J391" i="11" s="1"/>
  <c r="L391" i="11" s="1"/>
  <c r="N391" i="11" s="1"/>
  <c r="E390" i="11"/>
  <c r="G390" i="11" s="1"/>
  <c r="J390" i="11" s="1"/>
  <c r="L390" i="11" s="1"/>
  <c r="N390" i="11" s="1"/>
  <c r="E389" i="11"/>
  <c r="G389" i="11" s="1"/>
  <c r="J389" i="11" s="1"/>
  <c r="L389" i="11" s="1"/>
  <c r="N389" i="11" s="1"/>
  <c r="E388" i="11"/>
  <c r="G388" i="11" s="1"/>
  <c r="J388" i="11" s="1"/>
  <c r="L388" i="11" s="1"/>
  <c r="N388" i="11" s="1"/>
  <c r="E387" i="11"/>
  <c r="G387" i="11" s="1"/>
  <c r="J387" i="11" s="1"/>
  <c r="L387" i="11" s="1"/>
  <c r="N387" i="11" s="1"/>
  <c r="E386" i="11"/>
  <c r="G386" i="11" s="1"/>
  <c r="J386" i="11" s="1"/>
  <c r="L386" i="11" s="1"/>
  <c r="N386" i="11" s="1"/>
  <c r="E385" i="11"/>
  <c r="G385" i="11" s="1"/>
  <c r="J385" i="11" s="1"/>
  <c r="L385" i="11" s="1"/>
  <c r="N385" i="11" s="1"/>
  <c r="E384" i="11"/>
  <c r="G384" i="11" s="1"/>
  <c r="J384" i="11" s="1"/>
  <c r="L384" i="11" s="1"/>
  <c r="N384" i="11" s="1"/>
  <c r="E383" i="11"/>
  <c r="G383" i="11" s="1"/>
  <c r="J383" i="11" s="1"/>
  <c r="L383" i="11" s="1"/>
  <c r="N383" i="11" s="1"/>
  <c r="E382" i="11"/>
  <c r="G382" i="11" s="1"/>
  <c r="J382" i="11" s="1"/>
  <c r="L382" i="11" s="1"/>
  <c r="N382" i="11" s="1"/>
  <c r="E381" i="11"/>
  <c r="G381" i="11" s="1"/>
  <c r="J381" i="11" s="1"/>
  <c r="L381" i="11" s="1"/>
  <c r="N381" i="11" s="1"/>
  <c r="E380" i="11"/>
  <c r="E379" i="11"/>
  <c r="G379" i="11" s="1"/>
  <c r="J379" i="11" s="1"/>
  <c r="L379" i="11" s="1"/>
  <c r="N379" i="11" s="1"/>
  <c r="E378" i="11"/>
  <c r="G378" i="11" s="1"/>
  <c r="J378" i="11" s="1"/>
  <c r="L378" i="11" s="1"/>
  <c r="N378" i="11" s="1"/>
  <c r="E377" i="11"/>
  <c r="G377" i="11" s="1"/>
  <c r="J377" i="11" s="1"/>
  <c r="L377" i="11" s="1"/>
  <c r="N377" i="11" s="1"/>
  <c r="E376" i="11"/>
  <c r="G376" i="11" s="1"/>
  <c r="J376" i="11" s="1"/>
  <c r="L376" i="11" s="1"/>
  <c r="N376" i="11" s="1"/>
  <c r="E375" i="11"/>
  <c r="G375" i="11" s="1"/>
  <c r="J375" i="11" s="1"/>
  <c r="L375" i="11" s="1"/>
  <c r="N375" i="11" s="1"/>
  <c r="E374" i="11"/>
  <c r="E373" i="11"/>
  <c r="G373" i="11" s="1"/>
  <c r="J373" i="11" s="1"/>
  <c r="L373" i="11" s="1"/>
  <c r="N373" i="11" s="1"/>
  <c r="E372" i="11"/>
  <c r="G372" i="11" s="1"/>
  <c r="J372" i="11" s="1"/>
  <c r="L372" i="11" s="1"/>
  <c r="N372" i="11" s="1"/>
  <c r="E371" i="11"/>
  <c r="G371" i="11" s="1"/>
  <c r="J371" i="11" s="1"/>
  <c r="L371" i="11" s="1"/>
  <c r="N371" i="11" s="1"/>
  <c r="E370" i="11"/>
  <c r="E369" i="11"/>
  <c r="E368" i="11"/>
  <c r="E367" i="11"/>
  <c r="E366" i="11"/>
  <c r="E365" i="11"/>
  <c r="A366" i="1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G446" i="11"/>
  <c r="J446" i="11" s="1"/>
  <c r="L446" i="11" s="1"/>
  <c r="N446" i="11" s="1"/>
  <c r="C445" i="11"/>
  <c r="C446" i="11" s="1"/>
  <c r="C447" i="11" s="1"/>
  <c r="C448" i="11" s="1"/>
  <c r="C449" i="11" s="1"/>
  <c r="C450" i="11" s="1"/>
  <c r="C451" i="11" s="1"/>
  <c r="C452" i="11" s="1"/>
  <c r="C437" i="11"/>
  <c r="C438" i="11" s="1"/>
  <c r="C439" i="11" s="1"/>
  <c r="C440" i="11" s="1"/>
  <c r="C441" i="11" s="1"/>
  <c r="C442" i="11" s="1"/>
  <c r="C443" i="11" s="1"/>
  <c r="C444" i="11" s="1"/>
  <c r="C429" i="11"/>
  <c r="C430" i="11" s="1"/>
  <c r="C431" i="11" s="1"/>
  <c r="C432" i="11" s="1"/>
  <c r="C433" i="11" s="1"/>
  <c r="C434" i="11" s="1"/>
  <c r="C435" i="11" s="1"/>
  <c r="C436" i="11" s="1"/>
  <c r="C421" i="11"/>
  <c r="C422" i="11" s="1"/>
  <c r="C423" i="11" s="1"/>
  <c r="C424" i="11" s="1"/>
  <c r="C425" i="11" s="1"/>
  <c r="C426" i="11" s="1"/>
  <c r="C427" i="11" s="1"/>
  <c r="C428" i="11" s="1"/>
  <c r="C413" i="11"/>
  <c r="C414" i="11" s="1"/>
  <c r="C415" i="11" s="1"/>
  <c r="C416" i="11" s="1"/>
  <c r="C417" i="11" s="1"/>
  <c r="C418" i="11" s="1"/>
  <c r="C419" i="11" s="1"/>
  <c r="C420" i="11" s="1"/>
  <c r="G411" i="11"/>
  <c r="J411" i="11" s="1"/>
  <c r="L411" i="11" s="1"/>
  <c r="N411" i="11" s="1"/>
  <c r="C405" i="11"/>
  <c r="C406" i="11" s="1"/>
  <c r="C407" i="11" s="1"/>
  <c r="C408" i="11" s="1"/>
  <c r="C409" i="11" s="1"/>
  <c r="C410" i="11" s="1"/>
  <c r="C411" i="11" s="1"/>
  <c r="C412" i="11" s="1"/>
  <c r="C397" i="11"/>
  <c r="C398" i="11" s="1"/>
  <c r="C399" i="11" s="1"/>
  <c r="C400" i="11" s="1"/>
  <c r="C401" i="11" s="1"/>
  <c r="C402" i="11" s="1"/>
  <c r="C403" i="11" s="1"/>
  <c r="C404" i="11" s="1"/>
  <c r="C389" i="11"/>
  <c r="C390" i="11" s="1"/>
  <c r="C391" i="11" s="1"/>
  <c r="C392" i="11" s="1"/>
  <c r="C393" i="11" s="1"/>
  <c r="C394" i="11" s="1"/>
  <c r="C395" i="11" s="1"/>
  <c r="C396" i="11" s="1"/>
  <c r="C381" i="11"/>
  <c r="C382" i="11" s="1"/>
  <c r="C383" i="11" s="1"/>
  <c r="C384" i="11" s="1"/>
  <c r="C385" i="11" s="1"/>
  <c r="C386" i="11" s="1"/>
  <c r="C387" i="11" s="1"/>
  <c r="C388" i="11" s="1"/>
  <c r="G380" i="11"/>
  <c r="J380" i="11" s="1"/>
  <c r="L380" i="11" s="1"/>
  <c r="N380" i="11" s="1"/>
  <c r="G374" i="11"/>
  <c r="J374" i="11" s="1"/>
  <c r="L374" i="11" s="1"/>
  <c r="N374" i="11" s="1"/>
  <c r="C373" i="11"/>
  <c r="C374" i="11" s="1"/>
  <c r="C375" i="11" s="1"/>
  <c r="C376" i="11" s="1"/>
  <c r="C377" i="11" s="1"/>
  <c r="C378" i="11" s="1"/>
  <c r="C379" i="11" s="1"/>
  <c r="C380" i="11" s="1"/>
  <c r="E356" i="11"/>
  <c r="G356" i="11" s="1"/>
  <c r="J356" i="11" s="1"/>
  <c r="L356" i="11" s="1"/>
  <c r="N356" i="11" s="1"/>
  <c r="E355" i="11"/>
  <c r="G355" i="11" s="1"/>
  <c r="E354" i="11"/>
  <c r="G354" i="11" s="1"/>
  <c r="E353" i="11"/>
  <c r="G353" i="11" s="1"/>
  <c r="J353" i="11" s="1"/>
  <c r="L353" i="11" s="1"/>
  <c r="N353" i="11" s="1"/>
  <c r="E352" i="11"/>
  <c r="G352" i="11" s="1"/>
  <c r="E351" i="11"/>
  <c r="G351" i="11" s="1"/>
  <c r="E349" i="11"/>
  <c r="G349" i="11" s="1"/>
  <c r="E324" i="11"/>
  <c r="E323" i="11"/>
  <c r="E322" i="11"/>
  <c r="E321" i="11"/>
  <c r="E320" i="11"/>
  <c r="E319" i="11"/>
  <c r="E317" i="11"/>
  <c r="E348" i="11"/>
  <c r="E347" i="11"/>
  <c r="E346" i="11"/>
  <c r="E345" i="11"/>
  <c r="E344" i="11"/>
  <c r="E343" i="11"/>
  <c r="E342" i="11"/>
  <c r="E341" i="11"/>
  <c r="E340" i="11"/>
  <c r="E339" i="11"/>
  <c r="E338" i="11"/>
  <c r="E337" i="11"/>
  <c r="E336" i="11"/>
  <c r="E335" i="11"/>
  <c r="E334" i="11"/>
  <c r="E333" i="11"/>
  <c r="E332" i="11"/>
  <c r="E331" i="11"/>
  <c r="E330" i="11"/>
  <c r="E329" i="11"/>
  <c r="E328" i="11"/>
  <c r="E327" i="11"/>
  <c r="E326" i="11"/>
  <c r="E325" i="11"/>
  <c r="E316" i="11"/>
  <c r="E315" i="11"/>
  <c r="E314" i="11"/>
  <c r="E313" i="11"/>
  <c r="E312" i="11"/>
  <c r="E311" i="11"/>
  <c r="E310" i="11"/>
  <c r="E309" i="11"/>
  <c r="E308" i="11"/>
  <c r="E307" i="11"/>
  <c r="E306" i="11"/>
  <c r="E305" i="11"/>
  <c r="E304" i="11"/>
  <c r="E303" i="11"/>
  <c r="E302" i="11"/>
  <c r="E301" i="11"/>
  <c r="E300" i="11"/>
  <c r="E299" i="11"/>
  <c r="E298" i="11"/>
  <c r="E297" i="11"/>
  <c r="E296" i="11"/>
  <c r="E295" i="11"/>
  <c r="E294" i="11"/>
  <c r="E293" i="11"/>
  <c r="E292" i="11"/>
  <c r="E291" i="11"/>
  <c r="E290" i="11"/>
  <c r="E289" i="11"/>
  <c r="E288" i="11"/>
  <c r="E287" i="11"/>
  <c r="E286" i="11"/>
  <c r="E285" i="11"/>
  <c r="E284" i="11"/>
  <c r="E283" i="11"/>
  <c r="E282" i="11"/>
  <c r="F280" i="11"/>
  <c r="E280" i="11"/>
  <c r="F279" i="11"/>
  <c r="E279" i="11"/>
  <c r="F278" i="11"/>
  <c r="E278" i="11"/>
  <c r="F277" i="11"/>
  <c r="E277" i="11"/>
  <c r="S414" i="11" l="1"/>
  <c r="S413" i="11"/>
  <c r="H445" i="11"/>
  <c r="I445" i="11" s="1"/>
  <c r="H446" i="11"/>
  <c r="I446" i="11" s="1"/>
  <c r="H447" i="11"/>
  <c r="I447" i="11" s="1"/>
  <c r="H448" i="11"/>
  <c r="I448" i="11" s="1"/>
  <c r="H449" i="11"/>
  <c r="I449" i="11" s="1"/>
  <c r="H450" i="11"/>
  <c r="I450" i="11" s="1"/>
  <c r="H451" i="11"/>
  <c r="I451" i="11" s="1"/>
  <c r="H452" i="11"/>
  <c r="I452" i="11" s="1"/>
  <c r="H437" i="11"/>
  <c r="I437" i="11" s="1"/>
  <c r="H438" i="11"/>
  <c r="I438" i="11" s="1"/>
  <c r="H439" i="11"/>
  <c r="I439" i="11" s="1"/>
  <c r="H440" i="11"/>
  <c r="I440" i="11" s="1"/>
  <c r="H441" i="11"/>
  <c r="I441" i="11" s="1"/>
  <c r="H442" i="11"/>
  <c r="I442" i="11" s="1"/>
  <c r="H443" i="11"/>
  <c r="I443" i="11" s="1"/>
  <c r="H444" i="11"/>
  <c r="I444" i="11" s="1"/>
  <c r="H429" i="11"/>
  <c r="I429" i="11" s="1"/>
  <c r="H430" i="11"/>
  <c r="I430" i="11" s="1"/>
  <c r="H431" i="11"/>
  <c r="I431" i="11" s="1"/>
  <c r="H432" i="11"/>
  <c r="I432" i="11" s="1"/>
  <c r="H433" i="11"/>
  <c r="I433" i="11" s="1"/>
  <c r="H434" i="11"/>
  <c r="I434" i="11" s="1"/>
  <c r="H435" i="11"/>
  <c r="I435" i="11" s="1"/>
  <c r="H436" i="11"/>
  <c r="I436" i="11" s="1"/>
  <c r="H421" i="11"/>
  <c r="I421" i="11" s="1"/>
  <c r="H422" i="11"/>
  <c r="I422" i="11" s="1"/>
  <c r="H423" i="11"/>
  <c r="I423" i="11" s="1"/>
  <c r="H424" i="11"/>
  <c r="I424" i="11" s="1"/>
  <c r="H425" i="11"/>
  <c r="I425" i="11" s="1"/>
  <c r="H426" i="11"/>
  <c r="I426" i="11" s="1"/>
  <c r="H427" i="11"/>
  <c r="I427" i="11" s="1"/>
  <c r="H428" i="11"/>
  <c r="I428" i="11" s="1"/>
  <c r="H413" i="11"/>
  <c r="I413" i="11" s="1"/>
  <c r="H414" i="11"/>
  <c r="I414" i="11" s="1"/>
  <c r="H415" i="11"/>
  <c r="I415" i="11" s="1"/>
  <c r="H416" i="11"/>
  <c r="I416" i="11" s="1"/>
  <c r="H417" i="11"/>
  <c r="I417" i="11" s="1"/>
  <c r="H418" i="11"/>
  <c r="I418" i="11" s="1"/>
  <c r="H419" i="11"/>
  <c r="I419" i="11" s="1"/>
  <c r="H420" i="11"/>
  <c r="I420" i="11" s="1"/>
  <c r="H405" i="11"/>
  <c r="I405" i="11" s="1"/>
  <c r="H406" i="11"/>
  <c r="I406" i="11" s="1"/>
  <c r="H407" i="11"/>
  <c r="I407" i="11" s="1"/>
  <c r="H408" i="11"/>
  <c r="I408" i="11" s="1"/>
  <c r="H409" i="11"/>
  <c r="I409" i="11" s="1"/>
  <c r="H410" i="11"/>
  <c r="I410" i="11" s="1"/>
  <c r="H411" i="11"/>
  <c r="I411" i="11" s="1"/>
  <c r="H412" i="11"/>
  <c r="I412" i="11" s="1"/>
  <c r="H397" i="11"/>
  <c r="I397" i="11" s="1"/>
  <c r="H398" i="11"/>
  <c r="I398" i="11" s="1"/>
  <c r="H399" i="11"/>
  <c r="I399" i="11" s="1"/>
  <c r="H400" i="11"/>
  <c r="I400" i="11" s="1"/>
  <c r="H401" i="11"/>
  <c r="I401" i="11" s="1"/>
  <c r="H402" i="11"/>
  <c r="I402" i="11" s="1"/>
  <c r="H403" i="11"/>
  <c r="I403" i="11" s="1"/>
  <c r="H404" i="11"/>
  <c r="I404" i="11" s="1"/>
  <c r="H389" i="11"/>
  <c r="I389" i="11" s="1"/>
  <c r="H390" i="11"/>
  <c r="I390" i="11" s="1"/>
  <c r="H391" i="11"/>
  <c r="I391" i="11" s="1"/>
  <c r="H392" i="11"/>
  <c r="I392" i="11" s="1"/>
  <c r="H393" i="11"/>
  <c r="I393" i="11" s="1"/>
  <c r="H394" i="11"/>
  <c r="I394" i="11" s="1"/>
  <c r="H395" i="11"/>
  <c r="I395" i="11" s="1"/>
  <c r="H396" i="11"/>
  <c r="I396" i="11" s="1"/>
  <c r="H381" i="11"/>
  <c r="I381" i="11" s="1"/>
  <c r="H382" i="11"/>
  <c r="I382" i="11" s="1"/>
  <c r="H383" i="11"/>
  <c r="I383" i="11" s="1"/>
  <c r="H384" i="11"/>
  <c r="I384" i="11" s="1"/>
  <c r="H385" i="11"/>
  <c r="I385" i="11" s="1"/>
  <c r="H386" i="11"/>
  <c r="I386" i="11" s="1"/>
  <c r="H387" i="11"/>
  <c r="I387" i="11" s="1"/>
  <c r="H388" i="11"/>
  <c r="I388" i="11" s="1"/>
  <c r="H373" i="11"/>
  <c r="I373" i="11" s="1"/>
  <c r="H374" i="11"/>
  <c r="I374" i="11" s="1"/>
  <c r="H375" i="11"/>
  <c r="I375" i="11" s="1"/>
  <c r="H376" i="11"/>
  <c r="I376" i="11" s="1"/>
  <c r="H377" i="11"/>
  <c r="I377" i="11" s="1"/>
  <c r="H378" i="11"/>
  <c r="I378" i="11" s="1"/>
  <c r="H379" i="11"/>
  <c r="I379" i="11" s="1"/>
  <c r="H380" i="11"/>
  <c r="I380" i="11" s="1"/>
  <c r="H371" i="11"/>
  <c r="I371" i="11" s="1"/>
  <c r="H372" i="11"/>
  <c r="I372" i="11" s="1"/>
  <c r="J351" i="11"/>
  <c r="L351" i="11" s="1"/>
  <c r="N351" i="11" s="1"/>
  <c r="H351" i="11"/>
  <c r="H352" i="11"/>
  <c r="J352" i="11"/>
  <c r="L352" i="11" s="1"/>
  <c r="N352" i="11" s="1"/>
  <c r="J354" i="11"/>
  <c r="L354" i="11" s="1"/>
  <c r="N354" i="11" s="1"/>
  <c r="H354" i="11"/>
  <c r="J349" i="11"/>
  <c r="L349" i="11" s="1"/>
  <c r="N349" i="11" s="1"/>
  <c r="H349" i="11"/>
  <c r="H355" i="11"/>
  <c r="J355" i="11"/>
  <c r="L355" i="11" s="1"/>
  <c r="N355" i="11" s="1"/>
  <c r="H353" i="11"/>
  <c r="H356" i="11"/>
  <c r="G300" i="11"/>
  <c r="J300" i="11" s="1"/>
  <c r="L300" i="11" s="1"/>
  <c r="N300" i="11" s="1"/>
  <c r="G299" i="11"/>
  <c r="J299" i="11" s="1"/>
  <c r="L299" i="11" s="1"/>
  <c r="N299" i="11" s="1"/>
  <c r="G298" i="11"/>
  <c r="J298" i="11" s="1"/>
  <c r="L298" i="11" s="1"/>
  <c r="N298" i="11" s="1"/>
  <c r="G297" i="11"/>
  <c r="J297" i="11" s="1"/>
  <c r="L297" i="11" s="1"/>
  <c r="N297" i="11" s="1"/>
  <c r="G296" i="11"/>
  <c r="J296" i="11" s="1"/>
  <c r="L296" i="11" s="1"/>
  <c r="N296" i="11" s="1"/>
  <c r="G295" i="11"/>
  <c r="J295" i="11" s="1"/>
  <c r="L295" i="11" s="1"/>
  <c r="N295" i="11" s="1"/>
  <c r="G294" i="11"/>
  <c r="G293" i="11"/>
  <c r="J293" i="11" s="1"/>
  <c r="L293" i="11" s="1"/>
  <c r="N293" i="11" s="1"/>
  <c r="C293" i="11"/>
  <c r="C294" i="11" s="1"/>
  <c r="C295" i="11" s="1"/>
  <c r="C296" i="11" s="1"/>
  <c r="C297" i="11" s="1"/>
  <c r="C298" i="11" s="1"/>
  <c r="C299" i="11" s="1"/>
  <c r="C300" i="11" s="1"/>
  <c r="G284" i="11"/>
  <c r="J284" i="11" s="1"/>
  <c r="L284" i="11" s="1"/>
  <c r="N284" i="11" s="1"/>
  <c r="G283" i="11"/>
  <c r="J283" i="11" s="1"/>
  <c r="L283" i="11" s="1"/>
  <c r="N283" i="11" s="1"/>
  <c r="G282" i="11"/>
  <c r="J282" i="11" s="1"/>
  <c r="L282" i="11" s="1"/>
  <c r="N282" i="11" s="1"/>
  <c r="G279" i="11"/>
  <c r="J279" i="11" s="1"/>
  <c r="L279" i="11" s="1"/>
  <c r="N279" i="11" s="1"/>
  <c r="G277" i="11"/>
  <c r="A278" i="11"/>
  <c r="A279" i="11" s="1"/>
  <c r="A280"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2" i="11" s="1"/>
  <c r="A353" i="11" s="1"/>
  <c r="A354" i="11" s="1"/>
  <c r="A355" i="11" s="1"/>
  <c r="A356" i="11" s="1"/>
  <c r="C349" i="11"/>
  <c r="C350" i="11" s="1"/>
  <c r="C351" i="11" s="1"/>
  <c r="C352" i="11" s="1"/>
  <c r="C353" i="11" s="1"/>
  <c r="C354" i="11" s="1"/>
  <c r="C355" i="11" s="1"/>
  <c r="C356" i="11" s="1"/>
  <c r="G348" i="11"/>
  <c r="J348" i="11" s="1"/>
  <c r="L348" i="11" s="1"/>
  <c r="N348" i="11" s="1"/>
  <c r="G347" i="11"/>
  <c r="J347" i="11" s="1"/>
  <c r="L347" i="11" s="1"/>
  <c r="N347" i="11" s="1"/>
  <c r="G346" i="11"/>
  <c r="J346" i="11" s="1"/>
  <c r="L346" i="11" s="1"/>
  <c r="N346" i="11" s="1"/>
  <c r="G345" i="11"/>
  <c r="J345" i="11" s="1"/>
  <c r="L345" i="11" s="1"/>
  <c r="N345" i="11" s="1"/>
  <c r="G344" i="11"/>
  <c r="J344" i="11" s="1"/>
  <c r="L344" i="11" s="1"/>
  <c r="N344" i="11" s="1"/>
  <c r="G343" i="11"/>
  <c r="J343" i="11" s="1"/>
  <c r="L343" i="11" s="1"/>
  <c r="N343" i="11" s="1"/>
  <c r="G342" i="11"/>
  <c r="J342" i="11" s="1"/>
  <c r="L342" i="11" s="1"/>
  <c r="N342" i="11" s="1"/>
  <c r="G341" i="11"/>
  <c r="J341" i="11" s="1"/>
  <c r="L341" i="11" s="1"/>
  <c r="N341" i="11" s="1"/>
  <c r="C341" i="11"/>
  <c r="C342" i="11" s="1"/>
  <c r="C343" i="11" s="1"/>
  <c r="C344" i="11" s="1"/>
  <c r="C345" i="11" s="1"/>
  <c r="C346" i="11" s="1"/>
  <c r="C347" i="11" s="1"/>
  <c r="C348" i="11" s="1"/>
  <c r="G340" i="11"/>
  <c r="J340" i="11" s="1"/>
  <c r="L340" i="11" s="1"/>
  <c r="N340" i="11" s="1"/>
  <c r="G339" i="11"/>
  <c r="J339" i="11" s="1"/>
  <c r="L339" i="11" s="1"/>
  <c r="N339" i="11" s="1"/>
  <c r="G338" i="11"/>
  <c r="J338" i="11" s="1"/>
  <c r="L338" i="11" s="1"/>
  <c r="N338" i="11" s="1"/>
  <c r="G337" i="11"/>
  <c r="J337" i="11" s="1"/>
  <c r="L337" i="11" s="1"/>
  <c r="N337" i="11" s="1"/>
  <c r="G336" i="11"/>
  <c r="J336" i="11" s="1"/>
  <c r="L336" i="11" s="1"/>
  <c r="N336" i="11" s="1"/>
  <c r="G335" i="11"/>
  <c r="J335" i="11" s="1"/>
  <c r="L335" i="11" s="1"/>
  <c r="N335" i="11" s="1"/>
  <c r="G334" i="11"/>
  <c r="J334" i="11" s="1"/>
  <c r="L334" i="11" s="1"/>
  <c r="N334" i="11" s="1"/>
  <c r="G333" i="11"/>
  <c r="J333" i="11" s="1"/>
  <c r="L333" i="11" s="1"/>
  <c r="N333" i="11" s="1"/>
  <c r="C333" i="11"/>
  <c r="C334" i="11" s="1"/>
  <c r="C335" i="11" s="1"/>
  <c r="C336" i="11" s="1"/>
  <c r="C337" i="11" s="1"/>
  <c r="C338" i="11" s="1"/>
  <c r="C339" i="11" s="1"/>
  <c r="C340" i="11" s="1"/>
  <c r="G332" i="11"/>
  <c r="G331" i="11"/>
  <c r="G330" i="11"/>
  <c r="G329" i="11"/>
  <c r="G328" i="11"/>
  <c r="G327" i="11"/>
  <c r="G326" i="11"/>
  <c r="G325" i="11"/>
  <c r="C325" i="11"/>
  <c r="C326" i="11" s="1"/>
  <c r="C327" i="11" s="1"/>
  <c r="C328" i="11" s="1"/>
  <c r="C329" i="11" s="1"/>
  <c r="C330" i="11" s="1"/>
  <c r="C331" i="11" s="1"/>
  <c r="C332" i="11" s="1"/>
  <c r="G324" i="11"/>
  <c r="J324" i="11" s="1"/>
  <c r="L324" i="11" s="1"/>
  <c r="N324" i="11" s="1"/>
  <c r="G323" i="11"/>
  <c r="J323" i="11" s="1"/>
  <c r="L323" i="11" s="1"/>
  <c r="N323" i="11" s="1"/>
  <c r="G322" i="11"/>
  <c r="J322" i="11" s="1"/>
  <c r="L322" i="11" s="1"/>
  <c r="N322" i="11" s="1"/>
  <c r="G321" i="11"/>
  <c r="J321" i="11" s="1"/>
  <c r="L321" i="11" s="1"/>
  <c r="N321" i="11" s="1"/>
  <c r="G320" i="11"/>
  <c r="J320" i="11" s="1"/>
  <c r="L320" i="11" s="1"/>
  <c r="N320" i="11" s="1"/>
  <c r="G319" i="11"/>
  <c r="J319" i="11" s="1"/>
  <c r="L319" i="11" s="1"/>
  <c r="N319" i="11" s="1"/>
  <c r="G317" i="11"/>
  <c r="J317" i="11" s="1"/>
  <c r="L317" i="11" s="1"/>
  <c r="N317" i="11" s="1"/>
  <c r="C317" i="11"/>
  <c r="C318" i="11" s="1"/>
  <c r="C319" i="11" s="1"/>
  <c r="C320" i="11" s="1"/>
  <c r="C321" i="11" s="1"/>
  <c r="C322" i="11" s="1"/>
  <c r="C323" i="11" s="1"/>
  <c r="C324" i="11" s="1"/>
  <c r="G316" i="11"/>
  <c r="J316" i="11" s="1"/>
  <c r="L316" i="11" s="1"/>
  <c r="N316" i="11" s="1"/>
  <c r="G315" i="11"/>
  <c r="J315" i="11" s="1"/>
  <c r="L315" i="11" s="1"/>
  <c r="N315" i="11" s="1"/>
  <c r="G314" i="11"/>
  <c r="H314" i="11" s="1"/>
  <c r="G313" i="11"/>
  <c r="H313" i="11" s="1"/>
  <c r="G312" i="11"/>
  <c r="J312" i="11" s="1"/>
  <c r="L312" i="11" s="1"/>
  <c r="N312" i="11" s="1"/>
  <c r="G311" i="11"/>
  <c r="H311" i="11" s="1"/>
  <c r="G310" i="11"/>
  <c r="J310" i="11" s="1"/>
  <c r="L310" i="11" s="1"/>
  <c r="N310" i="11" s="1"/>
  <c r="G309" i="11"/>
  <c r="H309" i="11" s="1"/>
  <c r="C309" i="11"/>
  <c r="C310" i="11" s="1"/>
  <c r="C311" i="11" s="1"/>
  <c r="C312" i="11" s="1"/>
  <c r="C313" i="11" s="1"/>
  <c r="C314" i="11" s="1"/>
  <c r="C315" i="11" s="1"/>
  <c r="C316" i="11" s="1"/>
  <c r="G308" i="11"/>
  <c r="J308" i="11" s="1"/>
  <c r="L308" i="11" s="1"/>
  <c r="N308" i="11" s="1"/>
  <c r="G307" i="11"/>
  <c r="J307" i="11" s="1"/>
  <c r="L307" i="11" s="1"/>
  <c r="N307" i="11" s="1"/>
  <c r="G292" i="11"/>
  <c r="J292" i="11" s="1"/>
  <c r="L292" i="11" s="1"/>
  <c r="N292" i="11" s="1"/>
  <c r="G291" i="11"/>
  <c r="J291" i="11" s="1"/>
  <c r="L291" i="11" s="1"/>
  <c r="N291" i="11" s="1"/>
  <c r="E269" i="11"/>
  <c r="I269" i="11" s="1"/>
  <c r="J269" i="11" s="1"/>
  <c r="K269" i="11" s="1"/>
  <c r="E268" i="11"/>
  <c r="I268" i="11" s="1"/>
  <c r="J268" i="11" s="1"/>
  <c r="K268" i="11" s="1"/>
  <c r="E267" i="11"/>
  <c r="I267" i="11" s="1"/>
  <c r="J267" i="11" s="1"/>
  <c r="K267" i="11" s="1"/>
  <c r="E266" i="11"/>
  <c r="I266" i="11" s="1"/>
  <c r="J266" i="11" s="1"/>
  <c r="K266" i="11" s="1"/>
  <c r="E265" i="11"/>
  <c r="I265" i="11" s="1"/>
  <c r="J265" i="11" s="1"/>
  <c r="K265" i="11" s="1"/>
  <c r="E264" i="11"/>
  <c r="I264" i="11" s="1"/>
  <c r="J264" i="11" s="1"/>
  <c r="K264" i="11" s="1"/>
  <c r="E263" i="11"/>
  <c r="I263" i="11" s="1"/>
  <c r="J263" i="11" s="1"/>
  <c r="K263" i="11" s="1"/>
  <c r="E262" i="11"/>
  <c r="I262" i="11" s="1"/>
  <c r="E261" i="11"/>
  <c r="I261" i="11" s="1"/>
  <c r="E260" i="11"/>
  <c r="I260" i="11" s="1"/>
  <c r="E259" i="11"/>
  <c r="I259" i="11" s="1"/>
  <c r="E258" i="11"/>
  <c r="I258" i="11" s="1"/>
  <c r="E257" i="11"/>
  <c r="I257" i="11" s="1"/>
  <c r="E256" i="11"/>
  <c r="I256" i="11" s="1"/>
  <c r="E255" i="11"/>
  <c r="I255" i="11" s="1"/>
  <c r="E254" i="11"/>
  <c r="I254" i="11" s="1"/>
  <c r="E253" i="11"/>
  <c r="I253" i="11" s="1"/>
  <c r="E252" i="11"/>
  <c r="I252" i="11" s="1"/>
  <c r="E251" i="11"/>
  <c r="I251" i="11" s="1"/>
  <c r="E250" i="11"/>
  <c r="I250" i="11" s="1"/>
  <c r="E249" i="11"/>
  <c r="I249" i="11" s="1"/>
  <c r="E248" i="11"/>
  <c r="I248" i="11" s="1"/>
  <c r="E247" i="11"/>
  <c r="I247" i="11" s="1"/>
  <c r="E246" i="11"/>
  <c r="I246" i="11" s="1"/>
  <c r="E245" i="11"/>
  <c r="I245" i="11" s="1"/>
  <c r="E244" i="11"/>
  <c r="I244" i="11" s="1"/>
  <c r="E243" i="11"/>
  <c r="I243" i="11" s="1"/>
  <c r="E242" i="11"/>
  <c r="I242" i="11" s="1"/>
  <c r="E241" i="11"/>
  <c r="I241" i="11" s="1"/>
  <c r="E240" i="11"/>
  <c r="I240" i="11" s="1"/>
  <c r="E239" i="11"/>
  <c r="I239" i="11" s="1"/>
  <c r="E238" i="11"/>
  <c r="I238" i="11" s="1"/>
  <c r="E237" i="11"/>
  <c r="I237" i="11" s="1"/>
  <c r="E236" i="11"/>
  <c r="E200" i="11"/>
  <c r="M188" i="11"/>
  <c r="M189" i="11" s="1"/>
  <c r="F188" i="11"/>
  <c r="F189" i="11" s="1"/>
  <c r="F186" i="11"/>
  <c r="G370" i="11"/>
  <c r="J370" i="11" s="1"/>
  <c r="L370" i="11" s="1"/>
  <c r="N370" i="11" s="1"/>
  <c r="G369" i="11"/>
  <c r="G368" i="11"/>
  <c r="J368" i="11" s="1"/>
  <c r="L368" i="11" s="1"/>
  <c r="N368" i="11" s="1"/>
  <c r="G367" i="11"/>
  <c r="J367" i="11" s="1"/>
  <c r="L367" i="11" s="1"/>
  <c r="N367" i="11" s="1"/>
  <c r="G366" i="11"/>
  <c r="G365" i="11"/>
  <c r="J365" i="11" s="1"/>
  <c r="L365" i="11" s="1"/>
  <c r="G306" i="11"/>
  <c r="J306" i="11" s="1"/>
  <c r="L306" i="11" s="1"/>
  <c r="N306" i="11" s="1"/>
  <c r="G305" i="11"/>
  <c r="J305" i="11" s="1"/>
  <c r="L305" i="11" s="1"/>
  <c r="N305" i="11" s="1"/>
  <c r="G304" i="11"/>
  <c r="J304" i="11" s="1"/>
  <c r="L304" i="11" s="1"/>
  <c r="N304" i="11" s="1"/>
  <c r="G303" i="11"/>
  <c r="J303" i="11" s="1"/>
  <c r="L303" i="11" s="1"/>
  <c r="N303" i="11" s="1"/>
  <c r="G302" i="11"/>
  <c r="J302" i="11" s="1"/>
  <c r="L302" i="11" s="1"/>
  <c r="N302" i="11" s="1"/>
  <c r="G301" i="11"/>
  <c r="J301" i="11" s="1"/>
  <c r="L301" i="11" s="1"/>
  <c r="N301" i="11" s="1"/>
  <c r="G290" i="11"/>
  <c r="J290" i="11" s="1"/>
  <c r="L290" i="11" s="1"/>
  <c r="N290" i="11" s="1"/>
  <c r="G289" i="11"/>
  <c r="J289" i="11" s="1"/>
  <c r="L289" i="11" s="1"/>
  <c r="N289" i="11" s="1"/>
  <c r="G288" i="11"/>
  <c r="G287" i="11"/>
  <c r="G286" i="11"/>
  <c r="J286" i="11" s="1"/>
  <c r="L286" i="11" s="1"/>
  <c r="N286" i="11" s="1"/>
  <c r="G285" i="11"/>
  <c r="J285" i="11" s="1"/>
  <c r="L285" i="11" s="1"/>
  <c r="N285" i="11" s="1"/>
  <c r="G278" i="11"/>
  <c r="N201" i="11" a="1"/>
  <c r="N365" i="11" l="1"/>
  <c r="I351" i="11"/>
  <c r="I354" i="11"/>
  <c r="I309" i="11"/>
  <c r="I356" i="11"/>
  <c r="I311" i="11"/>
  <c r="I353" i="11"/>
  <c r="I313" i="11"/>
  <c r="I355" i="11"/>
  <c r="I314" i="11"/>
  <c r="I349" i="11"/>
  <c r="I352" i="11"/>
  <c r="J287" i="11"/>
  <c r="L287" i="11" s="1"/>
  <c r="N287" i="11" s="1"/>
  <c r="Q287" i="11"/>
  <c r="J294" i="11"/>
  <c r="L294" i="11" s="1"/>
  <c r="N294" i="11" s="1"/>
  <c r="P294" i="11"/>
  <c r="H288" i="11"/>
  <c r="I288" i="11" s="1"/>
  <c r="Q288" i="11"/>
  <c r="F457" i="11"/>
  <c r="F462" i="11"/>
  <c r="H462" i="11"/>
  <c r="H366" i="11"/>
  <c r="I366" i="11" s="1"/>
  <c r="F461" i="11"/>
  <c r="H461" i="11"/>
  <c r="J278" i="11"/>
  <c r="L278" i="11" s="1"/>
  <c r="E224" i="11"/>
  <c r="E225" i="11" s="1"/>
  <c r="I224" i="11"/>
  <c r="E216" i="11"/>
  <c r="F456" i="11" s="1"/>
  <c r="H277" i="11"/>
  <c r="I277" i="11" s="1"/>
  <c r="J329" i="11"/>
  <c r="L329" i="11" s="1"/>
  <c r="N329" i="11" s="1"/>
  <c r="H293" i="11"/>
  <c r="H294" i="11"/>
  <c r="H295" i="11"/>
  <c r="H296" i="11"/>
  <c r="H297" i="11"/>
  <c r="H298" i="11"/>
  <c r="H299" i="11"/>
  <c r="H300" i="11"/>
  <c r="G280" i="11"/>
  <c r="J280" i="11" s="1"/>
  <c r="L280" i="11" s="1"/>
  <c r="N280" i="11" s="1"/>
  <c r="H330" i="11"/>
  <c r="J330" i="11"/>
  <c r="L330" i="11" s="1"/>
  <c r="N330" i="11" s="1"/>
  <c r="J327" i="11"/>
  <c r="L327" i="11" s="1"/>
  <c r="N327" i="11" s="1"/>
  <c r="H341" i="11"/>
  <c r="H342" i="11"/>
  <c r="H343" i="11"/>
  <c r="H344" i="11"/>
  <c r="H345" i="11"/>
  <c r="H346" i="11"/>
  <c r="H347" i="11"/>
  <c r="H348" i="11"/>
  <c r="H332" i="11"/>
  <c r="H329" i="11"/>
  <c r="J332" i="11"/>
  <c r="L332" i="11" s="1"/>
  <c r="N332" i="11" s="1"/>
  <c r="H325" i="11"/>
  <c r="J325" i="11"/>
  <c r="L325" i="11" s="1"/>
  <c r="N325" i="11" s="1"/>
  <c r="H328" i="11"/>
  <c r="J328" i="11"/>
  <c r="L328" i="11" s="1"/>
  <c r="N328" i="11" s="1"/>
  <c r="H331" i="11"/>
  <c r="H333" i="11"/>
  <c r="H334" i="11"/>
  <c r="H335" i="11"/>
  <c r="H336" i="11"/>
  <c r="H337" i="11"/>
  <c r="H338" i="11"/>
  <c r="H339" i="11"/>
  <c r="H340" i="11"/>
  <c r="H326" i="11"/>
  <c r="J331" i="11"/>
  <c r="L331" i="11" s="1"/>
  <c r="N331" i="11" s="1"/>
  <c r="J326" i="11"/>
  <c r="L326" i="11" s="1"/>
  <c r="N326" i="11" s="1"/>
  <c r="H327" i="11"/>
  <c r="H317" i="11"/>
  <c r="H319" i="11"/>
  <c r="H320" i="11"/>
  <c r="H321" i="11"/>
  <c r="H322" i="11"/>
  <c r="H323" i="11"/>
  <c r="H324" i="11"/>
  <c r="H315" i="11"/>
  <c r="H310" i="11"/>
  <c r="H312" i="11"/>
  <c r="H316" i="11"/>
  <c r="J309" i="11"/>
  <c r="L309" i="11" s="1"/>
  <c r="N309" i="11" s="1"/>
  <c r="J311" i="11"/>
  <c r="L311" i="11" s="1"/>
  <c r="N311" i="11" s="1"/>
  <c r="J313" i="11"/>
  <c r="L313" i="11" s="1"/>
  <c r="N313" i="11" s="1"/>
  <c r="J314" i="11"/>
  <c r="L314" i="11" s="1"/>
  <c r="N314" i="11" s="1"/>
  <c r="H307" i="11"/>
  <c r="H308" i="11"/>
  <c r="H291" i="11"/>
  <c r="H292" i="11"/>
  <c r="H279" i="11"/>
  <c r="H282" i="11"/>
  <c r="H283" i="11"/>
  <c r="H284" i="11"/>
  <c r="I236" i="11"/>
  <c r="J277" i="11"/>
  <c r="L277" i="11" s="1"/>
  <c r="N201" i="11"/>
  <c r="H304" i="11"/>
  <c r="I304" i="11" s="1"/>
  <c r="J366" i="11"/>
  <c r="L366" i="11" s="1"/>
  <c r="J369" i="11"/>
  <c r="L369" i="11" s="1"/>
  <c r="N369" i="11" s="1"/>
  <c r="H367" i="11"/>
  <c r="I367" i="11" s="1"/>
  <c r="H370" i="11"/>
  <c r="I370" i="11" s="1"/>
  <c r="H369" i="11"/>
  <c r="I369" i="11" s="1"/>
  <c r="H365" i="11"/>
  <c r="I365" i="11" s="1"/>
  <c r="H368" i="11"/>
  <c r="I368" i="11" s="1"/>
  <c r="H301" i="11"/>
  <c r="I301" i="11" s="1"/>
  <c r="J288" i="11"/>
  <c r="L288" i="11" s="1"/>
  <c r="N288" i="11" s="1"/>
  <c r="H286" i="11"/>
  <c r="I286" i="11" s="1"/>
  <c r="H289" i="11"/>
  <c r="I289" i="11" s="1"/>
  <c r="H302" i="11"/>
  <c r="I302" i="11" s="1"/>
  <c r="H305" i="11"/>
  <c r="I305" i="11" s="1"/>
  <c r="H285" i="11"/>
  <c r="I285" i="11" s="1"/>
  <c r="H278" i="11"/>
  <c r="H287" i="11"/>
  <c r="I287" i="11" s="1"/>
  <c r="H290" i="11"/>
  <c r="I290" i="11" s="1"/>
  <c r="H303" i="11"/>
  <c r="I303" i="11" s="1"/>
  <c r="H306" i="11"/>
  <c r="I306" i="11" s="1"/>
  <c r="N277" i="11" l="1"/>
  <c r="R277" i="11"/>
  <c r="M458" i="11"/>
  <c r="N366" i="11"/>
  <c r="M461" i="11"/>
  <c r="N278" i="11"/>
  <c r="M462" i="11"/>
  <c r="H463" i="11"/>
  <c r="I322" i="11"/>
  <c r="I283" i="11"/>
  <c r="I317" i="11"/>
  <c r="I328" i="11"/>
  <c r="I330" i="11"/>
  <c r="I298" i="11"/>
  <c r="I329" i="11"/>
  <c r="I278" i="11"/>
  <c r="I282" i="11"/>
  <c r="I326" i="11"/>
  <c r="I297" i="11"/>
  <c r="I327" i="11"/>
  <c r="I340" i="11"/>
  <c r="I325" i="11"/>
  <c r="I348" i="11"/>
  <c r="I296" i="11"/>
  <c r="I279" i="11"/>
  <c r="I339" i="11"/>
  <c r="I347" i="11"/>
  <c r="I295" i="11"/>
  <c r="I338" i="11"/>
  <c r="I346" i="11"/>
  <c r="I294" i="11"/>
  <c r="I292" i="11"/>
  <c r="I337" i="11"/>
  <c r="I332" i="11"/>
  <c r="I345" i="11"/>
  <c r="I293" i="11"/>
  <c r="I291" i="11"/>
  <c r="I324" i="11"/>
  <c r="I336" i="11"/>
  <c r="I344" i="11"/>
  <c r="I316" i="11"/>
  <c r="I323" i="11"/>
  <c r="I335" i="11"/>
  <c r="I343" i="11"/>
  <c r="I342" i="11"/>
  <c r="I321" i="11"/>
  <c r="I333" i="11"/>
  <c r="I341" i="11"/>
  <c r="I334" i="11"/>
  <c r="I307" i="11"/>
  <c r="I315" i="11"/>
  <c r="I320" i="11"/>
  <c r="I331" i="11"/>
  <c r="I300" i="11"/>
  <c r="I312" i="11"/>
  <c r="I308" i="11"/>
  <c r="I310" i="11"/>
  <c r="I284" i="11"/>
  <c r="I319" i="11"/>
  <c r="I299" i="11"/>
  <c r="F463" i="11"/>
  <c r="J461" i="11"/>
  <c r="H458" i="11"/>
  <c r="J462" i="11"/>
  <c r="F458" i="11"/>
  <c r="F459" i="11" s="1"/>
  <c r="J457" i="11"/>
  <c r="J236" i="11"/>
  <c r="I216" i="11"/>
  <c r="H456" i="11" s="1"/>
  <c r="I220" i="11"/>
  <c r="E217" i="11"/>
  <c r="L224" i="11"/>
  <c r="E220" i="11"/>
  <c r="E221" i="11" s="1"/>
  <c r="H280" i="11"/>
  <c r="G212" i="11"/>
  <c r="G211" i="11"/>
  <c r="G210" i="11"/>
  <c r="G209" i="11"/>
  <c r="G208" i="11"/>
  <c r="G207" i="11"/>
  <c r="G206" i="11"/>
  <c r="J237" i="11"/>
  <c r="K237" i="11" s="1"/>
  <c r="J238" i="11"/>
  <c r="K238" i="11" s="1"/>
  <c r="J239" i="11"/>
  <c r="K239" i="11" s="1"/>
  <c r="J240" i="11"/>
  <c r="K240" i="11" s="1"/>
  <c r="J241" i="11"/>
  <c r="K241" i="11" s="1"/>
  <c r="J242" i="11"/>
  <c r="K242" i="11" s="1"/>
  <c r="J243" i="11"/>
  <c r="K243" i="11" s="1"/>
  <c r="J244" i="11"/>
  <c r="K244" i="11" s="1"/>
  <c r="J245" i="11"/>
  <c r="K245" i="11" s="1"/>
  <c r="J246" i="11"/>
  <c r="K246" i="11" s="1"/>
  <c r="J247" i="11"/>
  <c r="K247" i="11" s="1"/>
  <c r="J248" i="11"/>
  <c r="K248" i="11" s="1"/>
  <c r="J249" i="11"/>
  <c r="K249" i="11" s="1"/>
  <c r="J250" i="11"/>
  <c r="K250" i="11" s="1"/>
  <c r="J251" i="11"/>
  <c r="K251" i="11" s="1"/>
  <c r="J252" i="11"/>
  <c r="K252" i="11" s="1"/>
  <c r="J253" i="11"/>
  <c r="K253" i="11" s="1"/>
  <c r="J254" i="11"/>
  <c r="K254" i="11" s="1"/>
  <c r="J255" i="11"/>
  <c r="K255" i="11" s="1"/>
  <c r="J256" i="11"/>
  <c r="K256" i="11" s="1"/>
  <c r="J257" i="11"/>
  <c r="K257" i="11" s="1"/>
  <c r="J258" i="11"/>
  <c r="K258" i="11" s="1"/>
  <c r="J259" i="11"/>
  <c r="K259" i="11" s="1"/>
  <c r="J260" i="11"/>
  <c r="K260" i="11" s="1"/>
  <c r="J261" i="11"/>
  <c r="K261" i="11" s="1"/>
  <c r="J262" i="11"/>
  <c r="K262" i="11" s="1"/>
  <c r="M463" i="11" l="1"/>
  <c r="I470" i="11" s="1"/>
  <c r="I280" i="11"/>
  <c r="H459" i="11"/>
  <c r="J458" i="11"/>
  <c r="J463" i="11"/>
  <c r="L220" i="11"/>
  <c r="E226" i="11"/>
  <c r="I226" i="11"/>
  <c r="K236" i="11"/>
  <c r="L216" i="11"/>
  <c r="J456" i="11" s="1"/>
  <c r="J459" i="11" s="1"/>
  <c r="I141" i="11"/>
  <c r="I138" i="11"/>
  <c r="L226" i="11" l="1"/>
  <c r="M456" i="11" l="1"/>
  <c r="M459" i="11" s="1"/>
  <c r="I466" i="11" s="1"/>
  <c r="I471" i="11" l="1"/>
  <c r="I511" i="11"/>
  <c r="L225" i="11"/>
  <c r="I225" i="11"/>
  <c r="L221" i="11"/>
  <c r="I221" i="11"/>
  <c r="I217" i="11"/>
  <c r="L217" i="11"/>
  <c r="D188" i="11" l="1"/>
  <c r="I111" i="11"/>
  <c r="I79" i="11"/>
  <c r="I102" i="11" s="1"/>
  <c r="K992" i="11" l="1"/>
  <c r="L913" i="11"/>
  <c r="M48" i="11"/>
  <c r="G213" i="11"/>
  <c r="P211" i="11"/>
  <c r="P210" i="11"/>
  <c r="P209" i="11"/>
  <c r="P208" i="11"/>
  <c r="P206" i="11"/>
  <c r="P207" i="11" s="1"/>
  <c r="P212" i="11" s="1"/>
  <c r="P213" i="11" s="1"/>
  <c r="P205" i="11"/>
  <c r="P204" i="11"/>
  <c r="E204" i="11" s="1"/>
  <c r="P203" i="11"/>
  <c r="G205" i="11" l="1"/>
  <c r="J204" i="11"/>
  <c r="I112" i="11"/>
  <c r="G204" i="11" l="1"/>
  <c r="O200" i="11" s="1"/>
  <c r="E202" i="11" s="1"/>
  <c r="L204" i="11"/>
  <c r="I57" i="11"/>
  <c r="H16" i="16" l="1"/>
  <c r="H15" i="16"/>
  <c r="H14" i="16"/>
  <c r="H13" i="16"/>
  <c r="F6" i="16"/>
  <c r="D18" i="16" l="1"/>
  <c r="D12" i="16"/>
  <c r="H11" i="16"/>
  <c r="H12" i="16" s="1"/>
  <c r="H17" i="16" s="1"/>
  <c r="H18" i="16" s="1"/>
  <c r="E9" i="16"/>
  <c r="G5" i="16" s="1"/>
  <c r="B7" i="16" s="1"/>
  <c r="H8" i="16"/>
  <c r="D13" i="16"/>
  <c r="D17" i="16"/>
  <c r="D11" i="16"/>
  <c r="H10" i="16"/>
  <c r="D16" i="16"/>
  <c r="D10" i="16"/>
  <c r="D15" i="16"/>
  <c r="D9" i="16"/>
  <c r="D14" i="16"/>
  <c r="H9" i="16"/>
  <c r="C365" i="11" l="1"/>
  <c r="C301" i="11"/>
  <c r="C285" i="11"/>
  <c r="C277" i="11"/>
  <c r="C366" i="11" l="1"/>
  <c r="C367" i="11" s="1"/>
  <c r="C368" i="11" s="1"/>
  <c r="C369" i="11" s="1"/>
  <c r="C370" i="11" s="1"/>
  <c r="C371" i="11" s="1"/>
  <c r="C372" i="11" s="1"/>
  <c r="C302" i="11" l="1"/>
  <c r="C303" i="11" s="1"/>
  <c r="C304" i="11" s="1"/>
  <c r="C305" i="11" s="1"/>
  <c r="C306" i="11" s="1"/>
  <c r="C307" i="11" s="1"/>
  <c r="C308" i="11" s="1"/>
  <c r="C286" i="11"/>
  <c r="C287" i="11" s="1"/>
  <c r="C288" i="11" s="1"/>
  <c r="C289" i="11" s="1"/>
  <c r="C290" i="11" s="1"/>
  <c r="C291" i="11" s="1"/>
  <c r="C292" i="11" s="1"/>
  <c r="C278" i="11"/>
  <c r="C279" i="11" s="1"/>
  <c r="C280" i="11" s="1"/>
  <c r="C281" i="11" s="1"/>
  <c r="C282" i="11" s="1"/>
  <c r="C283" i="11" s="1"/>
  <c r="C284" i="11" s="1"/>
  <c r="M141" i="11" l="1"/>
  <c r="M138" i="11"/>
  <c r="A517" i="11"/>
  <c r="A518" i="11" s="1"/>
  <c r="A519" i="11" s="1"/>
  <c r="A520" i="11" s="1"/>
  <c r="A521" i="11" s="1"/>
  <c r="A522" i="11" l="1"/>
  <c r="P236" i="11"/>
  <c r="A523" i="11" l="1"/>
  <c r="A524" i="11" s="1"/>
  <c r="A525" i="11" l="1"/>
  <c r="A237" i="1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l="1"/>
  <c r="A264" i="11" s="1"/>
  <c r="A265" i="11" s="1"/>
  <c r="A266" i="11" s="1"/>
  <c r="A267" i="11" s="1"/>
  <c r="A268" i="11" s="1"/>
  <c r="A269" i="11" s="1"/>
  <c r="I73" i="11"/>
  <c r="I467" i="11" l="1"/>
  <c r="A942" i="11"/>
  <c r="A943" i="11" s="1"/>
  <c r="A944" i="11" s="1"/>
  <c r="A945" i="11" s="1"/>
  <c r="A946" i="11" s="1"/>
  <c r="H527" i="11" l="1"/>
  <c r="I152" i="11" l="1"/>
  <c r="I144" i="11"/>
  <c r="J161" i="14" l="1"/>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4" i="14"/>
  <c r="J23" i="14"/>
  <c r="J22" i="14"/>
  <c r="J21" i="14"/>
  <c r="J20" i="14"/>
  <c r="J19" i="14"/>
  <c r="J18" i="14"/>
  <c r="J17" i="14"/>
  <c r="J16" i="14"/>
  <c r="J15" i="14"/>
  <c r="J14" i="14"/>
  <c r="J13" i="14"/>
  <c r="J12" i="14"/>
  <c r="J11" i="14"/>
  <c r="J10" i="14"/>
  <c r="J9" i="14"/>
  <c r="J8" i="14"/>
  <c r="J7" i="14"/>
  <c r="J6" i="14"/>
  <c r="J5" i="14"/>
  <c r="J4" i="14"/>
  <c r="H5" i="2" l="1"/>
  <c r="I5" i="2" s="1"/>
  <c r="G8" i="2"/>
  <c r="G11" i="2"/>
  <c r="I7" i="2"/>
  <c r="I8" i="2"/>
  <c r="I9" i="2"/>
  <c r="I10" i="2"/>
  <c r="I11" i="2"/>
  <c r="I6" i="2"/>
  <c r="G161" i="14" l="1"/>
  <c r="G160" i="14"/>
  <c r="G159" i="14"/>
  <c r="G158" i="14"/>
  <c r="G157" i="14"/>
  <c r="G156" i="14"/>
  <c r="G155" i="14"/>
  <c r="G154" i="14"/>
  <c r="G152" i="14"/>
  <c r="G151" i="14"/>
  <c r="G150" i="14"/>
  <c r="G149" i="14"/>
  <c r="G141" i="14"/>
  <c r="G140" i="14"/>
  <c r="G139" i="14"/>
  <c r="G138" i="14"/>
  <c r="G137" i="14"/>
  <c r="G136" i="14"/>
  <c r="G135" i="14"/>
  <c r="G134" i="14"/>
  <c r="G132" i="14"/>
  <c r="G131" i="14"/>
  <c r="G130" i="14"/>
  <c r="G129" i="14"/>
  <c r="G121" i="14"/>
  <c r="G120" i="14"/>
  <c r="G119" i="14"/>
  <c r="G118" i="14"/>
  <c r="G117" i="14"/>
  <c r="G116" i="14"/>
  <c r="G115" i="14"/>
  <c r="G114" i="14"/>
  <c r="G112" i="14"/>
  <c r="G111" i="14"/>
  <c r="G110" i="14"/>
  <c r="G109"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D111" i="14"/>
  <c r="D121" i="14" s="1"/>
  <c r="D131" i="14" s="1"/>
  <c r="D141" i="14" s="1"/>
  <c r="D151" i="14" s="1"/>
  <c r="D161" i="14" s="1"/>
  <c r="G101" i="14"/>
  <c r="G100" i="14"/>
  <c r="G99" i="14"/>
  <c r="G98" i="14"/>
  <c r="G97" i="14"/>
  <c r="G96" i="14"/>
  <c r="G95" i="14"/>
  <c r="G94" i="14"/>
  <c r="G92" i="14"/>
  <c r="F101" i="14"/>
  <c r="F100" i="14"/>
  <c r="F99" i="14"/>
  <c r="F98" i="14"/>
  <c r="F97" i="14"/>
  <c r="F96" i="14"/>
  <c r="F95" i="14"/>
  <c r="F94" i="14"/>
  <c r="F93" i="14"/>
  <c r="F92" i="14"/>
  <c r="D110" i="14"/>
  <c r="D120" i="14" s="1"/>
  <c r="D130" i="14" s="1"/>
  <c r="D140" i="14" s="1"/>
  <c r="D150" i="14" s="1"/>
  <c r="D160" i="14" s="1"/>
  <c r="D109" i="14"/>
  <c r="D119" i="14" s="1"/>
  <c r="D129" i="14" s="1"/>
  <c r="D139" i="14" s="1"/>
  <c r="D149" i="14" s="1"/>
  <c r="D159" i="14" s="1"/>
  <c r="D108" i="14"/>
  <c r="D118" i="14" s="1"/>
  <c r="D128" i="14" s="1"/>
  <c r="D138" i="14" s="1"/>
  <c r="D148" i="14" s="1"/>
  <c r="D158" i="14" s="1"/>
  <c r="D107" i="14"/>
  <c r="D117" i="14" s="1"/>
  <c r="D127" i="14" s="1"/>
  <c r="D137" i="14" s="1"/>
  <c r="D147" i="14" s="1"/>
  <c r="D157" i="14" s="1"/>
  <c r="D106" i="14"/>
  <c r="D116" i="14" s="1"/>
  <c r="D126" i="14" s="1"/>
  <c r="D136" i="14" s="1"/>
  <c r="D146" i="14" s="1"/>
  <c r="D156" i="14" s="1"/>
  <c r="D105" i="14"/>
  <c r="D115" i="14" s="1"/>
  <c r="D125" i="14" s="1"/>
  <c r="D135" i="14" s="1"/>
  <c r="D145" i="14" s="1"/>
  <c r="D155" i="14" s="1"/>
  <c r="D104" i="14"/>
  <c r="D114" i="14" s="1"/>
  <c r="D124" i="14" s="1"/>
  <c r="D134" i="14" s="1"/>
  <c r="D144" i="14" s="1"/>
  <c r="D154" i="14" s="1"/>
  <c r="D103" i="14"/>
  <c r="D113" i="14" s="1"/>
  <c r="D123" i="14" s="1"/>
  <c r="D133" i="14" s="1"/>
  <c r="D143" i="14" s="1"/>
  <c r="D153" i="14" s="1"/>
  <c r="D102" i="14"/>
  <c r="D112" i="14" s="1"/>
  <c r="D122" i="14" s="1"/>
  <c r="D132" i="14" s="1"/>
  <c r="D142" i="14" s="1"/>
  <c r="D152" i="14" s="1"/>
  <c r="G89" i="14"/>
  <c r="F89" i="14"/>
  <c r="G88" i="14"/>
  <c r="F88" i="14"/>
  <c r="G87" i="14"/>
  <c r="F87" i="14"/>
  <c r="G86" i="14"/>
  <c r="F86" i="14"/>
  <c r="G85" i="14"/>
  <c r="F85" i="14"/>
  <c r="G84" i="14"/>
  <c r="F84" i="14"/>
  <c r="F83" i="14"/>
  <c r="G82" i="14"/>
  <c r="F82" i="14"/>
  <c r="G81" i="14"/>
  <c r="F81" i="14"/>
  <c r="G80" i="14"/>
  <c r="F80" i="14"/>
  <c r="F79" i="14"/>
  <c r="F78" i="14"/>
  <c r="F77" i="14"/>
  <c r="F76" i="14"/>
  <c r="F75" i="14"/>
  <c r="F74" i="14"/>
  <c r="F73" i="14"/>
  <c r="F72" i="14"/>
  <c r="G71" i="14"/>
  <c r="F71" i="14"/>
  <c r="G70" i="14"/>
  <c r="F70" i="14"/>
  <c r="G69" i="14"/>
  <c r="F69" i="14"/>
  <c r="G68" i="14"/>
  <c r="F68" i="14"/>
  <c r="G67" i="14"/>
  <c r="F67" i="14"/>
  <c r="G66" i="14"/>
  <c r="F66" i="14"/>
  <c r="F65" i="14"/>
  <c r="G64" i="14"/>
  <c r="F64" i="14"/>
  <c r="G63" i="14"/>
  <c r="F63" i="14"/>
  <c r="G62" i="14"/>
  <c r="F62" i="14"/>
  <c r="F61" i="14"/>
  <c r="F60" i="14"/>
  <c r="F59" i="14"/>
  <c r="F58" i="14"/>
  <c r="F57" i="14"/>
  <c r="F56" i="14"/>
  <c r="F55" i="14"/>
  <c r="F54" i="14"/>
  <c r="G53" i="14"/>
  <c r="F53" i="14"/>
  <c r="G52" i="14"/>
  <c r="F52" i="14"/>
  <c r="G51" i="14"/>
  <c r="F51" i="14"/>
  <c r="G50" i="14"/>
  <c r="F50" i="14"/>
  <c r="G49" i="14"/>
  <c r="F49" i="14"/>
  <c r="G48" i="14"/>
  <c r="F48" i="14"/>
  <c r="F47" i="14"/>
  <c r="G46" i="14"/>
  <c r="F46" i="14"/>
  <c r="G45" i="14"/>
  <c r="F45" i="14"/>
  <c r="G44" i="14"/>
  <c r="D38" i="14"/>
  <c r="D47" i="14" s="1"/>
  <c r="D56" i="14" s="1"/>
  <c r="D65" i="14" s="1"/>
  <c r="D74" i="14" s="1"/>
  <c r="D83" i="14" s="1"/>
  <c r="D39" i="14"/>
  <c r="D48" i="14" s="1"/>
  <c r="D57" i="14" s="1"/>
  <c r="D66" i="14" s="1"/>
  <c r="D75" i="14" s="1"/>
  <c r="D84" i="14" s="1"/>
  <c r="D40" i="14"/>
  <c r="D49" i="14" s="1"/>
  <c r="D58" i="14" s="1"/>
  <c r="D67" i="14" s="1"/>
  <c r="D76" i="14" s="1"/>
  <c r="D85" i="14" s="1"/>
  <c r="D41" i="14"/>
  <c r="D50" i="14" s="1"/>
  <c r="D59" i="14" s="1"/>
  <c r="D68" i="14" s="1"/>
  <c r="D77" i="14" s="1"/>
  <c r="D86" i="14" s="1"/>
  <c r="D42" i="14"/>
  <c r="D51" i="14" s="1"/>
  <c r="D60" i="14" s="1"/>
  <c r="D69" i="14" s="1"/>
  <c r="D78" i="14" s="1"/>
  <c r="D87" i="14" s="1"/>
  <c r="D43" i="14"/>
  <c r="D52" i="14" s="1"/>
  <c r="D61" i="14" s="1"/>
  <c r="D70" i="14" s="1"/>
  <c r="D79" i="14" s="1"/>
  <c r="D88" i="14" s="1"/>
  <c r="D44" i="14"/>
  <c r="D53" i="14" s="1"/>
  <c r="D62" i="14" s="1"/>
  <c r="D71" i="14" s="1"/>
  <c r="D80" i="14" s="1"/>
  <c r="D89" i="14" s="1"/>
  <c r="D37" i="14"/>
  <c r="D46" i="14" s="1"/>
  <c r="D55" i="14" s="1"/>
  <c r="D64" i="14" s="1"/>
  <c r="D73" i="14" s="1"/>
  <c r="D82" i="14" s="1"/>
  <c r="D36" i="14"/>
  <c r="D45" i="14" s="1"/>
  <c r="D54" i="14" s="1"/>
  <c r="D63" i="14" s="1"/>
  <c r="D72" i="14" s="1"/>
  <c r="D81" i="14" s="1"/>
  <c r="F44" i="14"/>
  <c r="F43" i="14"/>
  <c r="F42" i="14"/>
  <c r="F41" i="14"/>
  <c r="F40" i="14"/>
  <c r="F39" i="14"/>
  <c r="F38" i="14"/>
  <c r="F37" i="14"/>
  <c r="F36" i="14"/>
  <c r="G35" i="14"/>
  <c r="G34" i="14"/>
  <c r="G33" i="14"/>
  <c r="G32" i="14"/>
  <c r="G31" i="14"/>
  <c r="G30" i="14"/>
  <c r="G28" i="14"/>
  <c r="G27" i="14"/>
  <c r="F35" i="14"/>
  <c r="F34" i="14"/>
  <c r="F33" i="14"/>
  <c r="F32" i="14"/>
  <c r="F31" i="14"/>
  <c r="F30" i="14"/>
  <c r="F29" i="14"/>
  <c r="F28" i="14"/>
  <c r="F27" i="14"/>
  <c r="G24" i="14"/>
  <c r="F24" i="14"/>
  <c r="G23" i="14"/>
  <c r="F23" i="14"/>
  <c r="F22" i="14"/>
  <c r="F21" i="14"/>
  <c r="F20" i="14"/>
  <c r="F19" i="14"/>
  <c r="G18" i="14"/>
  <c r="F18" i="14"/>
  <c r="G17" i="14"/>
  <c r="F17" i="14"/>
  <c r="F16" i="14"/>
  <c r="F15" i="14"/>
  <c r="F14" i="14"/>
  <c r="F13" i="14"/>
  <c r="G12" i="14"/>
  <c r="F12" i="14"/>
  <c r="G11" i="14"/>
  <c r="F11" i="14"/>
  <c r="F10" i="14"/>
  <c r="D9" i="14"/>
  <c r="D12" i="14" s="1"/>
  <c r="D15" i="14" s="1"/>
  <c r="D18" i="14" s="1"/>
  <c r="D21" i="14" s="1"/>
  <c r="D24" i="14" s="1"/>
  <c r="D8" i="14"/>
  <c r="D11" i="14" s="1"/>
  <c r="D14" i="14" s="1"/>
  <c r="D17" i="14" s="1"/>
  <c r="D20" i="14" s="1"/>
  <c r="D23" i="14" s="1"/>
  <c r="D7" i="14"/>
  <c r="D10" i="14" s="1"/>
  <c r="D13" i="14" s="1"/>
  <c r="D16" i="14" s="1"/>
  <c r="D19" i="14" s="1"/>
  <c r="D22" i="14" s="1"/>
  <c r="G6" i="14"/>
  <c r="F6" i="14"/>
  <c r="F5" i="14"/>
  <c r="G5" i="14"/>
  <c r="F7" i="14"/>
  <c r="F8" i="14"/>
  <c r="F9" i="14"/>
  <c r="F4" i="14"/>
  <c r="H6" i="12" l="1"/>
  <c r="H7" i="12" s="1"/>
  <c r="J13" i="12" s="1"/>
  <c r="I6" i="12"/>
  <c r="I7" i="12"/>
  <c r="J14" i="12" s="1"/>
  <c r="B8" i="12"/>
  <c r="J6" i="12" s="1"/>
  <c r="I15" i="12" s="1"/>
  <c r="B10" i="12"/>
  <c r="K7" i="12" s="1"/>
  <c r="J16" i="12" s="1"/>
  <c r="B12" i="12"/>
  <c r="L7" i="12" s="1"/>
  <c r="J17" i="12" s="1"/>
  <c r="B14" i="12"/>
  <c r="M6" i="12" s="1"/>
  <c r="I18" i="12" s="1"/>
  <c r="I14" i="12"/>
  <c r="B16" i="12"/>
  <c r="N6" i="12" s="1"/>
  <c r="I19" i="12" s="1"/>
  <c r="N7" i="12" l="1"/>
  <c r="J19" i="12" s="1"/>
  <c r="M7" i="12"/>
  <c r="J18" i="12" s="1"/>
  <c r="J7" i="12"/>
  <c r="J15" i="12" s="1"/>
  <c r="I13" i="12"/>
  <c r="L6" i="12"/>
  <c r="I17" i="12" s="1"/>
  <c r="I12" i="2"/>
  <c r="K6" i="12"/>
  <c r="I16" i="12" s="1"/>
  <c r="I20" i="12"/>
  <c r="J2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A8" authorId="0" shapeId="0" xr:uid="{00000000-0006-0000-0000-000001000000}">
      <text>
        <r>
          <rPr>
            <b/>
            <sz val="9"/>
            <color indexed="81"/>
            <rFont val="Tahoma"/>
            <family val="2"/>
          </rPr>
          <t>SACHIN:</t>
        </r>
        <r>
          <rPr>
            <sz val="9"/>
            <color indexed="81"/>
            <rFont val="Tahoma"/>
            <family val="2"/>
          </rPr>
          <t xml:space="preserve">
</t>
        </r>
        <r>
          <rPr>
            <sz val="16"/>
            <color indexed="81"/>
            <rFont val="Tahoma"/>
            <family val="2"/>
          </rPr>
          <t>Project Name</t>
        </r>
      </text>
    </comment>
    <comment ref="A9" authorId="0" shapeId="0" xr:uid="{00000000-0006-0000-0000-000002000000}">
      <text>
        <r>
          <rPr>
            <b/>
            <sz val="9"/>
            <color indexed="81"/>
            <rFont val="Tahoma"/>
            <family val="2"/>
          </rPr>
          <t>SACHIN:</t>
        </r>
        <r>
          <rPr>
            <sz val="9"/>
            <color indexed="81"/>
            <rFont val="Tahoma"/>
            <family val="2"/>
          </rPr>
          <t xml:space="preserve">
</t>
        </r>
        <r>
          <rPr>
            <sz val="16"/>
            <color indexed="81"/>
            <rFont val="Tahoma"/>
            <family val="2"/>
          </rPr>
          <t>Project Legal Address</t>
        </r>
      </text>
    </comment>
    <comment ref="I56" authorId="0" shapeId="0" xr:uid="{00000000-0006-0000-0000-000004000000}">
      <text>
        <r>
          <rPr>
            <b/>
            <sz val="9"/>
            <color indexed="81"/>
            <rFont val="Tahoma"/>
            <family val="2"/>
          </rPr>
          <t>SACHIN:</t>
        </r>
        <r>
          <rPr>
            <sz val="9"/>
            <color indexed="81"/>
            <rFont val="Tahoma"/>
            <family val="2"/>
          </rPr>
          <t xml:space="preserve">
Visit Date</t>
        </r>
      </text>
    </comment>
    <comment ref="I58" authorId="0" shapeId="0" xr:uid="{00000000-0006-0000-0000-000005000000}">
      <text>
        <r>
          <rPr>
            <b/>
            <sz val="9"/>
            <color indexed="81"/>
            <rFont val="Tahoma"/>
            <family val="2"/>
          </rPr>
          <t>SACHIN:</t>
        </r>
        <r>
          <rPr>
            <sz val="9"/>
            <color indexed="81"/>
            <rFont val="Tahoma"/>
            <family val="2"/>
          </rPr>
          <t xml:space="preserve">
All documents name
Layout plan, floor plan CC and other NOC with Name n no</t>
        </r>
      </text>
    </comment>
    <comment ref="I60" authorId="0" shapeId="0" xr:uid="{00000000-0006-0000-0000-000006000000}">
      <text>
        <r>
          <rPr>
            <b/>
            <sz val="9"/>
            <color indexed="81"/>
            <rFont val="Tahoma"/>
            <family val="2"/>
          </rPr>
          <t>SACHIN:</t>
        </r>
        <r>
          <rPr>
            <sz val="9"/>
            <color indexed="81"/>
            <rFont val="Tahoma"/>
            <family val="2"/>
          </rPr>
          <t xml:space="preserve">
Project Name, Location, Marketbility, Total Flats, range of carpet etc</t>
        </r>
      </text>
    </comment>
    <comment ref="I105" authorId="0" shapeId="0" xr:uid="{00000000-0006-0000-0000-000007000000}">
      <text>
        <r>
          <rPr>
            <b/>
            <sz val="9"/>
            <color indexed="81"/>
            <rFont val="Tahoma"/>
            <family val="2"/>
          </rPr>
          <t>2 School
2 Shopping Centre or mall
2 Hospital</t>
        </r>
        <r>
          <rPr>
            <sz val="9"/>
            <color indexed="81"/>
            <rFont val="Tahoma"/>
            <family val="2"/>
          </rPr>
          <t xml:space="preserve">
</t>
        </r>
      </text>
    </comment>
    <comment ref="I106" authorId="0" shapeId="0" xr:uid="{00000000-0006-0000-0000-000008000000}">
      <text>
        <r>
          <rPr>
            <b/>
            <sz val="9"/>
            <color indexed="81"/>
            <rFont val="Tahoma"/>
            <family val="2"/>
          </rPr>
          <t>2 School
2 Shopping Centre or mall
2 Hospital</t>
        </r>
        <r>
          <rPr>
            <sz val="9"/>
            <color indexed="81"/>
            <rFont val="Tahoma"/>
            <family val="2"/>
          </rPr>
          <t xml:space="preserve">
</t>
        </r>
      </text>
    </comment>
    <comment ref="I107" authorId="0" shapeId="0" xr:uid="{00000000-0006-0000-0000-000009000000}">
      <text>
        <r>
          <rPr>
            <b/>
            <sz val="9"/>
            <color indexed="81"/>
            <rFont val="Tahoma"/>
            <family val="2"/>
          </rPr>
          <t>2 School
2 Shopping Centre or mall
2 Hospital</t>
        </r>
        <r>
          <rPr>
            <sz val="9"/>
            <color indexed="81"/>
            <rFont val="Tahoma"/>
            <family val="2"/>
          </rPr>
          <t xml:space="preserve">
</t>
        </r>
      </text>
    </comment>
    <comment ref="I108" authorId="0" shapeId="0" xr:uid="{00000000-0006-0000-0000-00000A000000}">
      <text>
        <r>
          <rPr>
            <b/>
            <sz val="9"/>
            <color indexed="81"/>
            <rFont val="Tahoma"/>
            <family val="2"/>
          </rPr>
          <t>2 School
2 Shopping Centre or mall
2 Hospital</t>
        </r>
        <r>
          <rPr>
            <sz val="9"/>
            <color indexed="81"/>
            <rFont val="Tahoma"/>
            <family val="2"/>
          </rPr>
          <t xml:space="preserve">
</t>
        </r>
      </text>
    </comment>
    <comment ref="I116" authorId="0" shapeId="0" xr:uid="{00000000-0006-0000-0000-00000B000000}">
      <text>
        <r>
          <rPr>
            <b/>
            <sz val="9"/>
            <color indexed="81"/>
            <rFont val="Tahoma"/>
            <family val="2"/>
          </rPr>
          <t>SACHIN:</t>
        </r>
        <r>
          <rPr>
            <sz val="9"/>
            <color indexed="81"/>
            <rFont val="Tahoma"/>
            <family val="2"/>
          </rPr>
          <t xml:space="preserve">
Type of Road</t>
        </r>
      </text>
    </comment>
    <comment ref="I117" authorId="0" shapeId="0" xr:uid="{00000000-0006-0000-0000-00000C000000}">
      <text>
        <r>
          <rPr>
            <b/>
            <sz val="9"/>
            <color indexed="81"/>
            <rFont val="Tahoma"/>
            <family val="2"/>
          </rPr>
          <t>SACHIN:</t>
        </r>
        <r>
          <rPr>
            <sz val="9"/>
            <color indexed="81"/>
            <rFont val="Tahoma"/>
            <family val="2"/>
          </rPr>
          <t xml:space="preserve">
Size of Road</t>
        </r>
      </text>
    </comment>
    <comment ref="I119" authorId="0" shapeId="0" xr:uid="{00000000-0006-0000-0000-00000D000000}">
      <text>
        <r>
          <rPr>
            <b/>
            <sz val="9"/>
            <color indexed="81"/>
            <rFont val="Tahoma"/>
            <family val="2"/>
          </rPr>
          <t>SACHIN:</t>
        </r>
        <r>
          <rPr>
            <sz val="9"/>
            <color indexed="81"/>
            <rFont val="Tahoma"/>
            <family val="2"/>
          </rPr>
          <t xml:space="preserve">
Water supply authority
</t>
        </r>
      </text>
    </comment>
    <comment ref="I122" authorId="0" shapeId="0" xr:uid="{00000000-0006-0000-0000-00000E000000}">
      <text>
        <r>
          <rPr>
            <b/>
            <sz val="9"/>
            <color indexed="81"/>
            <rFont val="Tahoma"/>
            <family val="2"/>
          </rPr>
          <t>SACHIN:</t>
        </r>
        <r>
          <rPr>
            <sz val="9"/>
            <color indexed="81"/>
            <rFont val="Tahoma"/>
            <family val="2"/>
          </rPr>
          <t xml:space="preserve">
Advantages like markets,banks,development,nearby stn etc
</t>
        </r>
      </text>
    </comment>
    <comment ref="I133" authorId="0" shapeId="0" xr:uid="{00000000-0006-0000-0000-00000F000000}">
      <text>
        <r>
          <rPr>
            <b/>
            <sz val="9"/>
            <color indexed="81"/>
            <rFont val="Tahoma"/>
            <family val="2"/>
          </rPr>
          <t>SACHIN:</t>
        </r>
        <r>
          <rPr>
            <sz val="9"/>
            <color indexed="81"/>
            <rFont val="Tahoma"/>
            <family val="2"/>
          </rPr>
          <t xml:space="preserve">
Ready Recknor Rate</t>
        </r>
      </text>
    </comment>
    <comment ref="K133" authorId="0" shapeId="0" xr:uid="{00000000-0006-0000-0000-000010000000}">
      <text>
        <r>
          <rPr>
            <b/>
            <sz val="9"/>
            <color indexed="81"/>
            <rFont val="Tahoma"/>
            <family val="2"/>
          </rPr>
          <t>SACHIN:</t>
        </r>
        <r>
          <rPr>
            <sz val="9"/>
            <color indexed="81"/>
            <rFont val="Tahoma"/>
            <family val="2"/>
          </rPr>
          <t xml:space="preserve">
Ready Reconer rate 
ONLY IN SQM</t>
        </r>
      </text>
    </comment>
    <comment ref="I134" authorId="0" shapeId="0" xr:uid="{00000000-0006-0000-0000-000011000000}">
      <text>
        <r>
          <rPr>
            <b/>
            <sz val="9"/>
            <color indexed="81"/>
            <rFont val="Tahoma"/>
            <family val="2"/>
          </rPr>
          <t>SACHIN:</t>
        </r>
        <r>
          <rPr>
            <sz val="9"/>
            <color indexed="81"/>
            <rFont val="Tahoma"/>
            <family val="2"/>
          </rPr>
          <t xml:space="preserve">
Ready Recknor Rate</t>
        </r>
      </text>
    </comment>
    <comment ref="K134" authorId="0" shapeId="0" xr:uid="{0B62B6DB-3B9C-4E63-A655-0EB7B9D79333}">
      <text>
        <r>
          <rPr>
            <b/>
            <sz val="9"/>
            <color indexed="81"/>
            <rFont val="Tahoma"/>
            <family val="2"/>
          </rPr>
          <t>SACHIN:</t>
        </r>
        <r>
          <rPr>
            <sz val="9"/>
            <color indexed="81"/>
            <rFont val="Tahoma"/>
            <family val="2"/>
          </rPr>
          <t xml:space="preserve">
Ready Reconer rate 
ONLY IN SQM</t>
        </r>
      </text>
    </comment>
    <comment ref="I147" authorId="0" shapeId="0" xr:uid="{00000000-0006-0000-0000-000013000000}">
      <text>
        <r>
          <rPr>
            <b/>
            <sz val="9"/>
            <color indexed="81"/>
            <rFont val="Tahoma"/>
            <family val="2"/>
          </rPr>
          <t>SACHIN:</t>
        </r>
        <r>
          <rPr>
            <sz val="9"/>
            <color indexed="81"/>
            <rFont val="Tahoma"/>
            <family val="2"/>
          </rPr>
          <t xml:space="preserve">
Building Names with Approved No. of Floors</t>
        </r>
      </text>
    </comment>
    <comment ref="I151" authorId="0" shapeId="0" xr:uid="{00000000-0006-0000-0000-000014000000}">
      <text>
        <r>
          <rPr>
            <b/>
            <sz val="9"/>
            <color indexed="81"/>
            <rFont val="Tahoma"/>
            <family val="2"/>
          </rPr>
          <t>SACHIN:</t>
        </r>
        <r>
          <rPr>
            <sz val="9"/>
            <color indexed="81"/>
            <rFont val="Tahoma"/>
            <family val="2"/>
          </rPr>
          <t xml:space="preserve">
Plan date &amp; Valid upto Date</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<sst xmlns="http://schemas.openxmlformats.org/spreadsheetml/2006/main" count="1544" uniqueCount="696">
  <si>
    <t>GOOGLE MAP :</t>
  </si>
  <si>
    <t xml:space="preserve">Dated: </t>
  </si>
  <si>
    <t>Name &amp; Address of Branch</t>
  </si>
  <si>
    <t>:</t>
  </si>
  <si>
    <t xml:space="preserve">Name of the Project </t>
  </si>
  <si>
    <t>a)</t>
  </si>
  <si>
    <t>b)</t>
  </si>
  <si>
    <t>d)</t>
  </si>
  <si>
    <t>Purpose of Valuation</t>
  </si>
  <si>
    <t>Date of Inspection of Property</t>
  </si>
  <si>
    <t xml:space="preserve">Location of the Property </t>
  </si>
  <si>
    <t>Carpet Area, Terrace Area and Saleable area to be mentioned separately and clarified</t>
  </si>
  <si>
    <t>See below mentioned schedule of the property.</t>
  </si>
  <si>
    <t>Rate</t>
  </si>
  <si>
    <t>Particulars</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</si>
  <si>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</si>
  <si>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</si>
  <si>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</si>
  <si>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</si>
  <si>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</si>
  <si>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</si>
  <si>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</si>
  <si>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</si>
  <si>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</si>
  <si>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</si>
  <si>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</si>
  <si>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</si>
  <si>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</si>
  <si>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</si>
  <si>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</si>
  <si>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</si>
  <si>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</si>
  <si>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</si>
  <si>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</si>
  <si>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</si>
  <si>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</si>
  <si>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</si>
  <si>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</si>
  <si>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</si>
  <si>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 xml:space="preserve">total floor </t>
  </si>
  <si>
    <t>e)</t>
  </si>
  <si>
    <t>f)</t>
  </si>
  <si>
    <t>g)</t>
  </si>
  <si>
    <t>h)</t>
  </si>
  <si>
    <t>i)</t>
  </si>
  <si>
    <t>j)</t>
  </si>
  <si>
    <t>Description</t>
  </si>
  <si>
    <t>East</t>
  </si>
  <si>
    <t>West</t>
  </si>
  <si>
    <t>North</t>
  </si>
  <si>
    <t>South</t>
  </si>
  <si>
    <t>NA</t>
  </si>
  <si>
    <t>Proposed</t>
  </si>
  <si>
    <t>Yes</t>
  </si>
  <si>
    <t>No</t>
  </si>
  <si>
    <t>Introduction :</t>
  </si>
  <si>
    <t>To assess present market value for the purpose of advance.</t>
  </si>
  <si>
    <t>Remark :</t>
  </si>
  <si>
    <t xml:space="preserve">PHOTOGRAPHS OF PROPERTY : 
</t>
  </si>
  <si>
    <t>Market Research Data</t>
  </si>
  <si>
    <t>Source</t>
  </si>
  <si>
    <t>Net Carpet</t>
  </si>
  <si>
    <t>Market Value</t>
  </si>
  <si>
    <t>Average</t>
  </si>
  <si>
    <t xml:space="preserve">Valuation Adopted </t>
  </si>
  <si>
    <t>Value (Rs.)</t>
  </si>
  <si>
    <r>
      <rPr>
        <b/>
        <u/>
        <sz val="11"/>
        <color indexed="8"/>
        <rFont val="Times New Roman"/>
        <family val="1"/>
      </rPr>
      <t>VALUATION</t>
    </r>
    <r>
      <rPr>
        <b/>
        <sz val="11"/>
        <color indexed="8"/>
        <rFont val="Times New Roman"/>
        <family val="1"/>
      </rPr>
      <t xml:space="preserve"> </t>
    </r>
    <r>
      <rPr>
        <b/>
        <u/>
        <sz val="11"/>
        <color indexed="8"/>
        <rFont val="Times New Roman"/>
        <family val="1"/>
      </rPr>
      <t>REPORT</t>
    </r>
  </si>
  <si>
    <t>Sr. No.</t>
  </si>
  <si>
    <t>Floor No.</t>
  </si>
  <si>
    <t>Flat / Shop No.</t>
  </si>
  <si>
    <t>Configuration</t>
  </si>
  <si>
    <t>Flat</t>
  </si>
  <si>
    <t>1 BHK</t>
  </si>
  <si>
    <t>1 RK</t>
  </si>
  <si>
    <t>99 Acres</t>
  </si>
  <si>
    <t>Valuation Summary :</t>
  </si>
  <si>
    <t>VALUATION OF PROPERTIES</t>
  </si>
  <si>
    <t>OF</t>
  </si>
  <si>
    <t>BY</t>
  </si>
  <si>
    <t>Distance from proposed property</t>
  </si>
  <si>
    <t>Sarvam</t>
  </si>
  <si>
    <t>Ground Floor For Parking</t>
  </si>
  <si>
    <t>1st Floor</t>
  </si>
  <si>
    <t>Carpet Area 
(in Sq. Ft.)</t>
  </si>
  <si>
    <t>2nd Floor</t>
  </si>
  <si>
    <t>3rd Floor</t>
  </si>
  <si>
    <t>4th Floor</t>
  </si>
  <si>
    <t>5th Floor</t>
  </si>
  <si>
    <t>6th Floor</t>
  </si>
  <si>
    <t>7th Floor</t>
  </si>
  <si>
    <t>Saleable Area
(in Sq. Ft.)</t>
  </si>
  <si>
    <t>Attached Terrace Area
(in Sq. Ft.)</t>
  </si>
  <si>
    <t>Building No.1 - B Wing</t>
  </si>
  <si>
    <t>Building No.1 - A Wing</t>
  </si>
  <si>
    <t>2 BHK</t>
  </si>
  <si>
    <t>Building &amp; Wing</t>
  </si>
  <si>
    <t>Building No.2 - C Wing</t>
  </si>
  <si>
    <t>Carpet Area (Sq.ft)</t>
  </si>
  <si>
    <t>Saleable Area</t>
  </si>
  <si>
    <t>Housing</t>
  </si>
  <si>
    <t>1BHK</t>
  </si>
  <si>
    <t>1RK</t>
  </si>
  <si>
    <t>Proptiger</t>
  </si>
  <si>
    <t>Gardenia - 650m</t>
  </si>
  <si>
    <t>2BHK</t>
  </si>
  <si>
    <t>Mahaavir Majesty - 550m</t>
  </si>
  <si>
    <t>Arihant Anaika - 550m</t>
  </si>
  <si>
    <t>Krushna Kunj - 950m</t>
  </si>
  <si>
    <t>Rate 
(on Saleable Area)</t>
  </si>
  <si>
    <t>Rate on Saleable Area</t>
  </si>
  <si>
    <t xml:space="preserve">A Wing </t>
  </si>
  <si>
    <t xml:space="preserve">B Wing </t>
  </si>
  <si>
    <t>C Wing</t>
  </si>
  <si>
    <t>market Value</t>
  </si>
  <si>
    <t>Office No. J-1031, Akshar Business Park, Plot No. 03</t>
  </si>
  <si>
    <t xml:space="preserve">Sector 25, Near APMC Market, Vashi, </t>
  </si>
  <si>
    <t>Navi Mumbai, Maharashtra 400703</t>
  </si>
  <si>
    <t xml:space="preserve">Web site: www.vsjadon.com    </t>
  </si>
  <si>
    <t>TEL: 022-46090378/79/80 Email: vsjc.apf@gmail.com.</t>
  </si>
  <si>
    <t>Office No. 1031, Wing J, Akshar Business Park, Plot No. 03 Sector 25, Near APMC Market, Vashi, 
Navi Mumbai, Maharashtra 400703 TEL: 022-46090378/79/80                                                                       
E mail : vsjcapf@gmail.com. Web site : www.vsjadon.com</t>
  </si>
  <si>
    <t>Date on which the valuation is made</t>
  </si>
  <si>
    <t>List of documents produced for perusal</t>
  </si>
  <si>
    <t>Name of the owner(s) and his / their address
(es) with Phone no. (details of share of each
owner in case of joint ownership)</t>
  </si>
  <si>
    <t>Brief description of the property (Including
leasehold / freehold etc)</t>
  </si>
  <si>
    <t>Village</t>
  </si>
  <si>
    <t>District</t>
  </si>
  <si>
    <t>Taluka</t>
  </si>
  <si>
    <t>Postal address of the property</t>
  </si>
  <si>
    <t>City / Town</t>
  </si>
  <si>
    <t>Residential Area</t>
  </si>
  <si>
    <t>Commercial Area</t>
  </si>
  <si>
    <t>Industrial Area</t>
  </si>
  <si>
    <t>Classification of the area</t>
  </si>
  <si>
    <t>a. High / Middle / Poor</t>
  </si>
  <si>
    <t>b. Urban / Semi Urban / Rural</t>
  </si>
  <si>
    <t>Urban</t>
  </si>
  <si>
    <t>Coming under Corporation limit / Village
Panchayat / Municipality</t>
  </si>
  <si>
    <t>Boundaries of the property</t>
  </si>
  <si>
    <t>As per Rera</t>
  </si>
  <si>
    <t>As per Approved Layout</t>
  </si>
  <si>
    <t xml:space="preserve">As per Site </t>
  </si>
  <si>
    <t>Dimensions of the site</t>
  </si>
  <si>
    <t>As per the Deed</t>
  </si>
  <si>
    <t>Actuals</t>
  </si>
  <si>
    <t>Extent of the site</t>
  </si>
  <si>
    <t>Whether occupied by the owner / tenant? If
occupied by tenant, since how long? Rent
received per month.</t>
  </si>
  <si>
    <t>Feasibility to the Civic amenities like school, hospital, bus stop, market etc</t>
  </si>
  <si>
    <t>Corner plot or intermittent plot?</t>
  </si>
  <si>
    <t>Road facilities</t>
  </si>
  <si>
    <t>Type of road available at present</t>
  </si>
  <si>
    <t>Width of road – is it below 20 ft or more than 20 ft</t>
  </si>
  <si>
    <t>Is it a land – locked land?</t>
  </si>
  <si>
    <t>Water potentiality</t>
  </si>
  <si>
    <t>Underground sewerage system</t>
  </si>
  <si>
    <t>Is power supply available at the site?</t>
  </si>
  <si>
    <t>Advantage of the site</t>
  </si>
  <si>
    <t>Special remarks, if any, like threat of acquisition of land for public service purposes, road widening or applicability of CRZ provisions etc. (Distance from sea-coast / tidal level must be incorporated)</t>
  </si>
  <si>
    <t>Plain</t>
  </si>
  <si>
    <t>Irregular</t>
  </si>
  <si>
    <t>Intermittent plot</t>
  </si>
  <si>
    <t>Connected to Munciple Sewer</t>
  </si>
  <si>
    <t>Valuation</t>
  </si>
  <si>
    <t>A</t>
  </si>
  <si>
    <t>North &amp; South</t>
  </si>
  <si>
    <t>East &amp; West</t>
  </si>
  <si>
    <t>Total extent of the plot</t>
  </si>
  <si>
    <t>Prevailing market rate (Along with details/reference of at least two latest deals/transactions with respect to adjacent properties in the areas)</t>
  </si>
  <si>
    <t>Assessed / adopted rate of valuation</t>
  </si>
  <si>
    <t>Estimated value of land</t>
  </si>
  <si>
    <t>Size of plot (As per Approved Plan) sq.m</t>
  </si>
  <si>
    <t>Size of plot (As per RERA) sq.m</t>
  </si>
  <si>
    <t>-</t>
  </si>
  <si>
    <t>As per table Attached to the report</t>
  </si>
  <si>
    <t>As per table Attached to the report.
Details of recent transactions/ online listings are attached with the report</t>
  </si>
  <si>
    <t>Guideline rate obtained from the Registrar’s Office (an evidence thereof to be enclosed) sq.m</t>
  </si>
  <si>
    <t>As per RERA</t>
  </si>
  <si>
    <t xml:space="preserve">As per Approved Plan </t>
  </si>
  <si>
    <t>Land Area in sq.m</t>
  </si>
  <si>
    <t>Value in Rs.</t>
  </si>
  <si>
    <t>Valuation of Building</t>
  </si>
  <si>
    <t>B</t>
  </si>
  <si>
    <t>Technical details of the building</t>
  </si>
  <si>
    <t>Type of construction (Load bearing / RCC / Steel Framed)</t>
  </si>
  <si>
    <t>Year of construction</t>
  </si>
  <si>
    <t xml:space="preserve">c) </t>
  </si>
  <si>
    <t>Number of floors and height of each floor including basement, if any including basement, if any</t>
  </si>
  <si>
    <t>Plinth area floor-wise</t>
  </si>
  <si>
    <t>Condition of the building</t>
  </si>
  <si>
    <t xml:space="preserve">1. Exterior </t>
  </si>
  <si>
    <t xml:space="preserve">2. Interior </t>
  </si>
  <si>
    <t>Date of issue and validity of layout of approved map / plan</t>
  </si>
  <si>
    <t>Type of Building (Residential / Commercial/ Industrial)</t>
  </si>
  <si>
    <t>Approved map / plan issuing authority</t>
  </si>
  <si>
    <t>Any other comments by our empanelled valuers on authentic of approved plan</t>
  </si>
  <si>
    <t>Whether genuineness or authenticity of approved map / plan is verified YES / NO</t>
  </si>
  <si>
    <t>Specifications of construction (floor-wise) in respect of</t>
  </si>
  <si>
    <t>S.No.</t>
  </si>
  <si>
    <t xml:space="preserve"> Description</t>
  </si>
  <si>
    <t>Foundation</t>
  </si>
  <si>
    <t>Basement</t>
  </si>
  <si>
    <t>Joinery / Doors &amp; Windows (please furnish details about size of frames, shutters, glazing, fitting etc. and specify the species of timber)</t>
  </si>
  <si>
    <t>RCC works</t>
  </si>
  <si>
    <t>Plastering</t>
  </si>
  <si>
    <t>Flooring, Skirting, dadoing</t>
  </si>
  <si>
    <t>Special finish as marble, granite, wooden paneling, grills, etc</t>
  </si>
  <si>
    <t>Roofing including weather proof course</t>
  </si>
  <si>
    <t>Drainage</t>
  </si>
  <si>
    <t>Proposed as IS Code requirements</t>
  </si>
  <si>
    <t>N.A. Building Construction Work in process</t>
  </si>
  <si>
    <t>Compound wall :</t>
  </si>
  <si>
    <t>Height :</t>
  </si>
  <si>
    <t>Length</t>
  </si>
  <si>
    <t>Type of construction</t>
  </si>
  <si>
    <t>Electrical installation</t>
  </si>
  <si>
    <t>Type of wiring :</t>
  </si>
  <si>
    <t>Class of fittings (superior / ordinary / poor) :</t>
  </si>
  <si>
    <t>Number of light points :</t>
  </si>
  <si>
    <t>Fan points :</t>
  </si>
  <si>
    <t>Spare plug points :</t>
  </si>
  <si>
    <t>Any other item</t>
  </si>
  <si>
    <t>Plumbing installation</t>
  </si>
  <si>
    <t>No. of water closets and their type :</t>
  </si>
  <si>
    <t>No. of wash basins :</t>
  </si>
  <si>
    <t>No. of urinals :</t>
  </si>
  <si>
    <t>No. of bath tubs :</t>
  </si>
  <si>
    <t>Water meter, taps, etc. :</t>
  </si>
  <si>
    <t>Any other fixtures</t>
  </si>
  <si>
    <t>Traditional Technology</t>
  </si>
  <si>
    <t>Configuration of Project</t>
  </si>
  <si>
    <t xml:space="preserve">Layout Approval No   </t>
  </si>
  <si>
    <t>Approved Floor plan No.</t>
  </si>
  <si>
    <t xml:space="preserve">O. Certificate No.: </t>
  </si>
  <si>
    <t>Date</t>
  </si>
  <si>
    <t>Approved no of units</t>
  </si>
  <si>
    <t>Approved no of Floors</t>
  </si>
  <si>
    <t>Proposed no of Floors</t>
  </si>
  <si>
    <t>No. of Units</t>
  </si>
  <si>
    <t>Total Carpet Area</t>
  </si>
  <si>
    <t>Total</t>
  </si>
  <si>
    <t>Grand Total</t>
  </si>
  <si>
    <t>Building Detail Statements: As per approved Plan.</t>
  </si>
  <si>
    <t>Building/ Wing/ Tower</t>
  </si>
  <si>
    <t>Total No. of Units</t>
  </si>
  <si>
    <t>Builtup Area (Sq.ft)</t>
  </si>
  <si>
    <t>Builtup Area
(in Sq. Ft.)</t>
  </si>
  <si>
    <t>Fair Market Value</t>
  </si>
  <si>
    <t xml:space="preserve"> Portico :</t>
  </si>
  <si>
    <t xml:space="preserve"> Ornamental front door :</t>
  </si>
  <si>
    <t xml:space="preserve"> Sit out/ Verandah with steel grills :</t>
  </si>
  <si>
    <t xml:space="preserve"> Overhead water tank :</t>
  </si>
  <si>
    <t xml:space="preserve"> Extra steel/ collapsible gates</t>
  </si>
  <si>
    <t xml:space="preserve"> Wardrobes :</t>
  </si>
  <si>
    <t xml:space="preserve"> Glazed tiles :</t>
  </si>
  <si>
    <t xml:space="preserve"> Extra sinks and bath tub :</t>
  </si>
  <si>
    <t xml:space="preserve"> Marble / Ceramic tiles flooring :</t>
  </si>
  <si>
    <t xml:space="preserve"> Interior decorations :</t>
  </si>
  <si>
    <t xml:space="preserve"> Architectural elevation works :</t>
  </si>
  <si>
    <t xml:space="preserve"> Panelling works :</t>
  </si>
  <si>
    <t xml:space="preserve"> Aluminium works :</t>
  </si>
  <si>
    <t xml:space="preserve"> Aluminium hand rails :</t>
  </si>
  <si>
    <t xml:space="preserve"> False ceiling</t>
  </si>
  <si>
    <t xml:space="preserve"> Separate toilet room :</t>
  </si>
  <si>
    <t xml:space="preserve"> Separate lumber room :</t>
  </si>
  <si>
    <t xml:space="preserve"> Separate water tank/ sump :</t>
  </si>
  <si>
    <t xml:space="preserve"> Trees, gardening</t>
  </si>
  <si>
    <t xml:space="preserve"> Water supply arrangements :</t>
  </si>
  <si>
    <t xml:space="preserve"> Drainage arrangements :</t>
  </si>
  <si>
    <t xml:space="preserve"> Compound wall :</t>
  </si>
  <si>
    <t xml:space="preserve"> Pavement</t>
  </si>
  <si>
    <t xml:space="preserve"> C.  B.  deposits, fittings etc</t>
  </si>
  <si>
    <t>Amount in Rs.</t>
  </si>
  <si>
    <t>Total abstract of the entire property</t>
  </si>
  <si>
    <t>Part A</t>
  </si>
  <si>
    <t>Part B</t>
  </si>
  <si>
    <t>Part C</t>
  </si>
  <si>
    <t>Part D</t>
  </si>
  <si>
    <t>Part E</t>
  </si>
  <si>
    <t>Part F</t>
  </si>
  <si>
    <t>Land</t>
  </si>
  <si>
    <t>Building</t>
  </si>
  <si>
    <t>Extra Items</t>
  </si>
  <si>
    <t>Amenities</t>
  </si>
  <si>
    <t>Miscellaneous</t>
  </si>
  <si>
    <t>Services</t>
  </si>
  <si>
    <t>Layout</t>
  </si>
  <si>
    <t xml:space="preserve">Place: </t>
  </si>
  <si>
    <t>Navi Mumbai</t>
  </si>
  <si>
    <t xml:space="preserve">             (Annexure-I)</t>
  </si>
  <si>
    <t>I, Mr. Vishwajeet Singh Jadon son of Mr. Ram Singh Jadon do hereby solemnly affirm and state that:</t>
  </si>
  <si>
    <t>I am a citizen of India</t>
  </si>
  <si>
    <t>I will not undertake valuation of any assets in which I have a direct or indirect interest or become so interested at any time during a period of three years prior to my appointment as valuer or three years after the valuation of assets was conducted by me</t>
  </si>
  <si>
    <t>Valuation report is submitted in the format as prescribed by the Bank</t>
  </si>
  <si>
    <t>I have not been depanelled/ delisted by any other bank and in case any such depanelment by other banks during my empanelment with you, I will inform you within 3 days of such depanelment</t>
  </si>
  <si>
    <t>I have not been removed/dismissed from service/employment earlier</t>
  </si>
  <si>
    <t>I have not been convicted of any offence and sentenced to a term of imprisonment</t>
  </si>
  <si>
    <t>I have not been found guilty of misconduct in professional capacity</t>
  </si>
  <si>
    <t>I have not been declared to be unsound mind</t>
  </si>
  <si>
    <t>I am not an undischarged bankrupt or has not applied to be adjudicated as a bankrupt.</t>
  </si>
  <si>
    <t>I am not an undischarged insolvent</t>
  </si>
  <si>
    <t>I have not been levied a penalty under section 271J of Income-tax Act, 1961 (43 of 1961) and time limit for filing appeal before Commissioner of Income tax (Appeals) or Income-tax Appellate Tribunal, as the case may be has expired, or such penalty has been confirmed by Income-tax Appellate Tribunal, and five years have not elapsed after levy of such penalty</t>
  </si>
  <si>
    <t>I undertake to keep you informed of any events or happenings which would make me ineligible for empanelment as a valuer</t>
  </si>
  <si>
    <t>I have not concealed or suppressed any material information, facts and records and I have made a complete and full disclosure</t>
  </si>
  <si>
    <t>I have read the Handbook on Policy, Standards and procedure for Real Estate Valuation, 2011 of the IBA and this report is in conformity to the “Standards” enshrined for valuation in the Part-B of the above handbook to the best of my ability</t>
  </si>
  <si>
    <t>I have read the International Valuation Standards (IVS) and the report submitted to the Bank for the respective asset class is in conformity to the “Standards” as enshrined for valuation in the IVS in “General Standards” and “Asset Standards” as applicable</t>
  </si>
  <si>
    <t>I abide by the Model Code of Conduct for empanelment of valuer in the Bank. (Annexure V- A signed copy of same to be taken and kept along with this declaration)</t>
  </si>
  <si>
    <t>I am registered under Section 34 AB of the Wealth Tax Act, 1957. (Strike off, if not applicable)</t>
  </si>
  <si>
    <t>I am valuer registered with Insolvency &amp; Bankruptcy Board of India (IBBI) (Strike off, if not applicable)</t>
  </si>
  <si>
    <t>My CIBIL Score and credit worthiness is as per Bank’s guidelines.</t>
  </si>
  <si>
    <t>I am the proprietor / partner / authorized official of the firm / company, who is competent to sign this valuation report.</t>
  </si>
  <si>
    <t>I will undertake the valuation work on receipt of Letter of Engagement generated from the system (i.e. LLMS/LOS) only.</t>
  </si>
  <si>
    <t>Sr.No.</t>
  </si>
  <si>
    <t>Valuer comment</t>
  </si>
  <si>
    <t>Background information of the asset being valued;</t>
  </si>
  <si>
    <t>Purpose of valuation and appointing authority</t>
  </si>
  <si>
    <t>Identity of the valuer and any other experts involved in the valuation;</t>
  </si>
  <si>
    <t>Disclosure of valuer interest or conflict, if any;</t>
  </si>
  <si>
    <t>Date of appointment, valuation date and date of report;</t>
  </si>
  <si>
    <t>Date of Appointment</t>
  </si>
  <si>
    <t>Valuation date</t>
  </si>
  <si>
    <t>Date of Report</t>
  </si>
  <si>
    <t>Inspections and/or investigations undertaken;</t>
  </si>
  <si>
    <t>Physically site Verified.</t>
  </si>
  <si>
    <t>Nature and sources of the information used or relied upon;</t>
  </si>
  <si>
    <t>Procedures adopted in carrying out the valuation and valuation standards followed;</t>
  </si>
  <si>
    <t>Market Approach Method adopted where Value is estimated based on instances of sales/quotes of similar assets in the market.</t>
  </si>
  <si>
    <t>Restrictions on use of the report, if any;</t>
  </si>
  <si>
    <t>Major factors that were taken into account during the valuation;</t>
  </si>
  <si>
    <t>Major factors that were not taken into account during the valuation;</t>
  </si>
  <si>
    <t>Caveats, limitations and disclaimers to the extent they explain or elucidate the limitations faced by valuer, which shall not be for the purpose of limiting his responsibility for the valuation report.</t>
  </si>
  <si>
    <t>Ready Reckoner Rate</t>
  </si>
  <si>
    <t>Place:</t>
  </si>
  <si>
    <t>Date:</t>
  </si>
  <si>
    <t>Signature</t>
  </si>
  <si>
    <t>(Name and Official seal of the Approved Valuer)</t>
  </si>
  <si>
    <t>(Name of the Branch Manager with Official seal)</t>
  </si>
  <si>
    <t>Declaration-cum-undertaking from the valuer (Annexure-I)</t>
  </si>
  <si>
    <t>*</t>
  </si>
  <si>
    <t>Model code of conduct for valuer (Annexure II )</t>
  </si>
  <si>
    <t>Attached Below</t>
  </si>
  <si>
    <t>DECLARATION - CUM - UNDERTAKING</t>
  </si>
  <si>
    <t>Registered Valuer - Vishwajeet Singh Jadon</t>
  </si>
  <si>
    <t>Technical Engineer - Sachin M. Sawant</t>
  </si>
  <si>
    <t>Market Survey at the time of site visit.
Ready Reckoner rates/ Circle rates
Online search for registered transactions
Online price indicators on real estate portals
Enquiries with real estate consultants
Existing data of valuation assignments carried out by us</t>
  </si>
  <si>
    <t>Present Market enquiries, Location, Demand and position supply, Development of locality, etc.</t>
  </si>
  <si>
    <t>(Annexure-II)</t>
  </si>
  <si>
    <t>MODEL CODE OF CONDUCT FOR VALUERS</t>
  </si>
  <si>
    <t>Integrity and Fairness</t>
  </si>
  <si>
    <t>A valuer shall, in the conduct of his/its business, follow high standards of integrity and fairness in all his/its dealings with his/its clients and other valuers.</t>
  </si>
  <si>
    <t>Professional Competence and Due Care</t>
  </si>
  <si>
    <t>A valuer shall render at all times high standards of service, exercise due diligence, ensure proper care and exercise independent professional judgment.</t>
  </si>
  <si>
    <t>A valuer shall carry out professional services in accordance with the relevant technical and professional standards that may be specified from time to time</t>
  </si>
  <si>
    <t>Independence and Disclosure of Interest</t>
  </si>
  <si>
    <t> In any fairness opinion or independent expert opinion submitted by a valuer, if there has been a prior engagement in an unconnected transaction, the valuer shall declare the association with the company during the last five years.</t>
  </si>
  <si>
    <t>Confidentiality</t>
  </si>
  <si>
    <t>Information Management</t>
  </si>
  <si>
    <t>A valuer while respecting the confidentiality of information acquired during the course of performing professional services, shall maintain proper working papers for a period of three years or such longer period as required in its contract for a specific valuation, for production before a regulatory authority or for a peer review. In the event of a pending case before the Tribunal or Appellate Tribunal, the record shall be maintained till the disposal of the case.</t>
  </si>
  <si>
    <t>Gifts and hospitality.</t>
  </si>
  <si>
    <t>Remuneration and Costs.</t>
  </si>
  <si>
    <t xml:space="preserve">Signature  of the valuer      </t>
  </si>
  <si>
    <t>Name of the Valuer</t>
  </si>
  <si>
    <t>V.S Jadon &amp; Co. Valuers LLP</t>
  </si>
  <si>
    <t xml:space="preserve"> A valuer shall continuously maintain professional knowledge and skill to provide competent professional service based on up-to-date developments in practice, prevailing regulations/guidelines and techniques.</t>
  </si>
  <si>
    <t xml:space="preserve"> In the preparation of a valuation report, the valuer shall not disclaim liability for his/its expertise or deny his/its duty of care, except to the extent that the assumptions are based on statements of fact provided by the company or its auditors or consultants or information available in public domain and not generated by the valuer.</t>
  </si>
  <si>
    <t xml:space="preserve"> A valuer shall not indulge in “mandate snatching” or offering “convenience valuations” in order to cater to a company or client’s needs.</t>
  </si>
  <si>
    <t>A valuer shall refrain from being involved in any action that would bring disrepute to the profession.</t>
  </si>
  <si>
    <t>A valuer shall keep public interest foremost while delivering his services.</t>
  </si>
  <si>
    <t>As an independent valuer, the valuer shall not charge success fee.</t>
  </si>
  <si>
    <t>A valuer shall not use or divulge to other clients or any other party any confidential information about the subject company, which has come to his/its knowledge without proper and specific authority or unless there is a legal or professional right or duty to disclose.</t>
  </si>
  <si>
    <t>A valuer shall ensure that he/ it maintains written contemporaneous records for any decision taken, the reasons for taking the decision, and the information and evidence in support of such decision. This shall be maintained so as to sufficiently enable a reasonable person to take a view on the appropriateness of his/its decisions and actions.</t>
  </si>
  <si>
    <t>A valuer shall appear, co-operate and be available for inspections and investigations carried out by the authority, any person authorised by the authority, the registered valuers organisation with which he/it is registered or any other statutory regulatory body.</t>
  </si>
  <si>
    <t>A valuer shall provide all information and records as may be required by the authority, the Tribunal, Appellate Tribunal, the registered valuers organisation with which he/it is registered, or any other statutory regulatory body.</t>
  </si>
  <si>
    <t>A valuer shall not carry out any instruction of the client insofar as they are incompatible with the requirements of integrity, objectivity and independence.</t>
  </si>
  <si>
    <t>A valuer shall clearly state to his client the services that he would be competent to provide and the services for which he would be relying on other valuers or professionals or for which the client can have a separate arrangement with other valuers.</t>
  </si>
  <si>
    <t>A valuer shall act with objectivity in his/its professional dealings by ensuring that his/its decisions are made without the presence of any bias, conflict of interest, coercion, or undue influence of any party, whether directly connected to the valuation assignment or not.</t>
  </si>
  <si>
    <t>A valuer shall not take up an assignment if he/it or any of his/its relatives or associates is not independent in terms of association to the company.</t>
  </si>
  <si>
    <t>A valuer shall wherever necessary disclose to the clients, possible sources of conflicts of duties and interests, while providing unbiased services.</t>
  </si>
  <si>
    <t>A valuer shall maintain complete independence in his/its professional relationships and shall conduct the valuation independent of external influences.</t>
  </si>
  <si>
    <t>A valuer shall not deal in securities of any subject company after any time when he/it first becomes aware of the possibility of his/its association with the valuation, and in accordance with the Securities and Exchange Board of India (Prohibition of Insider Trading) Regulations, 2015 or till the time the valuation report becomes public, whichever is earlier.</t>
  </si>
  <si>
    <t>A valuer or his/its relative shall not accept gifts or hospitality which undermines or affects his independence as a valuer.
Explanation: For the purposes of this code the term ‘relative’ shall have the same meaning as defined in clause (77) of Section 2 of the Companies Act, 2013 (18 of 2013).</t>
  </si>
  <si>
    <t>A valuer shall not offer gifts or hospitality or a financial or any other advantage to a public servant or any other person with a view to obtain or retain work for himself/ itself, or to obtain or retain an advantage in the conduct of profession for himself/ itself.</t>
  </si>
  <si>
    <t>A valuer shall provide services for remuneration which is charged in a transparent manner, is a reasonable reflection of the work necessarily and properly undertaken, and is not inconsistent with the applicable rules.</t>
  </si>
  <si>
    <t>A valuer shall refrain from accepting too many assignments, if he/it is unlikely to be able to devote adequate time to each of his/ its assignments.</t>
  </si>
  <si>
    <t>A valuer shall not conduct business which in the opinion of the authority or the registered valuer organisation discredits the profession.</t>
  </si>
  <si>
    <t>A valuer shall refrain from undertaking to review the work of another valuer of the same client except under written orders from the bank or housing finance institutions and with knowledge of the concerned valuer.</t>
  </si>
  <si>
    <t>A valuer shall follow this code as amended or revised from time to time</t>
  </si>
  <si>
    <t xml:space="preserve">Assumptions, Disclaimers, Limitations &amp; Qualifications </t>
  </si>
  <si>
    <t>ASSUMPTIONS, CAVEATS, LIMITATION AND DISCLAIMERS</t>
  </si>
  <si>
    <t>We assume no responsibility for matters of legal nature affecting the property appraised or the title thereto, nor do we render our opinion as to the title, which is assumed to be good and marketable.</t>
  </si>
  <si>
    <t xml:space="preserve">It is assumed that there are no hidden or unapparent conditions of the subsoil or structure that would render it more or less valuable. No responsibility is assumed for such conditions or for engineering that might be required to discover such factors.
</t>
  </si>
  <si>
    <t xml:space="preserve">There is no direct/ indirect interest in the property valued.
</t>
  </si>
  <si>
    <t>The rates for valuation of the property are in accordance with the Govt. approved rates and prevailing market rates.</t>
  </si>
  <si>
    <t>The property is valued as though under responsible ownership.</t>
  </si>
  <si>
    <t>It is assumed that the property is free of liens and encumbrances.</t>
  </si>
  <si>
    <t>Sector</t>
  </si>
  <si>
    <t>Panvel</t>
  </si>
  <si>
    <t>Raigad</t>
  </si>
  <si>
    <t>Landmark</t>
  </si>
  <si>
    <t>Road</t>
  </si>
  <si>
    <t>Pincode</t>
  </si>
  <si>
    <t>Whether covered under any State / Central
Govt. enactments (e.g. Urban Land Ceiling Act) or notified under agency area / scheduled area / cantonment area</t>
  </si>
  <si>
    <t>In case it is an agricultural land, any conversion to house site plots is contemplated</t>
  </si>
  <si>
    <t>Location Link</t>
  </si>
  <si>
    <t>Extent of the site considered for valuation (least of 14A &amp; 14B)</t>
  </si>
  <si>
    <t>Classification of locality</t>
  </si>
  <si>
    <t>Development of surrounding areas</t>
  </si>
  <si>
    <t>Possibility of frequent flooding / sub-merging</t>
  </si>
  <si>
    <t>Above 20ft</t>
  </si>
  <si>
    <t>֍</t>
  </si>
  <si>
    <t>Proposed RCC Footing</t>
  </si>
  <si>
    <t>A Wing</t>
  </si>
  <si>
    <t>Shop</t>
  </si>
  <si>
    <t>Commercial Units</t>
  </si>
  <si>
    <t>Is plot in town planning approved layout?</t>
  </si>
  <si>
    <t>Level of land with topographical conditions</t>
  </si>
  <si>
    <t>Shape of land</t>
  </si>
  <si>
    <t>Type of use to which it can be put</t>
  </si>
  <si>
    <t>Any usage restriction</t>
  </si>
  <si>
    <r>
      <t xml:space="preserve">My PAN Card number/Service Tax number as applicable is </t>
    </r>
    <r>
      <rPr>
        <b/>
        <sz val="11"/>
        <color theme="1"/>
        <rFont val="Times New Roman"/>
        <family val="1"/>
      </rPr>
      <t>AAHPJ7711Q</t>
    </r>
  </si>
  <si>
    <r>
      <t>Further, I hereby provide the following information</t>
    </r>
    <r>
      <rPr>
        <b/>
        <sz val="11"/>
        <color theme="1"/>
        <rFont val="Times New Roman"/>
        <family val="1"/>
      </rPr>
      <t>.</t>
    </r>
  </si>
  <si>
    <r>
      <rPr>
        <sz val="11"/>
        <color theme="1"/>
        <rFont val="Times New Roman"/>
        <family val="1"/>
      </rPr>
      <t xml:space="preserve"> A valuer shall maintain integrity by being honest, straightforward, and forthright in all professional relationships.</t>
    </r>
  </si>
  <si>
    <r>
      <rPr>
        <sz val="11"/>
        <color theme="1"/>
        <rFont val="Times New Roman"/>
        <family val="1"/>
      </rPr>
      <t xml:space="preserve"> A valuer shall endeavour to ensure that he/it provides true and adequate information and shall not misrepresent any facts or situations.</t>
    </r>
  </si>
  <si>
    <r>
      <rPr>
        <sz val="11"/>
        <color theme="1"/>
        <rFont val="Times New Roman"/>
        <family val="1"/>
      </rPr>
      <t xml:space="preserve">A valuer shall not accept any fees or charges other than those which are disclosed in a written contract with the person to whom he would be rendering service. </t>
    </r>
    <r>
      <rPr>
        <b/>
        <sz val="11"/>
        <color theme="1"/>
        <rFont val="Times New Roman"/>
        <family val="1"/>
      </rPr>
      <t>Occupation, employability and restrictions.</t>
    </r>
  </si>
  <si>
    <t>Wing A</t>
  </si>
  <si>
    <t>Total Builtup Area</t>
  </si>
  <si>
    <t>Shops</t>
  </si>
  <si>
    <t>Flats</t>
  </si>
  <si>
    <t xml:space="preserve">As per above table </t>
  </si>
  <si>
    <t>We considered Carpet area as per Approved Plan.</t>
  </si>
  <si>
    <t>We have considered proposed No. of Floor for Stage Calculation.</t>
  </si>
  <si>
    <t>Car parking is subjected to authentic documentation.</t>
  </si>
  <si>
    <t>Part F (Services)</t>
  </si>
  <si>
    <t>Part E (Miscellaneous)</t>
  </si>
  <si>
    <t>Part D (Amenities)</t>
  </si>
  <si>
    <t>Part C (Extra Items)</t>
  </si>
  <si>
    <t>Rate on Carpet Area
(per Sq. Ft.)</t>
  </si>
  <si>
    <t>Total Amount</t>
  </si>
  <si>
    <t>Total Amount in words</t>
  </si>
  <si>
    <t>The undersigned has inspected the property detailed in the Valuation Report dated _____________ on _____________. We are satisfied that the fair and reasonable market value of the property is Rs. _________ (Rupees ________________ only).</t>
  </si>
  <si>
    <t>Office No. J-1031, Akshar Business Park, Plot No. 03
Sector 25, Near APMC Market, Vashi, Navi Mumbai, Maharashtra 400703
TEL: 022-46090378/79/80 Email: vsjc.apf@gmail.com.
Web site: www.vsjadon.com</t>
  </si>
  <si>
    <t>As a result of my appraisal and analysis, it is my considered opinion that the realizable value of the above property in the prevailing condition with aforesaid specifications is (As per table attached to report)</t>
  </si>
  <si>
    <t>I have not been convicted of an offence connected with any proceeding under the Income Tax Act 1961, Wealth Tax Act 1957, or Gift Tax Act 1958.</t>
  </si>
  <si>
    <t>Characteristics of the Site:</t>
  </si>
  <si>
    <t xml:space="preserve">                                                             Valuation of land</t>
  </si>
  <si>
    <r>
      <rPr>
        <b/>
        <sz val="11"/>
        <color theme="1"/>
        <rFont val="Times New Roman"/>
        <family val="1"/>
      </rPr>
      <t xml:space="preserve">Our Investigations </t>
    </r>
    <r>
      <rPr>
        <sz val="11"/>
        <color theme="1"/>
        <rFont val="Times New Roman"/>
        <family val="1"/>
      </rPr>
      <t xml:space="preserve">
We are not engaged to carry out all possible investigations in relation to the subject property. Where in our report we identify certain limitations to our investigations, this is to enable the reliant party to instruct further investigations where considered appropriate or where we recommend as necessary prior to reliance. Vastukala Consultants India Pvt. Ltd. (VCIPL) is not liable for any loss occasioned by a decision not to conduct further investigations. </t>
    </r>
  </si>
  <si>
    <r>
      <rPr>
        <b/>
        <sz val="11"/>
        <color theme="1"/>
        <rFont val="Times New Roman"/>
        <family val="1"/>
      </rPr>
      <t xml:space="preserve">Assumptions </t>
    </r>
    <r>
      <rPr>
        <sz val="11"/>
        <color theme="1"/>
        <rFont val="Times New Roman"/>
        <family val="1"/>
      </rPr>
      <t xml:space="preserve">
Assumptions are a necessary part of undertaking valuations. VCIPL adopts assumptions for the purpose of providing valuation advise because some matters are not capable of accurate calculations or fall outside the scope of our expertise, or out instructions. The reliant party accepts that the valuation contains certain specific assumptions and acknowledge and accept the risk of that if any of the assumptions adopted in the valuation are incorrect, then this may have an effect on the valuation. </t>
    </r>
  </si>
  <si>
    <r>
      <rPr>
        <b/>
        <sz val="11"/>
        <color theme="1"/>
        <rFont val="Times New Roman"/>
        <family val="1"/>
      </rPr>
      <t xml:space="preserve">Information Supplied by Others </t>
    </r>
    <r>
      <rPr>
        <sz val="11"/>
        <color theme="1"/>
        <rFont val="Times New Roman"/>
        <family val="1"/>
      </rPr>
      <t xml:space="preserve">
The appraisal is based on the information provided by the client. The same has been assumed to be correct and has been used for appraisal exercise. Where it is stated in the report that another party has supplied information to VCIPL, this information is believed to be reliable but VCIPL can accept no responsibility if this should prove not to be so. </t>
    </r>
  </si>
  <si>
    <r>
      <rPr>
        <b/>
        <sz val="11"/>
        <color theme="1"/>
        <rFont val="Times New Roman"/>
        <family val="1"/>
      </rPr>
      <t>Future Matters</t>
    </r>
    <r>
      <rPr>
        <sz val="11"/>
        <color theme="1"/>
        <rFont val="Times New Roman"/>
        <family val="1"/>
      </rPr>
      <t xml:space="preserve"> 
To the extent that the valuation includes any statement as to a future matter, that statement is provided as an estimate and/or opinion based on the information known to VCIPL at the date of this document. VCIPL does not warrant that such statements are accurate or correct. </t>
    </r>
  </si>
  <si>
    <r>
      <rPr>
        <b/>
        <sz val="11"/>
        <color theme="1"/>
        <rFont val="Times New Roman"/>
        <family val="1"/>
      </rPr>
      <t xml:space="preserve">Map and Plans </t>
    </r>
    <r>
      <rPr>
        <sz val="11"/>
        <color theme="1"/>
        <rFont val="Times New Roman"/>
        <family val="1"/>
      </rPr>
      <t xml:space="preserve">
Any sketch, plan or map in this report is included to assist the reader while visualising the property and assume no responsibility in connection with such matters. </t>
    </r>
  </si>
  <si>
    <r>
      <rPr>
        <b/>
        <sz val="11"/>
        <color theme="1"/>
        <rFont val="Times New Roman"/>
        <family val="1"/>
      </rPr>
      <t xml:space="preserve">Site Details </t>
    </r>
    <r>
      <rPr>
        <sz val="11"/>
        <color theme="1"/>
        <rFont val="Times New Roman"/>
        <family val="1"/>
      </rPr>
      <t xml:space="preserve">
Based on inputs received from Client's representative and site visit conducted, we understand that the subject property is currently a Building Under Construction work is in progress contiguous and non-agricultural land parcel admeasuring as per table attached to the report and in the name M/s. Starwing Real Estate Company. Further, VCIPL has assumed that the subject property is free from any encroachment and is available as on the date of the appraisal.</t>
    </r>
  </si>
  <si>
    <r>
      <rPr>
        <b/>
        <sz val="11"/>
        <color theme="1"/>
        <rFont val="Times New Roman"/>
        <family val="1"/>
      </rPr>
      <t>Property Title</t>
    </r>
    <r>
      <rPr>
        <sz val="11"/>
        <color theme="1"/>
        <rFont val="Times New Roman"/>
        <family val="1"/>
      </rPr>
      <t xml:space="preserve">
Based on our discussion with the Client, we understand that the subject property is owned by M/s. Starwing Real Estate Company. For the purpose of this appraisal exercise, we have assumed that the subject property has a clear title and is free from any encumbrances, disputes and claims. VCIPL has made no further enquiries with the relevant local authorities in this regard and does not certify the property as having a clear and marketable title. Further, no legal advice regarding the title and ownership of the subject property has been obtained for the purpose of this appraisal exercise. It has been assumed that the title deeds are clear and marketable.</t>
    </r>
  </si>
  <si>
    <r>
      <rPr>
        <b/>
        <sz val="11"/>
        <color theme="1"/>
        <rFont val="Times New Roman"/>
        <family val="1"/>
      </rPr>
      <t>Area</t>
    </r>
    <r>
      <rPr>
        <sz val="11"/>
        <color theme="1"/>
        <rFont val="Times New Roman"/>
        <family val="1"/>
      </rPr>
      <t xml:space="preserve">
Based on the information provided by the Client's representative, we understand that the subject property is a Building Under Construction work is in progress, contiguous and non-agricultural land parcel admeasuring as per table attached to the report. </t>
    </r>
  </si>
  <si>
    <r>
      <rPr>
        <b/>
        <sz val="11"/>
        <color theme="1"/>
        <rFont val="Times New Roman"/>
        <family val="1"/>
      </rPr>
      <t>Environmental Conditions</t>
    </r>
    <r>
      <rPr>
        <sz val="11"/>
        <color theme="1"/>
        <rFont val="Times New Roman"/>
        <family val="1"/>
      </rPr>
      <t xml:space="preserve">
We have assumed that the subject property is not contaminated and is not adversely affected by any existing or proposed environmental law and any processes which are carried out on the property are regulated by environmental legislation and are properly licensed by the appropriate authorities.</t>
    </r>
  </si>
  <si>
    <r>
      <rPr>
        <b/>
        <sz val="11"/>
        <color theme="1"/>
        <rFont val="Times New Roman"/>
        <family val="1"/>
      </rPr>
      <t>Town Planning</t>
    </r>
    <r>
      <rPr>
        <sz val="11"/>
        <color theme="1"/>
        <rFont val="Times New Roman"/>
        <family val="1"/>
      </rPr>
      <t xml:space="preserve">
The permissible land use, zoning, achievable FSI, area statement adopted for purpose of this valuation is based on the information provided by the Client's representative and the same has been adopted for this valuation purpose. VCIPL has assumed the same to be correct and permissible. VCIPL has not validated the same from any authority.</t>
    </r>
  </si>
  <si>
    <r>
      <rPr>
        <b/>
        <sz val="11"/>
        <color theme="1"/>
        <rFont val="Times New Roman"/>
        <family val="1"/>
      </rPr>
      <t>Valuation Methodology</t>
    </r>
    <r>
      <rPr>
        <sz val="11"/>
        <color theme="1"/>
        <rFont val="Times New Roman"/>
        <family val="1"/>
      </rPr>
      <t xml:space="preserve">
For the purpose of this valuation exercise, the valuation methodology used is Direct Comparison Approach Method and proposed Highest and Best Use model is used for analysing development potential.
The Direct Comparison Approach involves a comparison of the property being valued to similar properties that have actually been sold in arms length transactions or are offered for sale. This approach demonstrates what buyers have historically been willing to pay (and sellers willing to accept) for similiar properties in an open and competitive market and is particularly useful in estimating the value of the land and properties that are typically traded on a unit basis.
In case of inadequate recent transaction activity in the subject micro-market, the appraiser would collate details of older transactions. Subsequently, the appraiser would analyse rental / capital value trends in the subject micro-market in order to calculate the percentage increase/decrease in values since the date of the identified transactions. This percentage would then be adopted to project the current value of the same.
Where reliance has been placed upon external sources of information in applying the valuation methodologies, unless otherwise specifically instructed by Client and/or stated in the valuation, VCIPL has not independently verified that information and VCIPL does not advise nor accept it as reliable. The person or entity to whom the report is addressed acknowledges and accepts the risk that if any of the unverified information in the valuation is incorrect, then this may have an effect on the valuation. </t>
    </r>
  </si>
  <si>
    <r>
      <rPr>
        <b/>
        <sz val="11"/>
        <color theme="1"/>
        <rFont val="Times New Roman"/>
        <family val="1"/>
      </rPr>
      <t>Not a Structural Survey</t>
    </r>
    <r>
      <rPr>
        <sz val="11"/>
        <color theme="1"/>
        <rFont val="Times New Roman"/>
        <family val="1"/>
      </rPr>
      <t xml:space="preserve">
We state that this is a valuation report and not a structural survey</t>
    </r>
  </si>
  <si>
    <r>
      <rPr>
        <b/>
        <sz val="11"/>
        <color theme="1"/>
        <rFont val="Times New Roman"/>
        <family val="1"/>
      </rPr>
      <t>Other</t>
    </r>
    <r>
      <rPr>
        <sz val="11"/>
        <color theme="1"/>
        <rFont val="Times New Roman"/>
        <family val="1"/>
      </rPr>
      <t xml:space="preserve">
All measurements, areas and ages quoted in our report are approximate</t>
    </r>
  </si>
  <si>
    <r>
      <rPr>
        <b/>
        <sz val="11"/>
        <color theme="1"/>
        <rFont val="Times New Roman"/>
        <family val="1"/>
      </rPr>
      <t>Legal</t>
    </r>
    <r>
      <rPr>
        <sz val="11"/>
        <color theme="1"/>
        <rFont val="Times New Roman"/>
        <family val="1"/>
      </rPr>
      <t xml:space="preserve">
We have not made any allowances with respect to any existing or proposed local legislation relating to taxation on realization of the sale value of the subject property. VCIPL is not required to give testimony or to appear in court by reason of this appraisal report, with reference to the property in question, unless arrangement has been made thereof. Further, no legal advice on any aspects has been obtained for the purpose of this appraisal exercise.</t>
    </r>
  </si>
  <si>
    <r>
      <rPr>
        <b/>
        <sz val="11"/>
        <color theme="1"/>
        <rFont val="Times New Roman"/>
        <family val="1"/>
      </rPr>
      <t>Property specific assumptions</t>
    </r>
    <r>
      <rPr>
        <sz val="11"/>
        <color theme="1"/>
        <rFont val="Times New Roman"/>
        <family val="1"/>
      </rPr>
      <t xml:space="preserve">
Based on inputs received from the client and site visit conducted, we understand that the subject property is currently Building Under Construction work is in progress, contiguous and non-agricultural land parcel admeasuring area as per table attached to the report.</t>
    </r>
  </si>
  <si>
    <t>֎</t>
  </si>
  <si>
    <r>
      <rPr>
        <b/>
        <sz val="11"/>
        <color theme="1"/>
        <rFont val="Times New Roman"/>
        <family val="1"/>
      </rPr>
      <t>Condition &amp; Repair</t>
    </r>
    <r>
      <rPr>
        <sz val="11"/>
        <color theme="1"/>
        <rFont val="Times New Roman"/>
        <family val="1"/>
      </rPr>
      <t xml:space="preserve">
In the absence of any information to the contrary, we have assumed that there are no abnormal ground conditions, nor archaeological remains present which might adversely affect the current or future occupation, al remains present which might adversely affect the struct development or value of the property. The property is free from rat, infestation, structural or latent defect. No currently known deleterious or hazardous materials or suspect techniques will be used in the construction of or subsequent alteration or additions to the property and comments made in the property details do not purport to express an opinion about, or advise upon, the condition of uninspected parts and should not be taken as making an implied representation or statement about such parts.</t>
    </r>
  </si>
  <si>
    <t>Rera No &amp; Name.</t>
  </si>
  <si>
    <t>1. a)</t>
  </si>
  <si>
    <t>1. b)</t>
  </si>
  <si>
    <t>Residential Units (As per approved Plan)</t>
  </si>
  <si>
    <t>Residential Units (As per Proposed by builder)</t>
  </si>
  <si>
    <t>As per approved Plans</t>
  </si>
  <si>
    <t>As per Proposed Plans</t>
  </si>
  <si>
    <t>Commercial Area Details : (As per Approved Plans)</t>
  </si>
  <si>
    <t>Residential Area Details : (As per Approved Plans)</t>
  </si>
  <si>
    <t>Residential Area Details : (Proposed)</t>
  </si>
  <si>
    <t>Particulars (As per Approved Flan)</t>
  </si>
  <si>
    <t>Particulars (Proposed)</t>
  </si>
  <si>
    <t>Building No. 1= Gr + 1st + 15th Floor</t>
  </si>
  <si>
    <t>Ground</t>
  </si>
  <si>
    <t>Podium</t>
  </si>
  <si>
    <t>Floors</t>
  </si>
  <si>
    <t xml:space="preserve">Stage of construction: </t>
  </si>
  <si>
    <t>All work Completed. OC Received.</t>
  </si>
  <si>
    <t>Type of Work</t>
  </si>
  <si>
    <t>Project Progress %</t>
  </si>
  <si>
    <t>Slab/Floor</t>
  </si>
  <si>
    <t>Complition %</t>
  </si>
  <si>
    <t>Progress %</t>
  </si>
  <si>
    <t>Piling Work in process</t>
  </si>
  <si>
    <t>Excavation</t>
  </si>
  <si>
    <t>Excavation in process</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</si>
  <si>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</si>
  <si>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</si>
  <si>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</si>
  <si>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</si>
  <si>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</si>
  <si>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</si>
  <si>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</si>
  <si>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</si>
  <si>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</si>
  <si>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</si>
  <si>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</si>
  <si>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</si>
  <si>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</si>
  <si>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</si>
  <si>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</si>
  <si>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</si>
  <si>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</si>
  <si>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Construction Details: As per Proposed No of Floors</t>
  </si>
  <si>
    <t>Completion period of project (As per Rera)</t>
  </si>
  <si>
    <t>Thane</t>
  </si>
  <si>
    <t>Palghar</t>
  </si>
  <si>
    <t>Mumbai</t>
  </si>
  <si>
    <t>Pune</t>
  </si>
  <si>
    <t>Mokhada</t>
  </si>
  <si>
    <t>Andheri</t>
  </si>
  <si>
    <t>Alibag</t>
  </si>
  <si>
    <t>Pune City</t>
  </si>
  <si>
    <t>Shahpur</t>
  </si>
  <si>
    <t>Talasari</t>
  </si>
  <si>
    <t>Borivali</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</si>
  <si>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</si>
  <si>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</si>
  <si>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</si>
  <si>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</si>
  <si>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</si>
  <si>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</si>
  <si>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</si>
  <si>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</si>
  <si>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</si>
  <si>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</si>
  <si>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</si>
  <si>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</si>
  <si>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</si>
  <si>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</si>
  <si>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</si>
  <si>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</si>
  <si>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</si>
  <si>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</si>
  <si>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</si>
  <si>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</si>
  <si>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</si>
  <si>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</si>
  <si>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</si>
  <si>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</si>
  <si>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</si>
  <si>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</si>
  <si>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</si>
  <si>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</si>
  <si>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</si>
  <si>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</si>
  <si>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</si>
  <si>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</si>
  <si>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</si>
  <si>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</si>
  <si>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</si>
  <si>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Slum Rehabilitation Authority (SRA)</t>
  </si>
  <si>
    <t>Navi Mumbai Municipal Corporation (NMMC)</t>
  </si>
  <si>
    <t>Panvel Municipal Corporation</t>
  </si>
  <si>
    <t>Vasai-Virar City Municipal Corporation. (VVCMC)</t>
  </si>
  <si>
    <t>Municipal Corporation of Greater Mumbai (MCGM)</t>
  </si>
  <si>
    <t>Thane Muncipal Cooperation (TMC)</t>
  </si>
  <si>
    <t>City and Industrial Development Corporation (CIDCO)</t>
  </si>
  <si>
    <t>Collector Of Palghar</t>
  </si>
  <si>
    <t>Maharashtra Housing and Area Development Authority(MHADA)</t>
  </si>
  <si>
    <t>Kalyan Dombivli Municipal Corporation (KMDC)</t>
  </si>
  <si>
    <t>Maharashtra State Road Development Corporation Limited (MSRDC)</t>
  </si>
  <si>
    <t>Town Planner, Palghar</t>
  </si>
  <si>
    <t>Mumbai Metropolitan Region Development Authority (MMRDA)</t>
  </si>
  <si>
    <t>Ambernath Municipal Council (AMC)</t>
  </si>
  <si>
    <t>Navi Mumbai Airport Influence Notified Area (NAINA)</t>
  </si>
  <si>
    <t>Kulgoan Badlapur Municipal Council</t>
  </si>
  <si>
    <t>Pen Municipal Council</t>
  </si>
  <si>
    <t>Town Planning Thane</t>
  </si>
  <si>
    <t>Raigad Zilha Parishad</t>
  </si>
  <si>
    <t>Ulhasnagar Municipal Corporation</t>
  </si>
  <si>
    <t>Roha Municipal Council</t>
  </si>
  <si>
    <t>Nagar Rachana Ani Mulya Nirdharan Vibhag Thane</t>
  </si>
  <si>
    <t>Collector Of Raigad</t>
  </si>
  <si>
    <t>Bhiwandi Nizampur City Municipal Corporation</t>
  </si>
  <si>
    <t>Maharashtra Industrial Development Corporation (MIDC)</t>
  </si>
  <si>
    <t>Mira-Bhayandar Municipal Corporation</t>
  </si>
  <si>
    <t>Latitude, Longitude of the site</t>
  </si>
  <si>
    <t>Flexible Pavement</t>
  </si>
  <si>
    <t>Superstructure</t>
  </si>
  <si>
    <t xml:space="preserve">Name of Municipal Corporation / Authority  </t>
  </si>
  <si>
    <t>Construction details:</t>
  </si>
  <si>
    <t>Disbursement %</t>
  </si>
  <si>
    <t>Brickwork &amp; Internal Plaster</t>
  </si>
  <si>
    <t>External Plaster &amp; Plumbing</t>
  </si>
  <si>
    <t>As per RERA (sq.m)</t>
  </si>
  <si>
    <t>As per Approved Plan (sq.m)</t>
  </si>
  <si>
    <t>Commencement-CC No:
Valid Upto</t>
  </si>
  <si>
    <t xml:space="preserve">Cost of construction in Rs. 
( per Sq.
Ft.)
</t>
  </si>
  <si>
    <t>Approx Rent per month
in Rs.</t>
  </si>
  <si>
    <t>3rd</t>
  </si>
  <si>
    <t>4th</t>
  </si>
  <si>
    <t>5th</t>
  </si>
  <si>
    <t>6th</t>
  </si>
  <si>
    <t>7th</t>
  </si>
  <si>
    <t>14th</t>
  </si>
  <si>
    <t>15th</t>
  </si>
  <si>
    <t>16th</t>
  </si>
  <si>
    <t>17th</t>
  </si>
  <si>
    <t>18th</t>
  </si>
  <si>
    <t xml:space="preserve">For Residential = </t>
  </si>
  <si>
    <t xml:space="preserve">For Land = </t>
  </si>
  <si>
    <t>SBI, Belapur, Navi Mumbai.</t>
  </si>
  <si>
    <t>Amenties</t>
  </si>
  <si>
    <t>Gross Carpet Area 
(in Sq. Ft.)</t>
  </si>
  <si>
    <t>Attached
Loft
Area
(in Sq.
Ft.)</t>
  </si>
  <si>
    <t>Realizable
Value
in Rs.</t>
  </si>
  <si>
    <t>Rate per
Sq.Ft.</t>
  </si>
  <si>
    <t>Flat Type</t>
  </si>
  <si>
    <t>Terrace Area
(in Sq. Ft.)</t>
  </si>
  <si>
    <t>Attached
Otla
Area
(in Sq.
Ft.)</t>
  </si>
  <si>
    <t>Renucorp Vanaha</t>
  </si>
  <si>
    <t xml:space="preserve">Copy of following items
1. Approved Layout Plan 
MSRDC/B/2025/APL/00127
Date : 27/05/2025
2. Approved Floor Plan
MSRDC/B/2025/APL/00127
Date : 27/05/2025
3. Approved Commencement Certificate
MSRDC/B/2025/APL/00127
Date : 27/05/2025
4. Fire NOC
MSRDC/FIRE/PFA/03223-A/2245 
Date : 19/03/2025
5. Airport NOC
NAVI/WEST/B/011425/1489016
Date : 19/03/2025 
Valid Upto Date : 18/03/2025
6.RERA Certificate
7. Cost Sheet
8. Builder Profile 
</t>
  </si>
  <si>
    <t>M/S. Renucorp Rrudra Infra LLP</t>
  </si>
  <si>
    <r>
      <t xml:space="preserve">Name: </t>
    </r>
    <r>
      <rPr>
        <b/>
        <sz val="11"/>
        <rFont val="Times New Roman"/>
        <family val="1"/>
      </rPr>
      <t>Renucorp Rrudra Infra LLP</t>
    </r>
    <r>
      <rPr>
        <sz val="11"/>
        <rFont val="Times New Roman"/>
        <family val="1"/>
      </rPr>
      <t xml:space="preserve">
Address: Office 1509/1510, Kamdhenu Commerz, Above Zudio Stores Panvel Raigad Kharghar (CT) 410206</t>
    </r>
  </si>
  <si>
    <t>PM1270002500457</t>
  </si>
  <si>
    <t>Survey No</t>
  </si>
  <si>
    <t>86/1</t>
  </si>
  <si>
    <t>Ashte Logistics Pvt. Ltd.</t>
  </si>
  <si>
    <t>Sawala apte Road</t>
  </si>
  <si>
    <t>Ashte</t>
  </si>
  <si>
    <t>18.948392,73.149774</t>
  </si>
  <si>
    <t>https://maps.app.goo.gl/NTqUm96YFH2zyMPj7</t>
  </si>
  <si>
    <t>Somatne West</t>
  </si>
  <si>
    <t>S.NO. 87</t>
  </si>
  <si>
    <t>S.NO. 94</t>
  </si>
  <si>
    <t>S.NO. 85</t>
  </si>
  <si>
    <t>Road Towards Village</t>
  </si>
  <si>
    <t>Sawala Apta Road</t>
  </si>
  <si>
    <t>Open Plot</t>
  </si>
  <si>
    <t>Open Plot/Navkar Corporation Ltd.</t>
  </si>
  <si>
    <t>45 M. Wide Road</t>
  </si>
  <si>
    <t>Plot Area = 3610</t>
  </si>
  <si>
    <t xml:space="preserve">SCHOOL :
Chhatrapati Shivaji Maharaj University - 4.50Km
R. Z. P. School Ovepeth Marathi - 750m
</t>
  </si>
  <si>
    <t>PMC</t>
  </si>
  <si>
    <t xml:space="preserve">SHOPPING :
Local Market - 2.00Km
D mart Palaspe  - 3.40Km
</t>
  </si>
  <si>
    <t xml:space="preserve">HOSPITALS :
New city hospital - 4.30Km
ONGC Hospital- 5.00Km
</t>
  </si>
  <si>
    <t xml:space="preserve">PETROL PUMP :
Hindustan Petroleum Corporation Limited - 2.60Km
</t>
  </si>
  <si>
    <t>Located in developing area, surrounded by projects like Indiabulls Greens, Close To Somatane Railway Station And Old Mumbai-Pune Expressway etc</t>
  </si>
  <si>
    <t>Swimming Pool, Sun Deck, Multipurpose Hall, Indoor Games, 
Jogging Track, Landscape Garden, Decorative Entrance Lobby, Etc.</t>
  </si>
  <si>
    <t>Plan date : MSRDC/B/2025/APL/00127
Valid upto Date : NA</t>
  </si>
  <si>
    <t>MSRDC/B/2025/APL/00127</t>
  </si>
  <si>
    <t>Stilt + 1st to 11th Floor</t>
  </si>
  <si>
    <t>As discussed with builder person manasi</t>
  </si>
  <si>
    <t>Renucorp Vanaha project is a MahaRERA registered project bearing MahaRERA registration No. PM1270002500457. Project is located in Ashte, Panvel, Navi Mumbai. This project will be developed by M/s. Renucorp Rrudra Infra LLP. Project is approved for Basement + Ground + 11 Upper Floors but it is proposed for Basement + Ground + 24 Upper Floors. Project consists Shops, 1BHK, 2BHK, Different types of amenties, Good space for parking and so on.</t>
  </si>
  <si>
    <t>Basement Floor For Parking</t>
  </si>
  <si>
    <t>Ground Floor For Commercial, Entrance Lobby, Amenity Area &amp; Parking</t>
  </si>
  <si>
    <t>1st Podium Floor</t>
  </si>
  <si>
    <t xml:space="preserve">Ground Floor </t>
  </si>
  <si>
    <t>8th</t>
  </si>
  <si>
    <t>9th</t>
  </si>
  <si>
    <t>10th</t>
  </si>
  <si>
    <t>11th</t>
  </si>
  <si>
    <t>2nd</t>
  </si>
  <si>
    <t>Void</t>
  </si>
  <si>
    <t>Refuge Area</t>
  </si>
  <si>
    <t>12th</t>
  </si>
  <si>
    <t>13th</t>
  </si>
  <si>
    <t>19th</t>
  </si>
  <si>
    <t>20th</t>
  </si>
  <si>
    <t>21st</t>
  </si>
  <si>
    <t>22nd</t>
  </si>
  <si>
    <t>2nd Floor For Residential</t>
  </si>
  <si>
    <t>We considered Gross carpet area = Net carpet + Arch Projection.</t>
  </si>
  <si>
    <t>MSRDC/FIRE/PFA/03223-A/2245</t>
  </si>
  <si>
    <t>Basement 1 &amp; 2 + Stilt + Podium 1 &amp; 2 + 1st to 17th Floor</t>
  </si>
  <si>
    <t>NAVI/WEST/B/011425/1489016</t>
  </si>
  <si>
    <t>Valid upto Date</t>
  </si>
  <si>
    <t>Site Elevation (AMSL) = 16.21 M
Permissible Top Elevation (AMSL) = 146.21 M</t>
  </si>
  <si>
    <t>Shop - 34, Flats - 77</t>
  </si>
  <si>
    <t>Wing A = Stilt + 1st to 11th Floor (Height - 46.05 M)</t>
  </si>
  <si>
    <t>We verified Approved Plans, CC, Fire NOC, Airport NOC, &amp; Builder Documents.</t>
  </si>
  <si>
    <t>Please note proposed area calculation of above project (i.e 88 Flats) should be not be considered for valuation till  authority approve revised plans</t>
  </si>
  <si>
    <r>
      <t>The information furnished in my valuation report dated (</t>
    </r>
    <r>
      <rPr>
        <b/>
        <sz val="11"/>
        <rFont val="Times New Roman"/>
        <family val="1"/>
      </rPr>
      <t>24/09/20253</t>
    </r>
    <r>
      <rPr>
        <sz val="11"/>
        <rFont val="Times New Roman"/>
        <family val="1"/>
      </rPr>
      <t>) is true and correct to the best of my knowledge and belief and I have made an impartial and true valuation of the property.</t>
    </r>
  </si>
  <si>
    <r>
      <t xml:space="preserve">I have personally inspected the property on </t>
    </r>
    <r>
      <rPr>
        <b/>
        <sz val="11"/>
        <rFont val="Times New Roman"/>
        <family val="1"/>
      </rPr>
      <t>(24/09/2025).</t>
    </r>
    <r>
      <rPr>
        <sz val="11"/>
        <rFont val="Times New Roman"/>
        <family val="1"/>
      </rPr>
      <t xml:space="preserve"> The work is not subcontracted to any other valuer and carried out by myself.</t>
    </r>
  </si>
  <si>
    <r>
      <t xml:space="preserve">The property under construction was purchased by </t>
    </r>
    <r>
      <rPr>
        <b/>
        <sz val="11"/>
        <rFont val="Times New Roman"/>
        <family val="1"/>
      </rPr>
      <t>Renucorp Rrudra Infra LLP</t>
    </r>
  </si>
  <si>
    <r>
      <t xml:space="preserve">Loan Purpose for State Bank of India, </t>
    </r>
    <r>
      <rPr>
        <b/>
        <sz val="11"/>
        <rFont val="Times New Roman"/>
        <family val="1"/>
      </rPr>
      <t>(Belapur)</t>
    </r>
  </si>
  <si>
    <r>
      <rPr>
        <b/>
        <sz val="11"/>
        <rFont val="Times New Roman"/>
        <family val="1"/>
      </rPr>
      <t xml:space="preserve">Value Subject to Change </t>
    </r>
    <r>
      <rPr>
        <sz val="11"/>
        <rFont val="Times New Roman"/>
        <family val="1"/>
      </rPr>
      <t xml:space="preserve">
The subject appraisal exercise is based on prevailing market dynamics as on </t>
    </r>
    <r>
      <rPr>
        <b/>
        <sz val="11"/>
        <rFont val="Times New Roman"/>
        <family val="1"/>
      </rPr>
      <t>24/09/2025</t>
    </r>
    <r>
      <rPr>
        <sz val="11"/>
        <rFont val="Times New Roman"/>
        <family val="1"/>
      </rPr>
      <t xml:space="preserve"> and does not take into account any unforeseeable developments which could impact the same in the future. </t>
    </r>
  </si>
  <si>
    <t xml:space="preserve">Cost of Construction
(Builtup Area (Sq.ft) x Rate of construction(₹ 2500))
</t>
  </si>
  <si>
    <t>Stilt + 1st to 24th Floor</t>
  </si>
  <si>
    <t>Fire NOC:
Valid Upto</t>
  </si>
  <si>
    <t>Airport NOC:
Valid Upto</t>
  </si>
  <si>
    <t>Distress Value
in Rs.</t>
  </si>
  <si>
    <t>Final Realizable Value
in Rs.</t>
  </si>
  <si>
    <t>Note: Final Realizable Value is exclusive of Car Parking Value. 
Recommeded Rate of Single parking should be considered as ₹ 3,00,000/-.
Car parking is subjected to authentic documentation.</t>
  </si>
  <si>
    <r>
      <t xml:space="preserve">The sales comparison approach is commonly used for Residential Flat, where there are typically many comparable available to analyze. As the property is a residential flat, we have adopted Sale comparision Approach Method for the purpose of valuation. The Price for similiar type of property in nearby vicinity is in the range of 9300₹ to 10300₹ per sq.ft on carpet Area for Flats. Considering the rate with attacted report, current market conditions, demand and supply position, Flat Size, loaction, upswing in real estate prices, sustained demand for Residential Flat, all round development of commercial and residential application in the locality etc. We have estimated </t>
    </r>
    <r>
      <rPr>
        <b/>
        <sz val="11"/>
        <rFont val="Times New Roman"/>
        <family val="1"/>
      </rPr>
      <t>10000₹</t>
    </r>
    <r>
      <rPr>
        <sz val="11"/>
        <rFont val="Times New Roman"/>
        <family val="1"/>
      </rPr>
      <t xml:space="preserve"> per sq.ft on carpet area for Flats.</t>
    </r>
  </si>
  <si>
    <t>Final Realizable Value is exclusive of Car Parking Value. 
Recommeded Rate of Single parking should be considered as ₹ 3,00,000/-.</t>
  </si>
  <si>
    <t>Recommended Final Realizable Value should be considered as all inclusive value (Base Value + Other Charges + GST). (Excluding other government Taxes)</t>
  </si>
  <si>
    <t>As per Rera, nomenclature of building is mentioned as Wing A, but Wing A is not mentioned in Approved Plans or CC.</t>
  </si>
  <si>
    <t>Site Inspection Engineer - Ravindra Vishwakarma</t>
  </si>
  <si>
    <t>During site visit, We met Ms. Urvashi Sharma (Sales) 8169393174</t>
  </si>
  <si>
    <t>Construction work is in process at the time of Visit.</t>
  </si>
  <si>
    <t>Renucorp Vanaha, Survey No.86/1, Sector. , near Ashte Logistics Pvt. Ltd., Sawala apte Road, Ashte, Somatne West, Panvel, Raigad - 410206.</t>
  </si>
  <si>
    <t>Survey No.86/1, Ashte, Panvel, Raigad.</t>
  </si>
  <si>
    <t>One Arab Five Crore Twenty Three Lakh Twenty Thousand Six Hundred Two rupees.</t>
  </si>
  <si>
    <t>Final Realizable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</si>
</sst>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 &quot;₹&quot;\ * #,##0.00_ ;_ &quot;₹&quot;\ * \-#,##0.00_ ;_ &quot;₹&quot;\ * &quot;-&quot;??_ ;_ @_ "/>
    <numFmt numFmtId="43" formatCode="_ * #,##0.00_ ;_ * \-#,##0.00_ ;_ * &quot;-&quot;??_ ;_ @_ "/>
    <numFmt numFmtId="164" formatCode="_ &quot;₹&quot;\ * #,##0_ ;_ &quot;₹&quot;\ * \-#,##0_ ;_ &quot;₹&quot;\ * &quot;-&quot;??_ ;_ @_ "/>
    <numFmt numFmtId="165" formatCode="&quot;₹&quot;\ #,##0"/>
    <numFmt numFmtId="166" formatCode="_ * #,##0_ ;_ * \-#,##0_ ;_ * &quot;-&quot;??_ ;_ @_ "/>
    <numFmt numFmtId="167" formatCode="&quot;₹&quot;\ #,##0.00"/>
  </numFmts>
  <fonts count="42"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b/>
      <sz val="10"/>
      <color indexed="8"/>
      <name val="Times New Roman"/>
      <family val="1"/>
    </font>
    <font>
      <sz val="10"/>
      <name val="Arial"/>
      <family val="2"/>
    </font>
    <font>
      <b/>
      <sz val="11"/>
      <name val="Times New Roman"/>
      <family val="1"/>
    </font>
    <font>
      <b/>
      <u/>
      <sz val="11"/>
      <color indexed="8"/>
      <name val="Times New Roman"/>
      <family val="1"/>
    </font>
    <font>
      <u/>
      <sz val="11"/>
      <color theme="10"/>
      <name val="Calibri"/>
      <family val="2"/>
    </font>
    <font>
      <sz val="10"/>
      <color theme="1"/>
      <name val="Verdana"/>
      <family val="2"/>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b/>
      <sz val="10"/>
      <color theme="1"/>
      <name val="Times New Roman"/>
      <family val="1"/>
    </font>
    <font>
      <b/>
      <sz val="12"/>
      <color theme="1"/>
      <name val="Times New Roman"/>
      <family val="1"/>
    </font>
    <font>
      <b/>
      <sz val="14"/>
      <color theme="1"/>
      <name val="Times New Roman"/>
      <family val="1"/>
    </font>
    <font>
      <sz val="11"/>
      <color theme="1"/>
      <name val="Calibri"/>
      <family val="2"/>
      <scheme val="minor"/>
    </font>
    <font>
      <b/>
      <sz val="11.5"/>
      <color indexed="8"/>
      <name val="Times New Roman"/>
      <family val="1"/>
    </font>
    <font>
      <sz val="9"/>
      <color indexed="81"/>
      <name val="Tahoma"/>
      <family val="2"/>
    </font>
    <font>
      <b/>
      <sz val="9"/>
      <color indexed="81"/>
      <name val="Tahoma"/>
      <family val="2"/>
    </font>
    <font>
      <sz val="11"/>
      <color rgb="FFFF0000"/>
      <name val="Times New Roman"/>
      <family val="1"/>
    </font>
    <font>
      <b/>
      <sz val="14"/>
      <color indexed="8"/>
      <name val="Times New Roman"/>
      <family val="1"/>
    </font>
    <font>
      <sz val="11"/>
      <color rgb="FF333333"/>
      <name val="Arial"/>
      <family val="2"/>
    </font>
    <font>
      <sz val="11"/>
      <name val="Times New Roman"/>
      <family val="1"/>
    </font>
    <font>
      <sz val="11"/>
      <color indexed="8"/>
      <name val="Times New Roman"/>
      <family val="1"/>
    </font>
    <font>
      <sz val="11"/>
      <color theme="1"/>
      <name val="Calibri"/>
      <family val="2"/>
    </font>
    <font>
      <sz val="10"/>
      <color theme="1"/>
      <name val="Times New Roman"/>
      <family val="1"/>
    </font>
    <font>
      <sz val="10"/>
      <color rgb="FF000000"/>
      <name val="Times New Roman"/>
      <family val="1"/>
    </font>
    <font>
      <sz val="16"/>
      <color indexed="81"/>
      <name val="Tahoma"/>
      <family val="2"/>
    </font>
    <font>
      <b/>
      <sz val="11"/>
      <color rgb="FFFF0000"/>
      <name val="Times New Roman"/>
      <family val="1"/>
    </font>
    <font>
      <sz val="12"/>
      <name val="Times New Roman"/>
      <family val="1"/>
    </font>
    <font>
      <sz val="12"/>
      <color theme="1"/>
      <name val="Times New Roman"/>
      <family val="1"/>
    </font>
    <font>
      <sz val="10"/>
      <color theme="1"/>
      <name val="Arial"/>
      <family val="2"/>
    </font>
    <font>
      <sz val="8"/>
      <color theme="1"/>
      <name val="Times New Roman"/>
      <family val="1"/>
    </font>
    <font>
      <sz val="9"/>
      <color theme="1"/>
      <name val="Times New Roman"/>
      <family val="1"/>
    </font>
    <font>
      <sz val="9"/>
      <color theme="1"/>
      <name val="Calibri"/>
      <family val="2"/>
      <scheme val="minor"/>
    </font>
    <font>
      <b/>
      <sz val="10"/>
      <color rgb="FFFF0000"/>
      <name val="Times New Roman"/>
      <family val="1"/>
    </font>
    <font>
      <b/>
      <sz val="10"/>
      <name val="Times New Roman"/>
      <family val="1"/>
    </font>
    <font>
      <b/>
      <sz val="14"/>
      <name val="Times New Roman"/>
      <family val="1"/>
    </font>
    <font>
      <b/>
      <sz val="12"/>
      <name val="Times New Roman"/>
      <family val="1"/>
    </font>
    <font>
      <b/>
      <sz val="9"/>
      <name val="Times New Roman"/>
      <family val="1"/>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E3F2F3"/>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xf numFmtId="0" fontId="1" fillId="0" borderId="0"/>
    <xf numFmtId="0" fontId="8" fillId="0" borderId="0" applyNumberFormat="0" applyFill="0" applyBorder="0" applyAlignment="0" applyProtection="0">
      <alignment vertical="top"/>
      <protection locked="0"/>
    </xf>
    <xf numFmtId="0" fontId="9" fillId="0" borderId="0"/>
    <xf numFmtId="0" fontId="5" fillId="0" borderId="0"/>
    <xf numFmtId="0" fontId="17" fillId="0" borderId="0"/>
    <xf numFmtId="44" fontId="17" fillId="0" borderId="0" applyFont="0" applyFill="0" applyBorder="0" applyAlignment="0" applyProtection="0"/>
    <xf numFmtId="43" fontId="17" fillId="0" borderId="0" applyFont="0" applyFill="0" applyBorder="0" applyAlignment="0" applyProtection="0"/>
  </cellStyleXfs>
  <cellXfs count="565">
    <xf numFmtId="0" fontId="0" fillId="0" borderId="0" xfId="0"/>
    <xf numFmtId="0" fontId="0" fillId="0" borderId="1" xfId="0" applyBorder="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top" wrapText="1"/>
    </xf>
    <xf numFmtId="0" fontId="12" fillId="0" borderId="0" xfId="0" applyFont="1"/>
    <xf numFmtId="0" fontId="10" fillId="2" borderId="1" xfId="0" applyFont="1" applyFill="1" applyBorder="1"/>
    <xf numFmtId="0" fontId="0" fillId="0" borderId="2" xfId="0" applyBorder="1"/>
    <xf numFmtId="0" fontId="0" fillId="0" borderId="0" xfId="0" applyAlignment="1">
      <alignment wrapText="1"/>
    </xf>
    <xf numFmtId="0" fontId="0" fillId="0" borderId="1" xfId="0" applyBorder="1" applyAlignment="1">
      <alignment wrapText="1"/>
    </xf>
    <xf numFmtId="0" fontId="3" fillId="0" borderId="0" xfId="0" applyFont="1" applyAlignment="1">
      <alignment horizontal="left" vertical="top" wrapText="1"/>
    </xf>
    <xf numFmtId="0" fontId="12" fillId="0" borderId="0" xfId="0" applyFont="1" applyAlignment="1">
      <alignment horizontal="left"/>
    </xf>
    <xf numFmtId="0" fontId="12" fillId="0" borderId="0" xfId="0" applyFont="1" applyAlignment="1">
      <alignment horizontal="center"/>
    </xf>
    <xf numFmtId="0" fontId="12" fillId="0" borderId="1" xfId="0" applyFont="1" applyBorder="1" applyAlignment="1">
      <alignment horizontal="center"/>
    </xf>
    <xf numFmtId="0" fontId="12" fillId="0" borderId="6" xfId="0" applyFont="1" applyBorder="1"/>
    <xf numFmtId="0" fontId="12" fillId="0" borderId="7" xfId="0" applyFont="1" applyBorder="1"/>
    <xf numFmtId="0" fontId="4" fillId="0" borderId="0" xfId="0" applyFont="1" applyAlignment="1">
      <alignment horizontal="left" vertical="top"/>
    </xf>
    <xf numFmtId="0" fontId="1" fillId="0" borderId="0" xfId="2"/>
    <xf numFmtId="0" fontId="12" fillId="0" borderId="8" xfId="0" applyFont="1" applyBorder="1"/>
    <xf numFmtId="0" fontId="12" fillId="0" borderId="9" xfId="0" applyFont="1" applyBorder="1"/>
    <xf numFmtId="0" fontId="13" fillId="0" borderId="8" xfId="0" applyFont="1" applyBorder="1"/>
    <xf numFmtId="0" fontId="12" fillId="0" borderId="9" xfId="0" applyFont="1" applyBorder="1" applyAlignment="1">
      <alignment horizontal="left"/>
    </xf>
    <xf numFmtId="0" fontId="12" fillId="0" borderId="10" xfId="0" applyFont="1" applyBorder="1"/>
    <xf numFmtId="0" fontId="0" fillId="0" borderId="1" xfId="0" applyBorder="1" applyAlignment="1">
      <alignment horizontal="center"/>
    </xf>
    <xf numFmtId="0" fontId="14" fillId="0" borderId="1" xfId="0" applyFont="1" applyBorder="1" applyAlignment="1">
      <alignment horizontal="center" vertical="top" wrapText="1"/>
    </xf>
    <xf numFmtId="2"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0" xfId="0" applyFont="1"/>
    <xf numFmtId="0" fontId="15" fillId="0" borderId="0" xfId="0" applyFont="1"/>
    <xf numFmtId="0" fontId="16" fillId="0" borderId="0" xfId="0" applyFont="1"/>
    <xf numFmtId="1" fontId="0" fillId="0" borderId="1" xfId="0" applyNumberFormat="1" applyBorder="1" applyAlignment="1">
      <alignment horizontal="center"/>
    </xf>
    <xf numFmtId="1" fontId="11" fillId="0" borderId="1" xfId="0" applyNumberFormat="1" applyFont="1" applyBorder="1" applyAlignment="1">
      <alignment horizontal="center"/>
    </xf>
    <xf numFmtId="1" fontId="12" fillId="0" borderId="1" xfId="0" applyNumberFormat="1" applyFont="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center" vertical="top" wrapText="1"/>
    </xf>
    <xf numFmtId="0" fontId="12" fillId="0" borderId="5" xfId="0" applyFont="1" applyBorder="1" applyAlignment="1">
      <alignment horizontal="center"/>
    </xf>
    <xf numFmtId="0" fontId="14" fillId="0" borderId="1" xfId="0" applyFont="1" applyBorder="1" applyAlignment="1">
      <alignment vertical="top"/>
    </xf>
    <xf numFmtId="0" fontId="16" fillId="0" borderId="0" xfId="0" applyFont="1" applyAlignment="1">
      <alignment horizontal="left" vertical="top"/>
    </xf>
    <xf numFmtId="0" fontId="16" fillId="0" borderId="0" xfId="0" applyFont="1" applyAlignment="1">
      <alignment vertical="top"/>
    </xf>
    <xf numFmtId="0" fontId="15" fillId="0" borderId="0" xfId="0" applyFont="1" applyAlignment="1">
      <alignment horizontal="left" vertical="top"/>
    </xf>
    <xf numFmtId="0" fontId="15" fillId="0" borderId="0" xfId="0" applyFont="1" applyAlignment="1">
      <alignment vertical="top"/>
    </xf>
    <xf numFmtId="0" fontId="13" fillId="0" borderId="0" xfId="0" applyFont="1" applyAlignment="1">
      <alignment horizontal="left" vertical="top"/>
    </xf>
    <xf numFmtId="0" fontId="13" fillId="0" borderId="0" xfId="0" applyFont="1" applyAlignment="1">
      <alignment vertical="top"/>
    </xf>
    <xf numFmtId="0" fontId="12" fillId="0" borderId="0" xfId="0" applyFont="1" applyAlignment="1">
      <alignment horizontal="left" vertical="top"/>
    </xf>
    <xf numFmtId="0" fontId="12" fillId="0" borderId="0" xfId="0" applyFont="1" applyAlignment="1">
      <alignment vertical="top"/>
    </xf>
    <xf numFmtId="0" fontId="12" fillId="0" borderId="6" xfId="0" applyFont="1" applyBorder="1" applyAlignment="1">
      <alignment horizontal="left" vertical="top"/>
    </xf>
    <xf numFmtId="0" fontId="12" fillId="0" borderId="6" xfId="0" applyFont="1" applyBorder="1" applyAlignment="1">
      <alignment vertical="top"/>
    </xf>
    <xf numFmtId="0" fontId="3" fillId="0" borderId="0" xfId="0" applyFont="1" applyAlignment="1">
      <alignment vertical="top"/>
    </xf>
    <xf numFmtId="0" fontId="0" fillId="0" borderId="0" xfId="0" applyAlignment="1">
      <alignment horizontal="left" vertical="top"/>
    </xf>
    <xf numFmtId="0" fontId="0" fillId="0" borderId="0" xfId="0" applyAlignment="1">
      <alignment horizontal="center" vertical="center"/>
    </xf>
    <xf numFmtId="1" fontId="13" fillId="0" borderId="1" xfId="0" applyNumberFormat="1" applyFont="1" applyBorder="1" applyAlignment="1">
      <alignment vertical="top" wrapText="1"/>
    </xf>
    <xf numFmtId="1" fontId="13" fillId="0" borderId="1" xfId="0" applyNumberFormat="1" applyFont="1" applyBorder="1" applyAlignment="1">
      <alignment horizontal="center" vertical="center" wrapText="1"/>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2" fillId="0" borderId="1" xfId="0" applyFont="1" applyBorder="1" applyAlignment="1">
      <alignment horizontal="center" vertical="top" wrapText="1"/>
    </xf>
    <xf numFmtId="0" fontId="12"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xf>
    <xf numFmtId="0" fontId="0" fillId="0" borderId="0" xfId="0" applyAlignment="1">
      <alignment horizontal="left" vertical="center" indent="1"/>
    </xf>
    <xf numFmtId="0" fontId="23" fillId="0" borderId="0" xfId="0" applyFont="1" applyAlignment="1">
      <alignment horizontal="left" vertical="center" wrapText="1" indent="1"/>
    </xf>
    <xf numFmtId="1" fontId="12" fillId="0" borderId="1" xfId="0" applyNumberFormat="1" applyFont="1" applyBorder="1" applyAlignment="1">
      <alignment horizontal="center" vertical="top"/>
    </xf>
    <xf numFmtId="1" fontId="12" fillId="0" borderId="0" xfId="0" applyNumberFormat="1" applyFont="1" applyAlignment="1">
      <alignment horizontal="center"/>
    </xf>
    <xf numFmtId="1" fontId="6" fillId="0" borderId="0" xfId="0" applyNumberFormat="1" applyFont="1" applyAlignment="1">
      <alignment horizontal="center"/>
    </xf>
    <xf numFmtId="0" fontId="13" fillId="3" borderId="1" xfId="0" applyFont="1" applyFill="1" applyBorder="1" applyAlignment="1">
      <alignment horizontal="center" vertical="top" wrapText="1"/>
    </xf>
    <xf numFmtId="0" fontId="24" fillId="0" borderId="1" xfId="0" applyFont="1" applyBorder="1" applyAlignment="1">
      <alignment vertical="top"/>
    </xf>
    <xf numFmtId="0" fontId="13" fillId="0" borderId="0" xfId="0" applyFont="1" applyAlignment="1">
      <alignment horizontal="center"/>
    </xf>
    <xf numFmtId="0" fontId="13" fillId="0" borderId="0" xfId="0" applyFont="1" applyAlignment="1">
      <alignment horizontal="center" vertical="top" wrapText="1"/>
    </xf>
    <xf numFmtId="0" fontId="12" fillId="0" borderId="0" xfId="0" applyFont="1" applyAlignment="1">
      <alignment horizontal="center" vertical="center"/>
    </xf>
    <xf numFmtId="0" fontId="12" fillId="0" borderId="0" xfId="0" applyFont="1" applyAlignment="1">
      <alignment horizontal="center" vertical="top"/>
    </xf>
    <xf numFmtId="1"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0" fillId="0" borderId="0" xfId="0" applyFont="1"/>
    <xf numFmtId="0" fontId="26" fillId="0" borderId="1" xfId="0" applyFont="1" applyBorder="1" applyAlignment="1">
      <alignment horizontal="center" vertical="center"/>
    </xf>
    <xf numFmtId="1" fontId="10" fillId="0" borderId="0" xfId="0" applyNumberFormat="1" applyFont="1"/>
    <xf numFmtId="0" fontId="27" fillId="6" borderId="17" xfId="6" applyFont="1" applyFill="1" applyBorder="1" applyAlignment="1" applyProtection="1">
      <alignment horizontal="center" vertical="center"/>
      <protection locked="0"/>
    </xf>
    <xf numFmtId="0" fontId="27" fillId="6" borderId="18" xfId="6" applyFont="1" applyFill="1" applyBorder="1" applyAlignment="1" applyProtection="1">
      <alignment horizontal="center" vertical="center"/>
      <protection locked="0"/>
    </xf>
    <xf numFmtId="0" fontId="27" fillId="0" borderId="19" xfId="6" applyFont="1" applyBorder="1" applyProtection="1">
      <protection hidden="1"/>
    </xf>
    <xf numFmtId="0" fontId="27" fillId="0" borderId="20" xfId="6" applyFont="1" applyBorder="1" applyProtection="1">
      <protection hidden="1"/>
    </xf>
    <xf numFmtId="0" fontId="27" fillId="0" borderId="0" xfId="0" applyFont="1"/>
    <xf numFmtId="0" fontId="27" fillId="6" borderId="1" xfId="6" applyFont="1" applyFill="1" applyBorder="1" applyAlignment="1" applyProtection="1">
      <alignment horizontal="center" vertical="center"/>
      <protection locked="0"/>
    </xf>
    <xf numFmtId="0" fontId="27" fillId="6" borderId="22" xfId="6" applyFont="1" applyFill="1" applyBorder="1" applyAlignment="1" applyProtection="1">
      <alignment horizontal="center" vertical="center"/>
      <protection locked="0"/>
    </xf>
    <xf numFmtId="0" fontId="27" fillId="0" borderId="0" xfId="6" applyFont="1" applyProtection="1">
      <protection hidden="1"/>
    </xf>
    <xf numFmtId="0" fontId="27" fillId="0" borderId="23" xfId="6" applyFont="1" applyBorder="1" applyProtection="1">
      <protection hidden="1"/>
    </xf>
    <xf numFmtId="0" fontId="14" fillId="7" borderId="24" xfId="0" applyFont="1" applyFill="1" applyBorder="1" applyAlignment="1">
      <alignment horizontal="left" vertical="top"/>
    </xf>
    <xf numFmtId="0" fontId="27" fillId="7" borderId="21" xfId="6" applyFont="1" applyFill="1" applyBorder="1" applyAlignment="1" applyProtection="1">
      <alignment horizontal="center" vertical="top" wrapText="1"/>
      <protection locked="0"/>
    </xf>
    <xf numFmtId="0" fontId="27" fillId="7" borderId="1" xfId="0" applyFont="1" applyFill="1" applyBorder="1" applyAlignment="1">
      <alignment horizontal="center"/>
    </xf>
    <xf numFmtId="0" fontId="27" fillId="7" borderId="1" xfId="6" applyFont="1" applyFill="1" applyBorder="1" applyAlignment="1" applyProtection="1">
      <alignment horizontal="center" vertical="top" wrapText="1"/>
      <protection locked="0"/>
    </xf>
    <xf numFmtId="0" fontId="28" fillId="0" borderId="0" xfId="0" applyFont="1" applyProtection="1">
      <protection hidden="1"/>
    </xf>
    <xf numFmtId="0" fontId="27" fillId="0" borderId="23" xfId="6" applyFont="1" applyBorder="1"/>
    <xf numFmtId="9" fontId="27" fillId="7" borderId="1" xfId="0" applyNumberFormat="1" applyFont="1" applyFill="1" applyBorder="1" applyAlignment="1">
      <alignment horizontal="center"/>
    </xf>
    <xf numFmtId="0" fontId="27" fillId="7" borderId="1" xfId="6" applyFont="1" applyFill="1" applyBorder="1" applyAlignment="1" applyProtection="1">
      <alignment horizontal="center" wrapText="1"/>
      <protection locked="0"/>
    </xf>
    <xf numFmtId="9" fontId="27" fillId="7" borderId="1" xfId="6" applyNumberFormat="1" applyFont="1" applyFill="1" applyBorder="1" applyAlignment="1" applyProtection="1">
      <alignment horizontal="center" vertical="center" wrapText="1"/>
      <protection hidden="1"/>
    </xf>
    <xf numFmtId="0" fontId="28" fillId="0" borderId="23" xfId="0" applyFont="1" applyBorder="1" applyProtection="1">
      <protection hidden="1"/>
    </xf>
    <xf numFmtId="1" fontId="27" fillId="7" borderId="1" xfId="6" applyNumberFormat="1" applyFont="1" applyFill="1" applyBorder="1" applyAlignment="1" applyProtection="1">
      <alignment horizontal="center" wrapText="1"/>
      <protection locked="0"/>
    </xf>
    <xf numFmtId="1" fontId="27" fillId="0" borderId="23" xfId="0" applyNumberFormat="1" applyFont="1" applyBorder="1"/>
    <xf numFmtId="1" fontId="27" fillId="0" borderId="23" xfId="0" applyNumberFormat="1" applyFont="1" applyBorder="1" applyAlignment="1">
      <alignment horizontal="right"/>
    </xf>
    <xf numFmtId="0" fontId="27" fillId="7" borderId="28" xfId="6" applyFont="1" applyFill="1" applyBorder="1" applyAlignment="1" applyProtection="1">
      <alignment horizontal="center" vertical="top" wrapText="1"/>
      <protection locked="0"/>
    </xf>
    <xf numFmtId="9" fontId="27" fillId="7" borderId="29" xfId="0" applyNumberFormat="1" applyFont="1" applyFill="1" applyBorder="1" applyAlignment="1">
      <alignment horizontal="center"/>
    </xf>
    <xf numFmtId="0" fontId="27" fillId="7" borderId="29" xfId="6" applyFont="1" applyFill="1" applyBorder="1" applyAlignment="1" applyProtection="1">
      <alignment horizontal="center" wrapText="1"/>
      <protection locked="0"/>
    </xf>
    <xf numFmtId="9" fontId="27" fillId="7" borderId="29" xfId="6" applyNumberFormat="1" applyFont="1" applyFill="1" applyBorder="1" applyAlignment="1" applyProtection="1">
      <alignment horizontal="center" vertical="center" wrapText="1"/>
      <protection hidden="1"/>
    </xf>
    <xf numFmtId="0" fontId="28" fillId="0" borderId="32" xfId="0" applyFont="1" applyBorder="1" applyProtection="1">
      <protection hidden="1"/>
    </xf>
    <xf numFmtId="1" fontId="27" fillId="0" borderId="31" xfId="0" applyNumberFormat="1" applyFont="1" applyBorder="1"/>
    <xf numFmtId="0" fontId="0" fillId="0" borderId="1" xfId="0" applyBorder="1" applyAlignment="1">
      <alignment horizontal="center" vertical="center"/>
    </xf>
    <xf numFmtId="0" fontId="31" fillId="0" borderId="1" xfId="6" applyFont="1" applyBorder="1"/>
    <xf numFmtId="0" fontId="32" fillId="0" borderId="1" xfId="6" applyFont="1" applyBorder="1"/>
    <xf numFmtId="0" fontId="13" fillId="0" borderId="1" xfId="0" applyFont="1" applyBorder="1" applyAlignment="1">
      <alignment horizontal="center" vertical="center"/>
    </xf>
    <xf numFmtId="0" fontId="6" fillId="0" borderId="1" xfId="0" applyFont="1" applyBorder="1" applyAlignment="1">
      <alignment vertical="top"/>
    </xf>
    <xf numFmtId="0" fontId="33" fillId="0" borderId="0" xfId="5" applyFont="1" applyAlignment="1">
      <alignment wrapText="1"/>
    </xf>
    <xf numFmtId="0" fontId="12" fillId="0" borderId="1" xfId="5" applyFont="1" applyBorder="1" applyAlignment="1" applyProtection="1">
      <alignment horizontal="center" vertical="center" wrapText="1"/>
      <protection locked="0"/>
    </xf>
    <xf numFmtId="0" fontId="12" fillId="0" borderId="0" xfId="5" applyFont="1" applyAlignment="1" applyProtection="1">
      <alignment horizontal="center" vertical="center" wrapText="1"/>
      <protection hidden="1"/>
    </xf>
    <xf numFmtId="0" fontId="12" fillId="0" borderId="23" xfId="5" applyFont="1" applyBorder="1" applyAlignment="1" applyProtection="1">
      <alignment horizontal="center" vertical="center" wrapText="1"/>
      <protection hidden="1"/>
    </xf>
    <xf numFmtId="0" fontId="33" fillId="0" borderId="0" xfId="5" applyFont="1" applyAlignment="1">
      <alignment horizontal="center" vertical="center" wrapText="1"/>
    </xf>
    <xf numFmtId="0" fontId="12" fillId="0" borderId="0" xfId="5" applyFont="1" applyAlignment="1" applyProtection="1">
      <alignment wrapText="1"/>
      <protection hidden="1"/>
    </xf>
    <xf numFmtId="0" fontId="12" fillId="0" borderId="23" xfId="5" applyFont="1" applyBorder="1" applyAlignment="1" applyProtection="1">
      <alignment wrapText="1"/>
      <protection hidden="1"/>
    </xf>
    <xf numFmtId="0" fontId="33" fillId="0" borderId="0" xfId="5" applyFont="1" applyAlignment="1">
      <alignment vertical="center" wrapText="1"/>
    </xf>
    <xf numFmtId="0" fontId="24" fillId="0" borderId="22" xfId="6" applyFont="1" applyBorder="1" applyAlignment="1" applyProtection="1">
      <alignment horizontal="center" vertical="center"/>
      <protection locked="0"/>
    </xf>
    <xf numFmtId="0" fontId="35" fillId="0" borderId="0" xfId="5" applyFont="1" applyAlignment="1" applyProtection="1">
      <alignment wrapText="1"/>
      <protection hidden="1"/>
    </xf>
    <xf numFmtId="0" fontId="35" fillId="0" borderId="23" xfId="5" applyFont="1" applyBorder="1" applyAlignment="1">
      <alignment wrapText="1"/>
    </xf>
    <xf numFmtId="0" fontId="35" fillId="0" borderId="23" xfId="5" applyFont="1" applyBorder="1" applyAlignment="1" applyProtection="1">
      <alignment wrapText="1"/>
      <protection hidden="1"/>
    </xf>
    <xf numFmtId="1" fontId="36" fillId="0" borderId="23" xfId="5" applyNumberFormat="1" applyFont="1" applyBorder="1" applyAlignment="1">
      <alignment wrapText="1"/>
    </xf>
    <xf numFmtId="1" fontId="36" fillId="0" borderId="23" xfId="5" applyNumberFormat="1" applyFont="1" applyBorder="1" applyAlignment="1">
      <alignment horizontal="right" wrapText="1"/>
    </xf>
    <xf numFmtId="0" fontId="35" fillId="0" borderId="0" xfId="5" applyFont="1" applyAlignment="1" applyProtection="1">
      <alignment vertical="center" wrapText="1"/>
      <protection hidden="1"/>
    </xf>
    <xf numFmtId="1" fontId="36" fillId="0" borderId="23" xfId="5" applyNumberFormat="1" applyFont="1" applyBorder="1" applyAlignment="1">
      <alignment vertical="center" wrapText="1"/>
    </xf>
    <xf numFmtId="0" fontId="35" fillId="0" borderId="32" xfId="5" applyFont="1" applyBorder="1" applyAlignment="1" applyProtection="1">
      <alignment wrapText="1"/>
      <protection hidden="1"/>
    </xf>
    <xf numFmtId="1" fontId="36" fillId="0" borderId="31" xfId="5" applyNumberFormat="1" applyFont="1" applyBorder="1" applyAlignment="1">
      <alignment wrapText="1"/>
    </xf>
    <xf numFmtId="0" fontId="13" fillId="0" borderId="1" xfId="0" applyFont="1" applyBorder="1" applyAlignment="1">
      <alignment horizontal="center" vertical="top"/>
    </xf>
    <xf numFmtId="0" fontId="13" fillId="0" borderId="1" xfId="0" applyFont="1" applyBorder="1" applyAlignment="1">
      <alignment horizontal="center" vertical="top" wrapText="1"/>
    </xf>
    <xf numFmtId="0" fontId="13" fillId="0" borderId="12" xfId="0" applyFont="1" applyBorder="1" applyAlignment="1">
      <alignment horizontal="center" vertical="top" wrapText="1"/>
    </xf>
    <xf numFmtId="1" fontId="12" fillId="0" borderId="1" xfId="0" applyNumberFormat="1" applyFont="1" applyBorder="1" applyAlignment="1">
      <alignment horizontal="center"/>
    </xf>
    <xf numFmtId="0" fontId="24" fillId="0" borderId="1" xfId="0" applyFont="1" applyBorder="1" applyAlignment="1">
      <alignment horizontal="center"/>
    </xf>
    <xf numFmtId="0" fontId="24" fillId="0" borderId="2" xfId="0" applyFont="1" applyBorder="1" applyAlignment="1">
      <alignment horizontal="center" vertical="top"/>
    </xf>
    <xf numFmtId="0" fontId="12" fillId="0" borderId="4" xfId="0" applyFont="1" applyBorder="1" applyAlignment="1">
      <alignment horizontal="center" vertical="top"/>
    </xf>
    <xf numFmtId="14" fontId="12" fillId="0" borderId="0" xfId="0" applyNumberFormat="1" applyFont="1"/>
    <xf numFmtId="0" fontId="38" fillId="0" borderId="1" xfId="0" applyFont="1" applyBorder="1" applyAlignment="1">
      <alignment horizontal="center" vertical="top" wrapText="1"/>
    </xf>
    <xf numFmtId="0" fontId="38" fillId="0" borderId="1" xfId="0" applyFont="1" applyBorder="1" applyAlignment="1">
      <alignment horizontal="center" vertical="center" wrapText="1"/>
    </xf>
    <xf numFmtId="8" fontId="41" fillId="0" borderId="2" xfId="0" applyNumberFormat="1" applyFont="1" applyBorder="1" applyAlignment="1">
      <alignment horizontal="center" vertical="center" wrapText="1"/>
    </xf>
    <xf numFmtId="1" fontId="24" fillId="0" borderId="1" xfId="0" applyNumberFormat="1" applyFont="1" applyBorder="1" applyAlignment="1">
      <alignment horizontal="center" vertical="center"/>
    </xf>
    <xf numFmtId="1" fontId="24" fillId="0" borderId="1" xfId="0" applyNumberFormat="1" applyFont="1" applyBorder="1" applyAlignment="1">
      <alignment horizontal="center" vertical="top" wrapText="1"/>
    </xf>
    <xf numFmtId="1" fontId="6" fillId="0" borderId="1" xfId="0" applyNumberFormat="1" applyFont="1" applyBorder="1" applyAlignment="1">
      <alignment vertical="top" wrapText="1"/>
    </xf>
    <xf numFmtId="1" fontId="6" fillId="0" borderId="1" xfId="0" applyNumberFormat="1" applyFont="1" applyBorder="1" applyAlignment="1">
      <alignment horizontal="center" vertical="center" wrapText="1"/>
    </xf>
    <xf numFmtId="0" fontId="24" fillId="0" borderId="1" xfId="0" applyFont="1" applyBorder="1" applyAlignment="1">
      <alignment vertical="top" wrapText="1"/>
    </xf>
    <xf numFmtId="0" fontId="38" fillId="0" borderId="0" xfId="0" applyFont="1" applyAlignment="1">
      <alignment horizontal="center" vertical="top" wrapText="1"/>
    </xf>
    <xf numFmtId="0" fontId="38" fillId="0" borderId="12" xfId="0" applyFont="1" applyBorder="1" applyAlignment="1">
      <alignment vertical="top" wrapText="1"/>
    </xf>
    <xf numFmtId="166" fontId="24" fillId="0" borderId="1" xfId="8" applyNumberFormat="1" applyFont="1" applyFill="1" applyBorder="1" applyAlignment="1" applyProtection="1">
      <alignment vertical="center"/>
      <protection locked="0"/>
    </xf>
    <xf numFmtId="0" fontId="40" fillId="0" borderId="0" xfId="0" applyFont="1" applyAlignment="1">
      <alignment vertical="center" wrapText="1"/>
    </xf>
    <xf numFmtId="166" fontId="0" fillId="0" borderId="0" xfId="0" applyNumberFormat="1"/>
    <xf numFmtId="166" fontId="24" fillId="0" borderId="5" xfId="8" applyNumberFormat="1" applyFont="1" applyFill="1" applyBorder="1" applyAlignment="1" applyProtection="1">
      <alignment horizontal="center" vertical="center"/>
      <protection locked="0"/>
    </xf>
    <xf numFmtId="166" fontId="24" fillId="0" borderId="12" xfId="8" applyNumberFormat="1" applyFont="1" applyFill="1" applyBorder="1" applyAlignment="1" applyProtection="1">
      <alignment horizontal="center" vertical="center"/>
      <protection locked="0"/>
    </xf>
    <xf numFmtId="1" fontId="12" fillId="0" borderId="5" xfId="0" applyNumberFormat="1" applyFont="1" applyBorder="1" applyAlignment="1">
      <alignment horizontal="center" vertical="top"/>
    </xf>
    <xf numFmtId="1" fontId="12" fillId="0" borderId="11" xfId="0" applyNumberFormat="1" applyFont="1" applyBorder="1" applyAlignment="1">
      <alignment horizontal="center" vertical="top"/>
    </xf>
    <xf numFmtId="1" fontId="12" fillId="0" borderId="12" xfId="0" applyNumberFormat="1" applyFont="1" applyBorder="1" applyAlignment="1">
      <alignment horizontal="center" vertical="top"/>
    </xf>
    <xf numFmtId="0" fontId="38" fillId="0" borderId="2" xfId="0" applyFont="1" applyBorder="1" applyAlignment="1">
      <alignment horizontal="center" vertical="top" wrapText="1"/>
    </xf>
    <xf numFmtId="0" fontId="38" fillId="0" borderId="4"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166" fontId="24" fillId="0" borderId="1" xfId="8" applyNumberFormat="1" applyFont="1" applyFill="1" applyBorder="1" applyAlignment="1" applyProtection="1">
      <alignment horizontal="center" vertical="center"/>
      <protection locked="0"/>
    </xf>
    <xf numFmtId="0" fontId="38" fillId="0" borderId="3" xfId="0" applyFont="1" applyBorder="1" applyAlignment="1">
      <alignment horizontal="center" vertical="top" wrapText="1"/>
    </xf>
    <xf numFmtId="0" fontId="38" fillId="0" borderId="14" xfId="0" applyFont="1" applyBorder="1" applyAlignment="1">
      <alignment horizontal="center" vertical="top" wrapText="1"/>
    </xf>
    <xf numFmtId="0" fontId="38" fillId="0" borderId="15" xfId="0" applyFont="1" applyBorder="1" applyAlignment="1">
      <alignment horizontal="center" vertical="top" wrapText="1"/>
    </xf>
    <xf numFmtId="0" fontId="38" fillId="0" borderId="0" xfId="0" applyFont="1" applyAlignment="1">
      <alignment horizontal="center" vertical="top" wrapText="1"/>
    </xf>
    <xf numFmtId="0" fontId="38" fillId="0" borderId="9" xfId="0" applyFont="1" applyBorder="1" applyAlignment="1">
      <alignment horizontal="center" vertical="top" wrapText="1"/>
    </xf>
    <xf numFmtId="0" fontId="38" fillId="0" borderId="6" xfId="0" applyFont="1" applyBorder="1" applyAlignment="1">
      <alignment horizontal="center" vertical="top" wrapText="1"/>
    </xf>
    <xf numFmtId="0" fontId="38" fillId="0" borderId="7" xfId="0" applyFont="1" applyBorder="1" applyAlignment="1">
      <alignment horizontal="center" vertical="top" wrapText="1"/>
    </xf>
    <xf numFmtId="0" fontId="38" fillId="0" borderId="1" xfId="0" applyFont="1" applyBorder="1" applyAlignment="1">
      <alignment horizontal="center" vertical="top" wrapText="1"/>
    </xf>
    <xf numFmtId="0" fontId="14" fillId="0" borderId="5" xfId="0" applyFont="1" applyBorder="1" applyAlignment="1">
      <alignment horizontal="center" vertical="top" wrapText="1"/>
    </xf>
    <xf numFmtId="0" fontId="14" fillId="0" borderId="11" xfId="0" applyFont="1" applyBorder="1" applyAlignment="1">
      <alignment horizontal="center" vertical="top" wrapText="1"/>
    </xf>
    <xf numFmtId="0" fontId="14" fillId="0" borderId="12" xfId="0" applyFont="1" applyBorder="1" applyAlignment="1">
      <alignment horizontal="center" vertical="top" wrapText="1"/>
    </xf>
    <xf numFmtId="9" fontId="38" fillId="0" borderId="1" xfId="0" applyNumberFormat="1" applyFont="1" applyBorder="1" applyAlignment="1">
      <alignment horizontal="center" vertical="top" wrapText="1"/>
    </xf>
    <xf numFmtId="1" fontId="24" fillId="0" borderId="5" xfId="0" applyNumberFormat="1" applyFont="1" applyBorder="1" applyAlignment="1">
      <alignment horizontal="center" vertical="top" wrapText="1"/>
    </xf>
    <xf numFmtId="1" fontId="24" fillId="0" borderId="12" xfId="0" applyNumberFormat="1" applyFont="1" applyBorder="1" applyAlignment="1">
      <alignment horizontal="center" vertical="top" wrapText="1"/>
    </xf>
    <xf numFmtId="1" fontId="24" fillId="0" borderId="1" xfId="0" applyNumberFormat="1" applyFont="1" applyBorder="1" applyAlignment="1">
      <alignment horizontal="center" vertical="top" wrapText="1"/>
    </xf>
    <xf numFmtId="0" fontId="24" fillId="0" borderId="5" xfId="0" applyFont="1" applyBorder="1" applyAlignment="1">
      <alignment horizontal="center" vertical="center" wrapText="1"/>
    </xf>
    <xf numFmtId="0" fontId="24" fillId="0" borderId="12" xfId="0" applyFont="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0"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24" fillId="0" borderId="5" xfId="0" applyFont="1" applyBorder="1" applyAlignment="1">
      <alignment horizontal="left" vertical="top"/>
    </xf>
    <xf numFmtId="0" fontId="24" fillId="0" borderId="11" xfId="0" applyFont="1" applyBorder="1" applyAlignment="1">
      <alignment horizontal="left" vertical="top"/>
    </xf>
    <xf numFmtId="0" fontId="24" fillId="0" borderId="12" xfId="0" applyFont="1" applyBorder="1" applyAlignment="1">
      <alignment horizontal="left" vertical="top"/>
    </xf>
    <xf numFmtId="14" fontId="24" fillId="0" borderId="5" xfId="0" applyNumberFormat="1" applyFont="1" applyBorder="1" applyAlignment="1">
      <alignment horizontal="left" vertical="top"/>
    </xf>
    <xf numFmtId="14" fontId="24" fillId="0" borderId="12" xfId="0" applyNumberFormat="1" applyFont="1" applyBorder="1" applyAlignment="1">
      <alignment horizontal="left" vertical="top"/>
    </xf>
    <xf numFmtId="0" fontId="24" fillId="0" borderId="1" xfId="0" applyFont="1" applyBorder="1" applyAlignment="1">
      <alignment horizontal="left" vertical="top"/>
    </xf>
    <xf numFmtId="0" fontId="24" fillId="0" borderId="5" xfId="0" applyFont="1" applyBorder="1" applyAlignment="1">
      <alignment horizontal="left" vertical="top"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xf>
    <xf numFmtId="1" fontId="13" fillId="0" borderId="5"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14" fontId="6" fillId="0" borderId="5" xfId="0" applyNumberFormat="1" applyFont="1" applyBorder="1" applyAlignment="1">
      <alignment horizontal="center" vertical="top"/>
    </xf>
    <xf numFmtId="14" fontId="6" fillId="0" borderId="12" xfId="0" applyNumberFormat="1" applyFont="1" applyBorder="1" applyAlignment="1">
      <alignment horizontal="center" vertical="top"/>
    </xf>
    <xf numFmtId="0" fontId="6" fillId="0" borderId="1" xfId="0" applyFont="1" applyBorder="1" applyAlignment="1">
      <alignment horizontal="left" vertical="top"/>
    </xf>
    <xf numFmtId="0" fontId="13" fillId="0" borderId="5" xfId="0" applyFont="1" applyBorder="1" applyAlignment="1">
      <alignment horizontal="left" vertical="top"/>
    </xf>
    <xf numFmtId="0" fontId="13" fillId="0" borderId="11" xfId="0" applyFont="1" applyBorder="1" applyAlignment="1">
      <alignment horizontal="left" vertical="top"/>
    </xf>
    <xf numFmtId="0" fontId="13" fillId="0" borderId="5" xfId="0" applyFont="1" applyBorder="1" applyAlignment="1">
      <alignment horizontal="center" vertical="top" wrapText="1"/>
    </xf>
    <xf numFmtId="0" fontId="13" fillId="0" borderId="12" xfId="0" applyFont="1" applyBorder="1" applyAlignment="1">
      <alignment horizontal="center" vertical="top" wrapText="1"/>
    </xf>
    <xf numFmtId="1" fontId="12" fillId="0" borderId="5" xfId="0" applyNumberFormat="1" applyFont="1" applyBorder="1" applyAlignment="1">
      <alignment horizontal="center" vertical="top" wrapText="1"/>
    </xf>
    <xf numFmtId="1" fontId="12" fillId="0" borderId="12" xfId="0" applyNumberFormat="1" applyFont="1" applyBorder="1" applyAlignment="1">
      <alignment horizontal="center" vertical="top" wrapText="1"/>
    </xf>
    <xf numFmtId="1" fontId="3" fillId="0" borderId="13" xfId="0" applyNumberFormat="1" applyFont="1" applyBorder="1" applyAlignment="1" applyProtection="1">
      <alignment horizontal="center" vertical="top" wrapText="1"/>
      <protection locked="0"/>
    </xf>
    <xf numFmtId="1" fontId="3" fillId="0" borderId="14" xfId="0" applyNumberFormat="1" applyFont="1" applyBorder="1" applyAlignment="1" applyProtection="1">
      <alignment horizontal="center" vertical="top" wrapText="1"/>
      <protection locked="0"/>
    </xf>
    <xf numFmtId="1" fontId="3" fillId="0" borderId="15" xfId="0" applyNumberFormat="1" applyFont="1" applyBorder="1" applyAlignment="1" applyProtection="1">
      <alignment horizontal="center" vertical="top" wrapText="1"/>
      <protection locked="0"/>
    </xf>
    <xf numFmtId="1" fontId="3" fillId="0" borderId="43" xfId="0" applyNumberFormat="1" applyFont="1" applyBorder="1" applyAlignment="1" applyProtection="1">
      <alignment horizontal="center" vertical="center" wrapText="1"/>
      <protection locked="0"/>
    </xf>
    <xf numFmtId="1" fontId="3" fillId="0" borderId="44" xfId="0" applyNumberFormat="1" applyFont="1" applyBorder="1" applyAlignment="1" applyProtection="1">
      <alignment horizontal="center" vertical="center" wrapText="1"/>
      <protection locked="0"/>
    </xf>
    <xf numFmtId="1" fontId="3" fillId="0" borderId="45" xfId="0" applyNumberFormat="1" applyFont="1" applyBorder="1" applyAlignment="1" applyProtection="1">
      <alignment horizontal="center" vertical="center" wrapText="1"/>
      <protection locked="0"/>
    </xf>
    <xf numFmtId="1" fontId="13" fillId="0" borderId="13" xfId="0" applyNumberFormat="1" applyFont="1" applyBorder="1" applyAlignment="1" applyProtection="1">
      <alignment horizontal="center" vertical="center"/>
      <protection locked="0"/>
    </xf>
    <xf numFmtId="1" fontId="13" fillId="0" borderId="14" xfId="0" applyNumberFormat="1" applyFont="1" applyBorder="1" applyAlignment="1" applyProtection="1">
      <alignment horizontal="center" vertical="center"/>
      <protection locked="0"/>
    </xf>
    <xf numFmtId="1" fontId="13" fillId="0" borderId="15" xfId="0" applyNumberFormat="1" applyFont="1" applyBorder="1" applyAlignment="1" applyProtection="1">
      <alignment horizontal="center" vertical="center"/>
      <protection locked="0"/>
    </xf>
    <xf numFmtId="1" fontId="13" fillId="0" borderId="46" xfId="0" applyNumberFormat="1" applyFont="1" applyBorder="1" applyAlignment="1" applyProtection="1">
      <alignment horizontal="center" vertical="center"/>
      <protection locked="0"/>
    </xf>
    <xf numFmtId="1" fontId="13" fillId="0" borderId="44" xfId="0" applyNumberFormat="1" applyFont="1" applyBorder="1" applyAlignment="1" applyProtection="1">
      <alignment horizontal="center" vertical="center"/>
      <protection locked="0"/>
    </xf>
    <xf numFmtId="1" fontId="13" fillId="0" borderId="45" xfId="0" applyNumberFormat="1" applyFont="1" applyBorder="1" applyAlignment="1" applyProtection="1">
      <alignment horizontal="center" vertical="center"/>
      <protection locked="0"/>
    </xf>
    <xf numFmtId="1" fontId="3" fillId="0" borderId="5" xfId="0" applyNumberFormat="1" applyFont="1" applyBorder="1" applyAlignment="1" applyProtection="1">
      <alignment horizontal="center" vertical="top" wrapText="1"/>
      <protection locked="0"/>
    </xf>
    <xf numFmtId="1" fontId="3" fillId="0" borderId="11" xfId="0" applyNumberFormat="1" applyFont="1" applyBorder="1" applyAlignment="1" applyProtection="1">
      <alignment horizontal="center" vertical="top" wrapText="1"/>
      <protection locked="0"/>
    </xf>
    <xf numFmtId="1" fontId="3" fillId="0" borderId="12" xfId="0" applyNumberFormat="1" applyFont="1" applyBorder="1" applyAlignment="1" applyProtection="1">
      <alignment horizontal="center" vertical="top" wrapText="1"/>
      <protection locked="0"/>
    </xf>
    <xf numFmtId="0" fontId="12" fillId="0" borderId="1" xfId="0" applyFont="1" applyBorder="1" applyAlignment="1">
      <alignment horizontal="left" vertical="top"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6" fillId="0" borderId="5"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13" fillId="0" borderId="5"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2" fillId="0" borderId="1" xfId="0" applyFont="1" applyBorder="1" applyAlignment="1">
      <alignment horizontal="left" vertical="top"/>
    </xf>
    <xf numFmtId="0" fontId="12" fillId="0" borderId="5" xfId="0" applyFont="1" applyBorder="1" applyAlignment="1">
      <alignment horizontal="left" vertical="top"/>
    </xf>
    <xf numFmtId="0" fontId="12" fillId="0" borderId="11" xfId="0" applyFont="1" applyBorder="1" applyAlignment="1">
      <alignment horizontal="left" vertical="top"/>
    </xf>
    <xf numFmtId="0" fontId="6" fillId="0" borderId="37" xfId="5" applyFont="1" applyBorder="1" applyAlignment="1" applyProtection="1">
      <alignment horizontal="left" vertical="center" wrapText="1"/>
      <protection locked="0"/>
    </xf>
    <xf numFmtId="0" fontId="6" fillId="0" borderId="38" xfId="5" applyFont="1" applyBorder="1" applyAlignment="1" applyProtection="1">
      <alignment horizontal="left" vertical="center" wrapText="1"/>
      <protection locked="0"/>
    </xf>
    <xf numFmtId="0" fontId="6" fillId="0" borderId="39" xfId="5" applyFont="1" applyBorder="1" applyAlignment="1" applyProtection="1">
      <alignment horizontal="left" vertical="center" wrapText="1"/>
      <protection locked="0"/>
    </xf>
    <xf numFmtId="0" fontId="13" fillId="0" borderId="40" xfId="5" applyFont="1" applyBorder="1" applyAlignment="1" applyProtection="1">
      <alignment horizontal="center" vertical="center" wrapText="1"/>
      <protection locked="0"/>
    </xf>
    <xf numFmtId="0" fontId="13" fillId="0" borderId="38" xfId="5" applyFont="1" applyBorder="1" applyAlignment="1" applyProtection="1">
      <alignment horizontal="center" vertical="center" wrapText="1"/>
      <protection locked="0"/>
    </xf>
    <xf numFmtId="0" fontId="13" fillId="0" borderId="41" xfId="5" applyFont="1" applyBorder="1" applyAlignment="1" applyProtection="1">
      <alignment horizontal="center" vertical="center" wrapText="1"/>
      <protection locked="0"/>
    </xf>
    <xf numFmtId="0" fontId="12" fillId="0" borderId="5" xfId="5" applyFont="1" applyBorder="1" applyAlignment="1" applyProtection="1">
      <alignment horizontal="center" vertical="center" wrapText="1"/>
      <protection locked="0"/>
    </xf>
    <xf numFmtId="0" fontId="12" fillId="0" borderId="12" xfId="5" applyFont="1" applyBorder="1" applyAlignment="1" applyProtection="1">
      <alignment horizontal="center" vertical="center" wrapText="1"/>
      <protection locked="0"/>
    </xf>
    <xf numFmtId="0" fontId="13" fillId="0" borderId="25" xfId="5" applyFont="1" applyBorder="1" applyAlignment="1" applyProtection="1">
      <alignment horizontal="center" vertical="top" wrapText="1"/>
      <protection locked="0"/>
    </xf>
    <xf numFmtId="0" fontId="13" fillId="0" borderId="11" xfId="5" applyFont="1" applyBorder="1" applyAlignment="1" applyProtection="1">
      <alignment horizontal="center" vertical="top" wrapText="1"/>
      <protection locked="0"/>
    </xf>
    <xf numFmtId="0" fontId="13" fillId="0" borderId="12" xfId="5" applyFont="1" applyBorder="1" applyAlignment="1" applyProtection="1">
      <alignment horizontal="center" vertical="top" wrapText="1"/>
      <protection locked="0"/>
    </xf>
    <xf numFmtId="0" fontId="13" fillId="0" borderId="5" xfId="5" applyFont="1" applyBorder="1" applyAlignment="1" applyProtection="1">
      <alignment horizontal="left" vertical="top" wrapText="1"/>
      <protection locked="0"/>
    </xf>
    <xf numFmtId="0" fontId="13" fillId="0" borderId="11" xfId="5" applyFont="1" applyBorder="1" applyAlignment="1" applyProtection="1">
      <alignment horizontal="left" vertical="top" wrapText="1"/>
      <protection locked="0"/>
    </xf>
    <xf numFmtId="0" fontId="13" fillId="0" borderId="26" xfId="5" applyFont="1" applyBorder="1" applyAlignment="1" applyProtection="1">
      <alignment horizontal="left" vertical="top" wrapText="1"/>
      <protection locked="0"/>
    </xf>
    <xf numFmtId="0" fontId="12" fillId="0" borderId="1" xfId="0" applyFont="1" applyBorder="1" applyAlignment="1">
      <alignment vertical="center"/>
    </xf>
    <xf numFmtId="0" fontId="12" fillId="0" borderId="5" xfId="5" applyFont="1" applyBorder="1" applyAlignment="1" applyProtection="1">
      <alignment horizontal="center" vertical="top" wrapText="1"/>
      <protection locked="0"/>
    </xf>
    <xf numFmtId="0" fontId="12" fillId="0" borderId="12" xfId="5" applyFont="1" applyBorder="1" applyAlignment="1" applyProtection="1">
      <alignment horizontal="center" vertical="top" wrapText="1"/>
      <protection locked="0"/>
    </xf>
    <xf numFmtId="0" fontId="12" fillId="0" borderId="25" xfId="5" applyFont="1" applyBorder="1" applyAlignment="1" applyProtection="1">
      <alignment horizontal="center" vertical="top" wrapText="1"/>
      <protection locked="0"/>
    </xf>
    <xf numFmtId="0" fontId="12" fillId="0" borderId="11" xfId="5" applyFont="1" applyBorder="1" applyAlignment="1" applyProtection="1">
      <alignment horizontal="center" vertical="top" wrapText="1"/>
      <protection locked="0"/>
    </xf>
    <xf numFmtId="0" fontId="12" fillId="0" borderId="1" xfId="0" applyFont="1" applyBorder="1" applyAlignment="1">
      <alignment horizontal="center" vertical="top"/>
    </xf>
    <xf numFmtId="0" fontId="24"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14" fontId="12" fillId="0" borderId="0" xfId="0" applyNumberFormat="1" applyFont="1" applyAlignment="1">
      <alignment horizontal="center"/>
    </xf>
    <xf numFmtId="0" fontId="12" fillId="0" borderId="9" xfId="0" applyFont="1" applyBorder="1" applyAlignment="1">
      <alignment horizontal="center"/>
    </xf>
    <xf numFmtId="0" fontId="13" fillId="0" borderId="0" xfId="0" applyFont="1" applyAlignment="1">
      <alignment horizontal="left" vertical="top"/>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14" fontId="12" fillId="0" borderId="1" xfId="0" applyNumberFormat="1" applyFont="1" applyBorder="1" applyAlignment="1">
      <alignment horizontal="left"/>
    </xf>
    <xf numFmtId="1" fontId="25" fillId="0" borderId="1" xfId="0" applyNumberFormat="1" applyFont="1" applyBorder="1" applyAlignment="1" applyProtection="1">
      <alignment horizontal="center" vertical="top" wrapText="1"/>
      <protection locked="0"/>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1" fontId="3" fillId="5" borderId="5" xfId="0" applyNumberFormat="1" applyFont="1" applyFill="1" applyBorder="1" applyAlignment="1" applyProtection="1">
      <alignment horizontal="center" vertical="center" wrapText="1"/>
      <protection locked="0"/>
    </xf>
    <xf numFmtId="1" fontId="3" fillId="5" borderId="11" xfId="0" applyNumberFormat="1" applyFont="1" applyFill="1" applyBorder="1" applyAlignment="1" applyProtection="1">
      <alignment horizontal="center" vertical="center" wrapText="1"/>
      <protection locked="0"/>
    </xf>
    <xf numFmtId="1" fontId="3" fillId="5" borderId="12" xfId="0" applyNumberFormat="1" applyFont="1" applyFill="1" applyBorder="1" applyAlignment="1" applyProtection="1">
      <alignment horizontal="center" vertical="center" wrapText="1"/>
      <protection locked="0"/>
    </xf>
    <xf numFmtId="1" fontId="12" fillId="0" borderId="5" xfId="0" applyNumberFormat="1"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1" fontId="13" fillId="0" borderId="5" xfId="0" applyNumberFormat="1" applyFont="1" applyBorder="1" applyAlignment="1" applyProtection="1">
      <alignment horizontal="center" vertical="center"/>
      <protection locked="0"/>
    </xf>
    <xf numFmtId="1" fontId="13" fillId="0" borderId="11" xfId="0" applyNumberFormat="1" applyFont="1" applyBorder="1" applyAlignment="1" applyProtection="1">
      <alignment horizontal="center" vertical="center"/>
      <protection locked="0"/>
    </xf>
    <xf numFmtId="1" fontId="13" fillId="0" borderId="12" xfId="0" applyNumberFormat="1"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2" fillId="0" borderId="42" xfId="5" applyFont="1" applyBorder="1" applyAlignment="1" applyProtection="1">
      <alignment horizontal="center" vertical="top" wrapText="1"/>
      <protection locked="0"/>
    </xf>
    <xf numFmtId="0" fontId="12" fillId="0" borderId="35" xfId="5" applyFont="1" applyBorder="1" applyAlignment="1" applyProtection="1">
      <alignment horizontal="center" vertical="top" wrapText="1"/>
      <protection locked="0"/>
    </xf>
    <xf numFmtId="0" fontId="12" fillId="0" borderId="36" xfId="5" applyFont="1" applyBorder="1" applyAlignment="1" applyProtection="1">
      <alignment horizontal="center" vertical="top" wrapText="1"/>
      <protection locked="0"/>
    </xf>
    <xf numFmtId="0" fontId="40" fillId="0" borderId="0" xfId="0" applyFont="1" applyAlignment="1">
      <alignment horizontal="center" vertical="center" wrapText="1"/>
    </xf>
    <xf numFmtId="0" fontId="39" fillId="0" borderId="0" xfId="0" applyFont="1" applyAlignment="1">
      <alignment horizontal="center" wrapText="1"/>
    </xf>
    <xf numFmtId="0" fontId="15" fillId="0" borderId="0" xfId="0" applyFont="1" applyAlignment="1">
      <alignment horizontal="center"/>
    </xf>
    <xf numFmtId="0" fontId="6" fillId="0" borderId="0" xfId="0" applyFont="1" applyAlignment="1">
      <alignment horizontal="left"/>
    </xf>
    <xf numFmtId="0" fontId="6" fillId="0" borderId="9" xfId="0" applyFont="1" applyBorder="1" applyAlignment="1">
      <alignment horizontal="left"/>
    </xf>
    <xf numFmtId="0" fontId="18" fillId="0" borderId="5" xfId="6" applyFont="1" applyBorder="1" applyAlignment="1" applyProtection="1">
      <alignment horizontal="center" vertical="top" wrapText="1"/>
      <protection locked="0"/>
    </xf>
    <xf numFmtId="0" fontId="18" fillId="0" borderId="11" xfId="6" applyFont="1" applyBorder="1" applyAlignment="1" applyProtection="1">
      <alignment horizontal="center" vertical="top" wrapText="1"/>
      <protection locked="0"/>
    </xf>
    <xf numFmtId="0" fontId="18" fillId="0" borderId="12" xfId="6" applyFont="1" applyBorder="1" applyAlignment="1" applyProtection="1">
      <alignment horizontal="center" vertical="top" wrapText="1"/>
      <protection locked="0"/>
    </xf>
    <xf numFmtId="14" fontId="24" fillId="0" borderId="1" xfId="0" applyNumberFormat="1" applyFont="1" applyBorder="1" applyAlignment="1">
      <alignment horizontal="left"/>
    </xf>
    <xf numFmtId="0" fontId="13" fillId="5" borderId="5" xfId="0" applyFont="1" applyFill="1" applyBorder="1" applyAlignment="1">
      <alignment horizontal="center" wrapText="1"/>
    </xf>
    <xf numFmtId="0" fontId="13" fillId="5" borderId="11" xfId="0" applyFont="1" applyFill="1" applyBorder="1" applyAlignment="1">
      <alignment horizontal="center" wrapText="1"/>
    </xf>
    <xf numFmtId="0" fontId="13" fillId="5" borderId="12" xfId="0" applyFont="1" applyFill="1" applyBorder="1" applyAlignment="1">
      <alignment horizontal="center" wrapText="1"/>
    </xf>
    <xf numFmtId="0" fontId="12" fillId="0" borderId="2" xfId="0" applyFont="1" applyBorder="1" applyAlignment="1">
      <alignment horizontal="center" vertical="top"/>
    </xf>
    <xf numFmtId="0" fontId="12" fillId="0" borderId="4" xfId="0" applyFont="1" applyBorder="1" applyAlignment="1">
      <alignment horizontal="center" vertical="top"/>
    </xf>
    <xf numFmtId="0" fontId="16" fillId="0" borderId="0" xfId="0" applyFont="1" applyAlignment="1">
      <alignment horizontal="center"/>
    </xf>
    <xf numFmtId="9" fontId="12" fillId="8" borderId="5" xfId="5" applyNumberFormat="1" applyFont="1" applyFill="1" applyBorder="1" applyAlignment="1" applyProtection="1">
      <alignment horizontal="center" vertical="center" wrapText="1"/>
      <protection hidden="1"/>
    </xf>
    <xf numFmtId="9" fontId="12" fillId="8" borderId="11" xfId="5" applyNumberFormat="1" applyFont="1" applyFill="1" applyBorder="1" applyAlignment="1" applyProtection="1">
      <alignment horizontal="center" vertical="center" wrapText="1"/>
      <protection hidden="1"/>
    </xf>
    <xf numFmtId="9" fontId="12" fillId="8" borderId="12" xfId="5" applyNumberFormat="1" applyFont="1" applyFill="1" applyBorder="1" applyAlignment="1" applyProtection="1">
      <alignment horizontal="center" vertical="center" wrapText="1"/>
      <protection hidden="1"/>
    </xf>
    <xf numFmtId="9" fontId="12" fillId="8" borderId="34" xfId="5" applyNumberFormat="1" applyFont="1" applyFill="1" applyBorder="1" applyAlignment="1" applyProtection="1">
      <alignment horizontal="center" vertical="center" wrapText="1"/>
      <protection hidden="1"/>
    </xf>
    <xf numFmtId="9" fontId="12" fillId="8" borderId="35" xfId="5" applyNumberFormat="1" applyFont="1" applyFill="1" applyBorder="1" applyAlignment="1" applyProtection="1">
      <alignment horizontal="center" vertical="center" wrapText="1"/>
      <protection hidden="1"/>
    </xf>
    <xf numFmtId="9" fontId="12" fillId="8" borderId="36" xfId="5" applyNumberFormat="1" applyFont="1" applyFill="1" applyBorder="1" applyAlignment="1" applyProtection="1">
      <alignment horizontal="center" vertical="center" wrapText="1"/>
      <protection hidden="1"/>
    </xf>
    <xf numFmtId="0" fontId="13" fillId="0" borderId="5" xfId="0" applyFont="1" applyBorder="1" applyAlignment="1" applyProtection="1">
      <alignment horizontal="center" vertical="top" wrapText="1"/>
      <protection locked="0"/>
    </xf>
    <xf numFmtId="0" fontId="13" fillId="0" borderId="11" xfId="0" applyFont="1" applyBorder="1" applyAlignment="1" applyProtection="1">
      <alignment horizontal="center" vertical="top" wrapText="1"/>
      <protection locked="0"/>
    </xf>
    <xf numFmtId="0" fontId="13" fillId="0" borderId="12" xfId="0" applyFont="1" applyBorder="1" applyAlignment="1" applyProtection="1">
      <alignment horizontal="center" vertical="top" wrapText="1"/>
      <protection locked="0"/>
    </xf>
    <xf numFmtId="1" fontId="12" fillId="0" borderId="5" xfId="0" applyNumberFormat="1" applyFont="1" applyBorder="1" applyAlignment="1" applyProtection="1">
      <alignment horizontal="center" vertical="top" wrapText="1"/>
      <protection locked="0"/>
    </xf>
    <xf numFmtId="0" fontId="12" fillId="0" borderId="11" xfId="0" applyFont="1" applyBorder="1" applyAlignment="1" applyProtection="1">
      <alignment horizontal="center" vertical="top" wrapText="1"/>
      <protection locked="0"/>
    </xf>
    <xf numFmtId="0" fontId="12" fillId="0" borderId="12" xfId="0" applyFont="1" applyBorder="1" applyAlignment="1" applyProtection="1">
      <alignment horizontal="center" vertical="top" wrapText="1"/>
      <protection locked="0"/>
    </xf>
    <xf numFmtId="1" fontId="25" fillId="0" borderId="5" xfId="0" applyNumberFormat="1" applyFont="1" applyBorder="1" applyAlignment="1" applyProtection="1">
      <alignment horizontal="center" vertical="top" wrapText="1"/>
      <protection locked="0"/>
    </xf>
    <xf numFmtId="1" fontId="25" fillId="0" borderId="11" xfId="0" applyNumberFormat="1" applyFont="1" applyBorder="1" applyAlignment="1" applyProtection="1">
      <alignment horizontal="center" vertical="top" wrapText="1"/>
      <protection locked="0"/>
    </xf>
    <xf numFmtId="1" fontId="25" fillId="0" borderId="12" xfId="0" applyNumberFormat="1" applyFont="1" applyBorder="1" applyAlignment="1" applyProtection="1">
      <alignment horizontal="center" vertical="top" wrapText="1"/>
      <protection locked="0"/>
    </xf>
    <xf numFmtId="1" fontId="12" fillId="0" borderId="11" xfId="0" applyNumberFormat="1" applyFont="1" applyBorder="1" applyAlignment="1" applyProtection="1">
      <alignment horizontal="center" vertical="center"/>
      <protection locked="0"/>
    </xf>
    <xf numFmtId="1" fontId="12" fillId="0" borderId="12" xfId="0" applyNumberFormat="1" applyFont="1" applyBorder="1" applyAlignment="1" applyProtection="1">
      <alignment horizontal="center" vertical="center"/>
      <protection locked="0"/>
    </xf>
    <xf numFmtId="0" fontId="24" fillId="0" borderId="5"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12" fillId="3" borderId="5"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3" fillId="0" borderId="0" xfId="0" applyFont="1" applyAlignment="1">
      <alignment horizont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2" fillId="0" borderId="5" xfId="0" applyFont="1" applyBorder="1" applyAlignment="1">
      <alignment horizontal="center" vertical="center"/>
    </xf>
    <xf numFmtId="0" fontId="12" fillId="0" borderId="12" xfId="0" applyFont="1" applyBorder="1" applyAlignment="1">
      <alignment horizontal="center" vertical="center"/>
    </xf>
    <xf numFmtId="0" fontId="34" fillId="0" borderId="19" xfId="5" applyFont="1" applyBorder="1" applyAlignment="1" applyProtection="1">
      <alignment horizontal="center" vertical="center" wrapText="1"/>
      <protection hidden="1"/>
    </xf>
    <xf numFmtId="0" fontId="34" fillId="0" borderId="20" xfId="5" applyFont="1" applyBorder="1" applyAlignment="1" applyProtection="1">
      <alignment horizontal="center" vertical="center" wrapText="1"/>
      <protection hidden="1"/>
    </xf>
    <xf numFmtId="9" fontId="12" fillId="8" borderId="1" xfId="5" applyNumberFormat="1" applyFont="1" applyFill="1" applyBorder="1" applyAlignment="1" applyProtection="1">
      <alignment horizontal="center" vertical="center" wrapText="1"/>
      <protection hidden="1"/>
    </xf>
    <xf numFmtId="9" fontId="12" fillId="8" borderId="29" xfId="5" applyNumberFormat="1" applyFont="1" applyFill="1" applyBorder="1" applyAlignment="1" applyProtection="1">
      <alignment horizontal="center" vertical="center" wrapText="1"/>
      <protection hidden="1"/>
    </xf>
    <xf numFmtId="0" fontId="12" fillId="0" borderId="1" xfId="5" applyFont="1" applyBorder="1" applyAlignment="1" applyProtection="1">
      <alignment horizontal="center" vertical="top" wrapText="1"/>
      <protection locked="0"/>
    </xf>
    <xf numFmtId="0" fontId="12" fillId="0" borderId="21" xfId="5" applyFont="1" applyBorder="1" applyAlignment="1" applyProtection="1">
      <alignment horizontal="center" vertical="center" wrapText="1"/>
      <protection locked="0"/>
    </xf>
    <xf numFmtId="0" fontId="12" fillId="0" borderId="1" xfId="5" applyFont="1" applyBorder="1" applyAlignment="1" applyProtection="1">
      <alignment horizontal="center" vertical="center" wrapText="1"/>
      <protection locked="0"/>
    </xf>
    <xf numFmtId="0" fontId="12" fillId="0" borderId="34" xfId="5" applyFont="1" applyBorder="1" applyAlignment="1" applyProtection="1">
      <alignment horizontal="center" vertical="top" wrapText="1"/>
      <protection locked="0"/>
    </xf>
    <xf numFmtId="9" fontId="12" fillId="8" borderId="22" xfId="5" applyNumberFormat="1" applyFont="1" applyFill="1" applyBorder="1" applyAlignment="1" applyProtection="1">
      <alignment horizontal="center" vertical="center" wrapText="1"/>
      <protection hidden="1"/>
    </xf>
    <xf numFmtId="9" fontId="12" fillId="8" borderId="33" xfId="5" applyNumberFormat="1" applyFont="1" applyFill="1" applyBorder="1" applyAlignment="1" applyProtection="1">
      <alignment horizontal="center" vertical="center" wrapText="1"/>
      <protection hidden="1"/>
    </xf>
    <xf numFmtId="1" fontId="12" fillId="0" borderId="11" xfId="0" applyNumberFormat="1" applyFont="1" applyBorder="1" applyAlignment="1" applyProtection="1">
      <alignment horizontal="center" vertical="top" wrapText="1"/>
      <protection locked="0"/>
    </xf>
    <xf numFmtId="1" fontId="12" fillId="0" borderId="12" xfId="0" applyNumberFormat="1" applyFont="1" applyBorder="1" applyAlignment="1" applyProtection="1">
      <alignment horizontal="center" vertical="top" wrapText="1"/>
      <protection locked="0"/>
    </xf>
    <xf numFmtId="0" fontId="12" fillId="0" borderId="4" xfId="0" applyFont="1" applyBorder="1" applyAlignment="1">
      <alignment horizontal="left" vertical="top" wrapText="1"/>
    </xf>
    <xf numFmtId="1" fontId="13" fillId="0" borderId="13" xfId="0" applyNumberFormat="1" applyFont="1" applyBorder="1" applyAlignment="1" applyProtection="1">
      <alignment horizontal="center" vertical="top" wrapText="1"/>
      <protection locked="0"/>
    </xf>
    <xf numFmtId="1" fontId="13" fillId="0" borderId="14" xfId="0" applyNumberFormat="1" applyFont="1" applyBorder="1" applyAlignment="1" applyProtection="1">
      <alignment horizontal="center" vertical="top" wrapText="1"/>
      <protection locked="0"/>
    </xf>
    <xf numFmtId="1" fontId="13" fillId="0" borderId="15" xfId="0" applyNumberFormat="1" applyFont="1" applyBorder="1" applyAlignment="1" applyProtection="1">
      <alignment horizontal="center" vertical="top" wrapText="1"/>
      <protection locked="0"/>
    </xf>
    <xf numFmtId="0" fontId="12" fillId="0" borderId="5"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6" fillId="0" borderId="1" xfId="0" applyFont="1" applyBorder="1" applyAlignment="1">
      <alignment horizontal="left" vertical="top" wrapText="1"/>
    </xf>
    <xf numFmtId="1" fontId="12" fillId="0" borderId="5" xfId="0" applyNumberFormat="1" applyFont="1" applyBorder="1" applyAlignment="1">
      <alignment horizontal="center" vertical="center"/>
    </xf>
    <xf numFmtId="1" fontId="12" fillId="0" borderId="12" xfId="0" applyNumberFormat="1" applyFont="1" applyBorder="1" applyAlignment="1">
      <alignment horizontal="center" vertical="center"/>
    </xf>
    <xf numFmtId="0" fontId="12" fillId="0" borderId="11" xfId="0" applyFont="1" applyBorder="1" applyAlignment="1">
      <alignment horizontal="center" vertical="center"/>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0" fontId="13" fillId="3" borderId="1" xfId="0" applyFont="1" applyFill="1" applyBorder="1" applyAlignment="1">
      <alignment horizontal="center" vertical="center"/>
    </xf>
    <xf numFmtId="164" fontId="13" fillId="3" borderId="1" xfId="7" applyNumberFormat="1" applyFont="1" applyFill="1" applyBorder="1" applyAlignment="1">
      <alignment horizontal="left" vertical="center"/>
    </xf>
    <xf numFmtId="0" fontId="12" fillId="5" borderId="5"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3" borderId="1" xfId="0" applyFont="1" applyFill="1" applyBorder="1" applyAlignment="1">
      <alignment horizontal="center" vertical="center"/>
    </xf>
    <xf numFmtId="0" fontId="12" fillId="5" borderId="1" xfId="0" applyFont="1" applyFill="1" applyBorder="1" applyAlignment="1">
      <alignment horizontal="center"/>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13" fillId="0" borderId="1" xfId="0" applyFont="1" applyBorder="1" applyAlignment="1">
      <alignment horizontal="left" vertical="top"/>
    </xf>
    <xf numFmtId="0" fontId="22" fillId="0" borderId="0" xfId="0" applyFont="1" applyAlignment="1">
      <alignment horizontal="center" vertical="center"/>
    </xf>
    <xf numFmtId="44" fontId="6" fillId="3" borderId="1" xfId="7" applyFont="1" applyFill="1" applyBorder="1" applyAlignment="1">
      <alignment horizontal="left" vertical="top" wrapText="1"/>
    </xf>
    <xf numFmtId="0" fontId="13" fillId="0" borderId="1" xfId="0" applyFont="1" applyBorder="1" applyAlignment="1">
      <alignment horizontal="left" vertical="top"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14" fontId="13" fillId="0" borderId="5" xfId="0" applyNumberFormat="1" applyFont="1" applyBorder="1" applyAlignment="1">
      <alignment horizontal="center" vertical="top" wrapText="1"/>
    </xf>
    <xf numFmtId="14" fontId="13" fillId="0" borderId="11" xfId="0" applyNumberFormat="1" applyFont="1" applyBorder="1" applyAlignment="1">
      <alignment horizontal="center" vertical="top" wrapText="1"/>
    </xf>
    <xf numFmtId="14" fontId="13" fillId="0" borderId="12" xfId="0" applyNumberFormat="1" applyFont="1" applyBorder="1" applyAlignment="1">
      <alignment horizontal="center" vertical="top" wrapText="1"/>
    </xf>
    <xf numFmtId="0" fontId="6" fillId="3" borderId="14" xfId="0" applyFont="1" applyFill="1" applyBorder="1" applyAlignment="1">
      <alignment horizontal="center"/>
    </xf>
    <xf numFmtId="0" fontId="12" fillId="0" borderId="5" xfId="0" applyFont="1" applyBorder="1" applyAlignment="1">
      <alignment horizontal="left" vertical="top" wrapText="1"/>
    </xf>
    <xf numFmtId="0" fontId="12" fillId="0" borderId="0" xfId="0" applyFont="1" applyAlignment="1">
      <alignment horizontal="center"/>
    </xf>
    <xf numFmtId="0" fontId="13" fillId="3" borderId="1" xfId="0" applyFont="1" applyFill="1" applyBorder="1" applyAlignment="1">
      <alignment horizontal="left" vertical="top"/>
    </xf>
    <xf numFmtId="0" fontId="12" fillId="0" borderId="0" xfId="0" applyFont="1" applyAlignment="1">
      <alignment horizontal="left" vertical="top" wrapText="1"/>
    </xf>
    <xf numFmtId="0" fontId="13" fillId="3" borderId="1" xfId="0" applyFont="1" applyFill="1" applyBorder="1" applyAlignment="1">
      <alignment horizontal="center" vertical="top" wrapText="1"/>
    </xf>
    <xf numFmtId="0" fontId="13" fillId="5" borderId="1" xfId="0" applyFont="1" applyFill="1" applyBorder="1" applyAlignment="1">
      <alignment horizontal="center" vertical="center"/>
    </xf>
    <xf numFmtId="0" fontId="12" fillId="3" borderId="5"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3" borderId="12" xfId="0" applyFont="1" applyFill="1" applyBorder="1" applyAlignment="1">
      <alignment horizontal="center" vertical="top" wrapText="1"/>
    </xf>
    <xf numFmtId="0" fontId="13" fillId="0" borderId="0" xfId="0" applyFont="1" applyAlignment="1">
      <alignment horizontal="center" vertical="top" wrapText="1"/>
    </xf>
    <xf numFmtId="0" fontId="12" fillId="0" borderId="12" xfId="0" applyFont="1" applyBorder="1" applyAlignment="1">
      <alignment horizontal="left" vertical="top"/>
    </xf>
    <xf numFmtId="0" fontId="12" fillId="0" borderId="5"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12" fillId="0" borderId="13" xfId="0" applyFont="1" applyBorder="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10"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center" vertical="top"/>
    </xf>
    <xf numFmtId="0" fontId="12" fillId="0" borderId="0" xfId="0" applyFont="1" applyAlignment="1">
      <alignment horizontal="center" vertical="top"/>
    </xf>
    <xf numFmtId="0" fontId="12" fillId="0" borderId="9" xfId="0" applyFont="1" applyBorder="1" applyAlignment="1">
      <alignment horizontal="center" vertical="top"/>
    </xf>
    <xf numFmtId="0" fontId="24" fillId="0" borderId="10" xfId="0" applyFont="1" applyBorder="1" applyAlignment="1">
      <alignment horizontal="center" vertical="top" wrapText="1"/>
    </xf>
    <xf numFmtId="0" fontId="24" fillId="0" borderId="6" xfId="0" applyFont="1" applyBorder="1" applyAlignment="1">
      <alignment horizontal="center" vertical="top"/>
    </xf>
    <xf numFmtId="0" fontId="24" fillId="0" borderId="7" xfId="0" applyFont="1" applyBorder="1" applyAlignment="1">
      <alignment horizontal="center" vertical="top"/>
    </xf>
    <xf numFmtId="14" fontId="13" fillId="0" borderId="1" xfId="0" applyNumberFormat="1" applyFont="1" applyBorder="1" applyAlignment="1">
      <alignment horizontal="center" vertical="center"/>
    </xf>
    <xf numFmtId="0" fontId="13" fillId="5"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30" fillId="5" borderId="5" xfId="0" applyFont="1" applyFill="1" applyBorder="1" applyAlignment="1">
      <alignment horizontal="center" vertical="top"/>
    </xf>
    <xf numFmtId="0" fontId="30" fillId="5" borderId="11" xfId="0" applyFont="1" applyFill="1" applyBorder="1" applyAlignment="1">
      <alignment horizontal="center" vertical="top"/>
    </xf>
    <xf numFmtId="0" fontId="30" fillId="5" borderId="12" xfId="0" applyFont="1" applyFill="1" applyBorder="1" applyAlignment="1">
      <alignment horizontal="center" vertical="top"/>
    </xf>
    <xf numFmtId="0" fontId="15" fillId="0" borderId="10" xfId="0" applyFont="1" applyBorder="1" applyAlignment="1">
      <alignment horizontal="center" vertical="top"/>
    </xf>
    <xf numFmtId="0" fontId="15" fillId="0" borderId="6" xfId="0" applyFont="1" applyBorder="1" applyAlignment="1">
      <alignment horizontal="center" vertical="top"/>
    </xf>
    <xf numFmtId="0" fontId="15" fillId="0" borderId="7" xfId="0" applyFont="1" applyBorder="1" applyAlignment="1">
      <alignment horizontal="center" vertical="top"/>
    </xf>
    <xf numFmtId="1" fontId="13" fillId="0" borderId="5" xfId="0" applyNumberFormat="1" applyFont="1" applyBorder="1" applyAlignment="1" applyProtection="1">
      <alignment horizontal="center" vertical="top" wrapText="1"/>
      <protection locked="0"/>
    </xf>
    <xf numFmtId="1" fontId="13" fillId="0" borderId="11" xfId="0" applyNumberFormat="1" applyFont="1" applyBorder="1" applyAlignment="1" applyProtection="1">
      <alignment horizontal="center" vertical="top" wrapText="1"/>
      <protection locked="0"/>
    </xf>
    <xf numFmtId="1" fontId="13" fillId="0" borderId="12" xfId="0" applyNumberFormat="1" applyFont="1" applyBorder="1" applyAlignment="1" applyProtection="1">
      <alignment horizontal="center" vertical="top" wrapText="1"/>
      <protection locked="0"/>
    </xf>
    <xf numFmtId="0" fontId="13" fillId="0" borderId="5" xfId="0" applyFont="1" applyBorder="1" applyAlignment="1">
      <alignment horizontal="center" vertical="top"/>
    </xf>
    <xf numFmtId="0" fontId="13" fillId="0" borderId="11" xfId="0" applyFont="1" applyBorder="1" applyAlignment="1">
      <alignment horizontal="center" vertical="top"/>
    </xf>
    <xf numFmtId="0" fontId="13" fillId="0" borderId="12" xfId="0" applyFont="1" applyBorder="1" applyAlignment="1">
      <alignment horizontal="center" vertical="top"/>
    </xf>
    <xf numFmtId="0" fontId="13" fillId="5" borderId="1" xfId="0" applyFont="1" applyFill="1" applyBorder="1" applyAlignment="1">
      <alignment horizontal="center" vertical="top"/>
    </xf>
    <xf numFmtId="0" fontId="13" fillId="0" borderId="1" xfId="0" applyFont="1" applyBorder="1" applyAlignment="1">
      <alignment horizontal="center" vertical="top"/>
    </xf>
    <xf numFmtId="0" fontId="40" fillId="0" borderId="5" xfId="0" applyFont="1" applyBorder="1" applyAlignment="1">
      <alignment horizontal="center" vertical="top"/>
    </xf>
    <xf numFmtId="0" fontId="40" fillId="0" borderId="11" xfId="0" applyFont="1" applyBorder="1" applyAlignment="1">
      <alignment horizontal="center" vertical="top"/>
    </xf>
    <xf numFmtId="0" fontId="40" fillId="0" borderId="12" xfId="0" applyFont="1" applyBorder="1" applyAlignment="1">
      <alignment horizontal="center" vertical="top"/>
    </xf>
    <xf numFmtId="1" fontId="13" fillId="0" borderId="46" xfId="0" applyNumberFormat="1" applyFont="1" applyBorder="1" applyAlignment="1" applyProtection="1">
      <alignment horizontal="center" vertical="center" wrapText="1"/>
      <protection locked="0"/>
    </xf>
    <xf numFmtId="1" fontId="13" fillId="0" borderId="44" xfId="0" applyNumberFormat="1" applyFont="1" applyBorder="1" applyAlignment="1" applyProtection="1">
      <alignment horizontal="center" vertical="center" wrapText="1"/>
      <protection locked="0"/>
    </xf>
    <xf numFmtId="1" fontId="13" fillId="0" borderId="45" xfId="0" applyNumberFormat="1" applyFont="1" applyBorder="1" applyAlignment="1" applyProtection="1">
      <alignment horizontal="center" vertical="center" wrapText="1"/>
      <protection locked="0"/>
    </xf>
    <xf numFmtId="1" fontId="13" fillId="0" borderId="47" xfId="0" applyNumberFormat="1" applyFont="1" applyBorder="1" applyAlignment="1" applyProtection="1">
      <alignment horizontal="center" vertical="center" wrapText="1"/>
      <protection locked="0"/>
    </xf>
    <xf numFmtId="0" fontId="24" fillId="0" borderId="1" xfId="0" applyFont="1" applyBorder="1" applyAlignment="1">
      <alignment horizontal="center" vertical="center"/>
    </xf>
    <xf numFmtId="0" fontId="15" fillId="5" borderId="13" xfId="0" applyFont="1" applyFill="1" applyBorder="1" applyAlignment="1">
      <alignment horizontal="center" vertical="top"/>
    </xf>
    <xf numFmtId="0" fontId="15" fillId="5" borderId="14" xfId="0" applyFont="1" applyFill="1" applyBorder="1" applyAlignment="1">
      <alignment horizontal="center" vertical="top"/>
    </xf>
    <xf numFmtId="0" fontId="15" fillId="5" borderId="15" xfId="0" applyFont="1" applyFill="1" applyBorder="1" applyAlignment="1">
      <alignment horizontal="center" vertical="top"/>
    </xf>
    <xf numFmtId="0" fontId="12" fillId="4" borderId="1" xfId="0" applyFont="1" applyFill="1" applyBorder="1" applyAlignment="1">
      <alignment horizontal="center" vertical="center"/>
    </xf>
    <xf numFmtId="0" fontId="21" fillId="0" borderId="11" xfId="0" applyFont="1" applyBorder="1" applyAlignment="1">
      <alignment horizontal="left" vertical="top"/>
    </xf>
    <xf numFmtId="0" fontId="21" fillId="0" borderId="12" xfId="0" applyFont="1" applyBorder="1" applyAlignment="1">
      <alignment horizontal="left" vertical="top"/>
    </xf>
    <xf numFmtId="0" fontId="12" fillId="0" borderId="3" xfId="0" applyFont="1" applyBorder="1" applyAlignment="1">
      <alignment horizontal="center" vertical="top"/>
    </xf>
    <xf numFmtId="0" fontId="24" fillId="0" borderId="5"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0" fontId="12" fillId="0" borderId="1" xfId="0" applyFont="1" applyBorder="1" applyAlignment="1">
      <alignment horizontal="center" vertical="top" wrapText="1"/>
    </xf>
    <xf numFmtId="0" fontId="6" fillId="0" borderId="13"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21" fillId="0" borderId="10" xfId="0" applyFont="1"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15" xfId="0" applyFont="1" applyBorder="1" applyAlignment="1">
      <alignment horizontal="left" vertical="top"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24" fillId="0" borderId="9" xfId="0" applyFont="1" applyBorder="1" applyAlignment="1">
      <alignment horizontal="left" vertical="top" wrapText="1"/>
    </xf>
    <xf numFmtId="0" fontId="12" fillId="0" borderId="5"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24" fillId="0" borderId="1" xfId="0" applyFont="1" applyBorder="1" applyAlignment="1">
      <alignment horizontal="center" vertical="top" wrapText="1"/>
    </xf>
    <xf numFmtId="0" fontId="24" fillId="0" borderId="2" xfId="0" applyFont="1" applyBorder="1" applyAlignment="1">
      <alignment horizontal="center" vertical="top"/>
    </xf>
    <xf numFmtId="0" fontId="24" fillId="0" borderId="3" xfId="0" applyFont="1" applyBorder="1" applyAlignment="1">
      <alignment horizontal="center" vertical="top"/>
    </xf>
    <xf numFmtId="0" fontId="24" fillId="0" borderId="4" xfId="0" applyFont="1" applyBorder="1" applyAlignment="1">
      <alignment horizontal="center" vertical="top"/>
    </xf>
    <xf numFmtId="0" fontId="12" fillId="0" borderId="1" xfId="0" applyFont="1" applyBorder="1" applyAlignment="1">
      <alignment horizontal="center" vertical="center" wrapText="1"/>
    </xf>
    <xf numFmtId="14" fontId="24" fillId="0" borderId="1" xfId="0" applyNumberFormat="1" applyFont="1" applyBorder="1" applyAlignment="1">
      <alignment horizontal="left" vertical="top" wrapText="1"/>
    </xf>
    <xf numFmtId="0" fontId="8" fillId="0" borderId="1" xfId="3" applyBorder="1" applyAlignment="1" applyProtection="1">
      <alignment horizontal="left" vertical="top" wrapText="1"/>
    </xf>
    <xf numFmtId="0" fontId="21" fillId="0" borderId="1" xfId="0" applyFont="1" applyBorder="1" applyAlignment="1">
      <alignment horizontal="left" vertical="top" wrapText="1"/>
    </xf>
    <xf numFmtId="0" fontId="24" fillId="3" borderId="5" xfId="0" applyFont="1" applyFill="1" applyBorder="1" applyAlignment="1">
      <alignment horizontal="center" vertical="top" wrapText="1"/>
    </xf>
    <xf numFmtId="0" fontId="24" fillId="3" borderId="11" xfId="0" applyFont="1" applyFill="1" applyBorder="1" applyAlignment="1">
      <alignment horizontal="center" vertical="top" wrapText="1"/>
    </xf>
    <xf numFmtId="0" fontId="24" fillId="3" borderId="12" xfId="0" applyFont="1" applyFill="1" applyBorder="1" applyAlignment="1">
      <alignment horizontal="center" vertical="top" wrapText="1"/>
    </xf>
    <xf numFmtId="0" fontId="13" fillId="0" borderId="11" xfId="0" applyFont="1" applyBorder="1" applyAlignment="1">
      <alignment horizontal="center" vertical="top"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0" fontId="13" fillId="5" borderId="5"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2" xfId="0" applyFont="1" applyFill="1" applyBorder="1" applyAlignment="1">
      <alignment horizontal="center" vertical="center"/>
    </xf>
    <xf numFmtId="1" fontId="24" fillId="0" borderId="5" xfId="0" applyNumberFormat="1" applyFont="1" applyBorder="1" applyAlignment="1">
      <alignment horizontal="center" vertical="center"/>
    </xf>
    <xf numFmtId="1" fontId="24" fillId="0" borderId="12" xfId="0" applyNumberFormat="1" applyFont="1" applyBorder="1" applyAlignment="1">
      <alignment horizontal="center" vertical="center"/>
    </xf>
    <xf numFmtId="0" fontId="12" fillId="3" borderId="5"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12" xfId="0" applyFont="1" applyFill="1" applyBorder="1" applyAlignment="1">
      <alignment horizontal="left" vertical="center"/>
    </xf>
    <xf numFmtId="0" fontId="24" fillId="0" borderId="1" xfId="0" applyFont="1" applyBorder="1" applyAlignment="1">
      <alignment horizontal="center"/>
    </xf>
    <xf numFmtId="14" fontId="24" fillId="0" borderId="5" xfId="0" applyNumberFormat="1" applyFont="1" applyBorder="1" applyAlignment="1">
      <alignment horizontal="left" vertical="top" wrapText="1"/>
    </xf>
    <xf numFmtId="14" fontId="24" fillId="0" borderId="11" xfId="0" applyNumberFormat="1" applyFont="1" applyBorder="1" applyAlignment="1">
      <alignment horizontal="left" vertical="top" wrapText="1"/>
    </xf>
    <xf numFmtId="14" fontId="24" fillId="0" borderId="12" xfId="0" applyNumberFormat="1" applyFont="1" applyBorder="1" applyAlignment="1">
      <alignment horizontal="left" vertical="top" wrapText="1"/>
    </xf>
    <xf numFmtId="0" fontId="12" fillId="0" borderId="8" xfId="0" applyFont="1" applyBorder="1" applyAlignment="1">
      <alignment horizontal="left" vertical="top"/>
    </xf>
    <xf numFmtId="0" fontId="12" fillId="0" borderId="0" xfId="0" applyFont="1" applyAlignment="1">
      <alignment horizontal="left" vertical="top"/>
    </xf>
    <xf numFmtId="0" fontId="12" fillId="0" borderId="9" xfId="0" applyFont="1" applyBorder="1" applyAlignment="1">
      <alignment horizontal="left" vertical="top"/>
    </xf>
    <xf numFmtId="165" fontId="24" fillId="0" borderId="1" xfId="0" applyNumberFormat="1" applyFont="1" applyBorder="1" applyAlignment="1">
      <alignment horizontal="center"/>
    </xf>
    <xf numFmtId="167" fontId="24" fillId="0" borderId="5" xfId="0" applyNumberFormat="1" applyFont="1" applyBorder="1" applyAlignment="1">
      <alignment horizontal="center"/>
    </xf>
    <xf numFmtId="167" fontId="24" fillId="0" borderId="1" xfId="0" applyNumberFormat="1" applyFont="1" applyBorder="1" applyAlignment="1">
      <alignment horizontal="center" vertical="top"/>
    </xf>
    <xf numFmtId="0" fontId="13" fillId="3" borderId="5"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5" borderId="5" xfId="0" applyFont="1" applyFill="1" applyBorder="1" applyAlignment="1">
      <alignment horizontal="center" vertical="top"/>
    </xf>
    <xf numFmtId="0" fontId="12" fillId="5" borderId="11" xfId="0" applyFont="1" applyFill="1" applyBorder="1" applyAlignment="1">
      <alignment horizontal="center" vertical="top"/>
    </xf>
    <xf numFmtId="0" fontId="12" fillId="5" borderId="12" xfId="0" applyFont="1" applyFill="1" applyBorder="1" applyAlignment="1">
      <alignment horizontal="center" vertical="top"/>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24" fillId="0" borderId="10" xfId="0" applyFont="1"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12" fillId="4" borderId="5"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5" fillId="0" borderId="5" xfId="0" applyFont="1" applyBorder="1" applyAlignment="1">
      <alignment horizontal="center" vertical="top"/>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3" fillId="4" borderId="5"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37" fillId="0" borderId="2" xfId="0" applyFont="1" applyBorder="1" applyAlignment="1">
      <alignment horizontal="center" vertical="top" wrapText="1"/>
    </xf>
    <xf numFmtId="0" fontId="37" fillId="0" borderId="8" xfId="0" applyFont="1" applyBorder="1" applyAlignment="1">
      <alignment horizontal="center" vertical="top" wrapText="1"/>
    </xf>
    <xf numFmtId="0" fontId="37" fillId="0" borderId="10" xfId="0" applyFont="1" applyBorder="1" applyAlignment="1">
      <alignment horizontal="center" vertical="top" wrapText="1"/>
    </xf>
    <xf numFmtId="0" fontId="12" fillId="0" borderId="22" xfId="5" applyFont="1" applyBorder="1" applyAlignment="1" applyProtection="1">
      <alignment horizontal="center" vertical="top" wrapText="1"/>
      <protection locked="0"/>
    </xf>
    <xf numFmtId="1" fontId="13" fillId="3" borderId="5" xfId="0" applyNumberFormat="1" applyFont="1" applyFill="1" applyBorder="1" applyAlignment="1">
      <alignment horizontal="center" vertical="center"/>
    </xf>
    <xf numFmtId="1" fontId="13" fillId="3" borderId="11" xfId="0" applyNumberFormat="1" applyFont="1" applyFill="1" applyBorder="1" applyAlignment="1">
      <alignment horizontal="center" vertical="center"/>
    </xf>
    <xf numFmtId="1" fontId="13" fillId="3" borderId="12" xfId="0" applyNumberFormat="1" applyFont="1" applyFill="1" applyBorder="1" applyAlignment="1">
      <alignment horizontal="center" vertical="center"/>
    </xf>
    <xf numFmtId="164" fontId="13" fillId="0" borderId="5" xfId="7" applyNumberFormat="1" applyFont="1" applyFill="1" applyBorder="1" applyAlignment="1">
      <alignment horizontal="center" vertical="center" wrapText="1"/>
    </xf>
    <xf numFmtId="164" fontId="13" fillId="0" borderId="12" xfId="7" applyNumberFormat="1" applyFont="1" applyFill="1" applyBorder="1" applyAlignment="1">
      <alignment horizontal="center" vertical="center" wrapText="1"/>
    </xf>
    <xf numFmtId="1" fontId="6" fillId="3" borderId="5" xfId="0" applyNumberFormat="1" applyFont="1" applyFill="1" applyBorder="1" applyAlignment="1">
      <alignment horizontal="center" vertical="center"/>
    </xf>
    <xf numFmtId="1" fontId="6" fillId="3" borderId="11" xfId="0" applyNumberFormat="1" applyFont="1" applyFill="1" applyBorder="1" applyAlignment="1">
      <alignment horizontal="center" vertical="center"/>
    </xf>
    <xf numFmtId="1" fontId="6" fillId="3" borderId="12" xfId="0" applyNumberFormat="1" applyFont="1" applyFill="1" applyBorder="1" applyAlignment="1">
      <alignment horizontal="center" vertical="center"/>
    </xf>
    <xf numFmtId="164" fontId="6" fillId="0" borderId="5" xfId="7" applyNumberFormat="1" applyFont="1" applyFill="1" applyBorder="1" applyAlignment="1">
      <alignment horizontal="center" vertical="center" wrapText="1"/>
    </xf>
    <xf numFmtId="164" fontId="6" fillId="0" borderId="12" xfId="7" applyNumberFormat="1" applyFont="1" applyFill="1" applyBorder="1" applyAlignment="1">
      <alignment horizontal="center" vertical="center" wrapText="1"/>
    </xf>
    <xf numFmtId="0" fontId="13" fillId="5" borderId="1" xfId="0" applyFont="1" applyFill="1" applyBorder="1" applyAlignment="1">
      <alignment horizontal="center"/>
    </xf>
    <xf numFmtId="0" fontId="13" fillId="5" borderId="11" xfId="0" applyFont="1" applyFill="1" applyBorder="1" applyAlignment="1">
      <alignment horizontal="center"/>
    </xf>
    <xf numFmtId="0" fontId="13" fillId="5" borderId="12" xfId="0" applyFont="1" applyFill="1" applyBorder="1" applyAlignment="1">
      <alignment horizontal="center"/>
    </xf>
    <xf numFmtId="1" fontId="12" fillId="0" borderId="1" xfId="0" applyNumberFormat="1" applyFont="1" applyBorder="1" applyAlignment="1">
      <alignment horizontal="center" vertical="top" wrapText="1"/>
    </xf>
    <xf numFmtId="0" fontId="30" fillId="0" borderId="5" xfId="0" applyFont="1" applyBorder="1" applyAlignment="1">
      <alignment horizontal="center" vertical="center" wrapText="1"/>
    </xf>
    <xf numFmtId="0" fontId="30" fillId="0" borderId="12" xfId="0" applyFont="1" applyBorder="1" applyAlignment="1">
      <alignment horizontal="center" vertical="center" wrapText="1"/>
    </xf>
    <xf numFmtId="0" fontId="12" fillId="0" borderId="5" xfId="0" applyFont="1" applyBorder="1" applyAlignment="1">
      <alignment horizontal="center" vertical="center" wrapText="1"/>
    </xf>
    <xf numFmtId="1" fontId="13" fillId="0" borderId="5" xfId="0" applyNumberFormat="1" applyFont="1" applyBorder="1" applyAlignment="1">
      <alignment horizontal="center" vertical="center"/>
    </xf>
    <xf numFmtId="1" fontId="13" fillId="0" borderId="12" xfId="0" applyNumberFormat="1" applyFont="1" applyBorder="1" applyAlignment="1">
      <alignment horizontal="center" vertical="center"/>
    </xf>
    <xf numFmtId="0" fontId="24" fillId="5" borderId="1" xfId="0" applyFont="1" applyFill="1" applyBorder="1" applyAlignment="1">
      <alignment horizontal="center" vertical="top" wrapText="1"/>
    </xf>
    <xf numFmtId="0" fontId="24" fillId="5" borderId="1" xfId="0" applyFont="1" applyFill="1" applyBorder="1" applyAlignment="1">
      <alignment horizontal="center" vertical="top"/>
    </xf>
    <xf numFmtId="0" fontId="13" fillId="0" borderId="11" xfId="0" applyFont="1" applyBorder="1" applyAlignment="1">
      <alignment horizontal="left"/>
    </xf>
    <xf numFmtId="164" fontId="13" fillId="5" borderId="11" xfId="7" applyNumberFormat="1" applyFont="1" applyFill="1" applyBorder="1" applyAlignment="1">
      <alignment vertical="top"/>
    </xf>
    <xf numFmtId="164" fontId="13" fillId="5" borderId="12" xfId="7" applyNumberFormat="1" applyFont="1" applyFill="1" applyBorder="1" applyAlignment="1">
      <alignment vertical="top"/>
    </xf>
    <xf numFmtId="164" fontId="13" fillId="5" borderId="11" xfId="7" applyNumberFormat="1" applyFont="1" applyFill="1" applyBorder="1" applyAlignment="1">
      <alignment horizontal="center"/>
    </xf>
    <xf numFmtId="164" fontId="13" fillId="5" borderId="12" xfId="7" applyNumberFormat="1" applyFont="1" applyFill="1" applyBorder="1" applyAlignment="1">
      <alignment horizontal="center"/>
    </xf>
    <xf numFmtId="1" fontId="6" fillId="0" borderId="5" xfId="0" applyNumberFormat="1" applyFont="1" applyBorder="1" applyAlignment="1">
      <alignment horizontal="center" vertical="center"/>
    </xf>
    <xf numFmtId="1" fontId="6" fillId="0" borderId="12" xfId="0" applyNumberFormat="1" applyFont="1" applyBorder="1" applyAlignment="1">
      <alignment horizontal="center" vertical="center"/>
    </xf>
    <xf numFmtId="0" fontId="14" fillId="0" borderId="1" xfId="0" applyFont="1" applyBorder="1" applyAlignment="1">
      <alignment horizontal="center" vertical="top"/>
    </xf>
    <xf numFmtId="0" fontId="10" fillId="0" borderId="1" xfId="0" applyFont="1" applyBorder="1" applyAlignment="1">
      <alignment horizontal="center" vertical="top" wrapText="1"/>
    </xf>
    <xf numFmtId="0" fontId="10" fillId="0" borderId="1" xfId="0" applyFont="1" applyBorder="1" applyAlignment="1">
      <alignment horizontal="center"/>
    </xf>
    <xf numFmtId="0" fontId="10" fillId="0" borderId="5"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4" fillId="6" borderId="16" xfId="6" applyFont="1" applyFill="1" applyBorder="1" applyAlignment="1" applyProtection="1">
      <alignment horizontal="left" vertical="top" wrapText="1"/>
      <protection locked="0"/>
    </xf>
    <xf numFmtId="0" fontId="14" fillId="6" borderId="17" xfId="6" applyFont="1" applyFill="1" applyBorder="1" applyAlignment="1" applyProtection="1">
      <alignment horizontal="left" vertical="top" wrapText="1"/>
      <protection locked="0"/>
    </xf>
    <xf numFmtId="0" fontId="14" fillId="6" borderId="21" xfId="6" applyFont="1" applyFill="1" applyBorder="1" applyAlignment="1" applyProtection="1">
      <alignment horizontal="left" vertical="top" wrapText="1"/>
      <protection locked="0"/>
    </xf>
    <xf numFmtId="0" fontId="14" fillId="6" borderId="1" xfId="6" applyFont="1" applyFill="1" applyBorder="1" applyAlignment="1" applyProtection="1">
      <alignment horizontal="left" vertical="top" wrapText="1"/>
      <protection locked="0"/>
    </xf>
    <xf numFmtId="0" fontId="14" fillId="7" borderId="25" xfId="6" applyFont="1" applyFill="1" applyBorder="1" applyAlignment="1" applyProtection="1">
      <alignment horizontal="left" vertical="top" wrapText="1"/>
      <protection locked="0"/>
    </xf>
    <xf numFmtId="0" fontId="14" fillId="7" borderId="11" xfId="6" applyFont="1" applyFill="1" applyBorder="1" applyAlignment="1" applyProtection="1">
      <alignment horizontal="left" vertical="top" wrapText="1"/>
      <protection locked="0"/>
    </xf>
    <xf numFmtId="0" fontId="14" fillId="7" borderId="26" xfId="6" applyFont="1" applyFill="1" applyBorder="1" applyAlignment="1" applyProtection="1">
      <alignment horizontal="left" vertical="top" wrapText="1"/>
      <protection locked="0"/>
    </xf>
    <xf numFmtId="0" fontId="27" fillId="7" borderId="5" xfId="6" applyFont="1" applyFill="1" applyBorder="1" applyAlignment="1" applyProtection="1">
      <alignment horizontal="center" vertical="center" wrapText="1"/>
      <protection locked="0"/>
    </xf>
    <xf numFmtId="0" fontId="27" fillId="7" borderId="26" xfId="6" applyFont="1" applyFill="1" applyBorder="1" applyAlignment="1" applyProtection="1">
      <alignment horizontal="center" vertical="center" wrapText="1"/>
      <protection locked="0"/>
    </xf>
    <xf numFmtId="9" fontId="27" fillId="7" borderId="13" xfId="6" applyNumberFormat="1" applyFont="1" applyFill="1" applyBorder="1" applyAlignment="1" applyProtection="1">
      <alignment horizontal="center" vertical="center" wrapText="1"/>
      <protection hidden="1"/>
    </xf>
    <xf numFmtId="9" fontId="27" fillId="7" borderId="27" xfId="6" applyNumberFormat="1" applyFont="1" applyFill="1" applyBorder="1" applyAlignment="1" applyProtection="1">
      <alignment horizontal="center" vertical="center" wrapText="1"/>
      <protection hidden="1"/>
    </xf>
    <xf numFmtId="9" fontId="27" fillId="7" borderId="8" xfId="6" applyNumberFormat="1" applyFont="1" applyFill="1" applyBorder="1" applyAlignment="1" applyProtection="1">
      <alignment horizontal="center" vertical="center" wrapText="1"/>
      <protection hidden="1"/>
    </xf>
    <xf numFmtId="9" fontId="27" fillId="7" borderId="23" xfId="6" applyNumberFormat="1" applyFont="1" applyFill="1" applyBorder="1" applyAlignment="1" applyProtection="1">
      <alignment horizontal="center" vertical="center" wrapText="1"/>
      <protection hidden="1"/>
    </xf>
    <xf numFmtId="9" fontId="27" fillId="7" borderId="30" xfId="6" applyNumberFormat="1" applyFont="1" applyFill="1" applyBorder="1" applyAlignment="1" applyProtection="1">
      <alignment horizontal="center" vertical="center" wrapText="1"/>
      <protection hidden="1"/>
    </xf>
    <xf numFmtId="9" fontId="27" fillId="7" borderId="31" xfId="6" applyNumberFormat="1" applyFont="1" applyFill="1" applyBorder="1" applyAlignment="1" applyProtection="1">
      <alignment horizontal="center" vertical="center" wrapText="1"/>
      <protection hidden="1"/>
    </xf>
  </cellXfs>
  <cellStyles count="9">
    <cellStyle name="Comma" xfId="8" builtinId="3"/>
    <cellStyle name="Currency" xfId="7" builtinId="4"/>
    <cellStyle name="Excel Built-in Normal" xfId="1" xr:uid="{00000000-0005-0000-0000-000002000000}"/>
    <cellStyle name="Excel Built-in Normal 2" xfId="2" xr:uid="{00000000-0005-0000-0000-000003000000}"/>
    <cellStyle name="Hyperlink" xfId="3" builtinId="8"/>
    <cellStyle name="Normal" xfId="0" builtinId="0"/>
    <cellStyle name="Normal 2" xfId="4" xr:uid="{00000000-0005-0000-0000-000006000000}"/>
    <cellStyle name="Normal 3" xfId="6" xr:uid="{00000000-0005-0000-0000-000007000000}"/>
    <cellStyle name="Normal 3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11</xdr:row>
      <xdr:rowOff>30480</xdr:rowOff>
    </xdr:from>
    <xdr:to>
      <xdr:col>13</xdr:col>
      <xdr:colOff>213360</xdr:colOff>
      <xdr:row>30</xdr:row>
      <xdr:rowOff>129540</xdr:rowOff>
    </xdr:to>
    <xdr:pic>
      <xdr:nvPicPr>
        <xdr:cNvPr id="2" name="Picture 1" descr="Renucorp Vanaha Panvel - Main Banner">
          <a:extLst>
            <a:ext uri="{FF2B5EF4-FFF2-40B4-BE49-F238E27FC236}">
              <a16:creationId xmlns:a16="http://schemas.microsoft.com/office/drawing/2014/main" id="{86EC5C8D-768D-7AEE-7097-A8ECDD74E6D1}"/>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01040" y="2270760"/>
          <a:ext cx="6858000" cy="3429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182880</xdr:colOff>
      <xdr:row>57</xdr:row>
      <xdr:rowOff>3390900</xdr:rowOff>
    </xdr:from>
    <xdr:to>
      <xdr:col>18</xdr:col>
      <xdr:colOff>178620</xdr:colOff>
      <xdr:row>58</xdr:row>
      <xdr:rowOff>254161</xdr:rowOff>
    </xdr:to>
    <xdr:pic>
      <xdr:nvPicPr>
        <xdr:cNvPr id="4" name="Picture 3">
          <a:extLst>
            <a:ext uri="{FF2B5EF4-FFF2-40B4-BE49-F238E27FC236}">
              <a16:creationId xmlns:a16="http://schemas.microsoft.com/office/drawing/2014/main" id="{9CC3B6E9-82C5-E9BA-2DE6-ECB71AAD858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275320" y="14302740"/>
          <a:ext cx="3600000" cy="774226"/>
        </a:xfrm>
        <a:prstGeom prst="rect">
          <a:avLst/>
        </a:prstGeom>
      </xdr:spPr>
    </xdr:pic>
    <xdr:clientData/>
  </xdr:twoCellAnchor>
  <xdr:twoCellAnchor editAs="oneCell">
    <xdr:from>
      <xdr:col>14</xdr:col>
      <xdr:colOff>167640</xdr:colOff>
      <xdr:row>131</xdr:row>
      <xdr:rowOff>203753</xdr:rowOff>
    </xdr:from>
    <xdr:to>
      <xdr:col>18</xdr:col>
      <xdr:colOff>163380</xdr:colOff>
      <xdr:row>139</xdr:row>
      <xdr:rowOff>160634</xdr:rowOff>
    </xdr:to>
    <xdr:pic>
      <xdr:nvPicPr>
        <xdr:cNvPr id="3" name="Picture 2">
          <a:extLst>
            <a:ext uri="{FF2B5EF4-FFF2-40B4-BE49-F238E27FC236}">
              <a16:creationId xmlns:a16="http://schemas.microsoft.com/office/drawing/2014/main" id="{7375B6D2-1A40-071D-0F65-CB107E6B4127}"/>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277970" y="34493753"/>
          <a:ext cx="3597019" cy="2362151"/>
        </a:xfrm>
        <a:prstGeom prst="rect">
          <a:avLst/>
        </a:prstGeom>
      </xdr:spPr>
    </xdr:pic>
    <xdr:clientData/>
  </xdr:twoCellAnchor>
  <xdr:twoCellAnchor>
    <xdr:from>
      <xdr:col>2</xdr:col>
      <xdr:colOff>205409</xdr:colOff>
      <xdr:row>573</xdr:row>
      <xdr:rowOff>112645</xdr:rowOff>
    </xdr:from>
    <xdr:to>
      <xdr:col>12</xdr:col>
      <xdr:colOff>291547</xdr:colOff>
      <xdr:row>614</xdr:row>
      <xdr:rowOff>132523</xdr:rowOff>
    </xdr:to>
    <xdr:grpSp>
      <xdr:nvGrpSpPr>
        <xdr:cNvPr id="5" name="Group 4">
          <a:extLst>
            <a:ext uri="{FF2B5EF4-FFF2-40B4-BE49-F238E27FC236}">
              <a16:creationId xmlns:a16="http://schemas.microsoft.com/office/drawing/2014/main" id="{070F61CA-F54D-E4F7-2A25-B359E2816174}"/>
            </a:ext>
          </a:extLst>
        </xdr:cNvPr>
        <xdr:cNvGrpSpPr/>
      </xdr:nvGrpSpPr>
      <xdr:grpSpPr>
        <a:xfrm>
          <a:off x="976934" y="128090545"/>
          <a:ext cx="5953538" cy="7830378"/>
          <a:chOff x="189000" y="388910"/>
          <a:chExt cx="6480000" cy="7728837"/>
        </a:xfrm>
      </xdr:grpSpPr>
      <xdr:pic>
        <xdr:nvPicPr>
          <xdr:cNvPr id="6" name="Picture 5">
            <a:extLst>
              <a:ext uri="{FF2B5EF4-FFF2-40B4-BE49-F238E27FC236}">
                <a16:creationId xmlns:a16="http://schemas.microsoft.com/office/drawing/2014/main" id="{6E03AAD5-771E-D128-A1F0-2C96A0692E67}"/>
              </a:ext>
            </a:extLst>
          </xdr:cNvPr>
          <xdr:cNvPicPr>
            <a:picLocks noChangeAspect="1"/>
          </xdr:cNvPicPr>
        </xdr:nvPicPr>
        <xdr:blipFill>
          <a:blip xmlns:r="http://schemas.openxmlformats.org/officeDocument/2006/relationships" r:embed="rId4"/>
          <a:stretch>
            <a:fillRect/>
          </a:stretch>
        </xdr:blipFill>
        <xdr:spPr>
          <a:xfrm>
            <a:off x="189000" y="388910"/>
            <a:ext cx="6480000" cy="4492800"/>
          </a:xfrm>
          <a:prstGeom prst="rect">
            <a:avLst/>
          </a:prstGeom>
          <a:ln>
            <a:solidFill>
              <a:schemeClr val="tx1"/>
            </a:solidFill>
          </a:ln>
        </xdr:spPr>
      </xdr:pic>
      <xdr:pic>
        <xdr:nvPicPr>
          <xdr:cNvPr id="7" name="Picture 6">
            <a:extLst>
              <a:ext uri="{FF2B5EF4-FFF2-40B4-BE49-F238E27FC236}">
                <a16:creationId xmlns:a16="http://schemas.microsoft.com/office/drawing/2014/main" id="{67BD9AFE-C226-C834-4CF4-572AF0723893}"/>
              </a:ext>
            </a:extLst>
          </xdr:cNvPr>
          <xdr:cNvPicPr>
            <a:picLocks noChangeAspect="1"/>
          </xdr:cNvPicPr>
        </xdr:nvPicPr>
        <xdr:blipFill>
          <a:blip xmlns:r="http://schemas.openxmlformats.org/officeDocument/2006/relationships" r:embed="rId5"/>
          <a:stretch>
            <a:fillRect/>
          </a:stretch>
        </xdr:blipFill>
        <xdr:spPr>
          <a:xfrm>
            <a:off x="704614" y="5054242"/>
            <a:ext cx="5448772" cy="3063505"/>
          </a:xfrm>
          <a:prstGeom prst="rect">
            <a:avLst/>
          </a:prstGeom>
          <a:ln>
            <a:solidFill>
              <a:schemeClr val="tx1"/>
            </a:solidFill>
          </a:ln>
        </xdr:spPr>
      </xdr:pic>
    </xdr:grpSp>
    <xdr:clientData/>
  </xdr:twoCellAnchor>
  <xdr:twoCellAnchor>
    <xdr:from>
      <xdr:col>2</xdr:col>
      <xdr:colOff>583096</xdr:colOff>
      <xdr:row>619</xdr:row>
      <xdr:rowOff>46382</xdr:rowOff>
    </xdr:from>
    <xdr:to>
      <xdr:col>11</xdr:col>
      <xdr:colOff>563218</xdr:colOff>
      <xdr:row>661</xdr:row>
      <xdr:rowOff>26504</xdr:rowOff>
    </xdr:to>
    <xdr:grpSp>
      <xdr:nvGrpSpPr>
        <xdr:cNvPr id="8" name="Group 7">
          <a:extLst>
            <a:ext uri="{FF2B5EF4-FFF2-40B4-BE49-F238E27FC236}">
              <a16:creationId xmlns:a16="http://schemas.microsoft.com/office/drawing/2014/main" id="{7942FBB9-2AB2-63D9-769D-B88732CC799C}"/>
            </a:ext>
          </a:extLst>
        </xdr:cNvPr>
        <xdr:cNvGrpSpPr/>
      </xdr:nvGrpSpPr>
      <xdr:grpSpPr>
        <a:xfrm>
          <a:off x="1345096" y="136787282"/>
          <a:ext cx="5285547" cy="7981122"/>
          <a:chOff x="1421689" y="551074"/>
          <a:chExt cx="4320000" cy="6401091"/>
        </a:xfrm>
      </xdr:grpSpPr>
      <xdr:pic>
        <xdr:nvPicPr>
          <xdr:cNvPr id="9" name="Picture 8">
            <a:extLst>
              <a:ext uri="{FF2B5EF4-FFF2-40B4-BE49-F238E27FC236}">
                <a16:creationId xmlns:a16="http://schemas.microsoft.com/office/drawing/2014/main" id="{BD8D057C-DA08-81C6-7BC6-56BFEA7219A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421689" y="551074"/>
            <a:ext cx="4320000" cy="3139200"/>
          </a:xfrm>
          <a:prstGeom prst="rect">
            <a:avLst/>
          </a:prstGeom>
          <a:ln>
            <a:solidFill>
              <a:schemeClr val="tx1"/>
            </a:solidFill>
          </a:ln>
        </xdr:spPr>
      </xdr:pic>
      <xdr:grpSp>
        <xdr:nvGrpSpPr>
          <xdr:cNvPr id="10" name="Group 9">
            <a:extLst>
              <a:ext uri="{FF2B5EF4-FFF2-40B4-BE49-F238E27FC236}">
                <a16:creationId xmlns:a16="http://schemas.microsoft.com/office/drawing/2014/main" id="{611DF4D7-F73C-F0D7-71C3-085AD4939D89}"/>
              </a:ext>
            </a:extLst>
          </xdr:cNvPr>
          <xdr:cNvGrpSpPr/>
        </xdr:nvGrpSpPr>
        <xdr:grpSpPr>
          <a:xfrm>
            <a:off x="1421689" y="3812965"/>
            <a:ext cx="4320000" cy="3139200"/>
            <a:chOff x="1421689" y="3812965"/>
            <a:chExt cx="4320000" cy="3139200"/>
          </a:xfrm>
        </xdr:grpSpPr>
        <xdr:pic>
          <xdr:nvPicPr>
            <xdr:cNvPr id="11" name="Picture 10">
              <a:extLst>
                <a:ext uri="{FF2B5EF4-FFF2-40B4-BE49-F238E27FC236}">
                  <a16:creationId xmlns:a16="http://schemas.microsoft.com/office/drawing/2014/main" id="{C539FF6A-314C-071B-E57B-E5DA29B261D9}"/>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421689" y="3812965"/>
              <a:ext cx="4320000" cy="3139200"/>
            </a:xfrm>
            <a:prstGeom prst="rect">
              <a:avLst/>
            </a:prstGeom>
            <a:ln>
              <a:solidFill>
                <a:schemeClr val="tx1"/>
              </a:solidFill>
            </a:ln>
          </xdr:spPr>
        </xdr:pic>
        <xdr:sp macro="" textlink="">
          <xdr:nvSpPr>
            <xdr:cNvPr id="12" name="Rectangle 11">
              <a:extLst>
                <a:ext uri="{FF2B5EF4-FFF2-40B4-BE49-F238E27FC236}">
                  <a16:creationId xmlns:a16="http://schemas.microsoft.com/office/drawing/2014/main" id="{A56BD090-3300-EE97-B797-614699895A39}"/>
                </a:ext>
              </a:extLst>
            </xdr:cNvPr>
            <xdr:cNvSpPr/>
          </xdr:nvSpPr>
          <xdr:spPr>
            <a:xfrm rot="778385">
              <a:off x="3374310" y="5047366"/>
              <a:ext cx="546124" cy="835152"/>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2</xdr:col>
      <xdr:colOff>112644</xdr:colOff>
      <xdr:row>666</xdr:row>
      <xdr:rowOff>6625</xdr:rowOff>
    </xdr:from>
    <xdr:to>
      <xdr:col>12</xdr:col>
      <xdr:colOff>437060</xdr:colOff>
      <xdr:row>706</xdr:row>
      <xdr:rowOff>86138</xdr:rowOff>
    </xdr:to>
    <xdr:grpSp>
      <xdr:nvGrpSpPr>
        <xdr:cNvPr id="13" name="Group 12">
          <a:extLst>
            <a:ext uri="{FF2B5EF4-FFF2-40B4-BE49-F238E27FC236}">
              <a16:creationId xmlns:a16="http://schemas.microsoft.com/office/drawing/2014/main" id="{46C67319-46D5-1F9F-305B-015DBA4F098B}"/>
            </a:ext>
          </a:extLst>
        </xdr:cNvPr>
        <xdr:cNvGrpSpPr/>
      </xdr:nvGrpSpPr>
      <xdr:grpSpPr>
        <a:xfrm>
          <a:off x="884169" y="145701025"/>
          <a:ext cx="6191816" cy="7699513"/>
          <a:chOff x="0" y="1150902"/>
          <a:chExt cx="5400000" cy="6216277"/>
        </a:xfrm>
      </xdr:grpSpPr>
      <xdr:pic>
        <xdr:nvPicPr>
          <xdr:cNvPr id="14" name="Picture 13">
            <a:extLst>
              <a:ext uri="{FF2B5EF4-FFF2-40B4-BE49-F238E27FC236}">
                <a16:creationId xmlns:a16="http://schemas.microsoft.com/office/drawing/2014/main" id="{4592A257-28EB-390A-DDAA-5176FD39E02A}"/>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0" y="1150902"/>
            <a:ext cx="5400000" cy="3037500"/>
          </a:xfrm>
          <a:prstGeom prst="rect">
            <a:avLst/>
          </a:prstGeom>
          <a:ln>
            <a:solidFill>
              <a:schemeClr val="tx1"/>
            </a:solidFill>
          </a:ln>
        </xdr:spPr>
      </xdr:pic>
      <xdr:pic>
        <xdr:nvPicPr>
          <xdr:cNvPr id="15" name="Picture 14">
            <a:extLst>
              <a:ext uri="{FF2B5EF4-FFF2-40B4-BE49-F238E27FC236}">
                <a16:creationId xmlns:a16="http://schemas.microsoft.com/office/drawing/2014/main" id="{625F545C-3C02-5597-44BA-BDB84A20ACB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0" y="4329679"/>
            <a:ext cx="5400000" cy="3037500"/>
          </a:xfrm>
          <a:prstGeom prst="rect">
            <a:avLst/>
          </a:prstGeom>
          <a:ln>
            <a:solidFill>
              <a:schemeClr val="tx1"/>
            </a:solidFill>
          </a:ln>
        </xdr:spPr>
      </xdr:pic>
    </xdr:grpSp>
    <xdr:clientData/>
  </xdr:twoCellAnchor>
  <xdr:twoCellAnchor>
    <xdr:from>
      <xdr:col>2</xdr:col>
      <xdr:colOff>238540</xdr:colOff>
      <xdr:row>712</xdr:row>
      <xdr:rowOff>33131</xdr:rowOff>
    </xdr:from>
    <xdr:to>
      <xdr:col>12</xdr:col>
      <xdr:colOff>308922</xdr:colOff>
      <xdr:row>752</xdr:row>
      <xdr:rowOff>155604</xdr:rowOff>
    </xdr:to>
    <xdr:grpSp>
      <xdr:nvGrpSpPr>
        <xdr:cNvPr id="19" name="Group 18">
          <a:extLst>
            <a:ext uri="{FF2B5EF4-FFF2-40B4-BE49-F238E27FC236}">
              <a16:creationId xmlns:a16="http://schemas.microsoft.com/office/drawing/2014/main" id="{958BA089-630B-5451-F4A5-67DB0F3070BF}"/>
            </a:ext>
          </a:extLst>
        </xdr:cNvPr>
        <xdr:cNvGrpSpPr/>
      </xdr:nvGrpSpPr>
      <xdr:grpSpPr>
        <a:xfrm>
          <a:off x="1010065" y="154490531"/>
          <a:ext cx="5937782" cy="7742473"/>
          <a:chOff x="369000" y="517824"/>
          <a:chExt cx="6120000" cy="7013604"/>
        </a:xfrm>
      </xdr:grpSpPr>
      <xdr:pic>
        <xdr:nvPicPr>
          <xdr:cNvPr id="20" name="Picture 19">
            <a:extLst>
              <a:ext uri="{FF2B5EF4-FFF2-40B4-BE49-F238E27FC236}">
                <a16:creationId xmlns:a16="http://schemas.microsoft.com/office/drawing/2014/main" id="{78ABFC8C-CF0B-33F1-B5B3-45F591EE913E}"/>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69000" y="517824"/>
            <a:ext cx="6120000" cy="3442500"/>
          </a:xfrm>
          <a:prstGeom prst="rect">
            <a:avLst/>
          </a:prstGeom>
          <a:ln>
            <a:solidFill>
              <a:schemeClr val="tx1"/>
            </a:solidFill>
          </a:ln>
        </xdr:spPr>
      </xdr:pic>
      <xdr:pic>
        <xdr:nvPicPr>
          <xdr:cNvPr id="21" name="Picture 20">
            <a:extLst>
              <a:ext uri="{FF2B5EF4-FFF2-40B4-BE49-F238E27FC236}">
                <a16:creationId xmlns:a16="http://schemas.microsoft.com/office/drawing/2014/main" id="{4CB614AA-6F42-0CE8-F715-9F5B49C4723C}"/>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69000" y="4088928"/>
            <a:ext cx="6120000" cy="3442500"/>
          </a:xfrm>
          <a:prstGeom prst="rect">
            <a:avLst/>
          </a:prstGeom>
          <a:ln>
            <a:solidFill>
              <a:schemeClr val="tx1"/>
            </a:solidFill>
          </a:ln>
        </xdr:spPr>
      </xdr:pic>
    </xdr:grpSp>
    <xdr:clientData/>
  </xdr:twoCellAnchor>
  <xdr:twoCellAnchor>
    <xdr:from>
      <xdr:col>2</xdr:col>
      <xdr:colOff>218661</xdr:colOff>
      <xdr:row>758</xdr:row>
      <xdr:rowOff>33130</xdr:rowOff>
    </xdr:from>
    <xdr:to>
      <xdr:col>12</xdr:col>
      <xdr:colOff>289043</xdr:colOff>
      <xdr:row>799</xdr:row>
      <xdr:rowOff>18906</xdr:rowOff>
    </xdr:to>
    <xdr:grpSp>
      <xdr:nvGrpSpPr>
        <xdr:cNvPr id="22" name="Group 21">
          <a:extLst>
            <a:ext uri="{FF2B5EF4-FFF2-40B4-BE49-F238E27FC236}">
              <a16:creationId xmlns:a16="http://schemas.microsoft.com/office/drawing/2014/main" id="{964D6FCF-C104-1D0E-1B68-B275FBC11302}"/>
            </a:ext>
          </a:extLst>
        </xdr:cNvPr>
        <xdr:cNvGrpSpPr/>
      </xdr:nvGrpSpPr>
      <xdr:grpSpPr>
        <a:xfrm>
          <a:off x="990186" y="163253530"/>
          <a:ext cx="5937782" cy="7796276"/>
          <a:chOff x="369000" y="267029"/>
          <a:chExt cx="6120000" cy="7049185"/>
        </a:xfrm>
      </xdr:grpSpPr>
      <xdr:pic>
        <xdr:nvPicPr>
          <xdr:cNvPr id="23" name="Picture 22">
            <a:extLst>
              <a:ext uri="{FF2B5EF4-FFF2-40B4-BE49-F238E27FC236}">
                <a16:creationId xmlns:a16="http://schemas.microsoft.com/office/drawing/2014/main" id="{B699F748-A0E7-7387-0B3D-8F5915153766}"/>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69000" y="267029"/>
            <a:ext cx="6120000" cy="3442500"/>
          </a:xfrm>
          <a:prstGeom prst="rect">
            <a:avLst/>
          </a:prstGeom>
          <a:ln>
            <a:solidFill>
              <a:schemeClr val="tx1"/>
            </a:solidFill>
          </a:ln>
        </xdr:spPr>
      </xdr:pic>
      <xdr:pic>
        <xdr:nvPicPr>
          <xdr:cNvPr id="24" name="Picture 23">
            <a:extLst>
              <a:ext uri="{FF2B5EF4-FFF2-40B4-BE49-F238E27FC236}">
                <a16:creationId xmlns:a16="http://schemas.microsoft.com/office/drawing/2014/main" id="{DCE21875-803D-23E5-0C0F-B2C56F6EF085}"/>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69000" y="3873714"/>
            <a:ext cx="6120000" cy="3442500"/>
          </a:xfrm>
          <a:prstGeom prst="rect">
            <a:avLst/>
          </a:prstGeom>
          <a:ln>
            <a:solidFill>
              <a:schemeClr val="tx1"/>
            </a:solidFill>
          </a:ln>
        </xdr:spPr>
      </xdr:pic>
    </xdr:grpSp>
    <xdr:clientData/>
  </xdr:twoCellAnchor>
  <xdr:twoCellAnchor editAs="oneCell">
    <xdr:from>
      <xdr:col>2</xdr:col>
      <xdr:colOff>192157</xdr:colOff>
      <xdr:row>805</xdr:row>
      <xdr:rowOff>19878</xdr:rowOff>
    </xdr:from>
    <xdr:to>
      <xdr:col>12</xdr:col>
      <xdr:colOff>262539</xdr:colOff>
      <xdr:row>825</xdr:row>
      <xdr:rowOff>16813</xdr:rowOff>
    </xdr:to>
    <xdr:pic>
      <xdr:nvPicPr>
        <xdr:cNvPr id="25" name="Picture 24">
          <a:extLst>
            <a:ext uri="{FF2B5EF4-FFF2-40B4-BE49-F238E27FC236}">
              <a16:creationId xmlns:a16="http://schemas.microsoft.com/office/drawing/2014/main" id="{39E2E741-4F04-761C-2FDD-BA98330AB9F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987287" y="163975774"/>
          <a:ext cx="6120000" cy="3442500"/>
        </a:xfrm>
        <a:prstGeom prst="rect">
          <a:avLst/>
        </a:prstGeom>
        <a:ln>
          <a:solidFill>
            <a:schemeClr val="tx1"/>
          </a:solidFill>
        </a:ln>
      </xdr:spPr>
    </xdr:pic>
    <xdr:clientData/>
  </xdr:twoCellAnchor>
  <xdr:twoCellAnchor>
    <xdr:from>
      <xdr:col>0</xdr:col>
      <xdr:colOff>219075</xdr:colOff>
      <xdr:row>528</xdr:row>
      <xdr:rowOff>28574</xdr:rowOff>
    </xdr:from>
    <xdr:to>
      <xdr:col>13</xdr:col>
      <xdr:colOff>419100</xdr:colOff>
      <xdr:row>566</xdr:row>
      <xdr:rowOff>190499</xdr:rowOff>
    </xdr:to>
    <xdr:grpSp>
      <xdr:nvGrpSpPr>
        <xdr:cNvPr id="26" name="Group 25">
          <a:extLst>
            <a:ext uri="{FF2B5EF4-FFF2-40B4-BE49-F238E27FC236}">
              <a16:creationId xmlns:a16="http://schemas.microsoft.com/office/drawing/2014/main" id="{B1A4A51C-1A9C-4262-8E2C-EEA23E77231B}"/>
            </a:ext>
          </a:extLst>
        </xdr:cNvPr>
        <xdr:cNvGrpSpPr/>
      </xdr:nvGrpSpPr>
      <xdr:grpSpPr>
        <a:xfrm>
          <a:off x="219075" y="119386349"/>
          <a:ext cx="7343775" cy="7400925"/>
          <a:chOff x="-411000" y="348222"/>
          <a:chExt cx="7818953" cy="7153356"/>
        </a:xfrm>
      </xdr:grpSpPr>
      <xdr:pic>
        <xdr:nvPicPr>
          <xdr:cNvPr id="27" name="Picture 26">
            <a:extLst>
              <a:ext uri="{FF2B5EF4-FFF2-40B4-BE49-F238E27FC236}">
                <a16:creationId xmlns:a16="http://schemas.microsoft.com/office/drawing/2014/main" id="{FBF425FB-B679-4581-9A07-D381F010E78B}"/>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567953" y="348222"/>
            <a:ext cx="3840000" cy="2160000"/>
          </a:xfrm>
          <a:prstGeom prst="rect">
            <a:avLst/>
          </a:prstGeom>
          <a:ln>
            <a:solidFill>
              <a:schemeClr val="tx1"/>
            </a:solidFill>
          </a:ln>
        </xdr:spPr>
      </xdr:pic>
      <xdr:pic>
        <xdr:nvPicPr>
          <xdr:cNvPr id="28" name="Picture 27">
            <a:extLst>
              <a:ext uri="{FF2B5EF4-FFF2-40B4-BE49-F238E27FC236}">
                <a16:creationId xmlns:a16="http://schemas.microsoft.com/office/drawing/2014/main" id="{58165882-D629-496B-A565-D927762CB1EC}"/>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11000" y="348222"/>
            <a:ext cx="3840000"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508FCCA7-52A2-4852-A861-70E0C7807EE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rot="16200000">
            <a:off x="429000" y="1914900"/>
            <a:ext cx="2160000" cy="3840000"/>
          </a:xfrm>
          <a:prstGeom prst="rect">
            <a:avLst/>
          </a:prstGeom>
          <a:ln>
            <a:solidFill>
              <a:schemeClr val="tx1"/>
            </a:solidFill>
          </a:ln>
        </xdr:spPr>
      </xdr:pic>
      <xdr:pic>
        <xdr:nvPicPr>
          <xdr:cNvPr id="30" name="Picture 29">
            <a:extLst>
              <a:ext uri="{FF2B5EF4-FFF2-40B4-BE49-F238E27FC236}">
                <a16:creationId xmlns:a16="http://schemas.microsoft.com/office/drawing/2014/main" id="{893EEC2B-3B0F-4F94-996E-5A7055B7A42E}"/>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567953" y="2754900"/>
            <a:ext cx="3840000" cy="2160000"/>
          </a:xfrm>
          <a:prstGeom prst="rect">
            <a:avLst/>
          </a:prstGeom>
          <a:ln>
            <a:solidFill>
              <a:schemeClr val="tx1"/>
            </a:solidFill>
          </a:ln>
        </xdr:spPr>
      </xdr:pic>
      <xdr:pic>
        <xdr:nvPicPr>
          <xdr:cNvPr id="31" name="Picture 30">
            <a:extLst>
              <a:ext uri="{FF2B5EF4-FFF2-40B4-BE49-F238E27FC236}">
                <a16:creationId xmlns:a16="http://schemas.microsoft.com/office/drawing/2014/main" id="{94AD61C2-02FA-44E1-B567-1EE8FFFF18AF}"/>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624167" y="5161578"/>
            <a:ext cx="1599080" cy="2340000"/>
          </a:xfrm>
          <a:prstGeom prst="rect">
            <a:avLst/>
          </a:prstGeom>
          <a:ln>
            <a:solidFill>
              <a:schemeClr val="tx1"/>
            </a:solidFill>
          </a:ln>
        </xdr:spPr>
      </xdr:pic>
      <xdr:pic>
        <xdr:nvPicPr>
          <xdr:cNvPr id="32" name="Picture 31">
            <a:extLst>
              <a:ext uri="{FF2B5EF4-FFF2-40B4-BE49-F238E27FC236}">
                <a16:creationId xmlns:a16="http://schemas.microsoft.com/office/drawing/2014/main" id="{CBD60993-17EA-4B79-8DF4-91A0B7764DCA}"/>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366681" y="5161578"/>
            <a:ext cx="4160000" cy="23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14</xdr:row>
      <xdr:rowOff>0</xdr:rowOff>
    </xdr:from>
    <xdr:to>
      <xdr:col>7</xdr:col>
      <xdr:colOff>419185</xdr:colOff>
      <xdr:row>32</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82707" y="3249706"/>
          <a:ext cx="6403125" cy="3600000"/>
        </a:xfrm>
        <a:prstGeom prst="rect">
          <a:avLst/>
        </a:prstGeom>
      </xdr:spPr>
    </xdr:pic>
    <xdr:clientData/>
  </xdr:twoCellAnchor>
  <xdr:twoCellAnchor editAs="oneCell">
    <xdr:from>
      <xdr:col>1</xdr:col>
      <xdr:colOff>1</xdr:colOff>
      <xdr:row>34</xdr:row>
      <xdr:rowOff>0</xdr:rowOff>
    </xdr:from>
    <xdr:to>
      <xdr:col>7</xdr:col>
      <xdr:colOff>419185</xdr:colOff>
      <xdr:row>52</xdr:row>
      <xdr:rowOff>171000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82707" y="7059706"/>
          <a:ext cx="6403125" cy="3600000"/>
        </a:xfrm>
        <a:prstGeom prst="rect">
          <a:avLst/>
        </a:prstGeom>
      </xdr:spPr>
    </xdr:pic>
    <xdr:clientData/>
  </xdr:twoCellAnchor>
  <xdr:twoCellAnchor editAs="oneCell">
    <xdr:from>
      <xdr:col>1</xdr:col>
      <xdr:colOff>1</xdr:colOff>
      <xdr:row>54</xdr:row>
      <xdr:rowOff>0</xdr:rowOff>
    </xdr:from>
    <xdr:to>
      <xdr:col>7</xdr:col>
      <xdr:colOff>419185</xdr:colOff>
      <xdr:row>72</xdr:row>
      <xdr:rowOff>171000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582707" y="10679206"/>
          <a:ext cx="6403125" cy="3600000"/>
        </a:xfrm>
        <a:prstGeom prst="rect">
          <a:avLst/>
        </a:prstGeom>
      </xdr:spPr>
    </xdr:pic>
    <xdr:clientData/>
  </xdr:twoCellAnchor>
  <xdr:twoCellAnchor editAs="oneCell">
    <xdr:from>
      <xdr:col>1</xdr:col>
      <xdr:colOff>1</xdr:colOff>
      <xdr:row>74</xdr:row>
      <xdr:rowOff>0</xdr:rowOff>
    </xdr:from>
    <xdr:to>
      <xdr:col>7</xdr:col>
      <xdr:colOff>419185</xdr:colOff>
      <xdr:row>92</xdr:row>
      <xdr:rowOff>171000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582707" y="14489206"/>
          <a:ext cx="6403125" cy="3600000"/>
        </a:xfrm>
        <a:prstGeom prst="rect">
          <a:avLst/>
        </a:prstGeom>
      </xdr:spPr>
    </xdr:pic>
    <xdr:clientData/>
  </xdr:twoCellAnchor>
  <xdr:twoCellAnchor editAs="oneCell">
    <xdr:from>
      <xdr:col>1</xdr:col>
      <xdr:colOff>1</xdr:colOff>
      <xdr:row>94</xdr:row>
      <xdr:rowOff>0</xdr:rowOff>
    </xdr:from>
    <xdr:to>
      <xdr:col>7</xdr:col>
      <xdr:colOff>419185</xdr:colOff>
      <xdr:row>112</xdr:row>
      <xdr:rowOff>171000</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582707" y="18299206"/>
          <a:ext cx="6403125" cy="3600000"/>
        </a:xfrm>
        <a:prstGeom prst="rect">
          <a:avLst/>
        </a:prstGeom>
      </xdr:spPr>
    </xdr:pic>
    <xdr:clientData/>
  </xdr:twoCellAnchor>
  <xdr:twoCellAnchor editAs="oneCell">
    <xdr:from>
      <xdr:col>1</xdr:col>
      <xdr:colOff>1</xdr:colOff>
      <xdr:row>114</xdr:row>
      <xdr:rowOff>0</xdr:rowOff>
    </xdr:from>
    <xdr:to>
      <xdr:col>7</xdr:col>
      <xdr:colOff>419185</xdr:colOff>
      <xdr:row>132</xdr:row>
      <xdr:rowOff>171000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582707" y="22109206"/>
          <a:ext cx="6403125" cy="36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TqUm96YFH2zyMPj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U994"/>
  <sheetViews>
    <sheetView tabSelected="1" view="pageBreakPreview" topLeftCell="A354" zoomScaleNormal="100" zoomScaleSheetLayoutView="100" zoomScalePageLayoutView="85" workbookViewId="0">
      <selection activeCell="Q360" sqref="Q360"/>
    </sheetView>
  </sheetViews>
  <sheetFormatPr defaultColWidth="9.140625" defaultRowHeight="15" x14ac:dyDescent="0.25"/>
  <cols>
    <col min="1" max="1" width="4.140625" style="5" customWidth="1"/>
    <col min="2" max="2" width="7.42578125" style="43" customWidth="1"/>
    <col min="3" max="3" width="8.5703125" style="44" customWidth="1"/>
    <col min="4" max="4" width="7.85546875" style="44" customWidth="1"/>
    <col min="5" max="7" width="8" style="44" customWidth="1"/>
    <col min="8" max="8" width="7.85546875" style="44" customWidth="1"/>
    <col min="9" max="9" width="9" style="5" customWidth="1"/>
    <col min="10" max="10" width="11" style="5" customWidth="1"/>
    <col min="11" max="11" width="11.140625" style="5" customWidth="1"/>
    <col min="12" max="12" width="8.5703125" style="5" customWidth="1"/>
    <col min="13" max="13" width="7.5703125" style="5" customWidth="1"/>
    <col min="14" max="14" width="10.85546875" style="5" customWidth="1"/>
    <col min="15" max="15" width="18.28515625" style="5" customWidth="1"/>
    <col min="16" max="16" width="12.7109375" style="5" customWidth="1"/>
    <col min="17" max="17" width="9.140625" style="5"/>
    <col min="18" max="18" width="12.5703125" style="5" bestFit="1" customWidth="1"/>
    <col min="19" max="16384" width="9.140625" style="5"/>
  </cols>
  <sheetData>
    <row r="2" spans="1:16" ht="17.45" x14ac:dyDescent="0.3">
      <c r="A2" s="303" t="s">
        <v>76</v>
      </c>
      <c r="B2" s="303"/>
      <c r="C2" s="303"/>
      <c r="D2" s="303"/>
      <c r="E2" s="303"/>
      <c r="F2" s="303"/>
      <c r="G2" s="303"/>
      <c r="H2" s="303"/>
      <c r="I2" s="303"/>
      <c r="J2" s="303"/>
      <c r="K2" s="303"/>
      <c r="L2" s="303"/>
      <c r="M2" s="303"/>
      <c r="N2" s="303"/>
    </row>
    <row r="3" spans="1:16" ht="17.45" x14ac:dyDescent="0.3">
      <c r="A3" s="29"/>
      <c r="B3" s="37"/>
      <c r="C3" s="38"/>
      <c r="D3" s="38"/>
      <c r="E3" s="38"/>
      <c r="F3" s="38"/>
      <c r="G3" s="38"/>
      <c r="H3" s="38"/>
      <c r="I3" s="29"/>
      <c r="J3" s="29"/>
      <c r="K3" s="29"/>
      <c r="L3" s="29"/>
      <c r="M3" s="29"/>
      <c r="N3" s="29"/>
    </row>
    <row r="4" spans="1:16" ht="17.45" x14ac:dyDescent="0.3">
      <c r="A4" s="303" t="s">
        <v>77</v>
      </c>
      <c r="B4" s="303"/>
      <c r="C4" s="303"/>
      <c r="D4" s="303"/>
      <c r="E4" s="303"/>
      <c r="F4" s="303"/>
      <c r="G4" s="303"/>
      <c r="H4" s="303"/>
      <c r="I4" s="303"/>
      <c r="J4" s="303"/>
      <c r="K4" s="303"/>
      <c r="L4" s="303"/>
      <c r="M4" s="303"/>
      <c r="N4" s="303"/>
    </row>
    <row r="5" spans="1:16" ht="17.45" x14ac:dyDescent="0.3">
      <c r="A5" s="29"/>
      <c r="B5" s="37"/>
      <c r="C5" s="38"/>
      <c r="D5" s="38"/>
      <c r="E5" s="38"/>
      <c r="F5" s="38"/>
      <c r="G5" s="38"/>
      <c r="H5" s="38"/>
      <c r="I5" s="29"/>
      <c r="J5" s="29"/>
      <c r="K5" s="29"/>
      <c r="L5" s="29"/>
      <c r="M5" s="29"/>
      <c r="N5" s="29"/>
    </row>
    <row r="6" spans="1:16" ht="18.75" customHeight="1" x14ac:dyDescent="0.3">
      <c r="A6" s="290" t="s">
        <v>613</v>
      </c>
      <c r="B6" s="290"/>
      <c r="C6" s="290"/>
      <c r="D6" s="290"/>
      <c r="E6" s="290"/>
      <c r="F6" s="290"/>
      <c r="G6" s="290"/>
      <c r="H6" s="290"/>
      <c r="I6" s="290"/>
      <c r="J6" s="290"/>
      <c r="K6" s="290"/>
      <c r="L6" s="290"/>
      <c r="M6" s="290"/>
      <c r="N6" s="290"/>
    </row>
    <row r="7" spans="1:16" x14ac:dyDescent="0.25">
      <c r="P7" s="5" t="s">
        <v>692</v>
      </c>
    </row>
    <row r="8" spans="1:16" ht="15.75" customHeight="1" x14ac:dyDescent="0.25">
      <c r="A8" s="289" t="s">
        <v>611</v>
      </c>
      <c r="B8" s="289"/>
      <c r="C8" s="289"/>
      <c r="D8" s="289"/>
      <c r="E8" s="289"/>
      <c r="F8" s="289"/>
      <c r="G8" s="289"/>
      <c r="H8" s="289"/>
      <c r="I8" s="289"/>
      <c r="J8" s="289"/>
      <c r="K8" s="289"/>
      <c r="L8" s="289"/>
      <c r="M8" s="289"/>
      <c r="N8" s="289"/>
    </row>
    <row r="9" spans="1:16" ht="15.75" customHeight="1" x14ac:dyDescent="0.25">
      <c r="A9" s="289" t="s">
        <v>693</v>
      </c>
      <c r="B9" s="289"/>
      <c r="C9" s="289"/>
      <c r="D9" s="289"/>
      <c r="E9" s="289"/>
      <c r="F9" s="289"/>
      <c r="G9" s="289"/>
      <c r="H9" s="289"/>
      <c r="I9" s="289"/>
      <c r="J9" s="289"/>
      <c r="K9" s="289"/>
      <c r="L9" s="289"/>
      <c r="M9" s="289"/>
      <c r="N9" s="289"/>
    </row>
    <row r="10" spans="1:16" ht="15.6" customHeight="1" x14ac:dyDescent="0.25">
      <c r="A10" s="144"/>
      <c r="B10" s="144"/>
      <c r="C10" s="144"/>
      <c r="D10" s="144"/>
      <c r="E10" s="144"/>
      <c r="F10" s="144"/>
      <c r="G10" s="144"/>
      <c r="H10" s="144"/>
      <c r="I10" s="144"/>
      <c r="J10" s="144"/>
      <c r="K10" s="144"/>
      <c r="L10" s="144"/>
      <c r="M10" s="144"/>
      <c r="N10" s="144"/>
    </row>
    <row r="33" spans="1:14" ht="15.75" x14ac:dyDescent="0.25">
      <c r="A33" s="291" t="s">
        <v>78</v>
      </c>
      <c r="B33" s="291"/>
      <c r="C33" s="291"/>
      <c r="D33" s="291"/>
      <c r="E33" s="291"/>
      <c r="F33" s="291"/>
      <c r="G33" s="291"/>
      <c r="H33" s="291"/>
      <c r="I33" s="291"/>
      <c r="J33" s="291"/>
      <c r="K33" s="291"/>
      <c r="L33" s="291"/>
      <c r="M33" s="291"/>
      <c r="N33" s="291"/>
    </row>
    <row r="34" spans="1:14" ht="15.75" x14ac:dyDescent="0.25">
      <c r="A34" s="291"/>
      <c r="B34" s="291"/>
      <c r="C34" s="291"/>
      <c r="D34" s="291"/>
      <c r="E34" s="291"/>
      <c r="F34" s="291"/>
      <c r="G34" s="291"/>
      <c r="H34" s="291"/>
      <c r="I34" s="291"/>
      <c r="J34" s="291"/>
      <c r="K34" s="291"/>
      <c r="L34" s="291"/>
      <c r="M34" s="291"/>
      <c r="N34" s="291"/>
    </row>
    <row r="35" spans="1:14" ht="15.75" x14ac:dyDescent="0.25">
      <c r="A35" s="291" t="s">
        <v>360</v>
      </c>
      <c r="B35" s="291"/>
      <c r="C35" s="291"/>
      <c r="D35" s="291"/>
      <c r="E35" s="291"/>
      <c r="F35" s="291"/>
      <c r="G35" s="291"/>
      <c r="H35" s="291"/>
      <c r="I35" s="291"/>
      <c r="J35" s="291"/>
      <c r="K35" s="291"/>
      <c r="L35" s="291"/>
      <c r="M35" s="291"/>
      <c r="N35" s="291"/>
    </row>
    <row r="36" spans="1:14" ht="15.75" x14ac:dyDescent="0.25">
      <c r="A36" s="291" t="s">
        <v>114</v>
      </c>
      <c r="B36" s="291"/>
      <c r="C36" s="291"/>
      <c r="D36" s="291"/>
      <c r="E36" s="291"/>
      <c r="F36" s="291"/>
      <c r="G36" s="291"/>
      <c r="H36" s="291"/>
      <c r="I36" s="291"/>
      <c r="J36" s="291"/>
      <c r="K36" s="291"/>
      <c r="L36" s="291"/>
      <c r="M36" s="291"/>
      <c r="N36" s="291"/>
    </row>
    <row r="37" spans="1:14" ht="15.75" x14ac:dyDescent="0.25">
      <c r="A37" s="291" t="s">
        <v>115</v>
      </c>
      <c r="B37" s="291"/>
      <c r="C37" s="291"/>
      <c r="D37" s="291"/>
      <c r="E37" s="291"/>
      <c r="F37" s="291"/>
      <c r="G37" s="291"/>
      <c r="H37" s="291"/>
      <c r="I37" s="291"/>
      <c r="J37" s="291"/>
      <c r="K37" s="291"/>
      <c r="L37" s="291"/>
      <c r="M37" s="291"/>
      <c r="N37" s="291"/>
    </row>
    <row r="38" spans="1:14" ht="15.75" x14ac:dyDescent="0.25">
      <c r="A38" s="291" t="s">
        <v>116</v>
      </c>
      <c r="B38" s="291"/>
      <c r="C38" s="291"/>
      <c r="D38" s="291"/>
      <c r="E38" s="291"/>
      <c r="F38" s="291"/>
      <c r="G38" s="291"/>
      <c r="H38" s="291"/>
      <c r="I38" s="291"/>
      <c r="J38" s="291"/>
      <c r="K38" s="291"/>
      <c r="L38" s="291"/>
      <c r="M38" s="291"/>
      <c r="N38" s="291"/>
    </row>
    <row r="39" spans="1:14" ht="15.75" x14ac:dyDescent="0.25">
      <c r="A39" s="28"/>
      <c r="B39" s="39"/>
      <c r="C39" s="40"/>
      <c r="D39" s="40"/>
      <c r="E39" s="40"/>
      <c r="F39" s="40"/>
      <c r="G39" s="40"/>
      <c r="H39" s="40"/>
      <c r="I39" s="28"/>
      <c r="J39" s="28"/>
      <c r="K39" s="28"/>
      <c r="L39" s="28"/>
      <c r="M39" s="28"/>
      <c r="N39" s="28"/>
    </row>
    <row r="40" spans="1:14" ht="15.75" x14ac:dyDescent="0.25">
      <c r="A40" s="291" t="s">
        <v>118</v>
      </c>
      <c r="B40" s="291"/>
      <c r="C40" s="291"/>
      <c r="D40" s="291"/>
      <c r="E40" s="291"/>
      <c r="F40" s="291"/>
      <c r="G40" s="291"/>
      <c r="H40" s="291"/>
      <c r="I40" s="291"/>
      <c r="J40" s="291"/>
      <c r="K40" s="291"/>
      <c r="L40" s="291"/>
      <c r="M40" s="291"/>
      <c r="N40" s="291"/>
    </row>
    <row r="41" spans="1:14" x14ac:dyDescent="0.25">
      <c r="A41" s="27"/>
      <c r="B41" s="41"/>
      <c r="C41" s="42"/>
      <c r="D41" s="42"/>
      <c r="E41" s="42"/>
      <c r="F41" s="42"/>
      <c r="G41" s="42"/>
      <c r="H41" s="42"/>
      <c r="I41" s="27"/>
      <c r="J41" s="27"/>
      <c r="K41" s="27"/>
      <c r="L41" s="27"/>
      <c r="M41" s="27"/>
      <c r="N41" s="27"/>
    </row>
    <row r="42" spans="1:14" x14ac:dyDescent="0.25">
      <c r="A42" s="327" t="s">
        <v>117</v>
      </c>
      <c r="B42" s="327"/>
      <c r="C42" s="327"/>
      <c r="D42" s="327"/>
      <c r="E42" s="327"/>
      <c r="F42" s="327"/>
      <c r="G42" s="327"/>
      <c r="H42" s="327"/>
      <c r="I42" s="327"/>
      <c r="J42" s="327"/>
      <c r="K42" s="327"/>
      <c r="L42" s="327"/>
      <c r="M42" s="327"/>
      <c r="N42" s="327"/>
    </row>
    <row r="45" spans="1:14" ht="46.5" customHeight="1" x14ac:dyDescent="0.25">
      <c r="A45" s="294" t="s">
        <v>119</v>
      </c>
      <c r="B45" s="295"/>
      <c r="C45" s="295"/>
      <c r="D45" s="295"/>
      <c r="E45" s="295"/>
      <c r="F45" s="295"/>
      <c r="G45" s="295"/>
      <c r="H45" s="295"/>
      <c r="I45" s="295"/>
      <c r="J45" s="295"/>
      <c r="K45" s="295"/>
      <c r="L45" s="295"/>
      <c r="M45" s="295"/>
      <c r="N45" s="296"/>
    </row>
    <row r="46" spans="1:14" x14ac:dyDescent="0.25">
      <c r="A46" s="328" t="s">
        <v>66</v>
      </c>
      <c r="B46" s="329"/>
      <c r="C46" s="329"/>
      <c r="D46" s="329"/>
      <c r="E46" s="329"/>
      <c r="F46" s="329"/>
      <c r="G46" s="329"/>
      <c r="H46" s="329"/>
      <c r="I46" s="329"/>
      <c r="J46" s="329"/>
      <c r="K46" s="329"/>
      <c r="L46" s="329"/>
      <c r="M46" s="329"/>
      <c r="N46" s="330"/>
    </row>
    <row r="47" spans="1:14" x14ac:dyDescent="0.25">
      <c r="A47" s="331"/>
      <c r="B47" s="332"/>
      <c r="C47" s="332"/>
      <c r="D47" s="332"/>
      <c r="E47" s="332"/>
      <c r="F47" s="332"/>
      <c r="G47" s="332"/>
      <c r="H47" s="332"/>
      <c r="I47" s="332"/>
      <c r="J47" s="332"/>
      <c r="K47" s="332"/>
      <c r="L47" s="332"/>
      <c r="M47" s="332"/>
      <c r="N47" s="333"/>
    </row>
    <row r="48" spans="1:14" x14ac:dyDescent="0.25">
      <c r="A48" s="18"/>
      <c r="K48" s="5" t="s">
        <v>1</v>
      </c>
      <c r="M48" s="264" t="str">
        <f ca="1">TEXT(TODAY(),"DD/MM/YYYY")</f>
        <v>26/09/2025</v>
      </c>
      <c r="N48" s="265"/>
    </row>
    <row r="49" spans="1:14" x14ac:dyDescent="0.25">
      <c r="A49" s="18"/>
      <c r="N49" s="19"/>
    </row>
    <row r="50" spans="1:14" x14ac:dyDescent="0.25">
      <c r="A50" s="20"/>
      <c r="B50" s="266" t="s">
        <v>2</v>
      </c>
      <c r="C50" s="266"/>
      <c r="D50" s="266"/>
      <c r="E50" s="41"/>
      <c r="F50" s="41"/>
      <c r="G50" s="41"/>
      <c r="H50" s="42" t="s">
        <v>3</v>
      </c>
      <c r="I50" s="292" t="s">
        <v>602</v>
      </c>
      <c r="J50" s="292"/>
      <c r="K50" s="292"/>
      <c r="L50" s="292"/>
      <c r="M50" s="292"/>
      <c r="N50" s="293"/>
    </row>
    <row r="51" spans="1:14" x14ac:dyDescent="0.25">
      <c r="A51" s="18"/>
      <c r="C51" s="43"/>
      <c r="D51" s="43"/>
      <c r="E51" s="43"/>
      <c r="F51" s="43"/>
      <c r="G51" s="43"/>
      <c r="I51" s="11"/>
      <c r="J51" s="11"/>
      <c r="K51" s="11"/>
      <c r="L51" s="11"/>
      <c r="M51" s="11"/>
      <c r="N51" s="21"/>
    </row>
    <row r="52" spans="1:14" x14ac:dyDescent="0.25">
      <c r="A52" s="20"/>
      <c r="B52" s="266" t="s">
        <v>4</v>
      </c>
      <c r="C52" s="266"/>
      <c r="D52" s="266"/>
      <c r="E52" s="41"/>
      <c r="F52" s="41"/>
      <c r="G52" s="41"/>
      <c r="H52" s="42" t="s">
        <v>3</v>
      </c>
      <c r="I52" s="292" t="s">
        <v>611</v>
      </c>
      <c r="J52" s="292"/>
      <c r="K52" s="292"/>
      <c r="L52" s="292"/>
      <c r="M52" s="292"/>
      <c r="N52" s="293"/>
    </row>
    <row r="53" spans="1:14" x14ac:dyDescent="0.25">
      <c r="A53" s="22"/>
      <c r="B53" s="45"/>
      <c r="C53" s="46"/>
      <c r="D53" s="46"/>
      <c r="E53" s="46"/>
      <c r="F53" s="46"/>
      <c r="G53" s="46"/>
      <c r="H53" s="46"/>
      <c r="I53" s="14"/>
      <c r="J53" s="14"/>
      <c r="K53" s="14"/>
      <c r="L53" s="14"/>
      <c r="M53" s="14"/>
      <c r="N53" s="15"/>
    </row>
    <row r="54" spans="1:14" ht="15" customHeight="1" x14ac:dyDescent="0.25">
      <c r="A54" s="298" t="s">
        <v>55</v>
      </c>
      <c r="B54" s="299"/>
      <c r="C54" s="299"/>
      <c r="D54" s="299"/>
      <c r="E54" s="299"/>
      <c r="F54" s="299"/>
      <c r="G54" s="299"/>
      <c r="H54" s="299"/>
      <c r="I54" s="299"/>
      <c r="J54" s="299"/>
      <c r="K54" s="299"/>
      <c r="L54" s="299"/>
      <c r="M54" s="299"/>
      <c r="N54" s="300"/>
    </row>
    <row r="55" spans="1:14" x14ac:dyDescent="0.25">
      <c r="A55" s="52">
        <v>1</v>
      </c>
      <c r="B55" s="267" t="s">
        <v>8</v>
      </c>
      <c r="C55" s="267"/>
      <c r="D55" s="267"/>
      <c r="E55" s="267"/>
      <c r="F55" s="267"/>
      <c r="G55" s="267"/>
      <c r="H55" s="268"/>
      <c r="I55" s="219" t="s">
        <v>56</v>
      </c>
      <c r="J55" s="219"/>
      <c r="K55" s="219"/>
      <c r="L55" s="219"/>
      <c r="M55" s="219"/>
      <c r="N55" s="219"/>
    </row>
    <row r="56" spans="1:14" x14ac:dyDescent="0.25">
      <c r="A56" s="301">
        <v>2</v>
      </c>
      <c r="B56" s="267" t="s">
        <v>9</v>
      </c>
      <c r="C56" s="267"/>
      <c r="D56" s="267"/>
      <c r="E56" s="267"/>
      <c r="F56" s="267"/>
      <c r="G56" s="267"/>
      <c r="H56" s="268"/>
      <c r="I56" s="297">
        <v>45924</v>
      </c>
      <c r="J56" s="297"/>
      <c r="K56" s="297"/>
      <c r="L56" s="297"/>
      <c r="M56" s="297"/>
      <c r="N56" s="297"/>
    </row>
    <row r="57" spans="1:14" x14ac:dyDescent="0.25">
      <c r="A57" s="302"/>
      <c r="B57" s="267" t="s">
        <v>120</v>
      </c>
      <c r="C57" s="267"/>
      <c r="D57" s="267"/>
      <c r="E57" s="267"/>
      <c r="F57" s="267"/>
      <c r="G57" s="267"/>
      <c r="H57" s="268"/>
      <c r="I57" s="269" t="str">
        <f ca="1">TEXT(TODAY(),"DD/MM/YYYY")</f>
        <v>26/09/2025</v>
      </c>
      <c r="J57" s="269"/>
      <c r="K57" s="269"/>
      <c r="L57" s="269"/>
      <c r="M57" s="269"/>
      <c r="N57" s="269"/>
    </row>
    <row r="58" spans="1:14" ht="307.5" customHeight="1" x14ac:dyDescent="0.25">
      <c r="A58" s="53">
        <v>3</v>
      </c>
      <c r="B58" s="176" t="s">
        <v>121</v>
      </c>
      <c r="C58" s="177"/>
      <c r="D58" s="177"/>
      <c r="E58" s="177"/>
      <c r="F58" s="177"/>
      <c r="G58" s="177"/>
      <c r="H58" s="178"/>
      <c r="I58" s="219" t="s">
        <v>612</v>
      </c>
      <c r="J58" s="219"/>
      <c r="K58" s="219"/>
      <c r="L58" s="219"/>
      <c r="M58" s="219"/>
      <c r="N58" s="219"/>
    </row>
    <row r="59" spans="1:14" ht="50.25" customHeight="1" x14ac:dyDescent="0.25">
      <c r="A59" s="53">
        <v>4</v>
      </c>
      <c r="B59" s="176" t="s">
        <v>122</v>
      </c>
      <c r="C59" s="177"/>
      <c r="D59" s="177"/>
      <c r="E59" s="177"/>
      <c r="F59" s="177"/>
      <c r="G59" s="177"/>
      <c r="H59" s="178"/>
      <c r="I59" s="261" t="s">
        <v>614</v>
      </c>
      <c r="J59" s="261"/>
      <c r="K59" s="261"/>
      <c r="L59" s="261"/>
      <c r="M59" s="261"/>
      <c r="N59" s="261"/>
    </row>
    <row r="60" spans="1:14" x14ac:dyDescent="0.25">
      <c r="A60" s="301">
        <v>5</v>
      </c>
      <c r="B60" s="449" t="s">
        <v>123</v>
      </c>
      <c r="C60" s="450"/>
      <c r="D60" s="450"/>
      <c r="E60" s="450"/>
      <c r="F60" s="450"/>
      <c r="G60" s="450"/>
      <c r="H60" s="451"/>
      <c r="I60" s="443" t="s">
        <v>644</v>
      </c>
      <c r="J60" s="444"/>
      <c r="K60" s="444"/>
      <c r="L60" s="444"/>
      <c r="M60" s="444"/>
      <c r="N60" s="445"/>
    </row>
    <row r="61" spans="1:14" ht="107.25" customHeight="1" x14ac:dyDescent="0.25">
      <c r="A61" s="438"/>
      <c r="B61" s="452"/>
      <c r="C61" s="453"/>
      <c r="D61" s="453"/>
      <c r="E61" s="453"/>
      <c r="F61" s="453"/>
      <c r="G61" s="453"/>
      <c r="H61" s="454"/>
      <c r="I61" s="446"/>
      <c r="J61" s="447"/>
      <c r="K61" s="447"/>
      <c r="L61" s="447"/>
      <c r="M61" s="447"/>
      <c r="N61" s="448"/>
    </row>
    <row r="62" spans="1:14" ht="15.75" customHeight="1" x14ac:dyDescent="0.25">
      <c r="A62" s="129">
        <v>6.1</v>
      </c>
      <c r="B62" s="261" t="s">
        <v>460</v>
      </c>
      <c r="C62" s="261"/>
      <c r="D62" s="261"/>
      <c r="E62" s="261"/>
      <c r="F62" s="261"/>
      <c r="G62" s="261"/>
      <c r="H62" s="261"/>
      <c r="I62" s="261" t="s">
        <v>615</v>
      </c>
      <c r="J62" s="261"/>
      <c r="K62" s="261"/>
      <c r="L62" s="261"/>
      <c r="M62" s="261"/>
      <c r="N62" s="261"/>
    </row>
    <row r="63" spans="1:14" ht="15.75" customHeight="1" x14ac:dyDescent="0.25">
      <c r="A63" s="129">
        <v>6.2</v>
      </c>
      <c r="B63" s="261" t="s">
        <v>504</v>
      </c>
      <c r="C63" s="261"/>
      <c r="D63" s="261"/>
      <c r="E63" s="261"/>
      <c r="F63" s="261"/>
      <c r="G63" s="261"/>
      <c r="H63" s="261"/>
      <c r="I63" s="463">
        <v>47208</v>
      </c>
      <c r="J63" s="261"/>
      <c r="K63" s="261"/>
      <c r="L63" s="261"/>
      <c r="M63" s="261"/>
      <c r="N63" s="261"/>
    </row>
    <row r="64" spans="1:14" ht="15.75" customHeight="1" x14ac:dyDescent="0.25">
      <c r="A64" s="466" t="s">
        <v>10</v>
      </c>
      <c r="B64" s="467"/>
      <c r="C64" s="467"/>
      <c r="D64" s="467"/>
      <c r="E64" s="467"/>
      <c r="F64" s="467"/>
      <c r="G64" s="467"/>
      <c r="H64" s="467"/>
      <c r="I64" s="467"/>
      <c r="J64" s="467"/>
      <c r="K64" s="467"/>
      <c r="L64" s="467"/>
      <c r="M64" s="467"/>
      <c r="N64" s="468"/>
    </row>
    <row r="65" spans="1:21" x14ac:dyDescent="0.25">
      <c r="A65" s="130" t="s">
        <v>461</v>
      </c>
      <c r="B65" s="188" t="s">
        <v>616</v>
      </c>
      <c r="C65" s="359"/>
      <c r="D65" s="359"/>
      <c r="E65" s="359"/>
      <c r="F65" s="359"/>
      <c r="G65" s="359"/>
      <c r="H65" s="360"/>
      <c r="I65" s="188" t="s">
        <v>617</v>
      </c>
      <c r="J65" s="359"/>
      <c r="K65" s="359"/>
      <c r="L65" s="359"/>
      <c r="M65" s="359"/>
      <c r="N65" s="360"/>
      <c r="Q65" s="102" t="s">
        <v>505</v>
      </c>
      <c r="R65" s="102" t="s">
        <v>506</v>
      </c>
      <c r="S65" s="102" t="s">
        <v>507</v>
      </c>
      <c r="T65" s="102" t="s">
        <v>395</v>
      </c>
      <c r="U65" s="102" t="s">
        <v>508</v>
      </c>
    </row>
    <row r="66" spans="1:21" ht="14.45" hidden="1" x14ac:dyDescent="0.25">
      <c r="A66" s="130" t="s">
        <v>462</v>
      </c>
      <c r="B66" s="187" t="s">
        <v>393</v>
      </c>
      <c r="C66" s="187"/>
      <c r="D66" s="187"/>
      <c r="E66" s="187"/>
      <c r="F66" s="187"/>
      <c r="G66" s="187"/>
      <c r="H66" s="187"/>
      <c r="I66" s="261"/>
      <c r="J66" s="261"/>
      <c r="K66" s="261"/>
      <c r="L66" s="261"/>
      <c r="M66" s="261"/>
      <c r="N66" s="261"/>
      <c r="Q66" s="102" t="s">
        <v>505</v>
      </c>
      <c r="R66" s="102" t="s">
        <v>509</v>
      </c>
      <c r="S66" s="102" t="s">
        <v>510</v>
      </c>
      <c r="T66" s="102" t="s">
        <v>511</v>
      </c>
      <c r="U66" s="102" t="s">
        <v>512</v>
      </c>
    </row>
    <row r="67" spans="1:21" x14ac:dyDescent="0.25">
      <c r="A67" s="130" t="s">
        <v>462</v>
      </c>
      <c r="B67" s="187" t="s">
        <v>396</v>
      </c>
      <c r="C67" s="187"/>
      <c r="D67" s="187"/>
      <c r="E67" s="187"/>
      <c r="F67" s="187"/>
      <c r="G67" s="187"/>
      <c r="H67" s="187"/>
      <c r="I67" s="261" t="s">
        <v>618</v>
      </c>
      <c r="J67" s="261"/>
      <c r="K67" s="261"/>
      <c r="L67" s="261"/>
      <c r="M67" s="261"/>
      <c r="N67" s="261"/>
      <c r="Q67" s="102" t="s">
        <v>513</v>
      </c>
      <c r="R67" s="102" t="s">
        <v>514</v>
      </c>
      <c r="S67" s="102" t="s">
        <v>515</v>
      </c>
      <c r="T67" s="102" t="s">
        <v>394</v>
      </c>
      <c r="U67" s="102" t="s">
        <v>516</v>
      </c>
    </row>
    <row r="68" spans="1:21" x14ac:dyDescent="0.25">
      <c r="A68" s="130">
        <v>2</v>
      </c>
      <c r="B68" s="187" t="s">
        <v>397</v>
      </c>
      <c r="C68" s="187"/>
      <c r="D68" s="187"/>
      <c r="E68" s="187"/>
      <c r="F68" s="187"/>
      <c r="G68" s="187"/>
      <c r="H68" s="187"/>
      <c r="I68" s="261" t="s">
        <v>619</v>
      </c>
      <c r="J68" s="261"/>
      <c r="K68" s="261"/>
      <c r="L68" s="261"/>
      <c r="M68" s="261"/>
      <c r="N68" s="261"/>
      <c r="Q68" s="102" t="s">
        <v>517</v>
      </c>
      <c r="R68" s="102" t="s">
        <v>518</v>
      </c>
      <c r="S68" s="102" t="s">
        <v>519</v>
      </c>
      <c r="T68" s="102" t="s">
        <v>520</v>
      </c>
      <c r="U68" s="102" t="s">
        <v>521</v>
      </c>
    </row>
    <row r="69" spans="1:21" x14ac:dyDescent="0.25">
      <c r="A69" s="130">
        <v>3</v>
      </c>
      <c r="B69" s="187" t="s">
        <v>124</v>
      </c>
      <c r="C69" s="187"/>
      <c r="D69" s="187"/>
      <c r="E69" s="187"/>
      <c r="F69" s="187"/>
      <c r="G69" s="187"/>
      <c r="H69" s="187"/>
      <c r="I69" s="261" t="s">
        <v>620</v>
      </c>
      <c r="J69" s="261"/>
      <c r="K69" s="261"/>
      <c r="L69" s="261"/>
      <c r="M69" s="261"/>
      <c r="N69" s="261"/>
      <c r="Q69" s="102" t="s">
        <v>522</v>
      </c>
      <c r="R69" s="102" t="s">
        <v>523</v>
      </c>
      <c r="S69" s="102" t="s">
        <v>507</v>
      </c>
      <c r="T69" s="102" t="s">
        <v>524</v>
      </c>
      <c r="U69" s="102" t="s">
        <v>525</v>
      </c>
    </row>
    <row r="70" spans="1:21" x14ac:dyDescent="0.25">
      <c r="A70" s="130">
        <v>4</v>
      </c>
      <c r="B70" s="187" t="s">
        <v>126</v>
      </c>
      <c r="C70" s="187"/>
      <c r="D70" s="187"/>
      <c r="E70" s="187"/>
      <c r="F70" s="187"/>
      <c r="G70" s="187"/>
      <c r="H70" s="187"/>
      <c r="I70" s="261" t="s">
        <v>394</v>
      </c>
      <c r="J70" s="261"/>
      <c r="K70" s="261"/>
      <c r="L70" s="261"/>
      <c r="M70" s="261"/>
      <c r="N70" s="261"/>
      <c r="Q70" s="102" t="s">
        <v>526</v>
      </c>
      <c r="R70" s="102" t="s">
        <v>506</v>
      </c>
      <c r="S70" s="102"/>
      <c r="T70" s="102" t="s">
        <v>527</v>
      </c>
      <c r="U70" s="102" t="s">
        <v>528</v>
      </c>
    </row>
    <row r="71" spans="1:21" x14ac:dyDescent="0.25">
      <c r="A71" s="130">
        <v>5</v>
      </c>
      <c r="B71" s="187" t="s">
        <v>125</v>
      </c>
      <c r="C71" s="187"/>
      <c r="D71" s="187"/>
      <c r="E71" s="187"/>
      <c r="F71" s="187"/>
      <c r="G71" s="187"/>
      <c r="H71" s="187"/>
      <c r="I71" s="261" t="s">
        <v>395</v>
      </c>
      <c r="J71" s="261"/>
      <c r="K71" s="261"/>
      <c r="L71" s="261"/>
      <c r="M71" s="261"/>
      <c r="N71" s="261"/>
      <c r="Q71" s="102" t="s">
        <v>529</v>
      </c>
      <c r="R71" s="102" t="s">
        <v>530</v>
      </c>
      <c r="S71" s="102"/>
      <c r="T71" s="102" t="s">
        <v>531</v>
      </c>
      <c r="U71" s="102" t="s">
        <v>532</v>
      </c>
    </row>
    <row r="72" spans="1:21" x14ac:dyDescent="0.25">
      <c r="A72" s="130">
        <v>6</v>
      </c>
      <c r="B72" s="187" t="s">
        <v>398</v>
      </c>
      <c r="C72" s="187"/>
      <c r="D72" s="187"/>
      <c r="E72" s="187"/>
      <c r="F72" s="187"/>
      <c r="G72" s="187"/>
      <c r="H72" s="187"/>
      <c r="I72" s="261">
        <v>410206</v>
      </c>
      <c r="J72" s="261"/>
      <c r="K72" s="261"/>
      <c r="L72" s="261"/>
      <c r="M72" s="261"/>
      <c r="N72" s="261"/>
      <c r="Q72" s="102" t="s">
        <v>533</v>
      </c>
      <c r="R72" s="102" t="s">
        <v>534</v>
      </c>
      <c r="S72" s="102"/>
      <c r="T72" s="102" t="s">
        <v>535</v>
      </c>
      <c r="U72" s="102" t="s">
        <v>536</v>
      </c>
    </row>
    <row r="73" spans="1:21" ht="50.45" customHeight="1" x14ac:dyDescent="0.25">
      <c r="A73" s="130">
        <v>7</v>
      </c>
      <c r="B73" s="187" t="s">
        <v>127</v>
      </c>
      <c r="C73" s="187"/>
      <c r="D73" s="187"/>
      <c r="E73" s="187"/>
      <c r="F73" s="187"/>
      <c r="G73" s="187"/>
      <c r="H73" s="187"/>
      <c r="I73" s="261" t="str">
        <f>CONCATENATE((IF(OR(I52="",I52="NA"),"",I52)),", ",(IF(OR(B65="",B65="NA"),"",B65)),".",(IF(OR(I65="",I65="NA"),"",I65)),", ",(IF(OR(B66="",B66="NA"),"",B66)),". ",(IF(OR(I66="",I66="NA"),"",I66)),", near ",(IF(OR(I67="",I67="NA"),"",I67)),", ",(IF(OR(I68="",I68="NA"),"",I68)),", ",(IF(OR(I69="",I69="NA"),"",I69)),", ",(IF(OR(I74="",I74="NA"),"",I74)),", ",(IF(OR(I70="",I70="NA"),"",I70)),", ",(IF(OR(I71="",I71="NA"),"",I71))," - ",(IF(OR(I72="",I72="NA"),"",I72)),".")</f>
        <v>Renucorp Vanaha, Survey No.86/1, Sector. , near Ashte Logistics Pvt. Ltd., Sawala apte Road, Ashte, Somatne West, Panvel, Raigad - 410206.</v>
      </c>
      <c r="J73" s="261"/>
      <c r="K73" s="261"/>
      <c r="L73" s="261"/>
      <c r="M73" s="261"/>
      <c r="N73" s="261"/>
      <c r="Q73" s="102"/>
      <c r="R73" s="102"/>
      <c r="S73" s="102"/>
      <c r="T73" s="102" t="s">
        <v>537</v>
      </c>
      <c r="U73" s="102" t="s">
        <v>538</v>
      </c>
    </row>
    <row r="74" spans="1:21" x14ac:dyDescent="0.25">
      <c r="A74" s="459">
        <v>8</v>
      </c>
      <c r="B74" s="187" t="s">
        <v>128</v>
      </c>
      <c r="C74" s="187"/>
      <c r="D74" s="187"/>
      <c r="E74" s="187"/>
      <c r="F74" s="187"/>
      <c r="G74" s="187"/>
      <c r="H74" s="187"/>
      <c r="I74" s="261" t="s">
        <v>623</v>
      </c>
      <c r="J74" s="261"/>
      <c r="K74" s="261"/>
      <c r="L74" s="261"/>
      <c r="M74" s="261"/>
      <c r="N74" s="261"/>
      <c r="Q74" s="102"/>
      <c r="R74" s="102"/>
      <c r="S74" s="102"/>
      <c r="T74" s="102" t="s">
        <v>539</v>
      </c>
      <c r="U74" s="102" t="s">
        <v>540</v>
      </c>
    </row>
    <row r="75" spans="1:21" x14ac:dyDescent="0.25">
      <c r="A75" s="460"/>
      <c r="B75" s="187" t="s">
        <v>129</v>
      </c>
      <c r="C75" s="187"/>
      <c r="D75" s="187"/>
      <c r="E75" s="187"/>
      <c r="F75" s="187"/>
      <c r="G75" s="187"/>
      <c r="H75" s="187"/>
      <c r="I75" s="261" t="s">
        <v>53</v>
      </c>
      <c r="J75" s="261"/>
      <c r="K75" s="261"/>
      <c r="L75" s="261"/>
      <c r="M75" s="261"/>
      <c r="N75" s="261"/>
      <c r="Q75" s="102"/>
      <c r="R75" s="102"/>
      <c r="S75" s="102"/>
      <c r="T75" s="102" t="s">
        <v>541</v>
      </c>
      <c r="U75" s="102" t="s">
        <v>542</v>
      </c>
    </row>
    <row r="76" spans="1:21" x14ac:dyDescent="0.25">
      <c r="A76" s="460"/>
      <c r="B76" s="187" t="s">
        <v>130</v>
      </c>
      <c r="C76" s="187"/>
      <c r="D76" s="187"/>
      <c r="E76" s="187"/>
      <c r="F76" s="187"/>
      <c r="G76" s="187"/>
      <c r="H76" s="187"/>
      <c r="I76" s="261" t="s">
        <v>54</v>
      </c>
      <c r="J76" s="261"/>
      <c r="K76" s="261"/>
      <c r="L76" s="261"/>
      <c r="M76" s="261"/>
      <c r="N76" s="261"/>
      <c r="Q76" s="102"/>
      <c r="R76" s="102"/>
      <c r="S76" s="102"/>
      <c r="T76" s="102" t="s">
        <v>543</v>
      </c>
      <c r="U76" s="102" t="s">
        <v>544</v>
      </c>
    </row>
    <row r="77" spans="1:21" x14ac:dyDescent="0.25">
      <c r="A77" s="461"/>
      <c r="B77" s="187" t="s">
        <v>131</v>
      </c>
      <c r="C77" s="187"/>
      <c r="D77" s="187"/>
      <c r="E77" s="187"/>
      <c r="F77" s="187"/>
      <c r="G77" s="187"/>
      <c r="H77" s="187"/>
      <c r="I77" s="261" t="s">
        <v>54</v>
      </c>
      <c r="J77" s="261"/>
      <c r="K77" s="261"/>
      <c r="L77" s="261"/>
      <c r="M77" s="261"/>
      <c r="N77" s="261"/>
      <c r="Q77" s="102"/>
      <c r="R77" s="102"/>
      <c r="S77" s="102"/>
      <c r="T77" s="102" t="s">
        <v>545</v>
      </c>
      <c r="U77" s="102" t="s">
        <v>546</v>
      </c>
    </row>
    <row r="78" spans="1:21" x14ac:dyDescent="0.25">
      <c r="A78" s="459">
        <v>9</v>
      </c>
      <c r="B78" s="182" t="s">
        <v>132</v>
      </c>
      <c r="C78" s="183"/>
      <c r="D78" s="183"/>
      <c r="E78" s="183"/>
      <c r="F78" s="183"/>
      <c r="G78" s="183"/>
      <c r="H78" s="183"/>
      <c r="I78" s="183"/>
      <c r="J78" s="183"/>
      <c r="K78" s="183"/>
      <c r="L78" s="183"/>
      <c r="M78" s="183"/>
      <c r="N78" s="184"/>
      <c r="Q78" s="102"/>
      <c r="R78" s="102"/>
      <c r="S78" s="102"/>
      <c r="T78" s="102" t="s">
        <v>547</v>
      </c>
      <c r="U78" s="102" t="s">
        <v>548</v>
      </c>
    </row>
    <row r="79" spans="1:21" x14ac:dyDescent="0.25">
      <c r="A79" s="460"/>
      <c r="B79" s="187" t="s">
        <v>133</v>
      </c>
      <c r="C79" s="187"/>
      <c r="D79" s="187"/>
      <c r="E79" s="187"/>
      <c r="F79" s="187"/>
      <c r="G79" s="187"/>
      <c r="H79" s="187"/>
      <c r="I79" s="261" t="str">
        <f>IF(AND(I71="Mumbai"),"Upper Class","Middle Class")</f>
        <v>Middle Class</v>
      </c>
      <c r="J79" s="261"/>
      <c r="K79" s="261"/>
      <c r="L79" s="261"/>
      <c r="M79" s="261"/>
      <c r="N79" s="261"/>
      <c r="P79" s="132"/>
      <c r="Q79" s="102"/>
      <c r="R79" s="102"/>
      <c r="S79" s="102"/>
      <c r="T79" s="102" t="s">
        <v>549</v>
      </c>
      <c r="U79" s="102" t="s">
        <v>550</v>
      </c>
    </row>
    <row r="80" spans="1:21" x14ac:dyDescent="0.25">
      <c r="A80" s="461"/>
      <c r="B80" s="187" t="s">
        <v>134</v>
      </c>
      <c r="C80" s="187"/>
      <c r="D80" s="187"/>
      <c r="E80" s="187"/>
      <c r="F80" s="187"/>
      <c r="G80" s="187"/>
      <c r="H80" s="187"/>
      <c r="I80" s="261" t="s">
        <v>135</v>
      </c>
      <c r="J80" s="261"/>
      <c r="K80" s="261"/>
      <c r="L80" s="261"/>
      <c r="M80" s="261"/>
      <c r="N80" s="261"/>
      <c r="P80" s="132"/>
    </row>
    <row r="81" spans="1:20" ht="33.75" customHeight="1" x14ac:dyDescent="0.25">
      <c r="A81" s="130">
        <v>10</v>
      </c>
      <c r="B81" s="261" t="s">
        <v>136</v>
      </c>
      <c r="C81" s="187"/>
      <c r="D81" s="187"/>
      <c r="E81" s="187"/>
      <c r="F81" s="187"/>
      <c r="G81" s="187"/>
      <c r="H81" s="187"/>
      <c r="I81" s="261" t="s">
        <v>561</v>
      </c>
      <c r="J81" s="261"/>
      <c r="K81" s="261"/>
      <c r="L81" s="261"/>
      <c r="M81" s="261"/>
      <c r="N81" s="261"/>
      <c r="Q81" s="1" t="s">
        <v>507</v>
      </c>
      <c r="R81" s="1" t="s">
        <v>505</v>
      </c>
      <c r="S81" s="1" t="s">
        <v>395</v>
      </c>
      <c r="T81" s="1" t="s">
        <v>506</v>
      </c>
    </row>
    <row r="82" spans="1:20" ht="44.45" customHeight="1" x14ac:dyDescent="0.25">
      <c r="A82" s="53">
        <v>11</v>
      </c>
      <c r="B82" s="219" t="s">
        <v>399</v>
      </c>
      <c r="C82" s="238"/>
      <c r="D82" s="238"/>
      <c r="E82" s="238"/>
      <c r="F82" s="238"/>
      <c r="G82" s="238"/>
      <c r="H82" s="238"/>
      <c r="I82" s="261" t="s">
        <v>54</v>
      </c>
      <c r="J82" s="261"/>
      <c r="K82" s="261"/>
      <c r="L82" s="261"/>
      <c r="M82" s="261"/>
      <c r="N82" s="261"/>
      <c r="Q82" s="1" t="s">
        <v>551</v>
      </c>
      <c r="R82" s="1" t="s">
        <v>552</v>
      </c>
      <c r="S82" s="1" t="s">
        <v>553</v>
      </c>
      <c r="T82" s="1" t="s">
        <v>554</v>
      </c>
    </row>
    <row r="83" spans="1:20" ht="31.15" customHeight="1" x14ac:dyDescent="0.25">
      <c r="A83" s="53">
        <v>12</v>
      </c>
      <c r="B83" s="219" t="s">
        <v>400</v>
      </c>
      <c r="C83" s="238"/>
      <c r="D83" s="238"/>
      <c r="E83" s="238"/>
      <c r="F83" s="238"/>
      <c r="G83" s="238"/>
      <c r="H83" s="238"/>
      <c r="I83" s="261" t="s">
        <v>51</v>
      </c>
      <c r="J83" s="261"/>
      <c r="K83" s="261"/>
      <c r="L83" s="261"/>
      <c r="M83" s="261"/>
      <c r="N83" s="261"/>
      <c r="Q83" s="1" t="s">
        <v>555</v>
      </c>
      <c r="R83" s="1" t="s">
        <v>556</v>
      </c>
      <c r="S83" s="1" t="s">
        <v>557</v>
      </c>
      <c r="T83" s="1" t="s">
        <v>558</v>
      </c>
    </row>
    <row r="84" spans="1:20" x14ac:dyDescent="0.25">
      <c r="A84" s="26">
        <v>13</v>
      </c>
      <c r="B84" s="238" t="s">
        <v>137</v>
      </c>
      <c r="C84" s="238"/>
      <c r="D84" s="238"/>
      <c r="E84" s="238"/>
      <c r="F84" s="238"/>
      <c r="G84" s="238"/>
      <c r="H84" s="238"/>
      <c r="I84" s="238"/>
      <c r="J84" s="238"/>
      <c r="K84" s="238"/>
      <c r="L84" s="238"/>
      <c r="M84" s="238"/>
      <c r="N84" s="238"/>
      <c r="Q84" s="1" t="s">
        <v>559</v>
      </c>
      <c r="R84" s="1" t="s">
        <v>560</v>
      </c>
      <c r="S84" s="1" t="s">
        <v>561</v>
      </c>
      <c r="T84" s="1" t="s">
        <v>562</v>
      </c>
    </row>
    <row r="85" spans="1:20" ht="15.75" x14ac:dyDescent="0.25">
      <c r="A85" s="352"/>
      <c r="B85" s="353"/>
      <c r="C85" s="353"/>
      <c r="D85" s="353"/>
      <c r="E85" s="354"/>
      <c r="F85" s="200" t="s">
        <v>49</v>
      </c>
      <c r="G85" s="469"/>
      <c r="H85" s="201"/>
      <c r="I85" s="200" t="s">
        <v>50</v>
      </c>
      <c r="J85" s="201"/>
      <c r="K85" s="200" t="s">
        <v>47</v>
      </c>
      <c r="L85" s="201"/>
      <c r="M85" s="262" t="s">
        <v>48</v>
      </c>
      <c r="N85" s="262"/>
      <c r="Q85" s="1" t="s">
        <v>563</v>
      </c>
      <c r="R85" s="1" t="s">
        <v>564</v>
      </c>
      <c r="S85" s="1" t="s">
        <v>565</v>
      </c>
      <c r="T85" s="103"/>
    </row>
    <row r="86" spans="1:20" ht="15" customHeight="1" x14ac:dyDescent="0.25">
      <c r="A86" s="262" t="s">
        <v>138</v>
      </c>
      <c r="B86" s="262"/>
      <c r="C86" s="262"/>
      <c r="D86" s="262"/>
      <c r="E86" s="262"/>
      <c r="F86" s="353" t="s">
        <v>626</v>
      </c>
      <c r="G86" s="353"/>
      <c r="H86" s="354"/>
      <c r="I86" s="352" t="s">
        <v>625</v>
      </c>
      <c r="J86" s="354"/>
      <c r="K86" s="442" t="s">
        <v>627</v>
      </c>
      <c r="L86" s="442"/>
      <c r="M86" s="442" t="s">
        <v>624</v>
      </c>
      <c r="N86" s="442"/>
      <c r="Q86" s="1" t="s">
        <v>559</v>
      </c>
      <c r="R86" s="1" t="s">
        <v>560</v>
      </c>
      <c r="S86" s="1" t="s">
        <v>561</v>
      </c>
      <c r="T86" s="1" t="s">
        <v>562</v>
      </c>
    </row>
    <row r="87" spans="1:20" ht="15.75" customHeight="1" x14ac:dyDescent="0.25">
      <c r="A87" s="262" t="s">
        <v>139</v>
      </c>
      <c r="B87" s="262" t="s">
        <v>47</v>
      </c>
      <c r="C87" s="262"/>
      <c r="D87" s="262"/>
      <c r="E87" s="262"/>
      <c r="F87" s="353" t="s">
        <v>626</v>
      </c>
      <c r="G87" s="353"/>
      <c r="H87" s="354"/>
      <c r="I87" s="352" t="s">
        <v>625</v>
      </c>
      <c r="J87" s="354"/>
      <c r="K87" s="442" t="s">
        <v>631</v>
      </c>
      <c r="L87" s="442"/>
      <c r="M87" s="442" t="s">
        <v>624</v>
      </c>
      <c r="N87" s="442"/>
      <c r="Q87" s="1" t="s">
        <v>561</v>
      </c>
      <c r="R87" s="1" t="s">
        <v>566</v>
      </c>
      <c r="S87" s="1" t="s">
        <v>567</v>
      </c>
      <c r="T87" s="104"/>
    </row>
    <row r="88" spans="1:20" ht="33.6" customHeight="1" x14ac:dyDescent="0.25">
      <c r="A88" s="263" t="s">
        <v>140</v>
      </c>
      <c r="B88" s="263" t="s">
        <v>48</v>
      </c>
      <c r="C88" s="263"/>
      <c r="D88" s="263"/>
      <c r="E88" s="263"/>
      <c r="F88" s="470" t="s">
        <v>629</v>
      </c>
      <c r="G88" s="470"/>
      <c r="H88" s="471"/>
      <c r="I88" s="462" t="s">
        <v>630</v>
      </c>
      <c r="J88" s="462"/>
      <c r="K88" s="462" t="s">
        <v>628</v>
      </c>
      <c r="L88" s="462"/>
      <c r="M88" s="462" t="s">
        <v>629</v>
      </c>
      <c r="N88" s="462"/>
      <c r="Q88" s="104"/>
      <c r="R88" s="1" t="s">
        <v>568</v>
      </c>
      <c r="S88" s="1" t="s">
        <v>569</v>
      </c>
      <c r="T88" s="104"/>
    </row>
    <row r="89" spans="1:20" ht="15.75" x14ac:dyDescent="0.25">
      <c r="A89" s="301">
        <v>14.1</v>
      </c>
      <c r="B89" s="238" t="s">
        <v>141</v>
      </c>
      <c r="C89" s="238"/>
      <c r="D89" s="238"/>
      <c r="E89" s="238"/>
      <c r="F89" s="238"/>
      <c r="G89" s="238"/>
      <c r="H89" s="238"/>
      <c r="I89" s="260" t="s">
        <v>142</v>
      </c>
      <c r="J89" s="260"/>
      <c r="K89" s="260"/>
      <c r="L89" s="392" t="s">
        <v>143</v>
      </c>
      <c r="M89" s="393"/>
      <c r="N89" s="394"/>
      <c r="Q89" s="104"/>
      <c r="R89" s="1" t="s">
        <v>570</v>
      </c>
      <c r="S89" s="1" t="s">
        <v>571</v>
      </c>
      <c r="T89" s="104"/>
    </row>
    <row r="90" spans="1:20" ht="15.75" x14ac:dyDescent="0.25">
      <c r="A90" s="438"/>
      <c r="B90" s="238" t="s">
        <v>49</v>
      </c>
      <c r="C90" s="238"/>
      <c r="D90" s="238"/>
      <c r="E90" s="238"/>
      <c r="F90" s="238"/>
      <c r="G90" s="238"/>
      <c r="H90" s="238"/>
      <c r="I90" s="260" t="s">
        <v>171</v>
      </c>
      <c r="J90" s="260"/>
      <c r="K90" s="260"/>
      <c r="L90" s="392" t="s">
        <v>171</v>
      </c>
      <c r="M90" s="393"/>
      <c r="N90" s="394"/>
      <c r="Q90" s="104"/>
      <c r="R90" s="1" t="s">
        <v>572</v>
      </c>
      <c r="S90" s="104" t="s">
        <v>573</v>
      </c>
      <c r="T90" s="104"/>
    </row>
    <row r="91" spans="1:20" ht="15.75" x14ac:dyDescent="0.25">
      <c r="A91" s="438"/>
      <c r="B91" s="238" t="s">
        <v>50</v>
      </c>
      <c r="C91" s="238"/>
      <c r="D91" s="238"/>
      <c r="E91" s="238"/>
      <c r="F91" s="238"/>
      <c r="G91" s="238"/>
      <c r="H91" s="238"/>
      <c r="I91" s="260" t="s">
        <v>171</v>
      </c>
      <c r="J91" s="260"/>
      <c r="K91" s="260"/>
      <c r="L91" s="392" t="s">
        <v>171</v>
      </c>
      <c r="M91" s="393"/>
      <c r="N91" s="394"/>
      <c r="Q91" s="104"/>
      <c r="R91" s="1" t="s">
        <v>574</v>
      </c>
      <c r="S91" s="104"/>
      <c r="T91" s="104"/>
    </row>
    <row r="92" spans="1:20" ht="15.75" x14ac:dyDescent="0.25">
      <c r="A92" s="438"/>
      <c r="B92" s="219" t="s">
        <v>47</v>
      </c>
      <c r="C92" s="238"/>
      <c r="D92" s="238"/>
      <c r="E92" s="238"/>
      <c r="F92" s="238"/>
      <c r="G92" s="238"/>
      <c r="H92" s="238"/>
      <c r="I92" s="260" t="s">
        <v>171</v>
      </c>
      <c r="J92" s="260"/>
      <c r="K92" s="260"/>
      <c r="L92" s="392" t="s">
        <v>171</v>
      </c>
      <c r="M92" s="393"/>
      <c r="N92" s="394"/>
      <c r="Q92" s="104"/>
      <c r="R92" s="1" t="s">
        <v>575</v>
      </c>
      <c r="S92" s="104"/>
      <c r="T92" s="104"/>
    </row>
    <row r="93" spans="1:20" ht="15.75" x14ac:dyDescent="0.25">
      <c r="A93" s="302"/>
      <c r="B93" s="219" t="s">
        <v>48</v>
      </c>
      <c r="C93" s="238"/>
      <c r="D93" s="238"/>
      <c r="E93" s="238"/>
      <c r="F93" s="238"/>
      <c r="G93" s="238"/>
      <c r="H93" s="238"/>
      <c r="I93" s="260" t="s">
        <v>171</v>
      </c>
      <c r="J93" s="260"/>
      <c r="K93" s="260"/>
      <c r="L93" s="392" t="s">
        <v>171</v>
      </c>
      <c r="M93" s="393"/>
      <c r="N93" s="394"/>
      <c r="Q93" s="104"/>
      <c r="R93" s="1" t="s">
        <v>576</v>
      </c>
      <c r="S93" s="104"/>
      <c r="T93" s="104"/>
    </row>
    <row r="94" spans="1:20" x14ac:dyDescent="0.25">
      <c r="A94" s="53">
        <v>14.2</v>
      </c>
      <c r="B94" s="219" t="s">
        <v>577</v>
      </c>
      <c r="C94" s="219"/>
      <c r="D94" s="219"/>
      <c r="E94" s="219"/>
      <c r="F94" s="219"/>
      <c r="G94" s="219"/>
      <c r="H94" s="219"/>
      <c r="I94" s="261" t="s">
        <v>621</v>
      </c>
      <c r="J94" s="261"/>
      <c r="K94" s="261"/>
      <c r="L94" s="261"/>
      <c r="M94" s="261"/>
      <c r="N94" s="261"/>
    </row>
    <row r="95" spans="1:20" x14ac:dyDescent="0.25">
      <c r="A95" s="53">
        <v>14.3</v>
      </c>
      <c r="B95" s="219" t="s">
        <v>401</v>
      </c>
      <c r="C95" s="219"/>
      <c r="D95" s="219"/>
      <c r="E95" s="219"/>
      <c r="F95" s="219"/>
      <c r="G95" s="219"/>
      <c r="H95" s="219"/>
      <c r="I95" s="464" t="s">
        <v>622</v>
      </c>
      <c r="J95" s="465"/>
      <c r="K95" s="465"/>
      <c r="L95" s="465"/>
      <c r="M95" s="465"/>
      <c r="N95" s="465"/>
    </row>
    <row r="96" spans="1:20" x14ac:dyDescent="0.25">
      <c r="A96" s="301">
        <v>15</v>
      </c>
      <c r="B96" s="176" t="s">
        <v>144</v>
      </c>
      <c r="C96" s="177"/>
      <c r="D96" s="177"/>
      <c r="E96" s="177"/>
      <c r="F96" s="177"/>
      <c r="G96" s="177"/>
      <c r="H96" s="178"/>
      <c r="I96" s="439" t="s">
        <v>586</v>
      </c>
      <c r="J96" s="440"/>
      <c r="K96" s="441"/>
      <c r="L96" s="439" t="s">
        <v>632</v>
      </c>
      <c r="M96" s="440"/>
      <c r="N96" s="441"/>
    </row>
    <row r="97" spans="1:14" x14ac:dyDescent="0.25">
      <c r="A97" s="302"/>
      <c r="B97" s="179"/>
      <c r="C97" s="180"/>
      <c r="D97" s="180"/>
      <c r="E97" s="180"/>
      <c r="F97" s="180"/>
      <c r="G97" s="180"/>
      <c r="H97" s="181"/>
      <c r="I97" s="439" t="s">
        <v>585</v>
      </c>
      <c r="J97" s="440"/>
      <c r="K97" s="441"/>
      <c r="L97" s="439" t="s">
        <v>632</v>
      </c>
      <c r="M97" s="440"/>
      <c r="N97" s="441"/>
    </row>
    <row r="98" spans="1:14" x14ac:dyDescent="0.25">
      <c r="A98" s="301">
        <v>16</v>
      </c>
      <c r="B98" s="176" t="s">
        <v>402</v>
      </c>
      <c r="C98" s="177"/>
      <c r="D98" s="177"/>
      <c r="E98" s="177"/>
      <c r="F98" s="177"/>
      <c r="G98" s="177"/>
      <c r="H98" s="178"/>
      <c r="I98" s="439" t="s">
        <v>586</v>
      </c>
      <c r="J98" s="440"/>
      <c r="K98" s="441"/>
      <c r="L98" s="439" t="s">
        <v>632</v>
      </c>
      <c r="M98" s="440"/>
      <c r="N98" s="441"/>
    </row>
    <row r="99" spans="1:14" x14ac:dyDescent="0.25">
      <c r="A99" s="302"/>
      <c r="B99" s="179"/>
      <c r="C99" s="180"/>
      <c r="D99" s="180"/>
      <c r="E99" s="180"/>
      <c r="F99" s="180"/>
      <c r="G99" s="180"/>
      <c r="H99" s="181"/>
      <c r="I99" s="439" t="s">
        <v>585</v>
      </c>
      <c r="J99" s="440"/>
      <c r="K99" s="441"/>
      <c r="L99" s="439" t="s">
        <v>632</v>
      </c>
      <c r="M99" s="440"/>
      <c r="N99" s="441"/>
    </row>
    <row r="100" spans="1:14" ht="46.5" customHeight="1" x14ac:dyDescent="0.25">
      <c r="A100" s="53">
        <v>17</v>
      </c>
      <c r="B100" s="219" t="s">
        <v>145</v>
      </c>
      <c r="C100" s="219"/>
      <c r="D100" s="219"/>
      <c r="E100" s="219"/>
      <c r="F100" s="219"/>
      <c r="G100" s="219"/>
      <c r="H100" s="219"/>
      <c r="I100" s="261" t="s">
        <v>208</v>
      </c>
      <c r="J100" s="261"/>
      <c r="K100" s="261"/>
      <c r="L100" s="261"/>
      <c r="M100" s="261"/>
      <c r="N100" s="261"/>
    </row>
    <row r="101" spans="1:14" x14ac:dyDescent="0.25">
      <c r="A101" s="495" t="s">
        <v>441</v>
      </c>
      <c r="B101" s="496"/>
      <c r="C101" s="496"/>
      <c r="D101" s="496"/>
      <c r="E101" s="496"/>
      <c r="F101" s="496"/>
      <c r="G101" s="496"/>
      <c r="H101" s="496"/>
      <c r="I101" s="496"/>
      <c r="J101" s="496"/>
      <c r="K101" s="496"/>
      <c r="L101" s="496"/>
      <c r="M101" s="496"/>
      <c r="N101" s="497"/>
    </row>
    <row r="102" spans="1:14" s="48" customFormat="1" x14ac:dyDescent="0.25">
      <c r="A102" s="26">
        <v>1</v>
      </c>
      <c r="B102" s="219" t="s">
        <v>403</v>
      </c>
      <c r="C102" s="219"/>
      <c r="D102" s="219"/>
      <c r="E102" s="219"/>
      <c r="F102" s="219"/>
      <c r="G102" s="219"/>
      <c r="H102" s="219"/>
      <c r="I102" s="239" t="str">
        <f>I79</f>
        <v>Middle Class</v>
      </c>
      <c r="J102" s="240"/>
      <c r="K102" s="240"/>
      <c r="L102" s="240"/>
      <c r="M102" s="240"/>
      <c r="N102" s="391"/>
    </row>
    <row r="103" spans="1:14" customFormat="1" x14ac:dyDescent="0.25">
      <c r="A103" s="26">
        <v>2</v>
      </c>
      <c r="B103" s="219" t="s">
        <v>404</v>
      </c>
      <c r="C103" s="219"/>
      <c r="D103" s="219"/>
      <c r="E103" s="219"/>
      <c r="F103" s="219"/>
      <c r="G103" s="219"/>
      <c r="H103" s="219"/>
      <c r="I103" s="182" t="s">
        <v>63</v>
      </c>
      <c r="J103" s="183"/>
      <c r="K103" s="183"/>
      <c r="L103" s="183"/>
      <c r="M103" s="183"/>
      <c r="N103" s="184"/>
    </row>
    <row r="104" spans="1:14" customFormat="1" ht="32.25" customHeight="1" x14ac:dyDescent="0.25">
      <c r="A104" s="52">
        <v>3</v>
      </c>
      <c r="B104" s="219" t="s">
        <v>405</v>
      </c>
      <c r="C104" s="219"/>
      <c r="D104" s="219"/>
      <c r="E104" s="219"/>
      <c r="F104" s="219"/>
      <c r="G104" s="219"/>
      <c r="H104" s="219"/>
      <c r="I104" s="188" t="s">
        <v>54</v>
      </c>
      <c r="J104" s="359"/>
      <c r="K104" s="359"/>
      <c r="L104" s="359"/>
      <c r="M104" s="359"/>
      <c r="N104" s="360"/>
    </row>
    <row r="105" spans="1:14" customFormat="1" ht="45.75" customHeight="1" x14ac:dyDescent="0.25">
      <c r="A105" s="301">
        <v>4</v>
      </c>
      <c r="B105" s="176" t="s">
        <v>146</v>
      </c>
      <c r="C105" s="177"/>
      <c r="D105" s="177"/>
      <c r="E105" s="177"/>
      <c r="F105" s="177"/>
      <c r="G105" s="177"/>
      <c r="H105" s="178"/>
      <c r="I105" s="483" t="s">
        <v>633</v>
      </c>
      <c r="J105" s="484"/>
      <c r="K105" s="484"/>
      <c r="L105" s="484"/>
      <c r="M105" s="484"/>
      <c r="N105" s="485"/>
    </row>
    <row r="106" spans="1:14" customFormat="1" ht="50.25" customHeight="1" x14ac:dyDescent="0.25">
      <c r="A106" s="438"/>
      <c r="B106" s="498"/>
      <c r="C106" s="384"/>
      <c r="D106" s="384"/>
      <c r="E106" s="384"/>
      <c r="F106" s="384"/>
      <c r="G106" s="384"/>
      <c r="H106" s="499"/>
      <c r="I106" s="463" t="s">
        <v>635</v>
      </c>
      <c r="J106" s="463"/>
      <c r="K106" s="463"/>
      <c r="L106" s="463"/>
      <c r="M106" s="463"/>
      <c r="N106" s="463"/>
    </row>
    <row r="107" spans="1:14" customFormat="1" ht="48.75" customHeight="1" x14ac:dyDescent="0.25">
      <c r="A107" s="438"/>
      <c r="B107" s="498"/>
      <c r="C107" s="384"/>
      <c r="D107" s="384"/>
      <c r="E107" s="384"/>
      <c r="F107" s="384"/>
      <c r="G107" s="384"/>
      <c r="H107" s="499"/>
      <c r="I107" s="463" t="s">
        <v>636</v>
      </c>
      <c r="J107" s="463"/>
      <c r="K107" s="463"/>
      <c r="L107" s="463"/>
      <c r="M107" s="463"/>
      <c r="N107" s="463"/>
    </row>
    <row r="108" spans="1:14" customFormat="1" ht="35.25" customHeight="1" x14ac:dyDescent="0.25">
      <c r="A108" s="302"/>
      <c r="B108" s="179"/>
      <c r="C108" s="180"/>
      <c r="D108" s="180"/>
      <c r="E108" s="180"/>
      <c r="F108" s="180"/>
      <c r="G108" s="180"/>
      <c r="H108" s="181"/>
      <c r="I108" s="463" t="s">
        <v>637</v>
      </c>
      <c r="J108" s="463"/>
      <c r="K108" s="463"/>
      <c r="L108" s="463"/>
      <c r="M108" s="463"/>
      <c r="N108" s="463"/>
    </row>
    <row r="109" spans="1:14" customFormat="1" ht="15" customHeight="1" x14ac:dyDescent="0.25">
      <c r="A109" s="52">
        <v>5</v>
      </c>
      <c r="B109" s="219" t="s">
        <v>413</v>
      </c>
      <c r="C109" s="219"/>
      <c r="D109" s="219"/>
      <c r="E109" s="219"/>
      <c r="F109" s="219"/>
      <c r="G109" s="219"/>
      <c r="H109" s="219"/>
      <c r="I109" s="187" t="s">
        <v>157</v>
      </c>
      <c r="J109" s="187"/>
      <c r="K109" s="187"/>
      <c r="L109" s="187"/>
      <c r="M109" s="187"/>
      <c r="N109" s="187"/>
    </row>
    <row r="110" spans="1:14" customFormat="1" x14ac:dyDescent="0.25">
      <c r="A110" s="52">
        <v>6</v>
      </c>
      <c r="B110" s="219" t="s">
        <v>414</v>
      </c>
      <c r="C110" s="219"/>
      <c r="D110" s="219"/>
      <c r="E110" s="219"/>
      <c r="F110" s="219"/>
      <c r="G110" s="219"/>
      <c r="H110" s="219"/>
      <c r="I110" s="187" t="s">
        <v>158</v>
      </c>
      <c r="J110" s="187"/>
      <c r="K110" s="187"/>
      <c r="L110" s="187"/>
      <c r="M110" s="187"/>
      <c r="N110" s="187"/>
    </row>
    <row r="111" spans="1:14" customFormat="1" x14ac:dyDescent="0.25">
      <c r="A111" s="52">
        <v>7</v>
      </c>
      <c r="B111" s="219" t="s">
        <v>415</v>
      </c>
      <c r="C111" s="219"/>
      <c r="D111" s="219"/>
      <c r="E111" s="219"/>
      <c r="F111" s="219"/>
      <c r="G111" s="219"/>
      <c r="H111" s="219"/>
      <c r="I111" s="187" t="str">
        <f>IF(AND(ISNUMBER(SEARCH("Flat",I196)),ISNUMBER(SEARCH("Shop",I196)),ISNUMBER(SEARCH("Office",I196))),"Residential + Commercial",IF(AND(ISNUMBER(SEARCH("Flat",I196)),ISNUMBER(SEARCH("Shop",I196))),"Residential + Commercial",IF(AND(ISNUMBER(SEARCH("Flat",I196)),ISNUMBER(SEARCH("Office",I196))),"Residential + Commercial",IF(AND(ISNUMBER(SEARCH("Shop",I196)),ISNUMBER(SEARCH("Office",I196))),"Commercial",IF(ISNUMBER(SEARCH("Shop",I196)),"Commercial",IF(ISNUMBER(SEARCH("Office",I196)),"Commercial",IF(ISNUMBER(SEARCH("Flat",I196)),"Residential")))))))</f>
        <v>Residential + Commercial</v>
      </c>
      <c r="J111" s="187"/>
      <c r="K111" s="187"/>
      <c r="L111" s="187"/>
      <c r="M111" s="187"/>
      <c r="N111" s="187"/>
    </row>
    <row r="112" spans="1:14" customFormat="1" x14ac:dyDescent="0.25">
      <c r="A112" s="52">
        <v>8</v>
      </c>
      <c r="B112" s="219" t="s">
        <v>416</v>
      </c>
      <c r="C112" s="219"/>
      <c r="D112" s="219"/>
      <c r="E112" s="219"/>
      <c r="F112" s="219"/>
      <c r="G112" s="219"/>
      <c r="H112" s="219"/>
      <c r="I112" s="187" t="str">
        <f>I111</f>
        <v>Residential + Commercial</v>
      </c>
      <c r="J112" s="187"/>
      <c r="K112" s="187"/>
      <c r="L112" s="187"/>
      <c r="M112" s="187"/>
      <c r="N112" s="187"/>
    </row>
    <row r="113" spans="1:14" customFormat="1" x14ac:dyDescent="0.25">
      <c r="A113" s="52">
        <v>9</v>
      </c>
      <c r="B113" s="219" t="s">
        <v>412</v>
      </c>
      <c r="C113" s="219"/>
      <c r="D113" s="219"/>
      <c r="E113" s="219"/>
      <c r="F113" s="219"/>
      <c r="G113" s="219"/>
      <c r="H113" s="219"/>
      <c r="I113" s="187" t="s">
        <v>53</v>
      </c>
      <c r="J113" s="187"/>
      <c r="K113" s="187"/>
      <c r="L113" s="187"/>
      <c r="M113" s="187"/>
      <c r="N113" s="187"/>
    </row>
    <row r="114" spans="1:14" customFormat="1" x14ac:dyDescent="0.25">
      <c r="A114" s="52">
        <v>10</v>
      </c>
      <c r="B114" s="219" t="s">
        <v>147</v>
      </c>
      <c r="C114" s="219"/>
      <c r="D114" s="219"/>
      <c r="E114" s="219"/>
      <c r="F114" s="219"/>
      <c r="G114" s="219"/>
      <c r="H114" s="219"/>
      <c r="I114" s="187" t="s">
        <v>159</v>
      </c>
      <c r="J114" s="187"/>
      <c r="K114" s="187"/>
      <c r="L114" s="187"/>
      <c r="M114" s="187"/>
      <c r="N114" s="187"/>
    </row>
    <row r="115" spans="1:14" customFormat="1" x14ac:dyDescent="0.25">
      <c r="A115" s="52">
        <v>11</v>
      </c>
      <c r="B115" s="219" t="s">
        <v>148</v>
      </c>
      <c r="C115" s="219"/>
      <c r="D115" s="219"/>
      <c r="E115" s="219"/>
      <c r="F115" s="219"/>
      <c r="G115" s="219"/>
      <c r="H115" s="219"/>
      <c r="I115" s="187" t="s">
        <v>53</v>
      </c>
      <c r="J115" s="187"/>
      <c r="K115" s="187"/>
      <c r="L115" s="187"/>
      <c r="M115" s="187"/>
      <c r="N115" s="187"/>
    </row>
    <row r="116" spans="1:14" customFormat="1" x14ac:dyDescent="0.25">
      <c r="A116" s="52">
        <v>12</v>
      </c>
      <c r="B116" s="219" t="s">
        <v>149</v>
      </c>
      <c r="C116" s="219"/>
      <c r="D116" s="219"/>
      <c r="E116" s="219"/>
      <c r="F116" s="219"/>
      <c r="G116" s="219"/>
      <c r="H116" s="219"/>
      <c r="I116" s="187" t="s">
        <v>578</v>
      </c>
      <c r="J116" s="187"/>
      <c r="K116" s="187"/>
      <c r="L116" s="187"/>
      <c r="M116" s="187"/>
      <c r="N116" s="187"/>
    </row>
    <row r="117" spans="1:14" customFormat="1" ht="30" customHeight="1" x14ac:dyDescent="0.25">
      <c r="A117" s="52">
        <v>13</v>
      </c>
      <c r="B117" s="219" t="s">
        <v>150</v>
      </c>
      <c r="C117" s="219"/>
      <c r="D117" s="219"/>
      <c r="E117" s="219"/>
      <c r="F117" s="219"/>
      <c r="G117" s="219"/>
      <c r="H117" s="219"/>
      <c r="I117" s="187" t="s">
        <v>406</v>
      </c>
      <c r="J117" s="187"/>
      <c r="K117" s="187"/>
      <c r="L117" s="187"/>
      <c r="M117" s="187"/>
      <c r="N117" s="187"/>
    </row>
    <row r="118" spans="1:14" customFormat="1" x14ac:dyDescent="0.25">
      <c r="A118" s="52">
        <v>14</v>
      </c>
      <c r="B118" s="219" t="s">
        <v>151</v>
      </c>
      <c r="C118" s="219"/>
      <c r="D118" s="219"/>
      <c r="E118" s="219"/>
      <c r="F118" s="219"/>
      <c r="G118" s="219"/>
      <c r="H118" s="219"/>
      <c r="I118" s="187" t="s">
        <v>54</v>
      </c>
      <c r="J118" s="187"/>
      <c r="K118" s="187"/>
      <c r="L118" s="187"/>
      <c r="M118" s="187"/>
      <c r="N118" s="187"/>
    </row>
    <row r="119" spans="1:14" customFormat="1" x14ac:dyDescent="0.25">
      <c r="A119" s="52">
        <v>15</v>
      </c>
      <c r="B119" s="219" t="s">
        <v>152</v>
      </c>
      <c r="C119" s="219"/>
      <c r="D119" s="219"/>
      <c r="E119" s="219"/>
      <c r="F119" s="219"/>
      <c r="G119" s="219"/>
      <c r="H119" s="219"/>
      <c r="I119" s="187" t="s">
        <v>634</v>
      </c>
      <c r="J119" s="187"/>
      <c r="K119" s="187"/>
      <c r="L119" s="187"/>
      <c r="M119" s="187"/>
      <c r="N119" s="187"/>
    </row>
    <row r="120" spans="1:14" customFormat="1" x14ac:dyDescent="0.25">
      <c r="A120" s="52">
        <v>16</v>
      </c>
      <c r="B120" s="219" t="s">
        <v>153</v>
      </c>
      <c r="C120" s="219"/>
      <c r="D120" s="219"/>
      <c r="E120" s="219"/>
      <c r="F120" s="219"/>
      <c r="G120" s="219"/>
      <c r="H120" s="219"/>
      <c r="I120" s="187" t="s">
        <v>160</v>
      </c>
      <c r="J120" s="187"/>
      <c r="K120" s="187"/>
      <c r="L120" s="187"/>
      <c r="M120" s="187"/>
      <c r="N120" s="187"/>
    </row>
    <row r="121" spans="1:14" customFormat="1" x14ac:dyDescent="0.25">
      <c r="A121" s="52">
        <v>17</v>
      </c>
      <c r="B121" s="219" t="s">
        <v>154</v>
      </c>
      <c r="C121" s="219"/>
      <c r="D121" s="219"/>
      <c r="E121" s="219"/>
      <c r="F121" s="219"/>
      <c r="G121" s="219"/>
      <c r="H121" s="219"/>
      <c r="I121" s="187" t="s">
        <v>53</v>
      </c>
      <c r="J121" s="187"/>
      <c r="K121" s="187"/>
      <c r="L121" s="187"/>
      <c r="M121" s="187"/>
      <c r="N121" s="187"/>
    </row>
    <row r="122" spans="1:14" customFormat="1" ht="45.6" customHeight="1" x14ac:dyDescent="0.25">
      <c r="A122" s="52">
        <v>18</v>
      </c>
      <c r="B122" s="219" t="s">
        <v>155</v>
      </c>
      <c r="C122" s="219"/>
      <c r="D122" s="219"/>
      <c r="E122" s="219"/>
      <c r="F122" s="219"/>
      <c r="G122" s="219"/>
      <c r="H122" s="219"/>
      <c r="I122" s="261" t="s">
        <v>638</v>
      </c>
      <c r="J122" s="261"/>
      <c r="K122" s="261"/>
      <c r="L122" s="261"/>
      <c r="M122" s="261"/>
      <c r="N122" s="261"/>
    </row>
    <row r="123" spans="1:14" customFormat="1" ht="31.9" customHeight="1" x14ac:dyDescent="0.25">
      <c r="A123" s="52">
        <v>19</v>
      </c>
      <c r="B123" s="219" t="s">
        <v>603</v>
      </c>
      <c r="C123" s="219"/>
      <c r="D123" s="219"/>
      <c r="E123" s="219"/>
      <c r="F123" s="219"/>
      <c r="G123" s="219"/>
      <c r="H123" s="219"/>
      <c r="I123" s="261" t="s">
        <v>639</v>
      </c>
      <c r="J123" s="187"/>
      <c r="K123" s="187"/>
      <c r="L123" s="187"/>
      <c r="M123" s="187"/>
      <c r="N123" s="187"/>
    </row>
    <row r="124" spans="1:14" customFormat="1" ht="46.9" customHeight="1" x14ac:dyDescent="0.25">
      <c r="A124" s="52">
        <v>20</v>
      </c>
      <c r="B124" s="219" t="s">
        <v>156</v>
      </c>
      <c r="C124" s="219"/>
      <c r="D124" s="219"/>
      <c r="E124" s="219"/>
      <c r="F124" s="219"/>
      <c r="G124" s="219"/>
      <c r="H124" s="219"/>
      <c r="I124" s="187" t="s">
        <v>54</v>
      </c>
      <c r="J124" s="187"/>
      <c r="K124" s="187"/>
      <c r="L124" s="187"/>
      <c r="M124" s="187"/>
      <c r="N124" s="187"/>
    </row>
    <row r="125" spans="1:14" customFormat="1" x14ac:dyDescent="0.25">
      <c r="A125" s="363" t="s">
        <v>161</v>
      </c>
      <c r="B125" s="364"/>
      <c r="C125" s="364"/>
      <c r="D125" s="364"/>
      <c r="E125" s="364"/>
      <c r="F125" s="364"/>
      <c r="G125" s="364"/>
      <c r="H125" s="364"/>
      <c r="I125" s="364"/>
      <c r="J125" s="364"/>
      <c r="K125" s="364"/>
      <c r="L125" s="364"/>
      <c r="M125" s="364"/>
      <c r="N125" s="365"/>
    </row>
    <row r="126" spans="1:14" customFormat="1" x14ac:dyDescent="0.25">
      <c r="A126" s="26" t="s">
        <v>162</v>
      </c>
      <c r="B126" s="479" t="s">
        <v>442</v>
      </c>
      <c r="C126" s="480"/>
      <c r="D126" s="480"/>
      <c r="E126" s="480"/>
      <c r="F126" s="480"/>
      <c r="G126" s="480"/>
      <c r="H126" s="480"/>
      <c r="I126" s="480"/>
      <c r="J126" s="480"/>
      <c r="K126" s="480"/>
      <c r="L126" s="480"/>
      <c r="M126" s="480"/>
      <c r="N126" s="481"/>
    </row>
    <row r="127" spans="1:14" customFormat="1" x14ac:dyDescent="0.25">
      <c r="A127" s="174">
        <v>1</v>
      </c>
      <c r="B127" s="219" t="s">
        <v>169</v>
      </c>
      <c r="C127" s="219"/>
      <c r="D127" s="219"/>
      <c r="E127" s="219"/>
      <c r="F127" s="219"/>
      <c r="G127" s="219"/>
      <c r="H127" s="219"/>
      <c r="I127" s="238">
        <v>3610</v>
      </c>
      <c r="J127" s="238"/>
      <c r="K127" s="238"/>
      <c r="L127" s="238"/>
      <c r="M127" s="238"/>
      <c r="N127" s="238"/>
    </row>
    <row r="128" spans="1:14" customFormat="1" x14ac:dyDescent="0.25">
      <c r="A128" s="192"/>
      <c r="B128" s="219" t="s">
        <v>170</v>
      </c>
      <c r="C128" s="219"/>
      <c r="D128" s="219"/>
      <c r="E128" s="219"/>
      <c r="F128" s="219"/>
      <c r="G128" s="219"/>
      <c r="H128" s="219"/>
      <c r="I128" s="238">
        <v>3610</v>
      </c>
      <c r="J128" s="238"/>
      <c r="K128" s="238"/>
      <c r="L128" s="238"/>
      <c r="M128" s="238"/>
      <c r="N128" s="238"/>
    </row>
    <row r="129" spans="1:14" customFormat="1" x14ac:dyDescent="0.25">
      <c r="A129" s="192"/>
      <c r="B129" s="219" t="s">
        <v>163</v>
      </c>
      <c r="C129" s="219"/>
      <c r="D129" s="219"/>
      <c r="E129" s="219"/>
      <c r="F129" s="219"/>
      <c r="G129" s="219"/>
      <c r="H129" s="219"/>
      <c r="I129" s="455" t="s">
        <v>171</v>
      </c>
      <c r="J129" s="456"/>
      <c r="K129" s="456"/>
      <c r="L129" s="456"/>
      <c r="M129" s="456"/>
      <c r="N129" s="457"/>
    </row>
    <row r="130" spans="1:14" customFormat="1" x14ac:dyDescent="0.25">
      <c r="A130" s="175"/>
      <c r="B130" s="219" t="s">
        <v>164</v>
      </c>
      <c r="C130" s="219"/>
      <c r="D130" s="219"/>
      <c r="E130" s="219"/>
      <c r="F130" s="219"/>
      <c r="G130" s="219"/>
      <c r="H130" s="219"/>
      <c r="I130" s="455" t="s">
        <v>171</v>
      </c>
      <c r="J130" s="456"/>
      <c r="K130" s="456"/>
      <c r="L130" s="456"/>
      <c r="M130" s="456"/>
      <c r="N130" s="457"/>
    </row>
    <row r="131" spans="1:14" customFormat="1" x14ac:dyDescent="0.25">
      <c r="A131" s="26">
        <v>2</v>
      </c>
      <c r="B131" s="219" t="s">
        <v>165</v>
      </c>
      <c r="C131" s="219"/>
      <c r="D131" s="219"/>
      <c r="E131" s="219"/>
      <c r="F131" s="219"/>
      <c r="G131" s="219"/>
      <c r="H131" s="219"/>
      <c r="I131" s="239" t="s">
        <v>172</v>
      </c>
      <c r="J131" s="240"/>
      <c r="K131" s="240"/>
      <c r="L131" s="240"/>
      <c r="M131" s="240"/>
      <c r="N131" s="391"/>
    </row>
    <row r="132" spans="1:14" customFormat="1" ht="66" customHeight="1" x14ac:dyDescent="0.25">
      <c r="A132" s="26">
        <v>3</v>
      </c>
      <c r="B132" s="219" t="s">
        <v>166</v>
      </c>
      <c r="C132" s="219"/>
      <c r="D132" s="219"/>
      <c r="E132" s="219"/>
      <c r="F132" s="219"/>
      <c r="G132" s="219"/>
      <c r="H132" s="219"/>
      <c r="I132" s="381" t="s">
        <v>173</v>
      </c>
      <c r="J132" s="240"/>
      <c r="K132" s="240"/>
      <c r="L132" s="240"/>
      <c r="M132" s="240"/>
      <c r="N132" s="391"/>
    </row>
    <row r="133" spans="1:14" customFormat="1" ht="25.5" customHeight="1" x14ac:dyDescent="0.25">
      <c r="A133" s="174">
        <v>4</v>
      </c>
      <c r="B133" s="176" t="s">
        <v>174</v>
      </c>
      <c r="C133" s="177"/>
      <c r="D133" s="177"/>
      <c r="E133" s="177"/>
      <c r="F133" s="177"/>
      <c r="G133" s="177"/>
      <c r="H133" s="178"/>
      <c r="I133" s="442" t="s">
        <v>600</v>
      </c>
      <c r="J133" s="442"/>
      <c r="K133" s="491">
        <v>50200</v>
      </c>
      <c r="L133" s="491"/>
      <c r="M133" s="491"/>
      <c r="N133" s="491"/>
    </row>
    <row r="134" spans="1:14" customFormat="1" ht="25.5" customHeight="1" x14ac:dyDescent="0.25">
      <c r="A134" s="175"/>
      <c r="B134" s="179"/>
      <c r="C134" s="180"/>
      <c r="D134" s="180"/>
      <c r="E134" s="180"/>
      <c r="F134" s="180"/>
      <c r="G134" s="180"/>
      <c r="H134" s="181"/>
      <c r="I134" s="442" t="s">
        <v>601</v>
      </c>
      <c r="J134" s="442"/>
      <c r="K134" s="491">
        <v>4350</v>
      </c>
      <c r="L134" s="491"/>
      <c r="M134" s="491"/>
      <c r="N134" s="491"/>
    </row>
    <row r="135" spans="1:14" customFormat="1" x14ac:dyDescent="0.25">
      <c r="A135" s="26">
        <v>5</v>
      </c>
      <c r="B135" s="219" t="s">
        <v>167</v>
      </c>
      <c r="C135" s="219"/>
      <c r="D135" s="219"/>
      <c r="E135" s="219"/>
      <c r="F135" s="219"/>
      <c r="G135" s="219"/>
      <c r="H135" s="219"/>
      <c r="I135" s="455" t="s">
        <v>172</v>
      </c>
      <c r="J135" s="456"/>
      <c r="K135" s="456"/>
      <c r="L135" s="456"/>
      <c r="M135" s="456"/>
      <c r="N135" s="457"/>
    </row>
    <row r="136" spans="1:14" customFormat="1" x14ac:dyDescent="0.25">
      <c r="A136" s="301">
        <v>6</v>
      </c>
      <c r="B136" s="395" t="s">
        <v>168</v>
      </c>
      <c r="C136" s="396"/>
      <c r="D136" s="396"/>
      <c r="E136" s="396"/>
      <c r="F136" s="396"/>
      <c r="G136" s="396"/>
      <c r="H136" s="397"/>
      <c r="I136" s="321" t="s">
        <v>176</v>
      </c>
      <c r="J136" s="322"/>
      <c r="K136" s="322"/>
      <c r="L136" s="322"/>
      <c r="M136" s="322"/>
      <c r="N136" s="323"/>
    </row>
    <row r="137" spans="1:14" customFormat="1" x14ac:dyDescent="0.25">
      <c r="A137" s="438"/>
      <c r="B137" s="486"/>
      <c r="C137" s="487"/>
      <c r="D137" s="487"/>
      <c r="E137" s="487"/>
      <c r="F137" s="487"/>
      <c r="G137" s="487"/>
      <c r="H137" s="488"/>
      <c r="I137" s="482" t="s">
        <v>177</v>
      </c>
      <c r="J137" s="482"/>
      <c r="K137" s="321" t="s">
        <v>13</v>
      </c>
      <c r="L137" s="323"/>
      <c r="M137" s="482" t="s">
        <v>178</v>
      </c>
      <c r="N137" s="482"/>
    </row>
    <row r="138" spans="1:14" customFormat="1" x14ac:dyDescent="0.25">
      <c r="A138" s="438"/>
      <c r="B138" s="486"/>
      <c r="C138" s="487"/>
      <c r="D138" s="487"/>
      <c r="E138" s="487"/>
      <c r="F138" s="487"/>
      <c r="G138" s="487"/>
      <c r="H138" s="488"/>
      <c r="I138" s="482">
        <f>I127</f>
        <v>3610</v>
      </c>
      <c r="J138" s="482"/>
      <c r="K138" s="490">
        <v>40000</v>
      </c>
      <c r="L138" s="323"/>
      <c r="M138" s="489">
        <f>I138*K138</f>
        <v>144400000</v>
      </c>
      <c r="N138" s="489"/>
    </row>
    <row r="139" spans="1:14" customFormat="1" x14ac:dyDescent="0.25">
      <c r="A139" s="438"/>
      <c r="B139" s="486"/>
      <c r="C139" s="487"/>
      <c r="D139" s="487"/>
      <c r="E139" s="487"/>
      <c r="F139" s="487"/>
      <c r="G139" s="487"/>
      <c r="H139" s="488"/>
      <c r="I139" s="321" t="s">
        <v>175</v>
      </c>
      <c r="J139" s="322"/>
      <c r="K139" s="322"/>
      <c r="L139" s="322"/>
      <c r="M139" s="322"/>
      <c r="N139" s="323"/>
    </row>
    <row r="140" spans="1:14" customFormat="1" x14ac:dyDescent="0.25">
      <c r="A140" s="438"/>
      <c r="B140" s="486"/>
      <c r="C140" s="487"/>
      <c r="D140" s="487"/>
      <c r="E140" s="487"/>
      <c r="F140" s="487"/>
      <c r="G140" s="487"/>
      <c r="H140" s="488"/>
      <c r="I140" s="482" t="s">
        <v>177</v>
      </c>
      <c r="J140" s="482"/>
      <c r="K140" s="321" t="s">
        <v>13</v>
      </c>
      <c r="L140" s="323"/>
      <c r="M140" s="482" t="s">
        <v>178</v>
      </c>
      <c r="N140" s="482"/>
    </row>
    <row r="141" spans="1:14" customFormat="1" x14ac:dyDescent="0.25">
      <c r="A141" s="302"/>
      <c r="B141" s="398"/>
      <c r="C141" s="399"/>
      <c r="D141" s="399"/>
      <c r="E141" s="399"/>
      <c r="F141" s="399"/>
      <c r="G141" s="399"/>
      <c r="H141" s="400"/>
      <c r="I141" s="482">
        <f>I128</f>
        <v>3610</v>
      </c>
      <c r="J141" s="482"/>
      <c r="K141" s="490">
        <f>K138</f>
        <v>40000</v>
      </c>
      <c r="L141" s="323"/>
      <c r="M141" s="489">
        <f>I141*K141</f>
        <v>144400000</v>
      </c>
      <c r="N141" s="489"/>
    </row>
    <row r="142" spans="1:14" customFormat="1" x14ac:dyDescent="0.25">
      <c r="A142" s="26" t="s">
        <v>180</v>
      </c>
      <c r="B142" s="324" t="s">
        <v>179</v>
      </c>
      <c r="C142" s="325"/>
      <c r="D142" s="325"/>
      <c r="E142" s="325"/>
      <c r="F142" s="325"/>
      <c r="G142" s="325"/>
      <c r="H142" s="325"/>
      <c r="I142" s="325"/>
      <c r="J142" s="325"/>
      <c r="K142" s="325"/>
      <c r="L142" s="325"/>
      <c r="M142" s="325"/>
      <c r="N142" s="326"/>
    </row>
    <row r="143" spans="1:14" customFormat="1" x14ac:dyDescent="0.25">
      <c r="A143" s="26" t="s">
        <v>407</v>
      </c>
      <c r="B143" s="435" t="s">
        <v>181</v>
      </c>
      <c r="C143" s="435"/>
      <c r="D143" s="435"/>
      <c r="E143" s="435"/>
      <c r="F143" s="435"/>
      <c r="G143" s="435"/>
      <c r="H143" s="435"/>
      <c r="I143" s="435"/>
      <c r="J143" s="435"/>
      <c r="K143" s="435"/>
      <c r="L143" s="435"/>
      <c r="M143" s="435"/>
      <c r="N143" s="435"/>
    </row>
    <row r="144" spans="1:14" customFormat="1" ht="31.5" customHeight="1" x14ac:dyDescent="0.25">
      <c r="A144" s="26" t="s">
        <v>5</v>
      </c>
      <c r="B144" s="219" t="s">
        <v>191</v>
      </c>
      <c r="C144" s="219"/>
      <c r="D144" s="219"/>
      <c r="E144" s="219"/>
      <c r="F144" s="219"/>
      <c r="G144" s="219"/>
      <c r="H144" s="219"/>
      <c r="I144" s="238" t="str">
        <f>I111</f>
        <v>Residential + Commercial</v>
      </c>
      <c r="J144" s="238"/>
      <c r="K144" s="238"/>
      <c r="L144" s="238"/>
      <c r="M144" s="238"/>
      <c r="N144" s="238"/>
    </row>
    <row r="145" spans="1:14" customFormat="1" ht="31.5" customHeight="1" x14ac:dyDescent="0.25">
      <c r="A145" s="52" t="s">
        <v>6</v>
      </c>
      <c r="B145" s="219" t="s">
        <v>182</v>
      </c>
      <c r="C145" s="219"/>
      <c r="D145" s="219"/>
      <c r="E145" s="219"/>
      <c r="F145" s="219"/>
      <c r="G145" s="219"/>
      <c r="H145" s="219"/>
      <c r="I145" s="187" t="s">
        <v>37</v>
      </c>
      <c r="J145" s="187"/>
      <c r="K145" s="187"/>
      <c r="L145" s="187"/>
      <c r="M145" s="187"/>
      <c r="N145" s="187"/>
    </row>
    <row r="146" spans="1:14" customFormat="1" x14ac:dyDescent="0.25">
      <c r="A146" s="26" t="s">
        <v>184</v>
      </c>
      <c r="B146" s="219" t="s">
        <v>183</v>
      </c>
      <c r="C146" s="219"/>
      <c r="D146" s="219"/>
      <c r="E146" s="219"/>
      <c r="F146" s="219"/>
      <c r="G146" s="219"/>
      <c r="H146" s="219"/>
      <c r="I146" s="238" t="s">
        <v>208</v>
      </c>
      <c r="J146" s="238"/>
      <c r="K146" s="238"/>
      <c r="L146" s="238"/>
      <c r="M146" s="238"/>
      <c r="N146" s="238"/>
    </row>
    <row r="147" spans="1:14" customFormat="1" ht="33.75" customHeight="1" x14ac:dyDescent="0.25">
      <c r="A147" s="52" t="s">
        <v>7</v>
      </c>
      <c r="B147" s="381" t="s">
        <v>185</v>
      </c>
      <c r="C147" s="267"/>
      <c r="D147" s="267"/>
      <c r="E147" s="267"/>
      <c r="F147" s="267"/>
      <c r="G147" s="267"/>
      <c r="H147" s="268"/>
      <c r="I147" s="238" t="s">
        <v>670</v>
      </c>
      <c r="J147" s="238"/>
      <c r="K147" s="238"/>
      <c r="L147" s="238"/>
      <c r="M147" s="238"/>
      <c r="N147" s="238"/>
    </row>
    <row r="148" spans="1:14" customFormat="1" x14ac:dyDescent="0.25">
      <c r="A148" s="26" t="s">
        <v>40</v>
      </c>
      <c r="B148" s="381" t="s">
        <v>186</v>
      </c>
      <c r="C148" s="267"/>
      <c r="D148" s="267"/>
      <c r="E148" s="267"/>
      <c r="F148" s="267"/>
      <c r="G148" s="267"/>
      <c r="H148" s="268"/>
      <c r="I148" s="239" t="s">
        <v>172</v>
      </c>
      <c r="J148" s="240"/>
      <c r="K148" s="240"/>
      <c r="L148" s="240"/>
      <c r="M148" s="240"/>
      <c r="N148" s="391"/>
    </row>
    <row r="149" spans="1:14" customFormat="1" ht="15" customHeight="1" x14ac:dyDescent="0.25">
      <c r="A149" s="260" t="s">
        <v>41</v>
      </c>
      <c r="B149" s="449" t="s">
        <v>187</v>
      </c>
      <c r="C149" s="450"/>
      <c r="D149" s="450"/>
      <c r="E149" s="450"/>
      <c r="F149" s="450"/>
      <c r="G149" s="450"/>
      <c r="H149" s="451"/>
      <c r="I149" s="260" t="s">
        <v>188</v>
      </c>
      <c r="J149" s="260"/>
      <c r="K149" s="260"/>
      <c r="L149" s="392" t="s">
        <v>189</v>
      </c>
      <c r="M149" s="393"/>
      <c r="N149" s="394"/>
    </row>
    <row r="150" spans="1:14" customFormat="1" ht="31.5" customHeight="1" x14ac:dyDescent="0.25">
      <c r="A150" s="260"/>
      <c r="B150" s="500"/>
      <c r="C150" s="501"/>
      <c r="D150" s="501"/>
      <c r="E150" s="501"/>
      <c r="F150" s="501"/>
      <c r="G150" s="501"/>
      <c r="H150" s="502"/>
      <c r="I150" s="458" t="s">
        <v>208</v>
      </c>
      <c r="J150" s="458"/>
      <c r="K150" s="458"/>
      <c r="L150" s="439" t="s">
        <v>208</v>
      </c>
      <c r="M150" s="440"/>
      <c r="N150" s="441"/>
    </row>
    <row r="151" spans="1:14" customFormat="1" ht="35.25" customHeight="1" x14ac:dyDescent="0.25">
      <c r="A151" s="52" t="s">
        <v>42</v>
      </c>
      <c r="B151" s="219" t="s">
        <v>190</v>
      </c>
      <c r="C151" s="219"/>
      <c r="D151" s="219"/>
      <c r="E151" s="219"/>
      <c r="F151" s="219"/>
      <c r="G151" s="219"/>
      <c r="H151" s="219"/>
      <c r="I151" s="261" t="s">
        <v>640</v>
      </c>
      <c r="J151" s="187"/>
      <c r="K151" s="187"/>
      <c r="L151" s="187"/>
      <c r="M151" s="187"/>
      <c r="N151" s="187"/>
    </row>
    <row r="152" spans="1:14" customFormat="1" ht="37.5" customHeight="1" x14ac:dyDescent="0.25">
      <c r="A152" s="26" t="s">
        <v>43</v>
      </c>
      <c r="B152" s="239" t="s">
        <v>192</v>
      </c>
      <c r="C152" s="240"/>
      <c r="D152" s="240"/>
      <c r="E152" s="240"/>
      <c r="F152" s="240"/>
      <c r="G152" s="240"/>
      <c r="H152" s="391"/>
      <c r="I152" s="219" t="str">
        <f>I81</f>
        <v>Maharashtra State Road Development Corporation Limited (MSRDC)</v>
      </c>
      <c r="J152" s="219"/>
      <c r="K152" s="219"/>
      <c r="L152" s="219"/>
      <c r="M152" s="219"/>
      <c r="N152" s="219"/>
    </row>
    <row r="153" spans="1:14" customFormat="1" ht="29.25" customHeight="1" x14ac:dyDescent="0.25">
      <c r="A153" s="52" t="s">
        <v>44</v>
      </c>
      <c r="B153" s="219" t="s">
        <v>194</v>
      </c>
      <c r="C153" s="219"/>
      <c r="D153" s="219"/>
      <c r="E153" s="219"/>
      <c r="F153" s="219"/>
      <c r="G153" s="219"/>
      <c r="H153" s="219"/>
      <c r="I153" s="261" t="s">
        <v>53</v>
      </c>
      <c r="J153" s="261"/>
      <c r="K153" s="261"/>
      <c r="L153" s="261"/>
      <c r="M153" s="261"/>
      <c r="N153" s="261"/>
    </row>
    <row r="154" spans="1:14" customFormat="1" ht="33" customHeight="1" x14ac:dyDescent="0.25">
      <c r="A154" s="52" t="s">
        <v>45</v>
      </c>
      <c r="B154" s="219" t="s">
        <v>193</v>
      </c>
      <c r="C154" s="219"/>
      <c r="D154" s="219"/>
      <c r="E154" s="219"/>
      <c r="F154" s="219"/>
      <c r="G154" s="219"/>
      <c r="H154" s="219"/>
      <c r="I154" s="261" t="s">
        <v>54</v>
      </c>
      <c r="J154" s="261"/>
      <c r="K154" s="261"/>
      <c r="L154" s="261"/>
      <c r="M154" s="261"/>
      <c r="N154" s="261"/>
    </row>
    <row r="155" spans="1:14" customFormat="1" x14ac:dyDescent="0.25">
      <c r="A155" s="26" t="s">
        <v>407</v>
      </c>
      <c r="B155" s="503" t="s">
        <v>195</v>
      </c>
      <c r="C155" s="504"/>
      <c r="D155" s="504"/>
      <c r="E155" s="504"/>
      <c r="F155" s="504"/>
      <c r="G155" s="504"/>
      <c r="H155" s="504"/>
      <c r="I155" s="504"/>
      <c r="J155" s="504"/>
      <c r="K155" s="504"/>
      <c r="L155" s="504"/>
      <c r="M155" s="504"/>
      <c r="N155" s="505"/>
    </row>
    <row r="156" spans="1:14" customFormat="1" x14ac:dyDescent="0.25">
      <c r="A156" s="26" t="s">
        <v>196</v>
      </c>
      <c r="B156" s="239" t="s">
        <v>197</v>
      </c>
      <c r="C156" s="240"/>
      <c r="D156" s="240"/>
      <c r="E156" s="240"/>
      <c r="F156" s="240"/>
      <c r="G156" s="240"/>
      <c r="H156" s="240"/>
      <c r="I156" s="240"/>
      <c r="J156" s="240"/>
      <c r="K156" s="240"/>
      <c r="L156" s="240"/>
      <c r="M156" s="240"/>
      <c r="N156" s="391"/>
    </row>
    <row r="157" spans="1:14" customFormat="1" x14ac:dyDescent="0.25">
      <c r="A157" s="26">
        <v>1</v>
      </c>
      <c r="B157" s="238" t="s">
        <v>198</v>
      </c>
      <c r="C157" s="238"/>
      <c r="D157" s="238"/>
      <c r="E157" s="238"/>
      <c r="F157" s="238"/>
      <c r="G157" s="238"/>
      <c r="H157" s="238"/>
      <c r="I157" s="271" t="s">
        <v>408</v>
      </c>
      <c r="J157" s="272"/>
      <c r="K157" s="272"/>
      <c r="L157" s="272"/>
      <c r="M157" s="272"/>
      <c r="N157" s="273"/>
    </row>
    <row r="158" spans="1:14" customFormat="1" x14ac:dyDescent="0.25">
      <c r="A158" s="26">
        <v>2</v>
      </c>
      <c r="B158" s="238" t="s">
        <v>199</v>
      </c>
      <c r="C158" s="238"/>
      <c r="D158" s="238"/>
      <c r="E158" s="238"/>
      <c r="F158" s="238"/>
      <c r="G158" s="238"/>
      <c r="H158" s="238"/>
      <c r="I158" s="271" t="s">
        <v>208</v>
      </c>
      <c r="J158" s="272"/>
      <c r="K158" s="272"/>
      <c r="L158" s="272"/>
      <c r="M158" s="272"/>
      <c r="N158" s="273"/>
    </row>
    <row r="159" spans="1:14" customFormat="1" x14ac:dyDescent="0.25">
      <c r="A159" s="26">
        <v>3</v>
      </c>
      <c r="B159" s="238" t="s">
        <v>579</v>
      </c>
      <c r="C159" s="238"/>
      <c r="D159" s="238"/>
      <c r="E159" s="238"/>
      <c r="F159" s="238"/>
      <c r="G159" s="238"/>
      <c r="H159" s="238"/>
      <c r="I159" s="271" t="s">
        <v>207</v>
      </c>
      <c r="J159" s="272"/>
      <c r="K159" s="272"/>
      <c r="L159" s="272"/>
      <c r="M159" s="272"/>
      <c r="N159" s="273"/>
    </row>
    <row r="160" spans="1:14" customFormat="1" ht="48.75" customHeight="1" x14ac:dyDescent="0.25">
      <c r="A160" s="52">
        <v>4</v>
      </c>
      <c r="B160" s="219" t="s">
        <v>200</v>
      </c>
      <c r="C160" s="219"/>
      <c r="D160" s="219"/>
      <c r="E160" s="219"/>
      <c r="F160" s="219"/>
      <c r="G160" s="219"/>
      <c r="H160" s="219"/>
      <c r="I160" s="271" t="s">
        <v>52</v>
      </c>
      <c r="J160" s="272"/>
      <c r="K160" s="272"/>
      <c r="L160" s="272"/>
      <c r="M160" s="272"/>
      <c r="N160" s="273"/>
    </row>
    <row r="161" spans="1:14" customFormat="1" x14ac:dyDescent="0.25">
      <c r="A161" s="26">
        <v>5</v>
      </c>
      <c r="B161" s="238" t="s">
        <v>201</v>
      </c>
      <c r="C161" s="238"/>
      <c r="D161" s="238"/>
      <c r="E161" s="238"/>
      <c r="F161" s="238"/>
      <c r="G161" s="238"/>
      <c r="H161" s="238"/>
      <c r="I161" s="271" t="s">
        <v>208</v>
      </c>
      <c r="J161" s="272"/>
      <c r="K161" s="272"/>
      <c r="L161" s="272"/>
      <c r="M161" s="272"/>
      <c r="N161" s="273"/>
    </row>
    <row r="162" spans="1:14" customFormat="1" x14ac:dyDescent="0.25">
      <c r="A162" s="26">
        <v>6</v>
      </c>
      <c r="B162" s="238" t="s">
        <v>202</v>
      </c>
      <c r="C162" s="238"/>
      <c r="D162" s="238"/>
      <c r="E162" s="238"/>
      <c r="F162" s="238"/>
      <c r="G162" s="238"/>
      <c r="H162" s="238"/>
      <c r="I162" s="271" t="s">
        <v>208</v>
      </c>
      <c r="J162" s="272"/>
      <c r="K162" s="272"/>
      <c r="L162" s="272"/>
      <c r="M162" s="272"/>
      <c r="N162" s="273"/>
    </row>
    <row r="163" spans="1:14" customFormat="1" x14ac:dyDescent="0.25">
      <c r="A163" s="26">
        <v>7</v>
      </c>
      <c r="B163" s="238" t="s">
        <v>203</v>
      </c>
      <c r="C163" s="238"/>
      <c r="D163" s="238"/>
      <c r="E163" s="238"/>
      <c r="F163" s="238"/>
      <c r="G163" s="238"/>
      <c r="H163" s="238"/>
      <c r="I163" s="271" t="s">
        <v>208</v>
      </c>
      <c r="J163" s="272"/>
      <c r="K163" s="272"/>
      <c r="L163" s="272"/>
      <c r="M163" s="272"/>
      <c r="N163" s="273"/>
    </row>
    <row r="164" spans="1:14" customFormat="1" ht="30.75" customHeight="1" x14ac:dyDescent="0.25">
      <c r="A164" s="26">
        <v>8</v>
      </c>
      <c r="B164" s="219" t="s">
        <v>204</v>
      </c>
      <c r="C164" s="219"/>
      <c r="D164" s="219"/>
      <c r="E164" s="219"/>
      <c r="F164" s="219"/>
      <c r="G164" s="219"/>
      <c r="H164" s="219"/>
      <c r="I164" s="271" t="s">
        <v>208</v>
      </c>
      <c r="J164" s="272"/>
      <c r="K164" s="272"/>
      <c r="L164" s="272"/>
      <c r="M164" s="272"/>
      <c r="N164" s="273"/>
    </row>
    <row r="165" spans="1:14" customFormat="1" x14ac:dyDescent="0.25">
      <c r="A165" s="26">
        <v>9</v>
      </c>
      <c r="B165" s="238" t="s">
        <v>205</v>
      </c>
      <c r="C165" s="238"/>
      <c r="D165" s="238"/>
      <c r="E165" s="238"/>
      <c r="F165" s="238"/>
      <c r="G165" s="238"/>
      <c r="H165" s="238"/>
      <c r="I165" s="271" t="s">
        <v>208</v>
      </c>
      <c r="J165" s="272"/>
      <c r="K165" s="272"/>
      <c r="L165" s="272"/>
      <c r="M165" s="272"/>
      <c r="N165" s="273"/>
    </row>
    <row r="166" spans="1:14" customFormat="1" x14ac:dyDescent="0.25">
      <c r="A166" s="26">
        <v>10</v>
      </c>
      <c r="B166" s="238" t="s">
        <v>206</v>
      </c>
      <c r="C166" s="238"/>
      <c r="D166" s="238"/>
      <c r="E166" s="238"/>
      <c r="F166" s="238"/>
      <c r="G166" s="238"/>
      <c r="H166" s="238"/>
      <c r="I166" s="271" t="s">
        <v>52</v>
      </c>
      <c r="J166" s="272"/>
      <c r="K166" s="272"/>
      <c r="L166" s="272"/>
      <c r="M166" s="272"/>
      <c r="N166" s="273"/>
    </row>
    <row r="167" spans="1:14" customFormat="1" x14ac:dyDescent="0.25">
      <c r="A167" s="174">
        <v>11</v>
      </c>
      <c r="B167" s="229" t="s">
        <v>209</v>
      </c>
      <c r="C167" s="230"/>
      <c r="D167" s="230"/>
      <c r="E167" s="230"/>
      <c r="F167" s="230"/>
      <c r="G167" s="230"/>
      <c r="H167" s="230"/>
      <c r="I167" s="230"/>
      <c r="J167" s="230"/>
      <c r="K167" s="230"/>
      <c r="L167" s="230"/>
      <c r="M167" s="230"/>
      <c r="N167" s="231"/>
    </row>
    <row r="168" spans="1:14" customFormat="1" x14ac:dyDescent="0.25">
      <c r="A168" s="192"/>
      <c r="B168" s="255" t="s">
        <v>210</v>
      </c>
      <c r="C168" s="255"/>
      <c r="D168" s="255"/>
      <c r="E168" s="255"/>
      <c r="F168" s="255"/>
      <c r="G168" s="255"/>
      <c r="H168" s="255"/>
      <c r="I168" s="220" t="s">
        <v>208</v>
      </c>
      <c r="J168" s="221"/>
      <c r="K168" s="221"/>
      <c r="L168" s="221"/>
      <c r="M168" s="221"/>
      <c r="N168" s="222"/>
    </row>
    <row r="169" spans="1:14" customFormat="1" x14ac:dyDescent="0.25">
      <c r="A169" s="192"/>
      <c r="B169" s="255" t="s">
        <v>211</v>
      </c>
      <c r="C169" s="255"/>
      <c r="D169" s="255"/>
      <c r="E169" s="255"/>
      <c r="F169" s="255"/>
      <c r="G169" s="255"/>
      <c r="H169" s="255"/>
      <c r="I169" s="226"/>
      <c r="J169" s="227"/>
      <c r="K169" s="227"/>
      <c r="L169" s="227"/>
      <c r="M169" s="227"/>
      <c r="N169" s="228"/>
    </row>
    <row r="170" spans="1:14" customFormat="1" x14ac:dyDescent="0.25">
      <c r="A170" s="175"/>
      <c r="B170" s="255" t="s">
        <v>212</v>
      </c>
      <c r="C170" s="255"/>
      <c r="D170" s="255"/>
      <c r="E170" s="255"/>
      <c r="F170" s="255"/>
      <c r="G170" s="255"/>
      <c r="H170" s="255"/>
      <c r="I170" s="431" t="s">
        <v>227</v>
      </c>
      <c r="J170" s="431"/>
      <c r="K170" s="431"/>
      <c r="L170" s="431"/>
      <c r="M170" s="431"/>
      <c r="N170" s="431"/>
    </row>
    <row r="171" spans="1:14" customFormat="1" x14ac:dyDescent="0.25">
      <c r="A171" s="174">
        <v>12</v>
      </c>
      <c r="B171" s="229" t="s">
        <v>213</v>
      </c>
      <c r="C171" s="230"/>
      <c r="D171" s="230"/>
      <c r="E171" s="230"/>
      <c r="F171" s="230"/>
      <c r="G171" s="230"/>
      <c r="H171" s="230"/>
      <c r="I171" s="230"/>
      <c r="J171" s="230"/>
      <c r="K171" s="230"/>
      <c r="L171" s="230"/>
      <c r="M171" s="230"/>
      <c r="N171" s="231"/>
    </row>
    <row r="172" spans="1:14" customFormat="1" x14ac:dyDescent="0.25">
      <c r="A172" s="192"/>
      <c r="B172" s="255" t="s">
        <v>214</v>
      </c>
      <c r="C172" s="255"/>
      <c r="D172" s="255"/>
      <c r="E172" s="255"/>
      <c r="F172" s="255"/>
      <c r="G172" s="255"/>
      <c r="H172" s="255"/>
      <c r="I172" s="220" t="s">
        <v>208</v>
      </c>
      <c r="J172" s="221"/>
      <c r="K172" s="221"/>
      <c r="L172" s="221"/>
      <c r="M172" s="221"/>
      <c r="N172" s="222"/>
    </row>
    <row r="173" spans="1:14" customFormat="1" x14ac:dyDescent="0.25">
      <c r="A173" s="192"/>
      <c r="B173" s="255" t="s">
        <v>215</v>
      </c>
      <c r="C173" s="255"/>
      <c r="D173" s="255"/>
      <c r="E173" s="255"/>
      <c r="F173" s="255"/>
      <c r="G173" s="255"/>
      <c r="H173" s="255"/>
      <c r="I173" s="223"/>
      <c r="J173" s="224"/>
      <c r="K173" s="224"/>
      <c r="L173" s="224"/>
      <c r="M173" s="224"/>
      <c r="N173" s="225"/>
    </row>
    <row r="174" spans="1:14" customFormat="1" x14ac:dyDescent="0.25">
      <c r="A174" s="192"/>
      <c r="B174" s="255" t="s">
        <v>216</v>
      </c>
      <c r="C174" s="255"/>
      <c r="D174" s="255"/>
      <c r="E174" s="255"/>
      <c r="F174" s="255"/>
      <c r="G174" s="255"/>
      <c r="H174" s="255"/>
      <c r="I174" s="223"/>
      <c r="J174" s="224"/>
      <c r="K174" s="224"/>
      <c r="L174" s="224"/>
      <c r="M174" s="224"/>
      <c r="N174" s="225"/>
    </row>
    <row r="175" spans="1:14" customFormat="1" x14ac:dyDescent="0.25">
      <c r="A175" s="192"/>
      <c r="B175" s="255" t="s">
        <v>217</v>
      </c>
      <c r="C175" s="255"/>
      <c r="D175" s="255"/>
      <c r="E175" s="255"/>
      <c r="F175" s="255"/>
      <c r="G175" s="255"/>
      <c r="H175" s="255"/>
      <c r="I175" s="223"/>
      <c r="J175" s="224"/>
      <c r="K175" s="224"/>
      <c r="L175" s="224"/>
      <c r="M175" s="224"/>
      <c r="N175" s="225"/>
    </row>
    <row r="176" spans="1:14" customFormat="1" x14ac:dyDescent="0.25">
      <c r="A176" s="192"/>
      <c r="B176" s="255" t="s">
        <v>218</v>
      </c>
      <c r="C176" s="255"/>
      <c r="D176" s="255"/>
      <c r="E176" s="255"/>
      <c r="F176" s="255"/>
      <c r="G176" s="255"/>
      <c r="H176" s="255"/>
      <c r="I176" s="223"/>
      <c r="J176" s="224"/>
      <c r="K176" s="224"/>
      <c r="L176" s="224"/>
      <c r="M176" s="224"/>
      <c r="N176" s="225"/>
    </row>
    <row r="177" spans="1:14" customFormat="1" x14ac:dyDescent="0.25">
      <c r="A177" s="175"/>
      <c r="B177" s="255" t="s">
        <v>219</v>
      </c>
      <c r="C177" s="255"/>
      <c r="D177" s="255"/>
      <c r="E177" s="255"/>
      <c r="F177" s="255"/>
      <c r="G177" s="255"/>
      <c r="H177" s="255"/>
      <c r="I177" s="226"/>
      <c r="J177" s="227"/>
      <c r="K177" s="227"/>
      <c r="L177" s="227"/>
      <c r="M177" s="227"/>
      <c r="N177" s="228"/>
    </row>
    <row r="178" spans="1:14" customFormat="1" x14ac:dyDescent="0.25">
      <c r="A178" s="174">
        <v>13</v>
      </c>
      <c r="B178" s="229" t="s">
        <v>220</v>
      </c>
      <c r="C178" s="230"/>
      <c r="D178" s="230"/>
      <c r="E178" s="230"/>
      <c r="F178" s="230"/>
      <c r="G178" s="230"/>
      <c r="H178" s="230"/>
      <c r="I178" s="230"/>
      <c r="J178" s="230"/>
      <c r="K178" s="230"/>
      <c r="L178" s="230"/>
      <c r="M178" s="230"/>
      <c r="N178" s="231"/>
    </row>
    <row r="179" spans="1:14" customFormat="1" x14ac:dyDescent="0.25">
      <c r="A179" s="192"/>
      <c r="B179" s="255" t="s">
        <v>221</v>
      </c>
      <c r="C179" s="255"/>
      <c r="D179" s="255"/>
      <c r="E179" s="255"/>
      <c r="F179" s="255"/>
      <c r="G179" s="255"/>
      <c r="H179" s="255"/>
      <c r="I179" s="220" t="s">
        <v>208</v>
      </c>
      <c r="J179" s="221"/>
      <c r="K179" s="221"/>
      <c r="L179" s="221"/>
      <c r="M179" s="221"/>
      <c r="N179" s="222"/>
    </row>
    <row r="180" spans="1:14" customFormat="1" x14ac:dyDescent="0.25">
      <c r="A180" s="192"/>
      <c r="B180" s="255" t="s">
        <v>222</v>
      </c>
      <c r="C180" s="255"/>
      <c r="D180" s="255"/>
      <c r="E180" s="255"/>
      <c r="F180" s="255"/>
      <c r="G180" s="255"/>
      <c r="H180" s="255"/>
      <c r="I180" s="223"/>
      <c r="J180" s="224"/>
      <c r="K180" s="224"/>
      <c r="L180" s="224"/>
      <c r="M180" s="224"/>
      <c r="N180" s="225"/>
    </row>
    <row r="181" spans="1:14" customFormat="1" x14ac:dyDescent="0.25">
      <c r="A181" s="192"/>
      <c r="B181" s="255" t="s">
        <v>223</v>
      </c>
      <c r="C181" s="255"/>
      <c r="D181" s="255"/>
      <c r="E181" s="255"/>
      <c r="F181" s="255"/>
      <c r="G181" s="255"/>
      <c r="H181" s="255"/>
      <c r="I181" s="223"/>
      <c r="J181" s="224"/>
      <c r="K181" s="224"/>
      <c r="L181" s="224"/>
      <c r="M181" s="224"/>
      <c r="N181" s="225"/>
    </row>
    <row r="182" spans="1:14" customFormat="1" x14ac:dyDescent="0.25">
      <c r="A182" s="192"/>
      <c r="B182" s="255" t="s">
        <v>224</v>
      </c>
      <c r="C182" s="255"/>
      <c r="D182" s="255"/>
      <c r="E182" s="255"/>
      <c r="F182" s="255"/>
      <c r="G182" s="255"/>
      <c r="H182" s="255"/>
      <c r="I182" s="223"/>
      <c r="J182" s="224"/>
      <c r="K182" s="224"/>
      <c r="L182" s="224"/>
      <c r="M182" s="224"/>
      <c r="N182" s="225"/>
    </row>
    <row r="183" spans="1:14" customFormat="1" x14ac:dyDescent="0.25">
      <c r="A183" s="192"/>
      <c r="B183" s="255" t="s">
        <v>225</v>
      </c>
      <c r="C183" s="255"/>
      <c r="D183" s="255"/>
      <c r="E183" s="255"/>
      <c r="F183" s="255"/>
      <c r="G183" s="255"/>
      <c r="H183" s="255"/>
      <c r="I183" s="223"/>
      <c r="J183" s="224"/>
      <c r="K183" s="224"/>
      <c r="L183" s="224"/>
      <c r="M183" s="224"/>
      <c r="N183" s="225"/>
    </row>
    <row r="184" spans="1:14" customFormat="1" x14ac:dyDescent="0.25">
      <c r="A184" s="175"/>
      <c r="B184" s="255" t="s">
        <v>226</v>
      </c>
      <c r="C184" s="255"/>
      <c r="D184" s="255"/>
      <c r="E184" s="255"/>
      <c r="F184" s="255"/>
      <c r="G184" s="255"/>
      <c r="H184" s="255"/>
      <c r="I184" s="226"/>
      <c r="J184" s="227"/>
      <c r="K184" s="227"/>
      <c r="L184" s="227"/>
      <c r="M184" s="227"/>
      <c r="N184" s="228"/>
    </row>
    <row r="185" spans="1:14" s="71" customFormat="1" x14ac:dyDescent="0.25">
      <c r="A185" s="105" t="s">
        <v>407</v>
      </c>
      <c r="B185" s="509" t="s">
        <v>228</v>
      </c>
      <c r="C185" s="510"/>
      <c r="D185" s="510"/>
      <c r="E185" s="510"/>
      <c r="F185" s="510"/>
      <c r="G185" s="510"/>
      <c r="H185" s="510"/>
      <c r="I185" s="510"/>
      <c r="J185" s="510"/>
      <c r="K185" s="510"/>
      <c r="L185" s="510"/>
      <c r="M185" s="510"/>
      <c r="N185" s="511"/>
    </row>
    <row r="186" spans="1:14" s="71" customFormat="1" ht="31.15" customHeight="1" x14ac:dyDescent="0.25">
      <c r="A186" s="105"/>
      <c r="B186" s="235" t="s">
        <v>580</v>
      </c>
      <c r="C186" s="236"/>
      <c r="D186" s="236"/>
      <c r="E186" s="237"/>
      <c r="F186" s="232" t="str">
        <f>I81</f>
        <v>Maharashtra State Road Development Corporation Limited (MSRDC)</v>
      </c>
      <c r="G186" s="233"/>
      <c r="H186" s="233"/>
      <c r="I186" s="233"/>
      <c r="J186" s="233"/>
      <c r="K186" s="233"/>
      <c r="L186" s="233"/>
      <c r="M186" s="233"/>
      <c r="N186" s="234"/>
    </row>
    <row r="187" spans="1:14" customFormat="1" x14ac:dyDescent="0.25">
      <c r="A187" s="26">
        <v>1</v>
      </c>
      <c r="B187" s="238" t="s">
        <v>229</v>
      </c>
      <c r="C187" s="238"/>
      <c r="D187" s="238"/>
      <c r="E187" s="238"/>
      <c r="F187" s="182" t="s">
        <v>641</v>
      </c>
      <c r="G187" s="183"/>
      <c r="H187" s="183"/>
      <c r="I187" s="183"/>
      <c r="J187" s="183"/>
      <c r="K187" s="184"/>
      <c r="L187" s="64" t="s">
        <v>232</v>
      </c>
      <c r="M187" s="185">
        <v>45804</v>
      </c>
      <c r="N187" s="186"/>
    </row>
    <row r="188" spans="1:14" customFormat="1" x14ac:dyDescent="0.25">
      <c r="A188" s="26">
        <v>2</v>
      </c>
      <c r="B188" s="239" t="s">
        <v>230</v>
      </c>
      <c r="C188" s="240"/>
      <c r="D188" s="240">
        <f>D187</f>
        <v>0</v>
      </c>
      <c r="E188" s="240"/>
      <c r="F188" s="182" t="str">
        <f>F187</f>
        <v>MSRDC/B/2025/APL/00127</v>
      </c>
      <c r="G188" s="183"/>
      <c r="H188" s="183"/>
      <c r="I188" s="183"/>
      <c r="J188" s="183"/>
      <c r="K188" s="184"/>
      <c r="L188" s="64" t="s">
        <v>232</v>
      </c>
      <c r="M188" s="185">
        <f>M187</f>
        <v>45804</v>
      </c>
      <c r="N188" s="186"/>
    </row>
    <row r="189" spans="1:14" customFormat="1" x14ac:dyDescent="0.25">
      <c r="A189" s="174">
        <v>3</v>
      </c>
      <c r="B189" s="176" t="s">
        <v>587</v>
      </c>
      <c r="C189" s="177"/>
      <c r="D189" s="177"/>
      <c r="E189" s="178"/>
      <c r="F189" s="182" t="str">
        <f>F188</f>
        <v>MSRDC/B/2025/APL/00127</v>
      </c>
      <c r="G189" s="183"/>
      <c r="H189" s="183"/>
      <c r="I189" s="183"/>
      <c r="J189" s="183"/>
      <c r="K189" s="184"/>
      <c r="L189" s="64" t="s">
        <v>232</v>
      </c>
      <c r="M189" s="185">
        <f>M188</f>
        <v>45804</v>
      </c>
      <c r="N189" s="186"/>
    </row>
    <row r="190" spans="1:14" customFormat="1" x14ac:dyDescent="0.25">
      <c r="A190" s="175"/>
      <c r="B190" s="179"/>
      <c r="C190" s="180"/>
      <c r="D190" s="180"/>
      <c r="E190" s="181"/>
      <c r="F190" s="187" t="s">
        <v>642</v>
      </c>
      <c r="G190" s="187"/>
      <c r="H190" s="187"/>
      <c r="I190" s="187"/>
      <c r="J190" s="187"/>
      <c r="K190" s="187"/>
      <c r="L190" s="187"/>
      <c r="M190" s="187"/>
      <c r="N190" s="187"/>
    </row>
    <row r="191" spans="1:14" customFormat="1" x14ac:dyDescent="0.25">
      <c r="A191" s="174">
        <v>4</v>
      </c>
      <c r="B191" s="176" t="s">
        <v>680</v>
      </c>
      <c r="C191" s="177"/>
      <c r="D191" s="177"/>
      <c r="E191" s="178"/>
      <c r="F191" s="182" t="s">
        <v>664</v>
      </c>
      <c r="G191" s="183"/>
      <c r="H191" s="183"/>
      <c r="I191" s="183"/>
      <c r="J191" s="183"/>
      <c r="K191" s="184"/>
      <c r="L191" s="64" t="s">
        <v>232</v>
      </c>
      <c r="M191" s="185">
        <v>45743</v>
      </c>
      <c r="N191" s="186"/>
    </row>
    <row r="192" spans="1:14" customFormat="1" x14ac:dyDescent="0.25">
      <c r="A192" s="175"/>
      <c r="B192" s="179"/>
      <c r="C192" s="180"/>
      <c r="D192" s="180"/>
      <c r="E192" s="181"/>
      <c r="F192" s="187" t="s">
        <v>665</v>
      </c>
      <c r="G192" s="187"/>
      <c r="H192" s="187"/>
      <c r="I192" s="187"/>
      <c r="J192" s="187"/>
      <c r="K192" s="187"/>
      <c r="L192" s="187"/>
      <c r="M192" s="187"/>
      <c r="N192" s="187"/>
    </row>
    <row r="193" spans="1:16" customFormat="1" x14ac:dyDescent="0.25">
      <c r="A193" s="174">
        <v>5</v>
      </c>
      <c r="B193" s="176" t="s">
        <v>681</v>
      </c>
      <c r="C193" s="177"/>
      <c r="D193" s="177"/>
      <c r="E193" s="178"/>
      <c r="F193" s="182" t="s">
        <v>666</v>
      </c>
      <c r="G193" s="183"/>
      <c r="H193" s="183"/>
      <c r="I193" s="183"/>
      <c r="J193" s="183"/>
      <c r="K193" s="184"/>
      <c r="L193" s="64" t="s">
        <v>232</v>
      </c>
      <c r="M193" s="185">
        <v>45735</v>
      </c>
      <c r="N193" s="186"/>
    </row>
    <row r="194" spans="1:16" customFormat="1" ht="31.15" customHeight="1" x14ac:dyDescent="0.25">
      <c r="A194" s="175"/>
      <c r="B194" s="179"/>
      <c r="C194" s="180"/>
      <c r="D194" s="180"/>
      <c r="E194" s="181"/>
      <c r="F194" s="188" t="s">
        <v>668</v>
      </c>
      <c r="G194" s="183"/>
      <c r="H194" s="183"/>
      <c r="I194" s="183"/>
      <c r="J194" s="183"/>
      <c r="K194" s="184"/>
      <c r="L194" s="140" t="s">
        <v>667</v>
      </c>
      <c r="M194" s="185">
        <v>48656</v>
      </c>
      <c r="N194" s="186"/>
    </row>
    <row r="195" spans="1:16" s="71" customFormat="1" x14ac:dyDescent="0.25">
      <c r="A195" s="105">
        <v>6</v>
      </c>
      <c r="B195" s="198" t="s">
        <v>231</v>
      </c>
      <c r="C195" s="199"/>
      <c r="D195" s="199"/>
      <c r="E195" s="199"/>
      <c r="F195" s="197" t="s">
        <v>51</v>
      </c>
      <c r="G195" s="197"/>
      <c r="H195" s="197"/>
      <c r="I195" s="197"/>
      <c r="J195" s="197"/>
      <c r="K195" s="197"/>
      <c r="L195" s="106" t="s">
        <v>232</v>
      </c>
      <c r="M195" s="195" t="s">
        <v>51</v>
      </c>
      <c r="N195" s="196"/>
    </row>
    <row r="196" spans="1:16" customFormat="1" x14ac:dyDescent="0.25">
      <c r="A196" s="26">
        <v>7</v>
      </c>
      <c r="B196" s="238" t="s">
        <v>233</v>
      </c>
      <c r="C196" s="238"/>
      <c r="D196" s="238"/>
      <c r="E196" s="238"/>
      <c r="F196" s="238"/>
      <c r="G196" s="238"/>
      <c r="H196" s="238"/>
      <c r="I196" s="182" t="s">
        <v>669</v>
      </c>
      <c r="J196" s="436"/>
      <c r="K196" s="436"/>
      <c r="L196" s="436"/>
      <c r="M196" s="436"/>
      <c r="N196" s="437"/>
    </row>
    <row r="197" spans="1:16" customFormat="1" x14ac:dyDescent="0.25">
      <c r="A197" s="26">
        <v>8</v>
      </c>
      <c r="B197" s="238" t="s">
        <v>234</v>
      </c>
      <c r="C197" s="238"/>
      <c r="D197" s="238"/>
      <c r="E197" s="238"/>
      <c r="F197" s="238"/>
      <c r="G197" s="238"/>
      <c r="H197" s="238"/>
      <c r="I197" s="182" t="s">
        <v>642</v>
      </c>
      <c r="J197" s="183"/>
      <c r="K197" s="183"/>
      <c r="L197" s="183"/>
      <c r="M197" s="183"/>
      <c r="N197" s="184"/>
    </row>
    <row r="198" spans="1:16" customFormat="1" x14ac:dyDescent="0.25">
      <c r="A198" s="26">
        <v>9</v>
      </c>
      <c r="B198" s="238" t="s">
        <v>235</v>
      </c>
      <c r="C198" s="238"/>
      <c r="D198" s="238"/>
      <c r="E198" s="238"/>
      <c r="F198" s="238"/>
      <c r="G198" s="238"/>
      <c r="H198" s="238"/>
      <c r="I198" s="182" t="s">
        <v>679</v>
      </c>
      <c r="J198" s="183"/>
      <c r="K198" s="183"/>
      <c r="L198" s="183"/>
      <c r="M198" s="183"/>
      <c r="N198" s="184"/>
      <c r="O198" t="s">
        <v>643</v>
      </c>
    </row>
    <row r="199" spans="1:16" ht="16.5" thickBot="1" x14ac:dyDescent="0.3">
      <c r="A199" s="432" t="s">
        <v>503</v>
      </c>
      <c r="B199" s="433"/>
      <c r="C199" s="433"/>
      <c r="D199" s="433"/>
      <c r="E199" s="433"/>
      <c r="F199" s="433"/>
      <c r="G199" s="433"/>
      <c r="H199" s="433"/>
      <c r="I199" s="433"/>
      <c r="J199" s="433"/>
      <c r="K199" s="433"/>
      <c r="L199" s="433"/>
      <c r="M199" s="433"/>
      <c r="N199" s="434"/>
    </row>
    <row r="200" spans="1:16" s="111" customFormat="1" ht="29.25" customHeight="1" x14ac:dyDescent="0.25">
      <c r="A200" s="244" t="s">
        <v>581</v>
      </c>
      <c r="B200" s="245"/>
      <c r="C200" s="245"/>
      <c r="D200" s="246"/>
      <c r="E200" s="241" t="str">
        <f>I198</f>
        <v>Stilt + 1st to 24th Floor</v>
      </c>
      <c r="F200" s="242"/>
      <c r="G200" s="242"/>
      <c r="H200" s="242"/>
      <c r="I200" s="242"/>
      <c r="J200" s="242"/>
      <c r="K200" s="242"/>
      <c r="L200" s="242"/>
      <c r="M200" s="242"/>
      <c r="N200" s="243"/>
      <c r="O200" s="336" t="str">
        <f ca="1">(IF(J204&gt;99%,"All work completed. Please provide OC.",IF(J204&gt;89.8%,"Plinth, RCC, Brick, Plaster, Flooring, Painting work Completed. Finishing work is in process.",IF(J204&lt;94%,(IF(E204=0,"Work not yet Started.",IF(G204=25%,"Piling work in process",IF(G204=50%,"Excavation work in process",IF(G204=100%,"Excavation work Completed. ","0")))&amp;(IF(E205=0%,"",IF(E205=P206,"Footing work is process",IF(E205=P207,"Footing work Completed",IF(E205=P208,"1st Basement Completed",IF(E205=P209,"1st &amp; 2nd Basement Completed",IF(E205=P210,"1st to 3rd Basement Completed",IF(E205=P211,"1st to 4th Basement Completed",IF(E205=P212,"Plinth work is process",IF(E205=P213,"Plinth work completed","0")))))))))))&amp;(IF(E206=(G201+K201+N201),", RCC Slab",IF(E206&gt;0,", RCC upto "&amp;E206&amp;" Slab",""))&amp;(IF(E207=N201,", Brickwork",IF(E207&gt;0,", Brickwork upto "&amp;E207&amp;" Floor",""))&amp;(IF(E208=N201,", Internal Plaster",IF(E208&gt;0,", Internal Plaster upto "&amp;E208&amp;" Floor",""))&amp;(IF(E209=N201,", External Plaster",IF(E209&gt;0,", External Plaster upto "&amp;E209&amp;" Floor",""))&amp;(IF(E210=N201,", Flooring",IF(E210&gt;0,", Flooring upto "&amp;E210&amp;" Floor",""))&amp;(IF(E211=N201,", Painting",IF(E211&gt;0,", Painting upto "&amp;E211&amp;" Floor",""))&amp;(IF(E212&gt;0,", Finishing upto "&amp;E212&amp;" Floor","")&amp;(IF(E206&gt;0.5," Completed",""))))))))))))))</f>
        <v>Excavation work in process</v>
      </c>
      <c r="P200" s="337"/>
    </row>
    <row r="201" spans="1:16" s="111" customFormat="1" x14ac:dyDescent="0.25">
      <c r="A201" s="341" t="s">
        <v>199</v>
      </c>
      <c r="B201" s="342"/>
      <c r="C201" s="247">
        <v>0</v>
      </c>
      <c r="D201" s="248"/>
      <c r="E201" s="247" t="s">
        <v>473</v>
      </c>
      <c r="F201" s="248"/>
      <c r="G201" s="247">
        <v>1</v>
      </c>
      <c r="H201" s="248"/>
      <c r="I201" s="342" t="s">
        <v>474</v>
      </c>
      <c r="J201" s="342"/>
      <c r="K201" s="108">
        <v>0</v>
      </c>
      <c r="L201" s="342" t="s">
        <v>475</v>
      </c>
      <c r="M201" s="342"/>
      <c r="N201" s="115" cm="1">
        <f t="array" aca="1" ref="N201" ca="1">--TRIM(RIGHT(SUBSTITUTE(LEFT(E200,_xlfn.AGGREGATE(16,6,FIND({0,1,2,3,4,5,6,7,8,9},E200,ROW(INDIRECT("1:"&amp;LEN(E200)))),1))," ",REPT(" ",LEN(E200))),LEN(E200)))</f>
        <v>24</v>
      </c>
      <c r="O201" s="109"/>
      <c r="P201" s="110"/>
    </row>
    <row r="202" spans="1:16" s="107" customFormat="1" ht="15" customHeight="1" x14ac:dyDescent="0.25">
      <c r="A202" s="249" t="s">
        <v>476</v>
      </c>
      <c r="B202" s="250"/>
      <c r="C202" s="250"/>
      <c r="D202" s="251"/>
      <c r="E202" s="252" t="str">
        <f ca="1">O200</f>
        <v>Excavation work in process</v>
      </c>
      <c r="F202" s="253"/>
      <c r="G202" s="253"/>
      <c r="H202" s="253"/>
      <c r="I202" s="253"/>
      <c r="J202" s="253"/>
      <c r="K202" s="253"/>
      <c r="L202" s="253"/>
      <c r="M202" s="253"/>
      <c r="N202" s="254"/>
      <c r="O202" s="112"/>
      <c r="P202" s="113"/>
    </row>
    <row r="203" spans="1:16" s="107" customFormat="1" ht="15" customHeight="1" x14ac:dyDescent="0.2">
      <c r="A203" s="258" t="s">
        <v>478</v>
      </c>
      <c r="B203" s="259"/>
      <c r="C203" s="259"/>
      <c r="D203" s="257"/>
      <c r="E203" s="256" t="s">
        <v>480</v>
      </c>
      <c r="F203" s="257"/>
      <c r="G203" s="256" t="s">
        <v>481</v>
      </c>
      <c r="H203" s="259"/>
      <c r="I203" s="257"/>
      <c r="J203" s="340" t="s">
        <v>482</v>
      </c>
      <c r="K203" s="340"/>
      <c r="L203" s="340" t="s">
        <v>582</v>
      </c>
      <c r="M203" s="340"/>
      <c r="N203" s="515"/>
      <c r="O203" s="116" t="s">
        <v>483</v>
      </c>
      <c r="P203" s="117">
        <f ca="1">N201*25%</f>
        <v>6</v>
      </c>
    </row>
    <row r="204" spans="1:16" s="107" customFormat="1" ht="15" customHeight="1" x14ac:dyDescent="0.2">
      <c r="A204" s="258" t="s">
        <v>484</v>
      </c>
      <c r="B204" s="259"/>
      <c r="C204" s="259"/>
      <c r="D204" s="257"/>
      <c r="E204" s="256">
        <f ca="1">P204</f>
        <v>12</v>
      </c>
      <c r="F204" s="257"/>
      <c r="G204" s="304">
        <f ca="1">((100/N201)*E204)/100</f>
        <v>0.5</v>
      </c>
      <c r="H204" s="305"/>
      <c r="I204" s="306"/>
      <c r="J204" s="338">
        <f ca="1">(((E205/N201*10)+(40/(G201+K201+N201)*E206)+(15/(N201)*E207)+(5/(N201)*E208)+(5/N201*E209)+(10/N201*E210)+(5/N201*E211)+(5/N201*E212)+(5/N201*E213))/100)</f>
        <v>0</v>
      </c>
      <c r="K204" s="338"/>
      <c r="L204" s="338">
        <f ca="1">((((E204/N201)*10)+((E205/N201)*20)+(30/(N201+K201+G201)*E206)+(15/N201*E207)+(5/N201*E208)+(5/N201*E209)+(5/N201*E210)+(5/N201*E211)+(2.5/N201*E212)+(2.5/N201*E213))/100)</f>
        <v>0.05</v>
      </c>
      <c r="M204" s="338"/>
      <c r="N204" s="344"/>
      <c r="O204" s="116" t="s">
        <v>485</v>
      </c>
      <c r="P204" s="118">
        <f ca="1">N201*50%</f>
        <v>12</v>
      </c>
    </row>
    <row r="205" spans="1:16" s="107" customFormat="1" ht="15" customHeight="1" x14ac:dyDescent="0.2">
      <c r="A205" s="258" t="s">
        <v>36</v>
      </c>
      <c r="B205" s="259"/>
      <c r="C205" s="259"/>
      <c r="D205" s="257"/>
      <c r="E205" s="256">
        <v>0</v>
      </c>
      <c r="F205" s="257"/>
      <c r="G205" s="304">
        <f ca="1">((100/N201)*E205)/100</f>
        <v>0</v>
      </c>
      <c r="H205" s="305"/>
      <c r="I205" s="306"/>
      <c r="J205" s="338"/>
      <c r="K205" s="338"/>
      <c r="L205" s="338"/>
      <c r="M205" s="338"/>
      <c r="N205" s="344"/>
      <c r="O205" s="116" t="s">
        <v>486</v>
      </c>
      <c r="P205" s="118">
        <f ca="1">N201</f>
        <v>24</v>
      </c>
    </row>
    <row r="206" spans="1:16" s="107" customFormat="1" ht="15" customHeight="1" x14ac:dyDescent="0.2">
      <c r="A206" s="258" t="s">
        <v>487</v>
      </c>
      <c r="B206" s="259"/>
      <c r="C206" s="259"/>
      <c r="D206" s="257"/>
      <c r="E206" s="256">
        <v>0</v>
      </c>
      <c r="F206" s="257"/>
      <c r="G206" s="304">
        <f ca="1">((100/(G201+K201+N201))*E206)/100</f>
        <v>0</v>
      </c>
      <c r="H206" s="305"/>
      <c r="I206" s="306"/>
      <c r="J206" s="338"/>
      <c r="K206" s="338"/>
      <c r="L206" s="338"/>
      <c r="M206" s="338"/>
      <c r="N206" s="344"/>
      <c r="O206" s="116" t="s">
        <v>488</v>
      </c>
      <c r="P206" s="119">
        <f ca="1">(IF(B201&gt;1,(N201/(B201+2)),N201/4))</f>
        <v>6</v>
      </c>
    </row>
    <row r="207" spans="1:16" s="107" customFormat="1" ht="15" customHeight="1" x14ac:dyDescent="0.2">
      <c r="A207" s="258" t="s">
        <v>489</v>
      </c>
      <c r="B207" s="259" t="s">
        <v>583</v>
      </c>
      <c r="C207" s="259"/>
      <c r="D207" s="257"/>
      <c r="E207" s="256">
        <v>0</v>
      </c>
      <c r="F207" s="257"/>
      <c r="G207" s="304">
        <f ca="1">((100/N201)*E207)/100</f>
        <v>0</v>
      </c>
      <c r="H207" s="305"/>
      <c r="I207" s="306"/>
      <c r="J207" s="338"/>
      <c r="K207" s="338"/>
      <c r="L207" s="338"/>
      <c r="M207" s="338"/>
      <c r="N207" s="344"/>
      <c r="O207" s="116" t="s">
        <v>490</v>
      </c>
      <c r="P207" s="119">
        <f ca="1">(IF(B201&gt;1,(N201/(B201+2)+P206),N201/4+P206))</f>
        <v>12</v>
      </c>
    </row>
    <row r="208" spans="1:16" s="107" customFormat="1" ht="15" customHeight="1" x14ac:dyDescent="0.2">
      <c r="A208" s="258" t="s">
        <v>491</v>
      </c>
      <c r="B208" s="259" t="s">
        <v>583</v>
      </c>
      <c r="C208" s="259"/>
      <c r="D208" s="257"/>
      <c r="E208" s="256">
        <v>0</v>
      </c>
      <c r="F208" s="257"/>
      <c r="G208" s="304">
        <f ca="1">((100/N201)*E208)/100</f>
        <v>0</v>
      </c>
      <c r="H208" s="305"/>
      <c r="I208" s="306"/>
      <c r="J208" s="338"/>
      <c r="K208" s="338"/>
      <c r="L208" s="338"/>
      <c r="M208" s="338"/>
      <c r="N208" s="344"/>
      <c r="O208" s="116" t="s">
        <v>492</v>
      </c>
      <c r="P208" s="119">
        <f>(IF(B201&gt;1,(N201/(B201+2)+P207),0))</f>
        <v>0</v>
      </c>
    </row>
    <row r="209" spans="1:16" s="107" customFormat="1" ht="15" customHeight="1" x14ac:dyDescent="0.2">
      <c r="A209" s="258" t="s">
        <v>493</v>
      </c>
      <c r="B209" s="259" t="s">
        <v>584</v>
      </c>
      <c r="C209" s="259"/>
      <c r="D209" s="257"/>
      <c r="E209" s="256">
        <v>0</v>
      </c>
      <c r="F209" s="257"/>
      <c r="G209" s="304">
        <f ca="1">((100/(N201))*E209)/100</f>
        <v>0</v>
      </c>
      <c r="H209" s="305"/>
      <c r="I209" s="306"/>
      <c r="J209" s="338"/>
      <c r="K209" s="338"/>
      <c r="L209" s="338"/>
      <c r="M209" s="338"/>
      <c r="N209" s="344"/>
      <c r="O209" s="116" t="s">
        <v>494</v>
      </c>
      <c r="P209" s="119">
        <f>(IF(B201&gt;2,(N201/(B201+2)+P208),0))</f>
        <v>0</v>
      </c>
    </row>
    <row r="210" spans="1:16" s="107" customFormat="1" ht="15" customHeight="1" x14ac:dyDescent="0.2">
      <c r="A210" s="258" t="s">
        <v>495</v>
      </c>
      <c r="B210" s="259" t="s">
        <v>495</v>
      </c>
      <c r="C210" s="259"/>
      <c r="D210" s="257"/>
      <c r="E210" s="256">
        <v>0</v>
      </c>
      <c r="F210" s="257"/>
      <c r="G210" s="304">
        <f ca="1">((100/N201)*E210)/100</f>
        <v>0</v>
      </c>
      <c r="H210" s="305"/>
      <c r="I210" s="306"/>
      <c r="J210" s="338"/>
      <c r="K210" s="338"/>
      <c r="L210" s="338"/>
      <c r="M210" s="338"/>
      <c r="N210" s="344"/>
      <c r="O210" s="116" t="s">
        <v>496</v>
      </c>
      <c r="P210" s="120">
        <f>(IF(B201&gt;3,(N201/(B201+2)+P209),0))</f>
        <v>0</v>
      </c>
    </row>
    <row r="211" spans="1:16" s="107" customFormat="1" ht="15" customHeight="1" x14ac:dyDescent="0.2">
      <c r="A211" s="258" t="s">
        <v>497</v>
      </c>
      <c r="B211" s="259"/>
      <c r="C211" s="259"/>
      <c r="D211" s="257"/>
      <c r="E211" s="256">
        <v>0</v>
      </c>
      <c r="F211" s="257"/>
      <c r="G211" s="304">
        <f ca="1">((100/N201)*E211)/100</f>
        <v>0</v>
      </c>
      <c r="H211" s="305"/>
      <c r="I211" s="306"/>
      <c r="J211" s="338"/>
      <c r="K211" s="338"/>
      <c r="L211" s="338"/>
      <c r="M211" s="338"/>
      <c r="N211" s="344"/>
      <c r="O211" s="116" t="s">
        <v>498</v>
      </c>
      <c r="P211" s="119">
        <f>(IF(B201&gt;4,(N201/(B201+2)+P210),0))</f>
        <v>0</v>
      </c>
    </row>
    <row r="212" spans="1:16" s="114" customFormat="1" ht="15" customHeight="1" x14ac:dyDescent="0.25">
      <c r="A212" s="258" t="s">
        <v>499</v>
      </c>
      <c r="B212" s="259" t="s">
        <v>499</v>
      </c>
      <c r="C212" s="259"/>
      <c r="D212" s="257"/>
      <c r="E212" s="256">
        <v>0</v>
      </c>
      <c r="F212" s="257"/>
      <c r="G212" s="304">
        <f ca="1">((100/(N201))*E212)/100</f>
        <v>0</v>
      </c>
      <c r="H212" s="305"/>
      <c r="I212" s="306"/>
      <c r="J212" s="338"/>
      <c r="K212" s="338"/>
      <c r="L212" s="338"/>
      <c r="M212" s="338"/>
      <c r="N212" s="344"/>
      <c r="O212" s="121" t="s">
        <v>500</v>
      </c>
      <c r="P212" s="122">
        <f ca="1">(IF(B201=1,(N201/(B201+3)+P207),IF(B201=0,(N201/4+P207),IF(B201&gt;1,0))))</f>
        <v>18</v>
      </c>
    </row>
    <row r="213" spans="1:16" s="107" customFormat="1" ht="15.75" customHeight="1" thickBot="1" x14ac:dyDescent="0.25">
      <c r="A213" s="286" t="s">
        <v>501</v>
      </c>
      <c r="B213" s="287"/>
      <c r="C213" s="287"/>
      <c r="D213" s="288"/>
      <c r="E213" s="343">
        <v>0</v>
      </c>
      <c r="F213" s="288"/>
      <c r="G213" s="307">
        <f ca="1">((100/(N201))*C213)/100</f>
        <v>0</v>
      </c>
      <c r="H213" s="308"/>
      <c r="I213" s="309"/>
      <c r="J213" s="339"/>
      <c r="K213" s="339"/>
      <c r="L213" s="339"/>
      <c r="M213" s="339"/>
      <c r="N213" s="345"/>
      <c r="O213" s="123" t="s">
        <v>502</v>
      </c>
      <c r="P213" s="124">
        <f ca="1">(IF(B201&gt;1.5,(N201/(B201+2)+P207+MAX(0,P208-P207)+MAX(0,P209-P208)+MAX(0,P210-P209)+MAX(0,P211-P210)+MAX(0,P212-P211)),IF(B201=1,(N201/(B201+3)+P212),IF(B201=0,N201/4+P212))))</f>
        <v>24</v>
      </c>
    </row>
    <row r="214" spans="1:16" customFormat="1" ht="15.75" customHeight="1" x14ac:dyDescent="0.25">
      <c r="A214" s="274" t="s">
        <v>467</v>
      </c>
      <c r="B214" s="275"/>
      <c r="C214" s="275"/>
      <c r="D214" s="275"/>
      <c r="E214" s="275"/>
      <c r="F214" s="275"/>
      <c r="G214" s="275"/>
      <c r="H214" s="275"/>
      <c r="I214" s="275"/>
      <c r="J214" s="275"/>
      <c r="K214" s="275"/>
      <c r="L214" s="275"/>
      <c r="M214" s="275"/>
      <c r="N214" s="276"/>
    </row>
    <row r="215" spans="1:16" customFormat="1" ht="15.75" customHeight="1" x14ac:dyDescent="0.25">
      <c r="A215" s="216" t="s">
        <v>95</v>
      </c>
      <c r="B215" s="217"/>
      <c r="C215" s="217"/>
      <c r="D215" s="218"/>
      <c r="E215" s="283" t="s">
        <v>236</v>
      </c>
      <c r="F215" s="284"/>
      <c r="G215" s="284"/>
      <c r="H215" s="285"/>
      <c r="I215" s="310" t="s">
        <v>237</v>
      </c>
      <c r="J215" s="311"/>
      <c r="K215" s="312"/>
      <c r="L215" s="216" t="s">
        <v>423</v>
      </c>
      <c r="M215" s="217"/>
      <c r="N215" s="218"/>
    </row>
    <row r="216" spans="1:16" customFormat="1" ht="15" customHeight="1" x14ac:dyDescent="0.25">
      <c r="A216" s="270" t="s">
        <v>422</v>
      </c>
      <c r="B216" s="270"/>
      <c r="C216" s="270"/>
      <c r="D216" s="270"/>
      <c r="E216" s="277">
        <f>COUNT(E236:E269)</f>
        <v>34</v>
      </c>
      <c r="F216" s="278"/>
      <c r="G216" s="278"/>
      <c r="H216" s="279"/>
      <c r="I216" s="313">
        <f>SUM(I236:I269)</f>
        <v>7596.6865416000001</v>
      </c>
      <c r="J216" s="314"/>
      <c r="K216" s="315"/>
      <c r="L216" s="316">
        <f>SUM(J236:J269)</f>
        <v>9116.0238499199986</v>
      </c>
      <c r="M216" s="317"/>
      <c r="N216" s="318"/>
    </row>
    <row r="217" spans="1:16" customFormat="1" ht="15" hidden="1" customHeight="1" x14ac:dyDescent="0.3">
      <c r="A217" s="216" t="s">
        <v>238</v>
      </c>
      <c r="B217" s="217"/>
      <c r="C217" s="217"/>
      <c r="D217" s="218"/>
      <c r="E217" s="280">
        <f>SUM(E216:E216)</f>
        <v>34</v>
      </c>
      <c r="F217" s="281"/>
      <c r="G217" s="281"/>
      <c r="H217" s="282"/>
      <c r="I217" s="416">
        <f>SUM(I216:I216)</f>
        <v>7596.6865416000001</v>
      </c>
      <c r="J217" s="417"/>
      <c r="K217" s="418"/>
      <c r="L217" s="216">
        <f>SUM(L216:L216)</f>
        <v>9116.0238499199986</v>
      </c>
      <c r="M217" s="217"/>
      <c r="N217" s="218"/>
    </row>
    <row r="218" spans="1:16" customFormat="1" ht="15.75" customHeight="1" x14ac:dyDescent="0.25">
      <c r="A218" s="274" t="s">
        <v>468</v>
      </c>
      <c r="B218" s="275"/>
      <c r="C218" s="275"/>
      <c r="D218" s="275"/>
      <c r="E218" s="275"/>
      <c r="F218" s="275"/>
      <c r="G218" s="275"/>
      <c r="H218" s="275"/>
      <c r="I218" s="275"/>
      <c r="J218" s="275"/>
      <c r="K218" s="275"/>
      <c r="L218" s="275"/>
      <c r="M218" s="275"/>
      <c r="N218" s="276"/>
    </row>
    <row r="219" spans="1:16" customFormat="1" ht="15.75" customHeight="1" x14ac:dyDescent="0.25">
      <c r="A219" s="216" t="s">
        <v>95</v>
      </c>
      <c r="B219" s="217"/>
      <c r="C219" s="217"/>
      <c r="D219" s="218"/>
      <c r="E219" s="283" t="s">
        <v>236</v>
      </c>
      <c r="F219" s="284"/>
      <c r="G219" s="284"/>
      <c r="H219" s="285"/>
      <c r="I219" s="310" t="s">
        <v>237</v>
      </c>
      <c r="J219" s="311"/>
      <c r="K219" s="312"/>
      <c r="L219" s="216" t="s">
        <v>423</v>
      </c>
      <c r="M219" s="217"/>
      <c r="N219" s="218"/>
    </row>
    <row r="220" spans="1:16" customFormat="1" ht="15" customHeight="1" x14ac:dyDescent="0.25">
      <c r="A220" s="270" t="s">
        <v>422</v>
      </c>
      <c r="B220" s="270"/>
      <c r="C220" s="270"/>
      <c r="D220" s="270"/>
      <c r="E220" s="277">
        <f>COUNT(G277:G280,G282:G284)+COUNT(G285:G292)+COUNT(G293:G300)+COUNT(G301:G308)+COUNT(G309:G316)+COUNT(G317,G319:G324)+COUNT(G325:G332)+COUNT(G333:G340)+COUNT(G341:G348)+COUNT(G349,G351:G356)</f>
        <v>77</v>
      </c>
      <c r="F220" s="278"/>
      <c r="G220" s="278"/>
      <c r="H220" s="279"/>
      <c r="I220" s="313">
        <f>SUM(G277:G280,G282:G284)+SUM(G285:G292)+SUM(G293:G300)+SUM(G301:G308)+SUM(G309:G316)+SUM(G317,G319:G324)+SUM(G325:G332)+SUM(G333:G340)+SUM(G341:G348)+SUM(G349,G351:G356)</f>
        <v>44755.992606</v>
      </c>
      <c r="J220" s="314"/>
      <c r="K220" s="315"/>
      <c r="L220" s="316">
        <f>SUM(H277:H280,H282:H284)+SUM(H285:H292)+SUM(H293:H300)+SUM(H301:H308)+SUM(H309:H316)+SUM(H317,H319:H324)+SUM(H325:H332)+SUM(H333:H340)+SUM(H341:H348)+SUM(H349,H351:H356)</f>
        <v>53707.191127199985</v>
      </c>
      <c r="M220" s="317"/>
      <c r="N220" s="318"/>
    </row>
    <row r="221" spans="1:16" customFormat="1" ht="15" hidden="1" customHeight="1" x14ac:dyDescent="0.3">
      <c r="A221" s="216" t="s">
        <v>238</v>
      </c>
      <c r="B221" s="217"/>
      <c r="C221" s="217"/>
      <c r="D221" s="218"/>
      <c r="E221" s="280">
        <f>SUM(E220:E220)</f>
        <v>77</v>
      </c>
      <c r="F221" s="281"/>
      <c r="G221" s="281"/>
      <c r="H221" s="282"/>
      <c r="I221" s="416">
        <f>SUM(I220:I220)</f>
        <v>44755.992606</v>
      </c>
      <c r="J221" s="417"/>
      <c r="K221" s="418"/>
      <c r="L221" s="216">
        <f>SUM(L220:L220)</f>
        <v>53707.191127199985</v>
      </c>
      <c r="M221" s="217"/>
      <c r="N221" s="218"/>
    </row>
    <row r="222" spans="1:16" customFormat="1" ht="15.75" customHeight="1" x14ac:dyDescent="0.25">
      <c r="A222" s="274" t="s">
        <v>469</v>
      </c>
      <c r="B222" s="275"/>
      <c r="C222" s="275"/>
      <c r="D222" s="275"/>
      <c r="E222" s="275"/>
      <c r="F222" s="275"/>
      <c r="G222" s="275"/>
      <c r="H222" s="275"/>
      <c r="I222" s="275"/>
      <c r="J222" s="275"/>
      <c r="K222" s="275"/>
      <c r="L222" s="275"/>
      <c r="M222" s="275"/>
      <c r="N222" s="276"/>
    </row>
    <row r="223" spans="1:16" customFormat="1" ht="15.75" customHeight="1" x14ac:dyDescent="0.25">
      <c r="A223" s="216" t="s">
        <v>95</v>
      </c>
      <c r="B223" s="217"/>
      <c r="C223" s="217"/>
      <c r="D223" s="218"/>
      <c r="E223" s="283" t="s">
        <v>236</v>
      </c>
      <c r="F223" s="284"/>
      <c r="G223" s="284"/>
      <c r="H223" s="285"/>
      <c r="I223" s="310" t="s">
        <v>237</v>
      </c>
      <c r="J223" s="311"/>
      <c r="K223" s="312"/>
      <c r="L223" s="216" t="s">
        <v>423</v>
      </c>
      <c r="M223" s="217"/>
      <c r="N223" s="218"/>
    </row>
    <row r="224" spans="1:16" customFormat="1" ht="15" customHeight="1" thickBot="1" x14ac:dyDescent="0.3">
      <c r="A224" s="270" t="s">
        <v>422</v>
      </c>
      <c r="B224" s="270"/>
      <c r="C224" s="270"/>
      <c r="D224" s="270"/>
      <c r="E224" s="277">
        <f>COUNT(G365:G372)+COUNT(G373:G380)+COUNT(G381:G388)+COUNT(G389:G396)+COUNT(G397:G404)+COUNT(G405:G412)+COUNT(G413:G420)+COUNT(G421:G428)+COUNT(G429:G436)+COUNT(G437:G444)+COUNT(G445:G452)</f>
        <v>88</v>
      </c>
      <c r="F224" s="319"/>
      <c r="G224" s="319"/>
      <c r="H224" s="320"/>
      <c r="I224" s="313">
        <f>SUM(G365:G372)+SUM(G373:G380)+SUM(G381:G388)+SUM(G389:G396)+SUM(G397:G404)+SUM(G405:G412)+SUM(G413:G420)+SUM(G421:G428)+SUM(G429:G436)+SUM(G437:G444)+SUM(G445:G452)</f>
        <v>50909.516658000008</v>
      </c>
      <c r="J224" s="346"/>
      <c r="K224" s="347"/>
      <c r="L224" s="316">
        <f>SUM(H365:H372)+SUM(H373:H380)+SUM(H381:H388)+SUM(H389:H396)+SUM(H397:H404)+SUM(H405:H412)+SUM(H413:H420)+SUM(H421:H428)+SUM(H429:H436)+SUM(H437:H444)+SUM(H445:H452)</f>
        <v>61091.419989599977</v>
      </c>
      <c r="M224" s="317"/>
      <c r="N224" s="318"/>
    </row>
    <row r="225" spans="1:16" customFormat="1" ht="15" hidden="1" customHeight="1" x14ac:dyDescent="0.3">
      <c r="A225" s="204" t="s">
        <v>238</v>
      </c>
      <c r="B225" s="205"/>
      <c r="C225" s="205"/>
      <c r="D225" s="206"/>
      <c r="E225" s="210">
        <f>SUM(E224:E224)</f>
        <v>88</v>
      </c>
      <c r="F225" s="211"/>
      <c r="G225" s="211"/>
      <c r="H225" s="212"/>
      <c r="I225" s="349">
        <f>SUM(I224:I224)</f>
        <v>50909.516658000008</v>
      </c>
      <c r="J225" s="350"/>
      <c r="K225" s="351"/>
      <c r="L225" s="204">
        <f>SUM(L224:L224)</f>
        <v>61091.419989599977</v>
      </c>
      <c r="M225" s="205"/>
      <c r="N225" s="206"/>
    </row>
    <row r="226" spans="1:16" customFormat="1" ht="16.5" customHeight="1" thickBot="1" x14ac:dyDescent="0.3">
      <c r="A226" s="207" t="s">
        <v>239</v>
      </c>
      <c r="B226" s="208"/>
      <c r="C226" s="208"/>
      <c r="D226" s="209"/>
      <c r="E226" s="213">
        <f>E216+E220+E224</f>
        <v>199</v>
      </c>
      <c r="F226" s="214"/>
      <c r="G226" s="214"/>
      <c r="H226" s="215"/>
      <c r="I226" s="427">
        <f>I216+I220+I224</f>
        <v>103262.1958056</v>
      </c>
      <c r="J226" s="428"/>
      <c r="K226" s="429"/>
      <c r="L226" s="427">
        <f>L216+L220+L224</f>
        <v>123914.63496671995</v>
      </c>
      <c r="M226" s="428"/>
      <c r="N226" s="430"/>
    </row>
    <row r="227" spans="1:16" ht="31.5" customHeight="1" x14ac:dyDescent="0.25">
      <c r="A227" s="131" t="s">
        <v>6</v>
      </c>
      <c r="B227" s="348" t="s">
        <v>11</v>
      </c>
      <c r="C227" s="348"/>
      <c r="D227" s="348"/>
      <c r="E227" s="348"/>
      <c r="F227" s="348"/>
      <c r="G227" s="348"/>
      <c r="H227" s="348"/>
      <c r="I227" s="348" t="s">
        <v>12</v>
      </c>
      <c r="J227" s="348"/>
      <c r="K227" s="348"/>
      <c r="L227" s="348"/>
      <c r="M227" s="348"/>
      <c r="N227" s="348"/>
    </row>
    <row r="228" spans="1:16" ht="15.75" x14ac:dyDescent="0.25">
      <c r="A228" s="413" t="s">
        <v>240</v>
      </c>
      <c r="B228" s="414"/>
      <c r="C228" s="414"/>
      <c r="D228" s="414"/>
      <c r="E228" s="414"/>
      <c r="F228" s="414"/>
      <c r="G228" s="414"/>
      <c r="H228" s="414"/>
      <c r="I228" s="414"/>
      <c r="J228" s="414"/>
      <c r="K228" s="414"/>
      <c r="L228" s="414"/>
      <c r="M228" s="414"/>
      <c r="N228" s="415"/>
    </row>
    <row r="229" spans="1:16" ht="15.75" x14ac:dyDescent="0.25">
      <c r="A229" s="506" t="s">
        <v>411</v>
      </c>
      <c r="B229" s="507"/>
      <c r="C229" s="507"/>
      <c r="D229" s="507"/>
      <c r="E229" s="507"/>
      <c r="F229" s="507"/>
      <c r="G229" s="507"/>
      <c r="H229" s="507"/>
      <c r="I229" s="507"/>
      <c r="J229" s="507"/>
      <c r="K229" s="507"/>
      <c r="L229" s="507"/>
      <c r="M229" s="507"/>
      <c r="N229" s="508"/>
    </row>
    <row r="230" spans="1:16" customFormat="1" ht="27" customHeight="1" x14ac:dyDescent="0.25">
      <c r="A230" s="153" t="s">
        <v>67</v>
      </c>
      <c r="B230" s="153" t="s">
        <v>68</v>
      </c>
      <c r="C230" s="153" t="s">
        <v>69</v>
      </c>
      <c r="D230" s="153" t="s">
        <v>70</v>
      </c>
      <c r="E230" s="153" t="s">
        <v>83</v>
      </c>
      <c r="F230" s="153" t="s">
        <v>605</v>
      </c>
      <c r="G230" s="153" t="s">
        <v>610</v>
      </c>
      <c r="H230" s="151" t="s">
        <v>609</v>
      </c>
      <c r="I230" s="153" t="s">
        <v>604</v>
      </c>
      <c r="J230" s="153" t="s">
        <v>244</v>
      </c>
      <c r="K230" s="153" t="s">
        <v>588</v>
      </c>
      <c r="L230" s="151"/>
      <c r="M230" s="512"/>
      <c r="N230" s="153"/>
    </row>
    <row r="231" spans="1:16" customFormat="1" ht="38.25" customHeight="1" x14ac:dyDescent="0.25">
      <c r="A231" s="154"/>
      <c r="B231" s="154"/>
      <c r="C231" s="154"/>
      <c r="D231" s="154"/>
      <c r="E231" s="154"/>
      <c r="F231" s="154"/>
      <c r="G231" s="154"/>
      <c r="H231" s="157"/>
      <c r="I231" s="154"/>
      <c r="J231" s="154"/>
      <c r="K231" s="155"/>
      <c r="L231" s="157"/>
      <c r="M231" s="513"/>
      <c r="N231" s="154"/>
    </row>
    <row r="232" spans="1:16" customFormat="1" x14ac:dyDescent="0.25">
      <c r="A232" s="155"/>
      <c r="B232" s="155"/>
      <c r="C232" s="155"/>
      <c r="D232" s="155"/>
      <c r="E232" s="155"/>
      <c r="F232" s="155"/>
      <c r="G232" s="155"/>
      <c r="H232" s="152"/>
      <c r="I232" s="155"/>
      <c r="J232" s="155"/>
      <c r="K232" s="135">
        <v>2500</v>
      </c>
      <c r="L232" s="152"/>
      <c r="M232" s="514"/>
      <c r="N232" s="155"/>
    </row>
    <row r="233" spans="1:16" customFormat="1" ht="14.45" hidden="1" x14ac:dyDescent="0.3">
      <c r="A233" s="410" t="s">
        <v>422</v>
      </c>
      <c r="B233" s="411"/>
      <c r="C233" s="411"/>
      <c r="D233" s="411"/>
      <c r="E233" s="411"/>
      <c r="F233" s="411"/>
      <c r="G233" s="411"/>
      <c r="H233" s="411"/>
      <c r="I233" s="411"/>
      <c r="J233" s="411"/>
      <c r="K233" s="411"/>
      <c r="L233" s="411"/>
      <c r="M233" s="411"/>
      <c r="N233" s="412"/>
    </row>
    <row r="234" spans="1:16" customFormat="1" x14ac:dyDescent="0.25">
      <c r="A234" s="419" t="s">
        <v>645</v>
      </c>
      <c r="B234" s="420"/>
      <c r="C234" s="420"/>
      <c r="D234" s="420"/>
      <c r="E234" s="420"/>
      <c r="F234" s="420"/>
      <c r="G234" s="420"/>
      <c r="H234" s="420"/>
      <c r="I234" s="420"/>
      <c r="J234" s="420"/>
      <c r="K234" s="420"/>
      <c r="L234" s="420"/>
      <c r="M234" s="420"/>
      <c r="N234" s="421"/>
    </row>
    <row r="235" spans="1:16" customFormat="1" x14ac:dyDescent="0.25">
      <c r="A235" s="419" t="s">
        <v>646</v>
      </c>
      <c r="B235" s="420"/>
      <c r="C235" s="420"/>
      <c r="D235" s="420"/>
      <c r="E235" s="420"/>
      <c r="F235" s="420"/>
      <c r="G235" s="420"/>
      <c r="H235" s="420"/>
      <c r="I235" s="420"/>
      <c r="J235" s="420"/>
      <c r="K235" s="420"/>
      <c r="L235" s="420"/>
      <c r="M235" s="420"/>
      <c r="N235" s="421"/>
    </row>
    <row r="236" spans="1:16" customFormat="1" ht="15" customHeight="1" x14ac:dyDescent="0.25">
      <c r="A236" s="13">
        <v>1</v>
      </c>
      <c r="B236" s="189" t="s">
        <v>648</v>
      </c>
      <c r="C236" s="52">
        <v>1</v>
      </c>
      <c r="D236" s="52" t="s">
        <v>410</v>
      </c>
      <c r="E236" s="60">
        <f>(35.453)*(10.764)</f>
        <v>381.61609199999998</v>
      </c>
      <c r="F236" s="52">
        <v>0</v>
      </c>
      <c r="G236" s="52">
        <v>0</v>
      </c>
      <c r="H236" s="52">
        <v>0</v>
      </c>
      <c r="I236" s="60">
        <f>E236+(IF(F236&lt;201,F236,IF(F236&lt;301,F236/2,F236/3)))+(IF(G236&lt;201,G236,IF(G236&lt;301,G236/2,G236/3)))+(IF(H236&lt;201,H236,IF(H236&lt;301,H236/2,H236/3)))</f>
        <v>381.61609199999998</v>
      </c>
      <c r="J236" s="32">
        <f>I236*1.2</f>
        <v>457.93931039999995</v>
      </c>
      <c r="K236" s="32">
        <f>J236*K$232</f>
        <v>1144848.2759999998</v>
      </c>
      <c r="L236" s="32"/>
      <c r="M236" s="13" t="s">
        <v>171</v>
      </c>
      <c r="N236" s="128" t="s">
        <v>171</v>
      </c>
      <c r="P236" s="60">
        <f>10.764</f>
        <v>10.763999999999999</v>
      </c>
    </row>
    <row r="237" spans="1:16" customFormat="1" x14ac:dyDescent="0.25">
      <c r="A237" s="13">
        <f>A236+1</f>
        <v>2</v>
      </c>
      <c r="B237" s="190"/>
      <c r="C237" s="52">
        <f>C236+1</f>
        <v>2</v>
      </c>
      <c r="D237" s="52" t="s">
        <v>410</v>
      </c>
      <c r="E237" s="60">
        <f>(35.487)*(10.764)</f>
        <v>381.98206799999997</v>
      </c>
      <c r="F237" s="52">
        <v>0</v>
      </c>
      <c r="G237" s="52">
        <v>0</v>
      </c>
      <c r="H237" s="52">
        <v>0</v>
      </c>
      <c r="I237" s="60">
        <f t="shared" ref="I237:I262" si="0">E237+(IF(F237&lt;201,F237,IF(F237&lt;301,F237/2,F237/3)))+(IF(G237&lt;201,G237,IF(G237&lt;301,G237/2,G237/3)))+(IF(H237&lt;201,H237,IF(H237&lt;301,H237/2,H237/3)))</f>
        <v>381.98206799999997</v>
      </c>
      <c r="J237" s="32">
        <f t="shared" ref="J237:J262" si="1">I237*1.2</f>
        <v>458.37848159999993</v>
      </c>
      <c r="K237" s="32">
        <f t="shared" ref="K237:K262" si="2">J237*K$232</f>
        <v>1145946.2039999999</v>
      </c>
      <c r="L237" s="32"/>
      <c r="M237" s="13" t="s">
        <v>171</v>
      </c>
      <c r="N237" s="128" t="s">
        <v>171</v>
      </c>
    </row>
    <row r="238" spans="1:16" customFormat="1" x14ac:dyDescent="0.25">
      <c r="A238" s="13">
        <f t="shared" ref="A238:A261" si="3">A237+1</f>
        <v>3</v>
      </c>
      <c r="B238" s="190"/>
      <c r="C238" s="52">
        <f t="shared" ref="C238:C269" si="4">C237+1</f>
        <v>3</v>
      </c>
      <c r="D238" s="52" t="s">
        <v>410</v>
      </c>
      <c r="E238" s="60">
        <f>(3.05*11.64+3.53*5.09)*(10.764)</f>
        <v>575.54785079999999</v>
      </c>
      <c r="F238" s="52">
        <v>0</v>
      </c>
      <c r="G238" s="52">
        <v>0</v>
      </c>
      <c r="H238" s="52">
        <v>0</v>
      </c>
      <c r="I238" s="60">
        <f t="shared" si="0"/>
        <v>575.54785079999999</v>
      </c>
      <c r="J238" s="32">
        <f t="shared" si="1"/>
        <v>690.65742095999997</v>
      </c>
      <c r="K238" s="32">
        <f t="shared" si="2"/>
        <v>1726643.5523999999</v>
      </c>
      <c r="L238" s="32"/>
      <c r="M238" s="13" t="s">
        <v>171</v>
      </c>
      <c r="N238" s="128" t="s">
        <v>171</v>
      </c>
    </row>
    <row r="239" spans="1:16" customFormat="1" x14ac:dyDescent="0.25">
      <c r="A239" s="13">
        <f t="shared" si="3"/>
        <v>4</v>
      </c>
      <c r="B239" s="190"/>
      <c r="C239" s="52">
        <f t="shared" si="4"/>
        <v>4</v>
      </c>
      <c r="D239" s="52" t="s">
        <v>410</v>
      </c>
      <c r="E239" s="60">
        <f>(25.294)*(10.764)</f>
        <v>272.26461599999999</v>
      </c>
      <c r="F239" s="52">
        <v>0</v>
      </c>
      <c r="G239" s="52">
        <v>0</v>
      </c>
      <c r="H239" s="52">
        <v>0</v>
      </c>
      <c r="I239" s="60">
        <f t="shared" si="0"/>
        <v>272.26461599999999</v>
      </c>
      <c r="J239" s="32">
        <f t="shared" si="1"/>
        <v>326.71753919999998</v>
      </c>
      <c r="K239" s="32">
        <f t="shared" si="2"/>
        <v>816793.848</v>
      </c>
      <c r="L239" s="32"/>
      <c r="M239" s="13" t="s">
        <v>171</v>
      </c>
      <c r="N239" s="128" t="s">
        <v>171</v>
      </c>
    </row>
    <row r="240" spans="1:16" customFormat="1" x14ac:dyDescent="0.25">
      <c r="A240" s="13">
        <f t="shared" si="3"/>
        <v>5</v>
      </c>
      <c r="B240" s="190"/>
      <c r="C240" s="52">
        <f t="shared" si="4"/>
        <v>5</v>
      </c>
      <c r="D240" s="52" t="s">
        <v>410</v>
      </c>
      <c r="E240" s="60">
        <f>(24.184)*(10.764)</f>
        <v>260.316576</v>
      </c>
      <c r="F240" s="52">
        <v>0</v>
      </c>
      <c r="G240" s="52">
        <v>0</v>
      </c>
      <c r="H240" s="52">
        <v>0</v>
      </c>
      <c r="I240" s="60">
        <f t="shared" si="0"/>
        <v>260.316576</v>
      </c>
      <c r="J240" s="32">
        <f t="shared" si="1"/>
        <v>312.37989119999997</v>
      </c>
      <c r="K240" s="32">
        <f>J240*K$232</f>
        <v>780949.72799999989</v>
      </c>
      <c r="L240" s="32"/>
      <c r="M240" s="13" t="s">
        <v>171</v>
      </c>
      <c r="N240" s="128" t="s">
        <v>171</v>
      </c>
    </row>
    <row r="241" spans="1:14" customFormat="1" x14ac:dyDescent="0.25">
      <c r="A241" s="13">
        <f t="shared" si="3"/>
        <v>6</v>
      </c>
      <c r="B241" s="190"/>
      <c r="C241" s="52">
        <f t="shared" si="4"/>
        <v>6</v>
      </c>
      <c r="D241" s="52" t="s">
        <v>410</v>
      </c>
      <c r="E241" s="60">
        <f>(14.7)*(10.764)</f>
        <v>158.23079999999999</v>
      </c>
      <c r="F241" s="52">
        <v>0</v>
      </c>
      <c r="G241" s="52">
        <v>0</v>
      </c>
      <c r="H241" s="52">
        <v>0</v>
      </c>
      <c r="I241" s="60">
        <f t="shared" si="0"/>
        <v>158.23079999999999</v>
      </c>
      <c r="J241" s="32">
        <f t="shared" si="1"/>
        <v>189.87695999999997</v>
      </c>
      <c r="K241" s="32">
        <f t="shared" si="2"/>
        <v>474692.39999999991</v>
      </c>
      <c r="L241" s="32"/>
      <c r="M241" s="13" t="s">
        <v>171</v>
      </c>
      <c r="N241" s="128" t="s">
        <v>171</v>
      </c>
    </row>
    <row r="242" spans="1:14" customFormat="1" x14ac:dyDescent="0.25">
      <c r="A242" s="13">
        <f t="shared" si="3"/>
        <v>7</v>
      </c>
      <c r="B242" s="190"/>
      <c r="C242" s="52">
        <f t="shared" si="4"/>
        <v>7</v>
      </c>
      <c r="D242" s="52" t="s">
        <v>410</v>
      </c>
      <c r="E242" s="60">
        <f>(18.3)*(10.764)</f>
        <v>196.9812</v>
      </c>
      <c r="F242" s="52">
        <v>0</v>
      </c>
      <c r="G242" s="52">
        <v>0</v>
      </c>
      <c r="H242" s="52">
        <v>0</v>
      </c>
      <c r="I242" s="60">
        <f t="shared" si="0"/>
        <v>196.9812</v>
      </c>
      <c r="J242" s="32">
        <f t="shared" si="1"/>
        <v>236.37743999999998</v>
      </c>
      <c r="K242" s="32">
        <f t="shared" si="2"/>
        <v>590943.6</v>
      </c>
      <c r="L242" s="32"/>
      <c r="M242" s="13" t="s">
        <v>171</v>
      </c>
      <c r="N242" s="128" t="s">
        <v>171</v>
      </c>
    </row>
    <row r="243" spans="1:14" customFormat="1" x14ac:dyDescent="0.25">
      <c r="A243" s="13">
        <f t="shared" si="3"/>
        <v>8</v>
      </c>
      <c r="B243" s="190"/>
      <c r="C243" s="52">
        <f t="shared" si="4"/>
        <v>8</v>
      </c>
      <c r="D243" s="52" t="s">
        <v>410</v>
      </c>
      <c r="E243" s="60">
        <f>(17.25)*(10.764)</f>
        <v>185.679</v>
      </c>
      <c r="F243" s="52">
        <v>0</v>
      </c>
      <c r="G243" s="52">
        <v>0</v>
      </c>
      <c r="H243" s="52">
        <v>0</v>
      </c>
      <c r="I243" s="60">
        <f t="shared" si="0"/>
        <v>185.679</v>
      </c>
      <c r="J243" s="32">
        <f t="shared" si="1"/>
        <v>222.81479999999999</v>
      </c>
      <c r="K243" s="32">
        <f t="shared" si="2"/>
        <v>557037</v>
      </c>
      <c r="L243" s="32"/>
      <c r="M243" s="13" t="s">
        <v>171</v>
      </c>
      <c r="N243" s="128" t="s">
        <v>171</v>
      </c>
    </row>
    <row r="244" spans="1:14" customFormat="1" x14ac:dyDescent="0.25">
      <c r="A244" s="13">
        <f t="shared" si="3"/>
        <v>9</v>
      </c>
      <c r="B244" s="190"/>
      <c r="C244" s="52">
        <f t="shared" si="4"/>
        <v>9</v>
      </c>
      <c r="D244" s="52" t="s">
        <v>410</v>
      </c>
      <c r="E244" s="60">
        <f>(9.925)*(10.764)</f>
        <v>106.8327</v>
      </c>
      <c r="F244" s="52">
        <v>0</v>
      </c>
      <c r="G244" s="52">
        <v>0</v>
      </c>
      <c r="H244" s="52">
        <v>0</v>
      </c>
      <c r="I244" s="60">
        <f t="shared" si="0"/>
        <v>106.8327</v>
      </c>
      <c r="J244" s="32">
        <f t="shared" si="1"/>
        <v>128.19924</v>
      </c>
      <c r="K244" s="32">
        <f t="shared" si="2"/>
        <v>320498.10000000003</v>
      </c>
      <c r="L244" s="32"/>
      <c r="M244" s="13" t="s">
        <v>171</v>
      </c>
      <c r="N244" s="128" t="s">
        <v>171</v>
      </c>
    </row>
    <row r="245" spans="1:14" customFormat="1" x14ac:dyDescent="0.25">
      <c r="A245" s="13">
        <f t="shared" si="3"/>
        <v>10</v>
      </c>
      <c r="B245" s="190"/>
      <c r="C245" s="52">
        <f t="shared" si="4"/>
        <v>10</v>
      </c>
      <c r="D245" s="52" t="s">
        <v>410</v>
      </c>
      <c r="E245" s="60">
        <f>(12.122)*(10.764)</f>
        <v>130.48120799999998</v>
      </c>
      <c r="F245" s="52">
        <v>0</v>
      </c>
      <c r="G245" s="52">
        <v>0</v>
      </c>
      <c r="H245" s="52">
        <v>0</v>
      </c>
      <c r="I245" s="60">
        <f t="shared" si="0"/>
        <v>130.48120799999998</v>
      </c>
      <c r="J245" s="32">
        <f t="shared" si="1"/>
        <v>156.57744959999997</v>
      </c>
      <c r="K245" s="32">
        <f t="shared" si="2"/>
        <v>391443.62399999989</v>
      </c>
      <c r="L245" s="32"/>
      <c r="M245" s="13" t="s">
        <v>171</v>
      </c>
      <c r="N245" s="128" t="s">
        <v>171</v>
      </c>
    </row>
    <row r="246" spans="1:14" customFormat="1" x14ac:dyDescent="0.25">
      <c r="A246" s="13">
        <f t="shared" si="3"/>
        <v>11</v>
      </c>
      <c r="B246" s="190"/>
      <c r="C246" s="52">
        <f t="shared" si="4"/>
        <v>11</v>
      </c>
      <c r="D246" s="52" t="s">
        <v>410</v>
      </c>
      <c r="E246" s="60">
        <f>(11.913)*(10.764)</f>
        <v>128.23153199999999</v>
      </c>
      <c r="F246" s="52">
        <v>0</v>
      </c>
      <c r="G246" s="52">
        <v>0</v>
      </c>
      <c r="H246" s="52">
        <v>0</v>
      </c>
      <c r="I246" s="60">
        <f t="shared" si="0"/>
        <v>128.23153199999999</v>
      </c>
      <c r="J246" s="32">
        <f t="shared" si="1"/>
        <v>153.87783839999997</v>
      </c>
      <c r="K246" s="32">
        <f t="shared" si="2"/>
        <v>384694.59599999996</v>
      </c>
      <c r="L246" s="32"/>
      <c r="M246" s="13" t="s">
        <v>171</v>
      </c>
      <c r="N246" s="128" t="s">
        <v>171</v>
      </c>
    </row>
    <row r="247" spans="1:14" customFormat="1" x14ac:dyDescent="0.25">
      <c r="A247" s="13">
        <f t="shared" si="3"/>
        <v>12</v>
      </c>
      <c r="B247" s="190"/>
      <c r="C247" s="52">
        <f t="shared" si="4"/>
        <v>12</v>
      </c>
      <c r="D247" s="52" t="s">
        <v>410</v>
      </c>
      <c r="E247" s="60">
        <f>(9.925)*(10.764)</f>
        <v>106.8327</v>
      </c>
      <c r="F247" s="52">
        <v>0</v>
      </c>
      <c r="G247" s="52">
        <v>0</v>
      </c>
      <c r="H247" s="52">
        <v>0</v>
      </c>
      <c r="I247" s="60">
        <f t="shared" si="0"/>
        <v>106.8327</v>
      </c>
      <c r="J247" s="32">
        <f t="shared" si="1"/>
        <v>128.19924</v>
      </c>
      <c r="K247" s="32">
        <f t="shared" si="2"/>
        <v>320498.10000000003</v>
      </c>
      <c r="L247" s="32"/>
      <c r="M247" s="13" t="s">
        <v>171</v>
      </c>
      <c r="N247" s="128" t="s">
        <v>171</v>
      </c>
    </row>
    <row r="248" spans="1:14" customFormat="1" x14ac:dyDescent="0.25">
      <c r="A248" s="13">
        <f t="shared" si="3"/>
        <v>13</v>
      </c>
      <c r="B248" s="190"/>
      <c r="C248" s="52">
        <f t="shared" si="4"/>
        <v>13</v>
      </c>
      <c r="D248" s="52" t="s">
        <v>410</v>
      </c>
      <c r="E248" s="60">
        <f>(23.127)*(10.764)</f>
        <v>248.93902799999998</v>
      </c>
      <c r="F248" s="52">
        <v>0</v>
      </c>
      <c r="G248" s="52">
        <v>0</v>
      </c>
      <c r="H248" s="52">
        <v>0</v>
      </c>
      <c r="I248" s="60">
        <f t="shared" si="0"/>
        <v>248.93902799999998</v>
      </c>
      <c r="J248" s="32">
        <f t="shared" si="1"/>
        <v>298.72683359999996</v>
      </c>
      <c r="K248" s="32">
        <f t="shared" si="2"/>
        <v>746817.08399999992</v>
      </c>
      <c r="L248" s="32"/>
      <c r="M248" s="13" t="s">
        <v>171</v>
      </c>
      <c r="N248" s="128" t="s">
        <v>171</v>
      </c>
    </row>
    <row r="249" spans="1:14" customFormat="1" x14ac:dyDescent="0.25">
      <c r="A249" s="13">
        <f t="shared" si="3"/>
        <v>14</v>
      </c>
      <c r="B249" s="190"/>
      <c r="C249" s="52">
        <f t="shared" si="4"/>
        <v>14</v>
      </c>
      <c r="D249" s="52" t="s">
        <v>410</v>
      </c>
      <c r="E249" s="60">
        <f>(24.324)*(10.764)</f>
        <v>261.82353599999999</v>
      </c>
      <c r="F249" s="52">
        <v>0</v>
      </c>
      <c r="G249" s="52">
        <v>0</v>
      </c>
      <c r="H249" s="52">
        <v>0</v>
      </c>
      <c r="I249" s="60">
        <f t="shared" si="0"/>
        <v>261.82353599999999</v>
      </c>
      <c r="J249" s="32">
        <f t="shared" si="1"/>
        <v>314.18824319999999</v>
      </c>
      <c r="K249" s="32">
        <f t="shared" si="2"/>
        <v>785470.60800000001</v>
      </c>
      <c r="L249" s="32"/>
      <c r="M249" s="13" t="s">
        <v>171</v>
      </c>
      <c r="N249" s="128" t="s">
        <v>171</v>
      </c>
    </row>
    <row r="250" spans="1:14" customFormat="1" x14ac:dyDescent="0.25">
      <c r="A250" s="13">
        <f t="shared" si="3"/>
        <v>15</v>
      </c>
      <c r="B250" s="190"/>
      <c r="C250" s="52">
        <f t="shared" si="4"/>
        <v>15</v>
      </c>
      <c r="D250" s="52" t="s">
        <v>410</v>
      </c>
      <c r="E250" s="60">
        <f>(19.539)*(10.764)</f>
        <v>210.31779600000002</v>
      </c>
      <c r="F250" s="52">
        <v>0</v>
      </c>
      <c r="G250" s="52">
        <v>0</v>
      </c>
      <c r="H250" s="52">
        <v>0</v>
      </c>
      <c r="I250" s="60">
        <f t="shared" si="0"/>
        <v>210.31779600000002</v>
      </c>
      <c r="J250" s="32">
        <f t="shared" si="1"/>
        <v>252.3813552</v>
      </c>
      <c r="K250" s="32">
        <f t="shared" si="2"/>
        <v>630953.38800000004</v>
      </c>
      <c r="L250" s="32"/>
      <c r="M250" s="13" t="s">
        <v>171</v>
      </c>
      <c r="N250" s="128" t="s">
        <v>171</v>
      </c>
    </row>
    <row r="251" spans="1:14" customFormat="1" x14ac:dyDescent="0.25">
      <c r="A251" s="13">
        <f t="shared" si="3"/>
        <v>16</v>
      </c>
      <c r="B251" s="190"/>
      <c r="C251" s="52">
        <f t="shared" si="4"/>
        <v>16</v>
      </c>
      <c r="D251" s="52" t="s">
        <v>410</v>
      </c>
      <c r="E251" s="60">
        <f>(16.5)*(10.764)</f>
        <v>177.60599999999999</v>
      </c>
      <c r="F251" s="52">
        <v>0</v>
      </c>
      <c r="G251" s="52">
        <v>0</v>
      </c>
      <c r="H251" s="52">
        <v>0</v>
      </c>
      <c r="I251" s="60">
        <f t="shared" si="0"/>
        <v>177.60599999999999</v>
      </c>
      <c r="J251" s="32">
        <f t="shared" si="1"/>
        <v>213.12719999999999</v>
      </c>
      <c r="K251" s="32">
        <f t="shared" si="2"/>
        <v>532818</v>
      </c>
      <c r="L251" s="32"/>
      <c r="M251" s="13" t="s">
        <v>171</v>
      </c>
      <c r="N251" s="128" t="s">
        <v>171</v>
      </c>
    </row>
    <row r="252" spans="1:14" customFormat="1" x14ac:dyDescent="0.25">
      <c r="A252" s="13">
        <f t="shared" si="3"/>
        <v>17</v>
      </c>
      <c r="B252" s="190"/>
      <c r="C252" s="52">
        <f t="shared" si="4"/>
        <v>17</v>
      </c>
      <c r="D252" s="52" t="s">
        <v>410</v>
      </c>
      <c r="E252" s="60">
        <f>(17.4)*(10.764)</f>
        <v>187.29359999999997</v>
      </c>
      <c r="F252" s="52">
        <v>0</v>
      </c>
      <c r="G252" s="52">
        <v>0</v>
      </c>
      <c r="H252" s="52">
        <v>0</v>
      </c>
      <c r="I252" s="60">
        <f t="shared" si="0"/>
        <v>187.29359999999997</v>
      </c>
      <c r="J252" s="32">
        <f t="shared" si="1"/>
        <v>224.75231999999997</v>
      </c>
      <c r="K252" s="32">
        <f t="shared" si="2"/>
        <v>561880.79999999993</v>
      </c>
      <c r="L252" s="32"/>
      <c r="M252" s="13" t="s">
        <v>171</v>
      </c>
      <c r="N252" s="128" t="s">
        <v>171</v>
      </c>
    </row>
    <row r="253" spans="1:14" customFormat="1" x14ac:dyDescent="0.25">
      <c r="A253" s="13">
        <f t="shared" si="3"/>
        <v>18</v>
      </c>
      <c r="B253" s="189" t="s">
        <v>647</v>
      </c>
      <c r="C253" s="52">
        <f t="shared" si="4"/>
        <v>18</v>
      </c>
      <c r="D253" s="52" t="s">
        <v>410</v>
      </c>
      <c r="E253" s="60">
        <f>(35.453)*(10.764)</f>
        <v>381.61609199999998</v>
      </c>
      <c r="F253" s="52">
        <v>0</v>
      </c>
      <c r="G253" s="52">
        <v>0</v>
      </c>
      <c r="H253" s="52">
        <v>0</v>
      </c>
      <c r="I253" s="60">
        <f t="shared" si="0"/>
        <v>381.61609199999998</v>
      </c>
      <c r="J253" s="32">
        <f t="shared" si="1"/>
        <v>457.93931039999995</v>
      </c>
      <c r="K253" s="32">
        <f t="shared" si="2"/>
        <v>1144848.2759999998</v>
      </c>
      <c r="L253" s="32"/>
      <c r="M253" s="13" t="s">
        <v>171</v>
      </c>
      <c r="N253" s="128" t="s">
        <v>171</v>
      </c>
    </row>
    <row r="254" spans="1:14" customFormat="1" x14ac:dyDescent="0.25">
      <c r="A254" s="13">
        <f t="shared" si="3"/>
        <v>19</v>
      </c>
      <c r="B254" s="190"/>
      <c r="C254" s="52">
        <f t="shared" si="4"/>
        <v>19</v>
      </c>
      <c r="D254" s="52" t="s">
        <v>410</v>
      </c>
      <c r="E254" s="60">
        <f>(35.37)*(10.764)</f>
        <v>380.72267999999997</v>
      </c>
      <c r="F254" s="52">
        <v>0</v>
      </c>
      <c r="G254" s="52">
        <v>0</v>
      </c>
      <c r="H254" s="52">
        <v>0</v>
      </c>
      <c r="I254" s="60">
        <f t="shared" si="0"/>
        <v>380.72267999999997</v>
      </c>
      <c r="J254" s="32">
        <f t="shared" si="1"/>
        <v>456.86721599999993</v>
      </c>
      <c r="K254" s="32">
        <f t="shared" si="2"/>
        <v>1142168.0399999998</v>
      </c>
      <c r="L254" s="32"/>
      <c r="M254" s="13" t="s">
        <v>171</v>
      </c>
      <c r="N254" s="128" t="s">
        <v>171</v>
      </c>
    </row>
    <row r="255" spans="1:14" customFormat="1" x14ac:dyDescent="0.25">
      <c r="A255" s="13">
        <f t="shared" si="3"/>
        <v>20</v>
      </c>
      <c r="B255" s="190"/>
      <c r="C255" s="52">
        <f t="shared" si="4"/>
        <v>20</v>
      </c>
      <c r="D255" s="52" t="s">
        <v>410</v>
      </c>
      <c r="E255" s="60">
        <f>(3.05*11.64+3.53*5.09)*(10.764)</f>
        <v>575.54785079999999</v>
      </c>
      <c r="F255" s="52">
        <v>0</v>
      </c>
      <c r="G255" s="52">
        <v>0</v>
      </c>
      <c r="H255" s="52">
        <v>0</v>
      </c>
      <c r="I255" s="60">
        <f t="shared" si="0"/>
        <v>575.54785079999999</v>
      </c>
      <c r="J255" s="32">
        <f t="shared" si="1"/>
        <v>690.65742095999997</v>
      </c>
      <c r="K255" s="32">
        <f t="shared" si="2"/>
        <v>1726643.5523999999</v>
      </c>
      <c r="L255" s="32"/>
      <c r="M255" s="13" t="s">
        <v>171</v>
      </c>
      <c r="N255" s="128" t="s">
        <v>171</v>
      </c>
    </row>
    <row r="256" spans="1:14" customFormat="1" x14ac:dyDescent="0.25">
      <c r="A256" s="13">
        <f t="shared" si="3"/>
        <v>21</v>
      </c>
      <c r="B256" s="190"/>
      <c r="C256" s="52">
        <f t="shared" si="4"/>
        <v>21</v>
      </c>
      <c r="D256" s="52" t="s">
        <v>410</v>
      </c>
      <c r="E256" s="60">
        <f>(17.4)*(10.764)</f>
        <v>187.29359999999997</v>
      </c>
      <c r="F256" s="52">
        <v>0</v>
      </c>
      <c r="G256" s="52">
        <v>0</v>
      </c>
      <c r="H256" s="52">
        <v>0</v>
      </c>
      <c r="I256" s="60">
        <f t="shared" si="0"/>
        <v>187.29359999999997</v>
      </c>
      <c r="J256" s="32">
        <f t="shared" si="1"/>
        <v>224.75231999999997</v>
      </c>
      <c r="K256" s="32">
        <f t="shared" si="2"/>
        <v>561880.79999999993</v>
      </c>
      <c r="L256" s="32"/>
      <c r="M256" s="13" t="s">
        <v>171</v>
      </c>
      <c r="N256" s="128" t="s">
        <v>171</v>
      </c>
    </row>
    <row r="257" spans="1:16" customFormat="1" x14ac:dyDescent="0.25">
      <c r="A257" s="13">
        <f>A256+1</f>
        <v>22</v>
      </c>
      <c r="B257" s="190"/>
      <c r="C257" s="52">
        <f t="shared" si="4"/>
        <v>22</v>
      </c>
      <c r="D257" s="52" t="s">
        <v>410</v>
      </c>
      <c r="E257" s="60">
        <f>(16.35)*(10.764)</f>
        <v>175.9914</v>
      </c>
      <c r="F257" s="52">
        <v>0</v>
      </c>
      <c r="G257" s="52">
        <v>0</v>
      </c>
      <c r="H257" s="52">
        <v>0</v>
      </c>
      <c r="I257" s="60">
        <f t="shared" si="0"/>
        <v>175.9914</v>
      </c>
      <c r="J257" s="32">
        <f t="shared" si="1"/>
        <v>211.18967999999998</v>
      </c>
      <c r="K257" s="32">
        <f t="shared" si="2"/>
        <v>527974.19999999995</v>
      </c>
      <c r="L257" s="32"/>
      <c r="M257" s="13" t="s">
        <v>171</v>
      </c>
      <c r="N257" s="128" t="s">
        <v>171</v>
      </c>
    </row>
    <row r="258" spans="1:16" customFormat="1" x14ac:dyDescent="0.25">
      <c r="A258" s="13">
        <f t="shared" si="3"/>
        <v>23</v>
      </c>
      <c r="B258" s="190"/>
      <c r="C258" s="52">
        <f t="shared" si="4"/>
        <v>23</v>
      </c>
      <c r="D258" s="52" t="s">
        <v>410</v>
      </c>
      <c r="E258" s="60">
        <f>(14.7)*(10.764)</f>
        <v>158.23079999999999</v>
      </c>
      <c r="F258" s="52">
        <v>0</v>
      </c>
      <c r="G258" s="52">
        <v>0</v>
      </c>
      <c r="H258" s="52">
        <v>0</v>
      </c>
      <c r="I258" s="60">
        <f t="shared" si="0"/>
        <v>158.23079999999999</v>
      </c>
      <c r="J258" s="32">
        <f t="shared" si="1"/>
        <v>189.87695999999997</v>
      </c>
      <c r="K258" s="32">
        <f t="shared" si="2"/>
        <v>474692.39999999991</v>
      </c>
      <c r="L258" s="32"/>
      <c r="M258" s="13" t="s">
        <v>171</v>
      </c>
      <c r="N258" s="128" t="s">
        <v>171</v>
      </c>
    </row>
    <row r="259" spans="1:16" customFormat="1" x14ac:dyDescent="0.25">
      <c r="A259" s="13">
        <f t="shared" si="3"/>
        <v>24</v>
      </c>
      <c r="B259" s="190"/>
      <c r="C259" s="52">
        <f t="shared" si="4"/>
        <v>24</v>
      </c>
      <c r="D259" s="52" t="s">
        <v>410</v>
      </c>
      <c r="E259" s="60">
        <f>(18.3)*(10.764)</f>
        <v>196.9812</v>
      </c>
      <c r="F259" s="52">
        <v>0</v>
      </c>
      <c r="G259" s="52">
        <v>0</v>
      </c>
      <c r="H259" s="52">
        <v>0</v>
      </c>
      <c r="I259" s="60">
        <f t="shared" si="0"/>
        <v>196.9812</v>
      </c>
      <c r="J259" s="32">
        <f t="shared" si="1"/>
        <v>236.37743999999998</v>
      </c>
      <c r="K259" s="32">
        <f t="shared" si="2"/>
        <v>590943.6</v>
      </c>
      <c r="L259" s="32"/>
      <c r="M259" s="13" t="s">
        <v>171</v>
      </c>
      <c r="N259" s="128" t="s">
        <v>171</v>
      </c>
    </row>
    <row r="260" spans="1:16" customFormat="1" x14ac:dyDescent="0.25">
      <c r="A260" s="13">
        <f t="shared" si="3"/>
        <v>25</v>
      </c>
      <c r="B260" s="190"/>
      <c r="C260" s="52">
        <f t="shared" si="4"/>
        <v>25</v>
      </c>
      <c r="D260" s="52" t="s">
        <v>410</v>
      </c>
      <c r="E260" s="60">
        <f>(17.4)*(10.764)</f>
        <v>187.29359999999997</v>
      </c>
      <c r="F260" s="52">
        <v>0</v>
      </c>
      <c r="G260" s="52">
        <v>0</v>
      </c>
      <c r="H260" s="52">
        <v>0</v>
      </c>
      <c r="I260" s="60">
        <f t="shared" si="0"/>
        <v>187.29359999999997</v>
      </c>
      <c r="J260" s="32">
        <f t="shared" si="1"/>
        <v>224.75231999999997</v>
      </c>
      <c r="K260" s="32">
        <f t="shared" si="2"/>
        <v>561880.79999999993</v>
      </c>
      <c r="L260" s="32"/>
      <c r="M260" s="13" t="s">
        <v>171</v>
      </c>
      <c r="N260" s="128" t="s">
        <v>171</v>
      </c>
    </row>
    <row r="261" spans="1:16" customFormat="1" x14ac:dyDescent="0.25">
      <c r="A261" s="13">
        <f t="shared" si="3"/>
        <v>26</v>
      </c>
      <c r="B261" s="190"/>
      <c r="C261" s="52">
        <f t="shared" si="4"/>
        <v>26</v>
      </c>
      <c r="D261" s="52" t="s">
        <v>410</v>
      </c>
      <c r="E261" s="60">
        <f>(9.925)*(10.764)</f>
        <v>106.8327</v>
      </c>
      <c r="F261" s="52">
        <v>0</v>
      </c>
      <c r="G261" s="52">
        <v>0</v>
      </c>
      <c r="H261" s="52">
        <v>0</v>
      </c>
      <c r="I261" s="60">
        <f t="shared" si="0"/>
        <v>106.8327</v>
      </c>
      <c r="J261" s="32">
        <f t="shared" si="1"/>
        <v>128.19924</v>
      </c>
      <c r="K261" s="32">
        <f t="shared" si="2"/>
        <v>320498.10000000003</v>
      </c>
      <c r="L261" s="32"/>
      <c r="M261" s="13" t="s">
        <v>171</v>
      </c>
      <c r="N261" s="128" t="s">
        <v>171</v>
      </c>
    </row>
    <row r="262" spans="1:16" customFormat="1" x14ac:dyDescent="0.25">
      <c r="A262" s="13">
        <f>A261+1</f>
        <v>27</v>
      </c>
      <c r="B262" s="190"/>
      <c r="C262" s="52">
        <f t="shared" si="4"/>
        <v>27</v>
      </c>
      <c r="D262" s="52" t="s">
        <v>410</v>
      </c>
      <c r="E262" s="60">
        <f>(12.122)*(10.764)</f>
        <v>130.48120799999998</v>
      </c>
      <c r="F262" s="52">
        <v>0</v>
      </c>
      <c r="G262" s="52">
        <v>0</v>
      </c>
      <c r="H262" s="52">
        <v>0</v>
      </c>
      <c r="I262" s="60">
        <f t="shared" si="0"/>
        <v>130.48120799999998</v>
      </c>
      <c r="J262" s="32">
        <f t="shared" si="1"/>
        <v>156.57744959999997</v>
      </c>
      <c r="K262" s="32">
        <f t="shared" si="2"/>
        <v>391443.62399999989</v>
      </c>
      <c r="L262" s="32"/>
      <c r="M262" s="13" t="s">
        <v>171</v>
      </c>
      <c r="N262" s="128" t="s">
        <v>171</v>
      </c>
    </row>
    <row r="263" spans="1:16" customFormat="1" x14ac:dyDescent="0.25">
      <c r="A263" s="13">
        <f t="shared" ref="A263:A268" si="5">A262+1</f>
        <v>28</v>
      </c>
      <c r="B263" s="190"/>
      <c r="C263" s="52">
        <f t="shared" si="4"/>
        <v>28</v>
      </c>
      <c r="D263" s="52" t="s">
        <v>410</v>
      </c>
      <c r="E263" s="60">
        <f>(12.122)*(10.764)</f>
        <v>130.48120799999998</v>
      </c>
      <c r="F263" s="52">
        <v>0</v>
      </c>
      <c r="G263" s="52">
        <v>0</v>
      </c>
      <c r="H263" s="52">
        <v>0</v>
      </c>
      <c r="I263" s="60">
        <f t="shared" ref="I263:I268" si="6">E263+(IF(F263&lt;201,F263,IF(F263&lt;301,F263/2,F263/3)))+(IF(G263&lt;201,G263,IF(G263&lt;301,G263/2,G263/3)))+(IF(H263&lt;201,H263,IF(H263&lt;301,H263/2,H263/3)))</f>
        <v>130.48120799999998</v>
      </c>
      <c r="J263" s="32">
        <f t="shared" ref="J263:J268" si="7">I263*1.2</f>
        <v>156.57744959999997</v>
      </c>
      <c r="K263" s="32">
        <f t="shared" ref="K263:K268" si="8">J263*K$232</f>
        <v>391443.62399999989</v>
      </c>
      <c r="L263" s="32"/>
      <c r="M263" s="13" t="s">
        <v>171</v>
      </c>
      <c r="N263" s="128" t="s">
        <v>171</v>
      </c>
    </row>
    <row r="264" spans="1:16" customFormat="1" x14ac:dyDescent="0.25">
      <c r="A264" s="13">
        <f t="shared" si="5"/>
        <v>29</v>
      </c>
      <c r="B264" s="190"/>
      <c r="C264" s="52">
        <f t="shared" si="4"/>
        <v>29</v>
      </c>
      <c r="D264" s="52" t="s">
        <v>410</v>
      </c>
      <c r="E264" s="60">
        <f>(9.925)*(10.764)</f>
        <v>106.8327</v>
      </c>
      <c r="F264" s="52">
        <v>0</v>
      </c>
      <c r="G264" s="52">
        <v>0</v>
      </c>
      <c r="H264" s="52">
        <v>0</v>
      </c>
      <c r="I264" s="60">
        <f t="shared" si="6"/>
        <v>106.8327</v>
      </c>
      <c r="J264" s="32">
        <f t="shared" si="7"/>
        <v>128.19924</v>
      </c>
      <c r="K264" s="32">
        <f t="shared" si="8"/>
        <v>320498.10000000003</v>
      </c>
      <c r="L264" s="32"/>
      <c r="M264" s="13" t="s">
        <v>171</v>
      </c>
      <c r="N264" s="128" t="s">
        <v>171</v>
      </c>
    </row>
    <row r="265" spans="1:16" customFormat="1" x14ac:dyDescent="0.25">
      <c r="A265" s="13">
        <f t="shared" si="5"/>
        <v>30</v>
      </c>
      <c r="B265" s="190"/>
      <c r="C265" s="52">
        <f t="shared" si="4"/>
        <v>30</v>
      </c>
      <c r="D265" s="52" t="s">
        <v>410</v>
      </c>
      <c r="E265" s="60">
        <f>(17.4)*(10.764)</f>
        <v>187.29359999999997</v>
      </c>
      <c r="F265" s="52">
        <v>0</v>
      </c>
      <c r="G265" s="52">
        <v>0</v>
      </c>
      <c r="H265" s="52">
        <v>0</v>
      </c>
      <c r="I265" s="60">
        <f t="shared" si="6"/>
        <v>187.29359999999997</v>
      </c>
      <c r="J265" s="32">
        <f t="shared" si="7"/>
        <v>224.75231999999997</v>
      </c>
      <c r="K265" s="32">
        <f t="shared" si="8"/>
        <v>561880.79999999993</v>
      </c>
      <c r="L265" s="32"/>
      <c r="M265" s="13" t="s">
        <v>171</v>
      </c>
      <c r="N265" s="128" t="s">
        <v>171</v>
      </c>
    </row>
    <row r="266" spans="1:16" customFormat="1" x14ac:dyDescent="0.25">
      <c r="A266" s="13">
        <f t="shared" si="5"/>
        <v>31</v>
      </c>
      <c r="B266" s="190"/>
      <c r="C266" s="52">
        <f t="shared" si="4"/>
        <v>31</v>
      </c>
      <c r="D266" s="52" t="s">
        <v>410</v>
      </c>
      <c r="E266" s="60">
        <f>(18.3)*(10.764)</f>
        <v>196.9812</v>
      </c>
      <c r="F266" s="52">
        <v>0</v>
      </c>
      <c r="G266" s="52">
        <v>0</v>
      </c>
      <c r="H266" s="52">
        <v>0</v>
      </c>
      <c r="I266" s="60">
        <f t="shared" si="6"/>
        <v>196.9812</v>
      </c>
      <c r="J266" s="32">
        <f t="shared" si="7"/>
        <v>236.37743999999998</v>
      </c>
      <c r="K266" s="32">
        <f t="shared" si="8"/>
        <v>590943.6</v>
      </c>
      <c r="L266" s="32"/>
      <c r="M266" s="13" t="s">
        <v>171</v>
      </c>
      <c r="N266" s="128" t="s">
        <v>171</v>
      </c>
    </row>
    <row r="267" spans="1:16" customFormat="1" x14ac:dyDescent="0.25">
      <c r="A267" s="13">
        <f t="shared" si="5"/>
        <v>32</v>
      </c>
      <c r="B267" s="190"/>
      <c r="C267" s="52">
        <f t="shared" si="4"/>
        <v>32</v>
      </c>
      <c r="D267" s="52" t="s">
        <v>410</v>
      </c>
      <c r="E267" s="60">
        <f>(14.7)*(10.764)</f>
        <v>158.23079999999999</v>
      </c>
      <c r="F267" s="52">
        <v>0</v>
      </c>
      <c r="G267" s="52">
        <v>0</v>
      </c>
      <c r="H267" s="52">
        <v>0</v>
      </c>
      <c r="I267" s="60">
        <f t="shared" si="6"/>
        <v>158.23079999999999</v>
      </c>
      <c r="J267" s="32">
        <f t="shared" si="7"/>
        <v>189.87695999999997</v>
      </c>
      <c r="K267" s="32">
        <f t="shared" si="8"/>
        <v>474692.39999999991</v>
      </c>
      <c r="L267" s="32"/>
      <c r="M267" s="13" t="s">
        <v>171</v>
      </c>
      <c r="N267" s="128" t="s">
        <v>171</v>
      </c>
    </row>
    <row r="268" spans="1:16" customFormat="1" x14ac:dyDescent="0.25">
      <c r="A268" s="13">
        <f t="shared" si="5"/>
        <v>33</v>
      </c>
      <c r="B268" s="190"/>
      <c r="C268" s="52">
        <f t="shared" si="4"/>
        <v>33</v>
      </c>
      <c r="D268" s="52" t="s">
        <v>410</v>
      </c>
      <c r="E268" s="60">
        <f>(16.5)*(10.764)</f>
        <v>177.60599999999999</v>
      </c>
      <c r="F268" s="52">
        <v>0</v>
      </c>
      <c r="G268" s="52">
        <v>0</v>
      </c>
      <c r="H268" s="52">
        <v>0</v>
      </c>
      <c r="I268" s="60">
        <f t="shared" si="6"/>
        <v>177.60599999999999</v>
      </c>
      <c r="J268" s="32">
        <f t="shared" si="7"/>
        <v>213.12719999999999</v>
      </c>
      <c r="K268" s="32">
        <f t="shared" si="8"/>
        <v>532818</v>
      </c>
      <c r="L268" s="32"/>
      <c r="M268" s="13" t="s">
        <v>171</v>
      </c>
      <c r="N268" s="128" t="s">
        <v>171</v>
      </c>
    </row>
    <row r="269" spans="1:16" customFormat="1" x14ac:dyDescent="0.25">
      <c r="A269" s="13">
        <f t="shared" ref="A269" si="9">A268+1</f>
        <v>34</v>
      </c>
      <c r="B269" s="191"/>
      <c r="C269" s="52">
        <f t="shared" si="4"/>
        <v>34</v>
      </c>
      <c r="D269" s="52" t="s">
        <v>410</v>
      </c>
      <c r="E269" s="60">
        <f>(17.4)*(10.764)</f>
        <v>187.29359999999997</v>
      </c>
      <c r="F269" s="52">
        <v>0</v>
      </c>
      <c r="G269" s="52">
        <v>0</v>
      </c>
      <c r="H269" s="52">
        <v>0</v>
      </c>
      <c r="I269" s="60">
        <f t="shared" ref="I269" si="10">E269+(IF(F269&lt;201,F269,IF(F269&lt;301,F269/2,F269/3)))+(IF(G269&lt;201,G269,IF(G269&lt;301,G269/2,G269/3)))+(IF(H269&lt;201,H269,IF(H269&lt;301,H269/2,H269/3)))</f>
        <v>187.29359999999997</v>
      </c>
      <c r="J269" s="32">
        <f t="shared" ref="J269" si="11">I269*1.2</f>
        <v>224.75231999999997</v>
      </c>
      <c r="K269" s="32">
        <f t="shared" ref="K269" si="12">J269*K$232</f>
        <v>561880.79999999993</v>
      </c>
      <c r="L269" s="32"/>
      <c r="M269" s="13" t="s">
        <v>171</v>
      </c>
      <c r="N269" s="128" t="s">
        <v>171</v>
      </c>
    </row>
    <row r="270" spans="1:16" ht="15.75" x14ac:dyDescent="0.25">
      <c r="A270" s="506" t="s">
        <v>463</v>
      </c>
      <c r="B270" s="507"/>
      <c r="C270" s="507"/>
      <c r="D270" s="507"/>
      <c r="E270" s="507"/>
      <c r="F270" s="507"/>
      <c r="G270" s="507"/>
      <c r="H270" s="507"/>
      <c r="I270" s="507"/>
      <c r="J270" s="507"/>
      <c r="K270" s="507"/>
      <c r="L270" s="507"/>
      <c r="M270" s="507"/>
      <c r="N270" s="508"/>
    </row>
    <row r="271" spans="1:16" customFormat="1" ht="38.25" customHeight="1" x14ac:dyDescent="0.25">
      <c r="A271" s="153" t="s">
        <v>67</v>
      </c>
      <c r="B271" s="153" t="s">
        <v>68</v>
      </c>
      <c r="C271" s="153" t="s">
        <v>69</v>
      </c>
      <c r="D271" s="153" t="s">
        <v>70</v>
      </c>
      <c r="E271" s="151" t="s">
        <v>83</v>
      </c>
      <c r="F271" s="151" t="s">
        <v>609</v>
      </c>
      <c r="G271" s="151" t="s">
        <v>604</v>
      </c>
      <c r="H271" s="151" t="s">
        <v>244</v>
      </c>
      <c r="I271" s="151" t="s">
        <v>588</v>
      </c>
      <c r="J271" s="134" t="s">
        <v>606</v>
      </c>
      <c r="K271" s="151" t="s">
        <v>589</v>
      </c>
      <c r="L271" s="158" t="s">
        <v>683</v>
      </c>
      <c r="M271" s="159"/>
      <c r="N271" s="164" t="s">
        <v>682</v>
      </c>
      <c r="P271" s="151" t="s">
        <v>589</v>
      </c>
    </row>
    <row r="272" spans="1:16" customFormat="1" ht="31.5" customHeight="1" x14ac:dyDescent="0.25">
      <c r="A272" s="154"/>
      <c r="B272" s="154"/>
      <c r="C272" s="154"/>
      <c r="D272" s="154"/>
      <c r="E272" s="157"/>
      <c r="F272" s="157"/>
      <c r="G272" s="157"/>
      <c r="H272" s="157"/>
      <c r="I272" s="152"/>
      <c r="J272" s="133" t="s">
        <v>607</v>
      </c>
      <c r="K272" s="157"/>
      <c r="L272" s="160"/>
      <c r="M272" s="161"/>
      <c r="N272" s="164"/>
      <c r="P272" s="157"/>
    </row>
    <row r="273" spans="1:18" customFormat="1" x14ac:dyDescent="0.25">
      <c r="A273" s="155"/>
      <c r="B273" s="155"/>
      <c r="C273" s="155"/>
      <c r="D273" s="155"/>
      <c r="E273" s="152"/>
      <c r="F273" s="152"/>
      <c r="G273" s="152"/>
      <c r="H273" s="152"/>
      <c r="I273" s="135">
        <v>2500</v>
      </c>
      <c r="J273" s="135">
        <v>10000</v>
      </c>
      <c r="K273" s="152"/>
      <c r="L273" s="162"/>
      <c r="M273" s="163"/>
      <c r="N273" s="164"/>
      <c r="P273" s="152"/>
    </row>
    <row r="274" spans="1:18" customFormat="1" hidden="1" x14ac:dyDescent="0.25">
      <c r="A274" s="165"/>
      <c r="B274" s="166"/>
      <c r="C274" s="166"/>
      <c r="D274" s="166"/>
      <c r="E274" s="166"/>
      <c r="F274" s="166"/>
      <c r="G274" s="166"/>
      <c r="H274" s="166"/>
      <c r="I274" s="166"/>
      <c r="J274" s="166"/>
      <c r="K274" s="167"/>
      <c r="L274" s="168">
        <v>0.1</v>
      </c>
      <c r="M274" s="168"/>
      <c r="N274" s="142"/>
      <c r="P274" s="141"/>
    </row>
    <row r="275" spans="1:18" customFormat="1" x14ac:dyDescent="0.25">
      <c r="A275" s="422" t="s">
        <v>422</v>
      </c>
      <c r="B275" s="422"/>
      <c r="C275" s="422"/>
      <c r="D275" s="422"/>
      <c r="E275" s="422"/>
      <c r="F275" s="422"/>
      <c r="G275" s="422"/>
      <c r="H275" s="422"/>
      <c r="I275" s="422"/>
      <c r="J275" s="422"/>
      <c r="K275" s="422"/>
      <c r="L275" s="422"/>
      <c r="M275" s="422"/>
      <c r="N275" s="422"/>
    </row>
    <row r="276" spans="1:18" customFormat="1" x14ac:dyDescent="0.25">
      <c r="A276" s="423" t="s">
        <v>662</v>
      </c>
      <c r="B276" s="423"/>
      <c r="C276" s="423"/>
      <c r="D276" s="423"/>
      <c r="E276" s="423"/>
      <c r="F276" s="423"/>
      <c r="G276" s="423"/>
      <c r="H276" s="423"/>
      <c r="I276" s="423"/>
      <c r="J276" s="423"/>
      <c r="K276" s="423"/>
      <c r="L276" s="423"/>
      <c r="M276" s="423"/>
      <c r="N276" s="423"/>
    </row>
    <row r="277" spans="1:18" customFormat="1" x14ac:dyDescent="0.25">
      <c r="A277" s="13">
        <v>1</v>
      </c>
      <c r="B277" s="174" t="s">
        <v>653</v>
      </c>
      <c r="C277" s="52">
        <f>LEFT(B277,SUM(LEN(B277)-LEN(SUBSTITUTE(B277,{"0","1","2","3","4","5","6","7","8","9"},""))))*100+1</f>
        <v>201</v>
      </c>
      <c r="D277" s="52" t="s">
        <v>104</v>
      </c>
      <c r="E277" s="60">
        <f>(57.605)*10.764</f>
        <v>620.06021999999996</v>
      </c>
      <c r="F277" s="60">
        <f>(3.05*2.6+8.7*1.8)*10.764</f>
        <v>253.92275999999995</v>
      </c>
      <c r="G277" s="60">
        <f>E277+(IF(F277&lt;101,F277,IF(F277&lt;201,F277/2,IF(F277&lt;=301,F277/3,F277/4))))</f>
        <v>704.7011399999999</v>
      </c>
      <c r="H277" s="60">
        <f>G277*1.2</f>
        <v>845.64136799999983</v>
      </c>
      <c r="I277" s="32">
        <f>H277*I$273</f>
        <v>2114103.4199999995</v>
      </c>
      <c r="J277" s="32">
        <f>G277*$J$273</f>
        <v>7047011.3999999985</v>
      </c>
      <c r="K277" s="143">
        <v>17000</v>
      </c>
      <c r="L277" s="156">
        <f>J277+J277*$L$274</f>
        <v>7751712.5399999982</v>
      </c>
      <c r="M277" s="156"/>
      <c r="N277" s="143">
        <f>L277*0.8</f>
        <v>6201370.0319999987</v>
      </c>
      <c r="P277" s="60">
        <v>10.763999999999999</v>
      </c>
      <c r="R277" s="145">
        <f>SUM(L277:L280,L282:L317,L319:L349,L351:L356)</f>
        <v>492315918.66599989</v>
      </c>
    </row>
    <row r="278" spans="1:18" customFormat="1" x14ac:dyDescent="0.25">
      <c r="A278" s="13">
        <f>A277+1</f>
        <v>2</v>
      </c>
      <c r="B278" s="192"/>
      <c r="C278" s="52">
        <f t="shared" ref="C278:C284" si="13">C277+1</f>
        <v>202</v>
      </c>
      <c r="D278" s="52" t="s">
        <v>100</v>
      </c>
      <c r="E278" s="60">
        <f>(40.738)*10.764</f>
        <v>438.50383199999999</v>
      </c>
      <c r="F278" s="60">
        <f>(2.9*2.6+5.5*1.5)*10.764</f>
        <v>169.96355999999997</v>
      </c>
      <c r="G278" s="60">
        <f t="shared" ref="G278:G306" si="14">E278+(IF(F278&lt;101,F278,IF(F278&lt;201,F278/2,IF(F278&lt;=301,F278/3,F278/4))))</f>
        <v>523.48561199999995</v>
      </c>
      <c r="H278" s="60">
        <f t="shared" ref="H278:H306" si="15">G278*1.2</f>
        <v>628.18273439999996</v>
      </c>
      <c r="I278" s="32">
        <f t="shared" ref="I278:I280" si="16">H278*I$273</f>
        <v>1570456.8359999999</v>
      </c>
      <c r="J278" s="32">
        <f t="shared" ref="J278:J306" si="17">G278*$J$273</f>
        <v>5234856.1199999992</v>
      </c>
      <c r="K278" s="143">
        <v>10000</v>
      </c>
      <c r="L278" s="156">
        <f t="shared" ref="L278:L341" si="18">J278+J278*$L$274</f>
        <v>5758341.7319999989</v>
      </c>
      <c r="M278" s="156"/>
      <c r="N278" s="143">
        <f t="shared" ref="N278:N341" si="19">L278*0.8</f>
        <v>4606673.3855999997</v>
      </c>
    </row>
    <row r="279" spans="1:18" customFormat="1" x14ac:dyDescent="0.25">
      <c r="A279" s="13">
        <f t="shared" ref="A279:A342" si="20">A278+1</f>
        <v>3</v>
      </c>
      <c r="B279" s="192"/>
      <c r="C279" s="52">
        <f t="shared" si="13"/>
        <v>203</v>
      </c>
      <c r="D279" s="52" t="s">
        <v>100</v>
      </c>
      <c r="E279" s="60">
        <f>(40.738)*10.764</f>
        <v>438.50383199999999</v>
      </c>
      <c r="F279" s="60">
        <f>(2.9*2.6+5.5*1.5)*10.764</f>
        <v>169.96355999999997</v>
      </c>
      <c r="G279" s="60">
        <f t="shared" ref="G279:G284" si="21">E279+(IF(F279&lt;101,F279,IF(F279&lt;201,F279/2,IF(F279&lt;=301,F279/3,F279/4))))</f>
        <v>523.48561199999995</v>
      </c>
      <c r="H279" s="60">
        <f t="shared" ref="H279:H284" si="22">G279*1.2</f>
        <v>628.18273439999996</v>
      </c>
      <c r="I279" s="32">
        <f t="shared" si="16"/>
        <v>1570456.8359999999</v>
      </c>
      <c r="J279" s="32">
        <f t="shared" ref="J279:J284" si="23">G279*$J$273</f>
        <v>5234856.1199999992</v>
      </c>
      <c r="K279" s="143">
        <v>10000</v>
      </c>
      <c r="L279" s="156">
        <f t="shared" si="18"/>
        <v>5758341.7319999989</v>
      </c>
      <c r="M279" s="156"/>
      <c r="N279" s="143">
        <f t="shared" si="19"/>
        <v>4606673.3855999997</v>
      </c>
    </row>
    <row r="280" spans="1:18" customFormat="1" x14ac:dyDescent="0.25">
      <c r="A280" s="13">
        <f t="shared" si="20"/>
        <v>4</v>
      </c>
      <c r="B280" s="192"/>
      <c r="C280" s="52">
        <f t="shared" si="13"/>
        <v>204</v>
      </c>
      <c r="D280" s="52" t="s">
        <v>104</v>
      </c>
      <c r="E280" s="60">
        <f>(57.605)*10.764</f>
        <v>620.06021999999996</v>
      </c>
      <c r="F280" s="60">
        <f>(3.05*2.6+8.7*1.8)*10.764</f>
        <v>253.92275999999995</v>
      </c>
      <c r="G280" s="60">
        <f t="shared" si="21"/>
        <v>704.7011399999999</v>
      </c>
      <c r="H280" s="60">
        <f t="shared" si="22"/>
        <v>845.64136799999983</v>
      </c>
      <c r="I280" s="32">
        <f t="shared" si="16"/>
        <v>2114103.4199999995</v>
      </c>
      <c r="J280" s="32">
        <f t="shared" si="23"/>
        <v>7047011.3999999985</v>
      </c>
      <c r="K280" s="143">
        <v>17000</v>
      </c>
      <c r="L280" s="156">
        <f t="shared" si="18"/>
        <v>7751712.5399999982</v>
      </c>
      <c r="M280" s="156"/>
      <c r="N280" s="143">
        <f t="shared" si="19"/>
        <v>6201370.0319999987</v>
      </c>
    </row>
    <row r="281" spans="1:18" customFormat="1" x14ac:dyDescent="0.25">
      <c r="A281" s="13" t="s">
        <v>171</v>
      </c>
      <c r="B281" s="192"/>
      <c r="C281" s="52">
        <f t="shared" si="13"/>
        <v>205</v>
      </c>
      <c r="D281" s="52" t="s">
        <v>171</v>
      </c>
      <c r="E281" s="148" t="s">
        <v>654</v>
      </c>
      <c r="F281" s="149"/>
      <c r="G281" s="149"/>
      <c r="H281" s="149"/>
      <c r="I281" s="149"/>
      <c r="J281" s="149"/>
      <c r="K281" s="149"/>
      <c r="L281" s="149"/>
      <c r="M281" s="149"/>
      <c r="N281" s="150"/>
    </row>
    <row r="282" spans="1:18" customFormat="1" x14ac:dyDescent="0.25">
      <c r="A282" s="13">
        <v>5</v>
      </c>
      <c r="B282" s="192"/>
      <c r="C282" s="52">
        <f t="shared" si="13"/>
        <v>206</v>
      </c>
      <c r="D282" s="52" t="s">
        <v>100</v>
      </c>
      <c r="E282" s="60">
        <f>(40.738+0.75*2.9)*10.764</f>
        <v>461.91553199999993</v>
      </c>
      <c r="F282" s="60">
        <v>0</v>
      </c>
      <c r="G282" s="60">
        <f t="shared" si="21"/>
        <v>461.91553199999993</v>
      </c>
      <c r="H282" s="60">
        <f t="shared" si="22"/>
        <v>554.29863839999985</v>
      </c>
      <c r="I282" s="32">
        <f t="shared" ref="I282:I317" si="24">H282*I$273</f>
        <v>1385746.5959999997</v>
      </c>
      <c r="J282" s="32">
        <f t="shared" si="23"/>
        <v>4619155.3199999994</v>
      </c>
      <c r="K282" s="143">
        <v>9000</v>
      </c>
      <c r="L282" s="156">
        <f t="shared" si="18"/>
        <v>5081070.851999999</v>
      </c>
      <c r="M282" s="156"/>
      <c r="N282" s="143">
        <f t="shared" si="19"/>
        <v>4064856.6815999993</v>
      </c>
    </row>
    <row r="283" spans="1:18" customFormat="1" x14ac:dyDescent="0.25">
      <c r="A283" s="13">
        <f t="shared" si="20"/>
        <v>6</v>
      </c>
      <c r="B283" s="192"/>
      <c r="C283" s="52">
        <f t="shared" si="13"/>
        <v>207</v>
      </c>
      <c r="D283" s="52" t="s">
        <v>100</v>
      </c>
      <c r="E283" s="60">
        <f>(40.738+1.8*2.9)*10.764</f>
        <v>494.69191199999995</v>
      </c>
      <c r="F283" s="60">
        <v>0</v>
      </c>
      <c r="G283" s="60">
        <f t="shared" si="21"/>
        <v>494.69191199999995</v>
      </c>
      <c r="H283" s="60">
        <f t="shared" si="22"/>
        <v>593.63029439999991</v>
      </c>
      <c r="I283" s="32">
        <f t="shared" si="24"/>
        <v>1484075.7359999998</v>
      </c>
      <c r="J283" s="32">
        <f t="shared" si="23"/>
        <v>4946919.1199999992</v>
      </c>
      <c r="K283" s="143">
        <v>10000</v>
      </c>
      <c r="L283" s="156">
        <f t="shared" si="18"/>
        <v>5441611.0319999987</v>
      </c>
      <c r="M283" s="156"/>
      <c r="N283" s="143">
        <f t="shared" si="19"/>
        <v>4353288.8255999992</v>
      </c>
    </row>
    <row r="284" spans="1:18" customFormat="1" x14ac:dyDescent="0.25">
      <c r="A284" s="13">
        <f t="shared" si="20"/>
        <v>7</v>
      </c>
      <c r="B284" s="175"/>
      <c r="C284" s="52">
        <f t="shared" si="13"/>
        <v>208</v>
      </c>
      <c r="D284" s="52" t="s">
        <v>104</v>
      </c>
      <c r="E284" s="60">
        <f>(57.605+1.8*3.05)*10.764</f>
        <v>679.1545799999999</v>
      </c>
      <c r="F284" s="60">
        <v>0</v>
      </c>
      <c r="G284" s="60">
        <f t="shared" si="21"/>
        <v>679.1545799999999</v>
      </c>
      <c r="H284" s="60">
        <f t="shared" si="22"/>
        <v>814.9854959999999</v>
      </c>
      <c r="I284" s="32">
        <f t="shared" si="24"/>
        <v>2037463.7399999998</v>
      </c>
      <c r="J284" s="32">
        <f t="shared" si="23"/>
        <v>6791545.7999999989</v>
      </c>
      <c r="K284" s="143">
        <v>15000</v>
      </c>
      <c r="L284" s="156">
        <f t="shared" si="18"/>
        <v>7470700.379999999</v>
      </c>
      <c r="M284" s="156"/>
      <c r="N284" s="143">
        <f t="shared" si="19"/>
        <v>5976560.3039999995</v>
      </c>
    </row>
    <row r="285" spans="1:18" customFormat="1" x14ac:dyDescent="0.25">
      <c r="A285" s="13">
        <f t="shared" si="20"/>
        <v>8</v>
      </c>
      <c r="B285" s="174" t="s">
        <v>590</v>
      </c>
      <c r="C285" s="52">
        <f>LEFT(B285,SUM(LEN(B285)-LEN(SUBSTITUTE(B285,{"0","1","2","3","4","5","6","7","8","9"},""))))*100+1</f>
        <v>301</v>
      </c>
      <c r="D285" s="52" t="s">
        <v>104</v>
      </c>
      <c r="E285" s="60">
        <f>(57.605+1.8*3.05)*10.764</f>
        <v>679.1545799999999</v>
      </c>
      <c r="F285" s="60">
        <v>0</v>
      </c>
      <c r="G285" s="60">
        <f t="shared" si="14"/>
        <v>679.1545799999999</v>
      </c>
      <c r="H285" s="60">
        <f t="shared" si="15"/>
        <v>814.9854959999999</v>
      </c>
      <c r="I285" s="32">
        <f t="shared" si="24"/>
        <v>2037463.7399999998</v>
      </c>
      <c r="J285" s="32">
        <f t="shared" si="17"/>
        <v>6791545.7999999989</v>
      </c>
      <c r="K285" s="143">
        <v>15000</v>
      </c>
      <c r="L285" s="156">
        <f t="shared" si="18"/>
        <v>7470700.379999999</v>
      </c>
      <c r="M285" s="156"/>
      <c r="N285" s="143">
        <f t="shared" si="19"/>
        <v>5976560.3039999995</v>
      </c>
    </row>
    <row r="286" spans="1:18" customFormat="1" x14ac:dyDescent="0.25">
      <c r="A286" s="13">
        <f t="shared" si="20"/>
        <v>9</v>
      </c>
      <c r="B286" s="192"/>
      <c r="C286" s="52">
        <f>C285+1</f>
        <v>302</v>
      </c>
      <c r="D286" s="52" t="s">
        <v>100</v>
      </c>
      <c r="E286" s="60">
        <f>(40.738+1.8*2.9)*10.764</f>
        <v>494.69191199999995</v>
      </c>
      <c r="F286" s="60">
        <v>0</v>
      </c>
      <c r="G286" s="60">
        <f t="shared" si="14"/>
        <v>494.69191199999995</v>
      </c>
      <c r="H286" s="60">
        <f t="shared" si="15"/>
        <v>593.63029439999991</v>
      </c>
      <c r="I286" s="32">
        <f t="shared" si="24"/>
        <v>1484075.7359999998</v>
      </c>
      <c r="J286" s="32">
        <f t="shared" si="17"/>
        <v>4946919.1199999992</v>
      </c>
      <c r="K286" s="143">
        <v>10000</v>
      </c>
      <c r="L286" s="156">
        <f t="shared" si="18"/>
        <v>5441611.0319999987</v>
      </c>
      <c r="M286" s="156"/>
      <c r="N286" s="143">
        <f t="shared" si="19"/>
        <v>4353288.8255999992</v>
      </c>
    </row>
    <row r="287" spans="1:18" customFormat="1" x14ac:dyDescent="0.25">
      <c r="A287" s="13">
        <f t="shared" si="20"/>
        <v>10</v>
      </c>
      <c r="B287" s="192"/>
      <c r="C287" s="52">
        <f t="shared" ref="C287:C292" si="25">C286+1</f>
        <v>303</v>
      </c>
      <c r="D287" s="52" t="s">
        <v>100</v>
      </c>
      <c r="E287" s="60">
        <f>(40.738+1.8*2.9)*10.764</f>
        <v>494.69191199999995</v>
      </c>
      <c r="F287" s="60">
        <v>0</v>
      </c>
      <c r="G287" s="60">
        <f t="shared" si="14"/>
        <v>494.69191199999995</v>
      </c>
      <c r="H287" s="60">
        <f t="shared" si="15"/>
        <v>593.63029439999991</v>
      </c>
      <c r="I287" s="32">
        <f t="shared" si="24"/>
        <v>1484075.7359999998</v>
      </c>
      <c r="J287" s="32">
        <f t="shared" si="17"/>
        <v>4946919.1199999992</v>
      </c>
      <c r="K287" s="143">
        <v>10000</v>
      </c>
      <c r="L287" s="156">
        <f t="shared" si="18"/>
        <v>5441611.0319999987</v>
      </c>
      <c r="M287" s="156"/>
      <c r="N287" s="143">
        <f t="shared" si="19"/>
        <v>4353288.8255999992</v>
      </c>
      <c r="P287">
        <v>4445000</v>
      </c>
      <c r="Q287">
        <f>P287/G287</f>
        <v>8985.3904868369882</v>
      </c>
    </row>
    <row r="288" spans="1:18" customFormat="1" x14ac:dyDescent="0.25">
      <c r="A288" s="13">
        <f t="shared" si="20"/>
        <v>11</v>
      </c>
      <c r="B288" s="192"/>
      <c r="C288" s="52">
        <f t="shared" si="25"/>
        <v>304</v>
      </c>
      <c r="D288" s="52" t="s">
        <v>104</v>
      </c>
      <c r="E288" s="60">
        <f>(57.605+1.8*3.05)*10.764</f>
        <v>679.1545799999999</v>
      </c>
      <c r="F288" s="60">
        <v>0</v>
      </c>
      <c r="G288" s="60">
        <f t="shared" si="14"/>
        <v>679.1545799999999</v>
      </c>
      <c r="H288" s="60">
        <f t="shared" si="15"/>
        <v>814.9854959999999</v>
      </c>
      <c r="I288" s="32">
        <f t="shared" si="24"/>
        <v>2037463.7399999998</v>
      </c>
      <c r="J288" s="32">
        <f t="shared" si="17"/>
        <v>6791545.7999999989</v>
      </c>
      <c r="K288" s="143">
        <v>15000</v>
      </c>
      <c r="L288" s="156">
        <f t="shared" si="18"/>
        <v>7470700.379999999</v>
      </c>
      <c r="M288" s="156"/>
      <c r="N288" s="143">
        <f t="shared" si="19"/>
        <v>5976560.3039999995</v>
      </c>
      <c r="P288">
        <v>6100000</v>
      </c>
      <c r="Q288">
        <f>P288/G288</f>
        <v>8981.7549342006951</v>
      </c>
    </row>
    <row r="289" spans="1:16" customFormat="1" x14ac:dyDescent="0.25">
      <c r="A289" s="13">
        <f t="shared" si="20"/>
        <v>12</v>
      </c>
      <c r="B289" s="192"/>
      <c r="C289" s="52">
        <f t="shared" si="25"/>
        <v>305</v>
      </c>
      <c r="D289" s="52" t="s">
        <v>104</v>
      </c>
      <c r="E289" s="60">
        <f>(57.605+0.75*3.05)*10.764</f>
        <v>644.68286999999998</v>
      </c>
      <c r="F289" s="60">
        <v>0</v>
      </c>
      <c r="G289" s="60">
        <f t="shared" si="14"/>
        <v>644.68286999999998</v>
      </c>
      <c r="H289" s="60">
        <f t="shared" si="15"/>
        <v>773.61944399999993</v>
      </c>
      <c r="I289" s="32">
        <f t="shared" si="24"/>
        <v>1934048.6099999999</v>
      </c>
      <c r="J289" s="32">
        <f t="shared" si="17"/>
        <v>6446828.7000000002</v>
      </c>
      <c r="K289" s="143">
        <v>15000</v>
      </c>
      <c r="L289" s="156">
        <f t="shared" si="18"/>
        <v>7091511.5700000003</v>
      </c>
      <c r="M289" s="156"/>
      <c r="N289" s="143">
        <f t="shared" si="19"/>
        <v>5673209.256000001</v>
      </c>
    </row>
    <row r="290" spans="1:16" customFormat="1" x14ac:dyDescent="0.25">
      <c r="A290" s="13">
        <f t="shared" si="20"/>
        <v>13</v>
      </c>
      <c r="B290" s="192"/>
      <c r="C290" s="52">
        <f t="shared" si="25"/>
        <v>306</v>
      </c>
      <c r="D290" s="52" t="s">
        <v>100</v>
      </c>
      <c r="E290" s="60">
        <f>(40.738+0.75*2.9)*10.764</f>
        <v>461.91553199999993</v>
      </c>
      <c r="F290" s="60">
        <v>0</v>
      </c>
      <c r="G290" s="60">
        <f t="shared" si="14"/>
        <v>461.91553199999993</v>
      </c>
      <c r="H290" s="60">
        <f t="shared" si="15"/>
        <v>554.29863839999985</v>
      </c>
      <c r="I290" s="32">
        <f t="shared" si="24"/>
        <v>1385746.5959999997</v>
      </c>
      <c r="J290" s="32">
        <f t="shared" si="17"/>
        <v>4619155.3199999994</v>
      </c>
      <c r="K290" s="143">
        <v>10000</v>
      </c>
      <c r="L290" s="156">
        <f t="shared" si="18"/>
        <v>5081070.851999999</v>
      </c>
      <c r="M290" s="156"/>
      <c r="N290" s="143">
        <f t="shared" si="19"/>
        <v>4064856.6815999993</v>
      </c>
    </row>
    <row r="291" spans="1:16" customFormat="1" x14ac:dyDescent="0.25">
      <c r="A291" s="13">
        <f t="shared" si="20"/>
        <v>14</v>
      </c>
      <c r="B291" s="192"/>
      <c r="C291" s="52">
        <f t="shared" si="25"/>
        <v>307</v>
      </c>
      <c r="D291" s="52" t="s">
        <v>100</v>
      </c>
      <c r="E291" s="60">
        <f>(40.738+1.8*2.9)*10.764</f>
        <v>494.69191199999995</v>
      </c>
      <c r="F291" s="60">
        <v>0</v>
      </c>
      <c r="G291" s="60">
        <f t="shared" ref="G291:G298" si="26">E291+(IF(F291&lt;101,F291,IF(F291&lt;201,F291/2,IF(F291&lt;=301,F291/3,F291/4))))</f>
        <v>494.69191199999995</v>
      </c>
      <c r="H291" s="60">
        <f t="shared" ref="H291:H298" si="27">G291*1.2</f>
        <v>593.63029439999991</v>
      </c>
      <c r="I291" s="32">
        <f t="shared" si="24"/>
        <v>1484075.7359999998</v>
      </c>
      <c r="J291" s="32">
        <f t="shared" ref="J291:J298" si="28">G291*$J$273</f>
        <v>4946919.1199999992</v>
      </c>
      <c r="K291" s="143">
        <v>10000</v>
      </c>
      <c r="L291" s="156">
        <f t="shared" si="18"/>
        <v>5441611.0319999987</v>
      </c>
      <c r="M291" s="156"/>
      <c r="N291" s="143">
        <f t="shared" si="19"/>
        <v>4353288.8255999992</v>
      </c>
    </row>
    <row r="292" spans="1:16" customFormat="1" x14ac:dyDescent="0.25">
      <c r="A292" s="13">
        <f t="shared" si="20"/>
        <v>15</v>
      </c>
      <c r="B292" s="175"/>
      <c r="C292" s="52">
        <f t="shared" si="25"/>
        <v>308</v>
      </c>
      <c r="D292" s="52" t="s">
        <v>104</v>
      </c>
      <c r="E292" s="60">
        <f>(57.605+1.8*3.05)*10.764</f>
        <v>679.1545799999999</v>
      </c>
      <c r="F292" s="60">
        <v>0</v>
      </c>
      <c r="G292" s="60">
        <f t="shared" si="26"/>
        <v>679.1545799999999</v>
      </c>
      <c r="H292" s="60">
        <f t="shared" si="27"/>
        <v>814.9854959999999</v>
      </c>
      <c r="I292" s="32">
        <f t="shared" si="24"/>
        <v>2037463.7399999998</v>
      </c>
      <c r="J292" s="32">
        <f t="shared" si="28"/>
        <v>6791545.7999999989</v>
      </c>
      <c r="K292" s="143">
        <v>15000</v>
      </c>
      <c r="L292" s="156">
        <f t="shared" si="18"/>
        <v>7470700.379999999</v>
      </c>
      <c r="M292" s="156"/>
      <c r="N292" s="143">
        <f t="shared" si="19"/>
        <v>5976560.3039999995</v>
      </c>
    </row>
    <row r="293" spans="1:16" customFormat="1" x14ac:dyDescent="0.25">
      <c r="A293" s="13">
        <f t="shared" si="20"/>
        <v>16</v>
      </c>
      <c r="B293" s="174" t="s">
        <v>591</v>
      </c>
      <c r="C293" s="52">
        <f>LEFT(B293,SUM(LEN(B293)-LEN(SUBSTITUTE(B293,{"0","1","2","3","4","5","6","7","8","9"},""))))*100+1</f>
        <v>401</v>
      </c>
      <c r="D293" s="52" t="s">
        <v>104</v>
      </c>
      <c r="E293" s="60">
        <f>(57.605+1.8*3.05)*10.764</f>
        <v>679.1545799999999</v>
      </c>
      <c r="F293" s="60">
        <v>0</v>
      </c>
      <c r="G293" s="60">
        <f t="shared" si="26"/>
        <v>679.1545799999999</v>
      </c>
      <c r="H293" s="60">
        <f t="shared" si="27"/>
        <v>814.9854959999999</v>
      </c>
      <c r="I293" s="32">
        <f t="shared" si="24"/>
        <v>2037463.7399999998</v>
      </c>
      <c r="J293" s="32">
        <f t="shared" si="28"/>
        <v>6791545.7999999989</v>
      </c>
      <c r="K293" s="143">
        <v>15000</v>
      </c>
      <c r="L293" s="156">
        <f t="shared" si="18"/>
        <v>7470700.379999999</v>
      </c>
      <c r="M293" s="156"/>
      <c r="N293" s="143">
        <f t="shared" si="19"/>
        <v>5976560.3039999995</v>
      </c>
    </row>
    <row r="294" spans="1:16" customFormat="1" x14ac:dyDescent="0.25">
      <c r="A294" s="13">
        <f t="shared" si="20"/>
        <v>17</v>
      </c>
      <c r="B294" s="192"/>
      <c r="C294" s="52">
        <f>C293+1</f>
        <v>402</v>
      </c>
      <c r="D294" s="52" t="s">
        <v>100</v>
      </c>
      <c r="E294" s="60">
        <f>(40.738+1.8*2.9)*10.764</f>
        <v>494.69191199999995</v>
      </c>
      <c r="F294" s="60">
        <v>0</v>
      </c>
      <c r="G294" s="60">
        <f t="shared" si="26"/>
        <v>494.69191199999995</v>
      </c>
      <c r="H294" s="60">
        <f t="shared" si="27"/>
        <v>593.63029439999991</v>
      </c>
      <c r="I294" s="32">
        <f t="shared" si="24"/>
        <v>1484075.7359999998</v>
      </c>
      <c r="J294" s="32">
        <f t="shared" si="28"/>
        <v>4946919.1199999992</v>
      </c>
      <c r="K294" s="143">
        <v>10000</v>
      </c>
      <c r="L294" s="156">
        <f t="shared" si="18"/>
        <v>5441611.0319999987</v>
      </c>
      <c r="M294" s="156"/>
      <c r="N294" s="143">
        <f t="shared" si="19"/>
        <v>4353288.8255999992</v>
      </c>
      <c r="P294">
        <f>4742495/G294</f>
        <v>9586.764782198421</v>
      </c>
    </row>
    <row r="295" spans="1:16" customFormat="1" x14ac:dyDescent="0.25">
      <c r="A295" s="13">
        <f t="shared" si="20"/>
        <v>18</v>
      </c>
      <c r="B295" s="192"/>
      <c r="C295" s="52">
        <f t="shared" ref="C295:C300" si="29">C294+1</f>
        <v>403</v>
      </c>
      <c r="D295" s="52" t="s">
        <v>100</v>
      </c>
      <c r="E295" s="60">
        <f>(40.738+1.8*2.9)*10.764</f>
        <v>494.69191199999995</v>
      </c>
      <c r="F295" s="60">
        <v>0</v>
      </c>
      <c r="G295" s="60">
        <f t="shared" si="26"/>
        <v>494.69191199999995</v>
      </c>
      <c r="H295" s="60">
        <f t="shared" si="27"/>
        <v>593.63029439999991</v>
      </c>
      <c r="I295" s="32">
        <f t="shared" si="24"/>
        <v>1484075.7359999998</v>
      </c>
      <c r="J295" s="32">
        <f t="shared" si="28"/>
        <v>4946919.1199999992</v>
      </c>
      <c r="K295" s="143">
        <v>10000</v>
      </c>
      <c r="L295" s="156">
        <f t="shared" si="18"/>
        <v>5441611.0319999987</v>
      </c>
      <c r="M295" s="156"/>
      <c r="N295" s="143">
        <f t="shared" si="19"/>
        <v>4353288.8255999992</v>
      </c>
    </row>
    <row r="296" spans="1:16" customFormat="1" x14ac:dyDescent="0.25">
      <c r="A296" s="13">
        <f t="shared" si="20"/>
        <v>19</v>
      </c>
      <c r="B296" s="192"/>
      <c r="C296" s="52">
        <f t="shared" si="29"/>
        <v>404</v>
      </c>
      <c r="D296" s="52" t="s">
        <v>104</v>
      </c>
      <c r="E296" s="60">
        <f>(57.605+1.8*3.05)*10.764</f>
        <v>679.1545799999999</v>
      </c>
      <c r="F296" s="60">
        <v>0</v>
      </c>
      <c r="G296" s="60">
        <f t="shared" si="26"/>
        <v>679.1545799999999</v>
      </c>
      <c r="H296" s="60">
        <f t="shared" si="27"/>
        <v>814.9854959999999</v>
      </c>
      <c r="I296" s="32">
        <f t="shared" si="24"/>
        <v>2037463.7399999998</v>
      </c>
      <c r="J296" s="32">
        <f t="shared" si="28"/>
        <v>6791545.7999999989</v>
      </c>
      <c r="K296" s="143">
        <v>15000</v>
      </c>
      <c r="L296" s="156">
        <f t="shared" si="18"/>
        <v>7470700.379999999</v>
      </c>
      <c r="M296" s="156"/>
      <c r="N296" s="143">
        <f t="shared" si="19"/>
        <v>5976560.3039999995</v>
      </c>
    </row>
    <row r="297" spans="1:16" customFormat="1" x14ac:dyDescent="0.25">
      <c r="A297" s="13">
        <f t="shared" si="20"/>
        <v>20</v>
      </c>
      <c r="B297" s="192"/>
      <c r="C297" s="52">
        <f t="shared" si="29"/>
        <v>405</v>
      </c>
      <c r="D297" s="52" t="s">
        <v>104</v>
      </c>
      <c r="E297" s="60">
        <f>(57.605+0.75*3.05)*10.764</f>
        <v>644.68286999999998</v>
      </c>
      <c r="F297" s="60">
        <v>0</v>
      </c>
      <c r="G297" s="60">
        <f t="shared" si="26"/>
        <v>644.68286999999998</v>
      </c>
      <c r="H297" s="60">
        <f t="shared" si="27"/>
        <v>773.61944399999993</v>
      </c>
      <c r="I297" s="32">
        <f t="shared" si="24"/>
        <v>1934048.6099999999</v>
      </c>
      <c r="J297" s="32">
        <f t="shared" si="28"/>
        <v>6446828.7000000002</v>
      </c>
      <c r="K297" s="143">
        <v>15000</v>
      </c>
      <c r="L297" s="156">
        <f t="shared" si="18"/>
        <v>7091511.5700000003</v>
      </c>
      <c r="M297" s="156"/>
      <c r="N297" s="143">
        <f t="shared" si="19"/>
        <v>5673209.256000001</v>
      </c>
    </row>
    <row r="298" spans="1:16" customFormat="1" x14ac:dyDescent="0.25">
      <c r="A298" s="13">
        <f t="shared" si="20"/>
        <v>21</v>
      </c>
      <c r="B298" s="192"/>
      <c r="C298" s="52">
        <f t="shared" si="29"/>
        <v>406</v>
      </c>
      <c r="D298" s="52" t="s">
        <v>100</v>
      </c>
      <c r="E298" s="60">
        <f>(40.738+0.75*2.9)*10.764</f>
        <v>461.91553199999993</v>
      </c>
      <c r="F298" s="60">
        <v>0</v>
      </c>
      <c r="G298" s="60">
        <f t="shared" si="26"/>
        <v>461.91553199999993</v>
      </c>
      <c r="H298" s="60">
        <f t="shared" si="27"/>
        <v>554.29863839999985</v>
      </c>
      <c r="I298" s="32">
        <f t="shared" si="24"/>
        <v>1385746.5959999997</v>
      </c>
      <c r="J298" s="32">
        <f t="shared" si="28"/>
        <v>4619155.3199999994</v>
      </c>
      <c r="K298" s="143">
        <v>10000</v>
      </c>
      <c r="L298" s="156">
        <f t="shared" si="18"/>
        <v>5081070.851999999</v>
      </c>
      <c r="M298" s="156"/>
      <c r="N298" s="143">
        <f t="shared" si="19"/>
        <v>4064856.6815999993</v>
      </c>
    </row>
    <row r="299" spans="1:16" customFormat="1" x14ac:dyDescent="0.25">
      <c r="A299" s="13">
        <f t="shared" si="20"/>
        <v>22</v>
      </c>
      <c r="B299" s="192"/>
      <c r="C299" s="52">
        <f t="shared" si="29"/>
        <v>407</v>
      </c>
      <c r="D299" s="52" t="s">
        <v>100</v>
      </c>
      <c r="E299" s="60">
        <f>(40.738+1.8*2.9)*10.764</f>
        <v>494.69191199999995</v>
      </c>
      <c r="F299" s="60">
        <v>0</v>
      </c>
      <c r="G299" s="60">
        <f t="shared" ref="G299:G300" si="30">E299+(IF(F299&lt;101,F299,IF(F299&lt;201,F299/2,IF(F299&lt;=301,F299/3,F299/4))))</f>
        <v>494.69191199999995</v>
      </c>
      <c r="H299" s="60">
        <f t="shared" ref="H299:H300" si="31">G299*1.2</f>
        <v>593.63029439999991</v>
      </c>
      <c r="I299" s="32">
        <f t="shared" si="24"/>
        <v>1484075.7359999998</v>
      </c>
      <c r="J299" s="32">
        <f t="shared" ref="J299:J300" si="32">G299*$J$273</f>
        <v>4946919.1199999992</v>
      </c>
      <c r="K299" s="143">
        <v>10000</v>
      </c>
      <c r="L299" s="156">
        <f t="shared" si="18"/>
        <v>5441611.0319999987</v>
      </c>
      <c r="M299" s="156"/>
      <c r="N299" s="143">
        <f t="shared" si="19"/>
        <v>4353288.8255999992</v>
      </c>
    </row>
    <row r="300" spans="1:16" customFormat="1" x14ac:dyDescent="0.25">
      <c r="A300" s="13">
        <f t="shared" si="20"/>
        <v>23</v>
      </c>
      <c r="B300" s="175"/>
      <c r="C300" s="52">
        <f t="shared" si="29"/>
        <v>408</v>
      </c>
      <c r="D300" s="52" t="s">
        <v>104</v>
      </c>
      <c r="E300" s="60">
        <f>(57.605+1.8*3.05)*10.764</f>
        <v>679.1545799999999</v>
      </c>
      <c r="F300" s="60">
        <v>0</v>
      </c>
      <c r="G300" s="60">
        <f t="shared" si="30"/>
        <v>679.1545799999999</v>
      </c>
      <c r="H300" s="60">
        <f t="shared" si="31"/>
        <v>814.9854959999999</v>
      </c>
      <c r="I300" s="32">
        <f t="shared" si="24"/>
        <v>2037463.7399999998</v>
      </c>
      <c r="J300" s="32">
        <f t="shared" si="32"/>
        <v>6791545.7999999989</v>
      </c>
      <c r="K300" s="143">
        <v>15000</v>
      </c>
      <c r="L300" s="156">
        <f t="shared" si="18"/>
        <v>7470700.379999999</v>
      </c>
      <c r="M300" s="156"/>
      <c r="N300" s="143">
        <f t="shared" si="19"/>
        <v>5976560.3039999995</v>
      </c>
    </row>
    <row r="301" spans="1:16" customFormat="1" x14ac:dyDescent="0.25">
      <c r="A301" s="13">
        <f t="shared" si="20"/>
        <v>24</v>
      </c>
      <c r="B301" s="174" t="s">
        <v>592</v>
      </c>
      <c r="C301" s="52">
        <f>LEFT(B301,SUM(LEN(B301)-LEN(SUBSTITUTE(B301,{"0","1","2","3","4","5","6","7","8","9"},""))))*100+1</f>
        <v>501</v>
      </c>
      <c r="D301" s="52" t="s">
        <v>104</v>
      </c>
      <c r="E301" s="60">
        <f>(57.605+1.8*3.05)*10.764</f>
        <v>679.1545799999999</v>
      </c>
      <c r="F301" s="60">
        <v>0</v>
      </c>
      <c r="G301" s="60">
        <f t="shared" si="14"/>
        <v>679.1545799999999</v>
      </c>
      <c r="H301" s="60">
        <f t="shared" si="15"/>
        <v>814.9854959999999</v>
      </c>
      <c r="I301" s="32">
        <f t="shared" si="24"/>
        <v>2037463.7399999998</v>
      </c>
      <c r="J301" s="32">
        <f t="shared" si="17"/>
        <v>6791545.7999999989</v>
      </c>
      <c r="K301" s="143">
        <v>15000</v>
      </c>
      <c r="L301" s="156">
        <f t="shared" si="18"/>
        <v>7470700.379999999</v>
      </c>
      <c r="M301" s="156"/>
      <c r="N301" s="143">
        <f t="shared" si="19"/>
        <v>5976560.3039999995</v>
      </c>
    </row>
    <row r="302" spans="1:16" customFormat="1" x14ac:dyDescent="0.25">
      <c r="A302" s="13">
        <f t="shared" si="20"/>
        <v>25</v>
      </c>
      <c r="B302" s="192"/>
      <c r="C302" s="52">
        <f>C301+1</f>
        <v>502</v>
      </c>
      <c r="D302" s="52" t="s">
        <v>100</v>
      </c>
      <c r="E302" s="60">
        <f>(40.738+1.8*2.9)*10.764</f>
        <v>494.69191199999995</v>
      </c>
      <c r="F302" s="60">
        <v>0</v>
      </c>
      <c r="G302" s="60">
        <f t="shared" si="14"/>
        <v>494.69191199999995</v>
      </c>
      <c r="H302" s="60">
        <f t="shared" si="15"/>
        <v>593.63029439999991</v>
      </c>
      <c r="I302" s="32">
        <f t="shared" si="24"/>
        <v>1484075.7359999998</v>
      </c>
      <c r="J302" s="32">
        <f t="shared" si="17"/>
        <v>4946919.1199999992</v>
      </c>
      <c r="K302" s="143">
        <v>10000</v>
      </c>
      <c r="L302" s="156">
        <f t="shared" si="18"/>
        <v>5441611.0319999987</v>
      </c>
      <c r="M302" s="156"/>
      <c r="N302" s="143">
        <f t="shared" si="19"/>
        <v>4353288.8255999992</v>
      </c>
    </row>
    <row r="303" spans="1:16" customFormat="1" x14ac:dyDescent="0.25">
      <c r="A303" s="13">
        <f t="shared" si="20"/>
        <v>26</v>
      </c>
      <c r="B303" s="192"/>
      <c r="C303" s="52">
        <f t="shared" ref="C303:C308" si="33">C302+1</f>
        <v>503</v>
      </c>
      <c r="D303" s="52" t="s">
        <v>100</v>
      </c>
      <c r="E303" s="60">
        <f>(40.738+1.8*2.9)*10.764</f>
        <v>494.69191199999995</v>
      </c>
      <c r="F303" s="60">
        <v>0</v>
      </c>
      <c r="G303" s="60">
        <f t="shared" si="14"/>
        <v>494.69191199999995</v>
      </c>
      <c r="H303" s="60">
        <f t="shared" si="15"/>
        <v>593.63029439999991</v>
      </c>
      <c r="I303" s="32">
        <f t="shared" si="24"/>
        <v>1484075.7359999998</v>
      </c>
      <c r="J303" s="32">
        <f t="shared" si="17"/>
        <v>4946919.1199999992</v>
      </c>
      <c r="K303" s="143">
        <v>10000</v>
      </c>
      <c r="L303" s="156">
        <f t="shared" si="18"/>
        <v>5441611.0319999987</v>
      </c>
      <c r="M303" s="156"/>
      <c r="N303" s="143">
        <f t="shared" si="19"/>
        <v>4353288.8255999992</v>
      </c>
    </row>
    <row r="304" spans="1:16" customFormat="1" x14ac:dyDescent="0.25">
      <c r="A304" s="13">
        <f t="shared" si="20"/>
        <v>27</v>
      </c>
      <c r="B304" s="192"/>
      <c r="C304" s="52">
        <f t="shared" si="33"/>
        <v>504</v>
      </c>
      <c r="D304" s="52" t="s">
        <v>104</v>
      </c>
      <c r="E304" s="60">
        <f>(57.605+1.8*3.05)*10.764</f>
        <v>679.1545799999999</v>
      </c>
      <c r="F304" s="60">
        <v>0</v>
      </c>
      <c r="G304" s="60">
        <f t="shared" si="14"/>
        <v>679.1545799999999</v>
      </c>
      <c r="H304" s="60">
        <f t="shared" si="15"/>
        <v>814.9854959999999</v>
      </c>
      <c r="I304" s="32">
        <f t="shared" si="24"/>
        <v>2037463.7399999998</v>
      </c>
      <c r="J304" s="32">
        <f t="shared" si="17"/>
        <v>6791545.7999999989</v>
      </c>
      <c r="K304" s="143">
        <v>15000</v>
      </c>
      <c r="L304" s="156">
        <f t="shared" si="18"/>
        <v>7470700.379999999</v>
      </c>
      <c r="M304" s="156"/>
      <c r="N304" s="143">
        <f t="shared" si="19"/>
        <v>5976560.3039999995</v>
      </c>
    </row>
    <row r="305" spans="1:14" customFormat="1" x14ac:dyDescent="0.25">
      <c r="A305" s="13">
        <f t="shared" si="20"/>
        <v>28</v>
      </c>
      <c r="B305" s="192"/>
      <c r="C305" s="52">
        <f t="shared" si="33"/>
        <v>505</v>
      </c>
      <c r="D305" s="52" t="s">
        <v>104</v>
      </c>
      <c r="E305" s="60">
        <f>(57.605+0.75*3.05)*10.764</f>
        <v>644.68286999999998</v>
      </c>
      <c r="F305" s="60">
        <v>0</v>
      </c>
      <c r="G305" s="60">
        <f t="shared" si="14"/>
        <v>644.68286999999998</v>
      </c>
      <c r="H305" s="60">
        <f t="shared" si="15"/>
        <v>773.61944399999993</v>
      </c>
      <c r="I305" s="32">
        <f t="shared" si="24"/>
        <v>1934048.6099999999</v>
      </c>
      <c r="J305" s="32">
        <f t="shared" si="17"/>
        <v>6446828.7000000002</v>
      </c>
      <c r="K305" s="143">
        <v>15000</v>
      </c>
      <c r="L305" s="156">
        <f t="shared" si="18"/>
        <v>7091511.5700000003</v>
      </c>
      <c r="M305" s="156"/>
      <c r="N305" s="143">
        <f t="shared" si="19"/>
        <v>5673209.256000001</v>
      </c>
    </row>
    <row r="306" spans="1:14" customFormat="1" x14ac:dyDescent="0.25">
      <c r="A306" s="13">
        <f t="shared" si="20"/>
        <v>29</v>
      </c>
      <c r="B306" s="192"/>
      <c r="C306" s="52">
        <f t="shared" si="33"/>
        <v>506</v>
      </c>
      <c r="D306" s="52" t="s">
        <v>100</v>
      </c>
      <c r="E306" s="60">
        <f>(40.738+0.75*2.9)*10.764</f>
        <v>461.91553199999993</v>
      </c>
      <c r="F306" s="60">
        <v>0</v>
      </c>
      <c r="G306" s="60">
        <f t="shared" si="14"/>
        <v>461.91553199999993</v>
      </c>
      <c r="H306" s="60">
        <f t="shared" si="15"/>
        <v>554.29863839999985</v>
      </c>
      <c r="I306" s="32">
        <f t="shared" si="24"/>
        <v>1385746.5959999997</v>
      </c>
      <c r="J306" s="32">
        <f t="shared" si="17"/>
        <v>4619155.3199999994</v>
      </c>
      <c r="K306" s="143">
        <v>10000</v>
      </c>
      <c r="L306" s="156">
        <f t="shared" si="18"/>
        <v>5081070.851999999</v>
      </c>
      <c r="M306" s="156"/>
      <c r="N306" s="143">
        <f t="shared" si="19"/>
        <v>4064856.6815999993</v>
      </c>
    </row>
    <row r="307" spans="1:14" customFormat="1" x14ac:dyDescent="0.25">
      <c r="A307" s="13">
        <f t="shared" si="20"/>
        <v>30</v>
      </c>
      <c r="B307" s="192"/>
      <c r="C307" s="52">
        <f t="shared" si="33"/>
        <v>507</v>
      </c>
      <c r="D307" s="52" t="s">
        <v>100</v>
      </c>
      <c r="E307" s="60">
        <f>(40.738+1.8*2.9)*10.764</f>
        <v>494.69191199999995</v>
      </c>
      <c r="F307" s="60">
        <v>0</v>
      </c>
      <c r="G307" s="60">
        <f t="shared" ref="G307:G314" si="34">E307+(IF(F307&lt;101,F307,IF(F307&lt;201,F307/2,IF(F307&lt;=301,F307/3,F307/4))))</f>
        <v>494.69191199999995</v>
      </c>
      <c r="H307" s="60">
        <f t="shared" ref="H307:H314" si="35">G307*1.2</f>
        <v>593.63029439999991</v>
      </c>
      <c r="I307" s="32">
        <f t="shared" si="24"/>
        <v>1484075.7359999998</v>
      </c>
      <c r="J307" s="32">
        <f t="shared" ref="J307:J314" si="36">G307*$J$273</f>
        <v>4946919.1199999992</v>
      </c>
      <c r="K307" s="143">
        <v>10000</v>
      </c>
      <c r="L307" s="156">
        <f t="shared" si="18"/>
        <v>5441611.0319999987</v>
      </c>
      <c r="M307" s="156"/>
      <c r="N307" s="143">
        <f t="shared" si="19"/>
        <v>4353288.8255999992</v>
      </c>
    </row>
    <row r="308" spans="1:14" customFormat="1" x14ac:dyDescent="0.25">
      <c r="A308" s="13">
        <f t="shared" si="20"/>
        <v>31</v>
      </c>
      <c r="B308" s="175"/>
      <c r="C308" s="52">
        <f t="shared" si="33"/>
        <v>508</v>
      </c>
      <c r="D308" s="52" t="s">
        <v>104</v>
      </c>
      <c r="E308" s="60">
        <f>(57.605+1.8*3.05)*10.764</f>
        <v>679.1545799999999</v>
      </c>
      <c r="F308" s="60">
        <v>0</v>
      </c>
      <c r="G308" s="60">
        <f t="shared" si="34"/>
        <v>679.1545799999999</v>
      </c>
      <c r="H308" s="60">
        <f t="shared" si="35"/>
        <v>814.9854959999999</v>
      </c>
      <c r="I308" s="32">
        <f t="shared" si="24"/>
        <v>2037463.7399999998</v>
      </c>
      <c r="J308" s="32">
        <f t="shared" si="36"/>
        <v>6791545.7999999989</v>
      </c>
      <c r="K308" s="143">
        <v>15000</v>
      </c>
      <c r="L308" s="156">
        <f t="shared" si="18"/>
        <v>7470700.379999999</v>
      </c>
      <c r="M308" s="156"/>
      <c r="N308" s="143">
        <f t="shared" si="19"/>
        <v>5976560.3039999995</v>
      </c>
    </row>
    <row r="309" spans="1:14" customFormat="1" x14ac:dyDescent="0.25">
      <c r="A309" s="13">
        <f t="shared" si="20"/>
        <v>32</v>
      </c>
      <c r="B309" s="174" t="s">
        <v>593</v>
      </c>
      <c r="C309" s="52">
        <f>LEFT(B309,SUM(LEN(B309)-LEN(SUBSTITUTE(B309,{"0","1","2","3","4","5","6","7","8","9"},""))))*100+1</f>
        <v>601</v>
      </c>
      <c r="D309" s="52" t="s">
        <v>104</v>
      </c>
      <c r="E309" s="60">
        <f>(57.605+1.8*3.05)*10.764</f>
        <v>679.1545799999999</v>
      </c>
      <c r="F309" s="60">
        <v>0</v>
      </c>
      <c r="G309" s="60">
        <f t="shared" si="34"/>
        <v>679.1545799999999</v>
      </c>
      <c r="H309" s="60">
        <f t="shared" si="35"/>
        <v>814.9854959999999</v>
      </c>
      <c r="I309" s="32">
        <f t="shared" si="24"/>
        <v>2037463.7399999998</v>
      </c>
      <c r="J309" s="32">
        <f t="shared" si="36"/>
        <v>6791545.7999999989</v>
      </c>
      <c r="K309" s="143">
        <v>15000</v>
      </c>
      <c r="L309" s="156">
        <f t="shared" si="18"/>
        <v>7470700.379999999</v>
      </c>
      <c r="M309" s="156"/>
      <c r="N309" s="143">
        <f t="shared" si="19"/>
        <v>5976560.3039999995</v>
      </c>
    </row>
    <row r="310" spans="1:14" customFormat="1" x14ac:dyDescent="0.25">
      <c r="A310" s="13">
        <f t="shared" si="20"/>
        <v>33</v>
      </c>
      <c r="B310" s="192"/>
      <c r="C310" s="52">
        <f>C309+1</f>
        <v>602</v>
      </c>
      <c r="D310" s="52" t="s">
        <v>100</v>
      </c>
      <c r="E310" s="60">
        <f>(40.738+1.8*2.9)*10.764</f>
        <v>494.69191199999995</v>
      </c>
      <c r="F310" s="60">
        <v>0</v>
      </c>
      <c r="G310" s="60">
        <f t="shared" si="34"/>
        <v>494.69191199999995</v>
      </c>
      <c r="H310" s="60">
        <f t="shared" si="35"/>
        <v>593.63029439999991</v>
      </c>
      <c r="I310" s="32">
        <f t="shared" si="24"/>
        <v>1484075.7359999998</v>
      </c>
      <c r="J310" s="32">
        <f t="shared" si="36"/>
        <v>4946919.1199999992</v>
      </c>
      <c r="K310" s="143">
        <v>10000</v>
      </c>
      <c r="L310" s="156">
        <f t="shared" si="18"/>
        <v>5441611.0319999987</v>
      </c>
      <c r="M310" s="156"/>
      <c r="N310" s="143">
        <f t="shared" si="19"/>
        <v>4353288.8255999992</v>
      </c>
    </row>
    <row r="311" spans="1:14" customFormat="1" x14ac:dyDescent="0.25">
      <c r="A311" s="13">
        <f t="shared" si="20"/>
        <v>34</v>
      </c>
      <c r="B311" s="192"/>
      <c r="C311" s="52">
        <f t="shared" ref="C311:C316" si="37">C310+1</f>
        <v>603</v>
      </c>
      <c r="D311" s="52" t="s">
        <v>100</v>
      </c>
      <c r="E311" s="60">
        <f>(40.738+1.8*2.9)*10.764</f>
        <v>494.69191199999995</v>
      </c>
      <c r="F311" s="60">
        <v>0</v>
      </c>
      <c r="G311" s="60">
        <f t="shared" si="34"/>
        <v>494.69191199999995</v>
      </c>
      <c r="H311" s="60">
        <f t="shared" si="35"/>
        <v>593.63029439999991</v>
      </c>
      <c r="I311" s="32">
        <f t="shared" si="24"/>
        <v>1484075.7359999998</v>
      </c>
      <c r="J311" s="32">
        <f t="shared" si="36"/>
        <v>4946919.1199999992</v>
      </c>
      <c r="K311" s="143">
        <v>10000</v>
      </c>
      <c r="L311" s="156">
        <f t="shared" si="18"/>
        <v>5441611.0319999987</v>
      </c>
      <c r="M311" s="156"/>
      <c r="N311" s="143">
        <f t="shared" si="19"/>
        <v>4353288.8255999992</v>
      </c>
    </row>
    <row r="312" spans="1:14" customFormat="1" x14ac:dyDescent="0.25">
      <c r="A312" s="13">
        <f t="shared" si="20"/>
        <v>35</v>
      </c>
      <c r="B312" s="192"/>
      <c r="C312" s="52">
        <f t="shared" si="37"/>
        <v>604</v>
      </c>
      <c r="D312" s="52" t="s">
        <v>104</v>
      </c>
      <c r="E312" s="60">
        <f>(57.605+1.8*3.05)*10.764</f>
        <v>679.1545799999999</v>
      </c>
      <c r="F312" s="60">
        <v>0</v>
      </c>
      <c r="G312" s="60">
        <f t="shared" si="34"/>
        <v>679.1545799999999</v>
      </c>
      <c r="H312" s="60">
        <f t="shared" si="35"/>
        <v>814.9854959999999</v>
      </c>
      <c r="I312" s="32">
        <f t="shared" si="24"/>
        <v>2037463.7399999998</v>
      </c>
      <c r="J312" s="32">
        <f t="shared" si="36"/>
        <v>6791545.7999999989</v>
      </c>
      <c r="K312" s="143">
        <v>15000</v>
      </c>
      <c r="L312" s="156">
        <f t="shared" si="18"/>
        <v>7470700.379999999</v>
      </c>
      <c r="M312" s="156"/>
      <c r="N312" s="143">
        <f t="shared" si="19"/>
        <v>5976560.3039999995</v>
      </c>
    </row>
    <row r="313" spans="1:14" customFormat="1" x14ac:dyDescent="0.25">
      <c r="A313" s="13">
        <f t="shared" si="20"/>
        <v>36</v>
      </c>
      <c r="B313" s="192"/>
      <c r="C313" s="52">
        <f t="shared" si="37"/>
        <v>605</v>
      </c>
      <c r="D313" s="52" t="s">
        <v>104</v>
      </c>
      <c r="E313" s="60">
        <f>(57.605+0.75*3.05)*10.764</f>
        <v>644.68286999999998</v>
      </c>
      <c r="F313" s="60">
        <v>0</v>
      </c>
      <c r="G313" s="60">
        <f t="shared" si="34"/>
        <v>644.68286999999998</v>
      </c>
      <c r="H313" s="60">
        <f t="shared" si="35"/>
        <v>773.61944399999993</v>
      </c>
      <c r="I313" s="32">
        <f t="shared" si="24"/>
        <v>1934048.6099999999</v>
      </c>
      <c r="J313" s="32">
        <f t="shared" si="36"/>
        <v>6446828.7000000002</v>
      </c>
      <c r="K313" s="143">
        <v>15000</v>
      </c>
      <c r="L313" s="156">
        <f t="shared" si="18"/>
        <v>7091511.5700000003</v>
      </c>
      <c r="M313" s="156"/>
      <c r="N313" s="143">
        <f t="shared" si="19"/>
        <v>5673209.256000001</v>
      </c>
    </row>
    <row r="314" spans="1:14" customFormat="1" x14ac:dyDescent="0.25">
      <c r="A314" s="13">
        <f t="shared" si="20"/>
        <v>37</v>
      </c>
      <c r="B314" s="192"/>
      <c r="C314" s="52">
        <f t="shared" si="37"/>
        <v>606</v>
      </c>
      <c r="D314" s="52" t="s">
        <v>100</v>
      </c>
      <c r="E314" s="60">
        <f>(40.738+0.75*2.9)*10.764</f>
        <v>461.91553199999993</v>
      </c>
      <c r="F314" s="60">
        <v>0</v>
      </c>
      <c r="G314" s="60">
        <f t="shared" si="34"/>
        <v>461.91553199999993</v>
      </c>
      <c r="H314" s="60">
        <f t="shared" si="35"/>
        <v>554.29863839999985</v>
      </c>
      <c r="I314" s="32">
        <f t="shared" si="24"/>
        <v>1385746.5959999997</v>
      </c>
      <c r="J314" s="32">
        <f t="shared" si="36"/>
        <v>4619155.3199999994</v>
      </c>
      <c r="K314" s="143">
        <v>10000</v>
      </c>
      <c r="L314" s="156">
        <f t="shared" si="18"/>
        <v>5081070.851999999</v>
      </c>
      <c r="M314" s="156"/>
      <c r="N314" s="143">
        <f t="shared" si="19"/>
        <v>4064856.6815999993</v>
      </c>
    </row>
    <row r="315" spans="1:14" customFormat="1" x14ac:dyDescent="0.25">
      <c r="A315" s="13">
        <f t="shared" si="20"/>
        <v>38</v>
      </c>
      <c r="B315" s="192"/>
      <c r="C315" s="52">
        <f t="shared" si="37"/>
        <v>607</v>
      </c>
      <c r="D315" s="52" t="s">
        <v>100</v>
      </c>
      <c r="E315" s="60">
        <f>(40.738+1.8*2.9)*10.764</f>
        <v>494.69191199999995</v>
      </c>
      <c r="F315" s="60">
        <v>0</v>
      </c>
      <c r="G315" s="60">
        <f t="shared" ref="G315:G322" si="38">E315+(IF(F315&lt;101,F315,IF(F315&lt;201,F315/2,IF(F315&lt;=301,F315/3,F315/4))))</f>
        <v>494.69191199999995</v>
      </c>
      <c r="H315" s="60">
        <f t="shared" ref="H315:H322" si="39">G315*1.2</f>
        <v>593.63029439999991</v>
      </c>
      <c r="I315" s="32">
        <f t="shared" si="24"/>
        <v>1484075.7359999998</v>
      </c>
      <c r="J315" s="32">
        <f>G315*$J$273</f>
        <v>4946919.1199999992</v>
      </c>
      <c r="K315" s="143">
        <v>10000</v>
      </c>
      <c r="L315" s="156">
        <f t="shared" si="18"/>
        <v>5441611.0319999987</v>
      </c>
      <c r="M315" s="156"/>
      <c r="N315" s="143">
        <f t="shared" si="19"/>
        <v>4353288.8255999992</v>
      </c>
    </row>
    <row r="316" spans="1:14" customFormat="1" x14ac:dyDescent="0.25">
      <c r="A316" s="13">
        <f t="shared" si="20"/>
        <v>39</v>
      </c>
      <c r="B316" s="175"/>
      <c r="C316" s="52">
        <f t="shared" si="37"/>
        <v>608</v>
      </c>
      <c r="D316" s="52" t="s">
        <v>104</v>
      </c>
      <c r="E316" s="60">
        <f>(57.605+1.8*3.05)*10.764</f>
        <v>679.1545799999999</v>
      </c>
      <c r="F316" s="60">
        <v>0</v>
      </c>
      <c r="G316" s="60">
        <f t="shared" si="38"/>
        <v>679.1545799999999</v>
      </c>
      <c r="H316" s="60">
        <f t="shared" si="39"/>
        <v>814.9854959999999</v>
      </c>
      <c r="I316" s="32">
        <f t="shared" si="24"/>
        <v>2037463.7399999998</v>
      </c>
      <c r="J316" s="32">
        <f>G316*$J$273</f>
        <v>6791545.7999999989</v>
      </c>
      <c r="K316" s="143">
        <v>15000</v>
      </c>
      <c r="L316" s="156">
        <f t="shared" si="18"/>
        <v>7470700.379999999</v>
      </c>
      <c r="M316" s="156"/>
      <c r="N316" s="143">
        <f t="shared" si="19"/>
        <v>5976560.3039999995</v>
      </c>
    </row>
    <row r="317" spans="1:14" customFormat="1" x14ac:dyDescent="0.25">
      <c r="A317" s="13">
        <f t="shared" si="20"/>
        <v>40</v>
      </c>
      <c r="B317" s="174" t="s">
        <v>594</v>
      </c>
      <c r="C317" s="52">
        <f>LEFT(B317,SUM(LEN(B317)-LEN(SUBSTITUTE(B317,{"0","1","2","3","4","5","6","7","8","9"},""))))*100+1</f>
        <v>701</v>
      </c>
      <c r="D317" s="52" t="s">
        <v>104</v>
      </c>
      <c r="E317" s="60">
        <f>(57.605+1.8*3.05)*10.764</f>
        <v>679.1545799999999</v>
      </c>
      <c r="F317" s="60">
        <v>0</v>
      </c>
      <c r="G317" s="60">
        <f t="shared" si="38"/>
        <v>679.1545799999999</v>
      </c>
      <c r="H317" s="60">
        <f t="shared" si="39"/>
        <v>814.9854959999999</v>
      </c>
      <c r="I317" s="32">
        <f t="shared" si="24"/>
        <v>2037463.7399999998</v>
      </c>
      <c r="J317" s="32">
        <f>G317*$J$273</f>
        <v>6791545.7999999989</v>
      </c>
      <c r="K317" s="143">
        <v>15000</v>
      </c>
      <c r="L317" s="156">
        <f t="shared" si="18"/>
        <v>7470700.379999999</v>
      </c>
      <c r="M317" s="156"/>
      <c r="N317" s="143">
        <f t="shared" si="19"/>
        <v>5976560.3039999995</v>
      </c>
    </row>
    <row r="318" spans="1:14" customFormat="1" x14ac:dyDescent="0.25">
      <c r="A318" s="13" t="s">
        <v>171</v>
      </c>
      <c r="B318" s="192"/>
      <c r="C318" s="52">
        <f>C317+1</f>
        <v>702</v>
      </c>
      <c r="D318" s="52" t="s">
        <v>171</v>
      </c>
      <c r="E318" s="148" t="s">
        <v>655</v>
      </c>
      <c r="F318" s="149"/>
      <c r="G318" s="149"/>
      <c r="H318" s="149"/>
      <c r="I318" s="149"/>
      <c r="J318" s="149"/>
      <c r="K318" s="149"/>
      <c r="L318" s="149"/>
      <c r="M318" s="149"/>
      <c r="N318" s="150"/>
    </row>
    <row r="319" spans="1:14" customFormat="1" x14ac:dyDescent="0.25">
      <c r="A319" s="13">
        <v>41</v>
      </c>
      <c r="B319" s="192"/>
      <c r="C319" s="52">
        <f t="shared" ref="C319:C324" si="40">C318+1</f>
        <v>703</v>
      </c>
      <c r="D319" s="52" t="s">
        <v>100</v>
      </c>
      <c r="E319" s="60">
        <f>(40.738+1.8*2.9)*10.764</f>
        <v>494.69191199999995</v>
      </c>
      <c r="F319" s="60">
        <v>0</v>
      </c>
      <c r="G319" s="60">
        <f t="shared" si="38"/>
        <v>494.69191199999995</v>
      </c>
      <c r="H319" s="60">
        <f t="shared" si="39"/>
        <v>593.63029439999991</v>
      </c>
      <c r="I319" s="32">
        <f t="shared" ref="I319:I349" si="41">H319*I$273</f>
        <v>1484075.7359999998</v>
      </c>
      <c r="J319" s="32">
        <f>G319*$J$273</f>
        <v>4946919.1199999992</v>
      </c>
      <c r="K319" s="143">
        <v>10000</v>
      </c>
      <c r="L319" s="156">
        <f t="shared" si="18"/>
        <v>5441611.0319999987</v>
      </c>
      <c r="M319" s="156"/>
      <c r="N319" s="143">
        <f t="shared" si="19"/>
        <v>4353288.8255999992</v>
      </c>
    </row>
    <row r="320" spans="1:14" customFormat="1" x14ac:dyDescent="0.25">
      <c r="A320" s="13">
        <f t="shared" si="20"/>
        <v>42</v>
      </c>
      <c r="B320" s="192"/>
      <c r="C320" s="52">
        <f t="shared" si="40"/>
        <v>704</v>
      </c>
      <c r="D320" s="52" t="s">
        <v>104</v>
      </c>
      <c r="E320" s="60">
        <f>(57.605+1.8*3.05)*10.764</f>
        <v>679.1545799999999</v>
      </c>
      <c r="F320" s="60">
        <v>0</v>
      </c>
      <c r="G320" s="60">
        <f t="shared" si="38"/>
        <v>679.1545799999999</v>
      </c>
      <c r="H320" s="60">
        <f t="shared" si="39"/>
        <v>814.9854959999999</v>
      </c>
      <c r="I320" s="32">
        <f t="shared" si="41"/>
        <v>2037463.7399999998</v>
      </c>
      <c r="J320" s="32">
        <f>G320*$J$273</f>
        <v>6791545.7999999989</v>
      </c>
      <c r="K320" s="143">
        <v>15000</v>
      </c>
      <c r="L320" s="156">
        <f t="shared" si="18"/>
        <v>7470700.379999999</v>
      </c>
      <c r="M320" s="156"/>
      <c r="N320" s="143">
        <f t="shared" si="19"/>
        <v>5976560.3039999995</v>
      </c>
    </row>
    <row r="321" spans="1:14" customFormat="1" x14ac:dyDescent="0.25">
      <c r="A321" s="13">
        <f t="shared" si="20"/>
        <v>43</v>
      </c>
      <c r="B321" s="192"/>
      <c r="C321" s="52">
        <f t="shared" si="40"/>
        <v>705</v>
      </c>
      <c r="D321" s="52" t="s">
        <v>104</v>
      </c>
      <c r="E321" s="60">
        <f>(57.605+0.75*3.05)*10.764</f>
        <v>644.68286999999998</v>
      </c>
      <c r="F321" s="60">
        <v>0</v>
      </c>
      <c r="G321" s="60">
        <f t="shared" si="38"/>
        <v>644.68286999999998</v>
      </c>
      <c r="H321" s="60">
        <f t="shared" si="39"/>
        <v>773.61944399999993</v>
      </c>
      <c r="I321" s="32">
        <f t="shared" si="41"/>
        <v>1934048.6099999999</v>
      </c>
      <c r="J321" s="32">
        <f>G321*$J$273</f>
        <v>6446828.7000000002</v>
      </c>
      <c r="K321" s="143">
        <v>15000</v>
      </c>
      <c r="L321" s="156">
        <f t="shared" si="18"/>
        <v>7091511.5700000003</v>
      </c>
      <c r="M321" s="156"/>
      <c r="N321" s="143">
        <f t="shared" si="19"/>
        <v>5673209.256000001</v>
      </c>
    </row>
    <row r="322" spans="1:14" customFormat="1" x14ac:dyDescent="0.25">
      <c r="A322" s="13">
        <f t="shared" si="20"/>
        <v>44</v>
      </c>
      <c r="B322" s="192"/>
      <c r="C322" s="52">
        <f t="shared" si="40"/>
        <v>706</v>
      </c>
      <c r="D322" s="52" t="s">
        <v>100</v>
      </c>
      <c r="E322" s="60">
        <f>(40.738+0.75*2.9)*10.764</f>
        <v>461.91553199999993</v>
      </c>
      <c r="F322" s="60">
        <v>0</v>
      </c>
      <c r="G322" s="60">
        <f t="shared" si="38"/>
        <v>461.91553199999993</v>
      </c>
      <c r="H322" s="60">
        <f t="shared" si="39"/>
        <v>554.29863839999985</v>
      </c>
      <c r="I322" s="32">
        <f t="shared" si="41"/>
        <v>1385746.5959999997</v>
      </c>
      <c r="J322" s="32">
        <f>G322*$J$273</f>
        <v>4619155.3199999994</v>
      </c>
      <c r="K322" s="143">
        <v>10000</v>
      </c>
      <c r="L322" s="156">
        <f t="shared" si="18"/>
        <v>5081070.851999999</v>
      </c>
      <c r="M322" s="156"/>
      <c r="N322" s="143">
        <f t="shared" si="19"/>
        <v>4064856.6815999993</v>
      </c>
    </row>
    <row r="323" spans="1:14" customFormat="1" x14ac:dyDescent="0.25">
      <c r="A323" s="13">
        <f t="shared" si="20"/>
        <v>45</v>
      </c>
      <c r="B323" s="192"/>
      <c r="C323" s="52">
        <f t="shared" si="40"/>
        <v>707</v>
      </c>
      <c r="D323" s="52" t="s">
        <v>100</v>
      </c>
      <c r="E323" s="60">
        <f>(40.738+1.8*2.9)*10.764</f>
        <v>494.69191199999995</v>
      </c>
      <c r="F323" s="60">
        <v>0</v>
      </c>
      <c r="G323" s="60">
        <f t="shared" ref="G323:G330" si="42">E323+(IF(F323&lt;101,F323,IF(F323&lt;201,F323/2,IF(F323&lt;=301,F323/3,F323/4))))</f>
        <v>494.69191199999995</v>
      </c>
      <c r="H323" s="60">
        <f t="shared" ref="H323:H330" si="43">G323*1.2</f>
        <v>593.63029439999991</v>
      </c>
      <c r="I323" s="32">
        <f t="shared" si="41"/>
        <v>1484075.7359999998</v>
      </c>
      <c r="J323" s="32">
        <f t="shared" ref="J323:J330" si="44">G323*$J$273</f>
        <v>4946919.1199999992</v>
      </c>
      <c r="K323" s="143">
        <v>10000</v>
      </c>
      <c r="L323" s="156">
        <f t="shared" si="18"/>
        <v>5441611.0319999987</v>
      </c>
      <c r="M323" s="156"/>
      <c r="N323" s="143">
        <f t="shared" si="19"/>
        <v>4353288.8255999992</v>
      </c>
    </row>
    <row r="324" spans="1:14" customFormat="1" x14ac:dyDescent="0.25">
      <c r="A324" s="13">
        <f t="shared" si="20"/>
        <v>46</v>
      </c>
      <c r="B324" s="175"/>
      <c r="C324" s="52">
        <f t="shared" si="40"/>
        <v>708</v>
      </c>
      <c r="D324" s="52" t="s">
        <v>104</v>
      </c>
      <c r="E324" s="60">
        <f>(57.605+1.8*3.05)*10.764</f>
        <v>679.1545799999999</v>
      </c>
      <c r="F324" s="60">
        <v>0</v>
      </c>
      <c r="G324" s="60">
        <f t="shared" si="42"/>
        <v>679.1545799999999</v>
      </c>
      <c r="H324" s="60">
        <f t="shared" si="43"/>
        <v>814.9854959999999</v>
      </c>
      <c r="I324" s="32">
        <f t="shared" si="41"/>
        <v>2037463.7399999998</v>
      </c>
      <c r="J324" s="32">
        <f t="shared" si="44"/>
        <v>6791545.7999999989</v>
      </c>
      <c r="K324" s="143">
        <v>15000</v>
      </c>
      <c r="L324" s="156">
        <f t="shared" si="18"/>
        <v>7470700.379999999</v>
      </c>
      <c r="M324" s="156"/>
      <c r="N324" s="143">
        <f t="shared" si="19"/>
        <v>5976560.3039999995</v>
      </c>
    </row>
    <row r="325" spans="1:14" customFormat="1" x14ac:dyDescent="0.25">
      <c r="A325" s="13">
        <f t="shared" si="20"/>
        <v>47</v>
      </c>
      <c r="B325" s="174" t="s">
        <v>649</v>
      </c>
      <c r="C325" s="52">
        <f>LEFT(B325,SUM(LEN(B325)-LEN(SUBSTITUTE(B325,{"0","1","2","3","4","5","6","7","8","9"},""))))*100+1</f>
        <v>801</v>
      </c>
      <c r="D325" s="52" t="s">
        <v>104</v>
      </c>
      <c r="E325" s="60">
        <f>(57.605+1.8*3.05)*10.764</f>
        <v>679.1545799999999</v>
      </c>
      <c r="F325" s="60">
        <v>0</v>
      </c>
      <c r="G325" s="60">
        <f t="shared" si="42"/>
        <v>679.1545799999999</v>
      </c>
      <c r="H325" s="60">
        <f t="shared" si="43"/>
        <v>814.9854959999999</v>
      </c>
      <c r="I325" s="32">
        <f t="shared" si="41"/>
        <v>2037463.7399999998</v>
      </c>
      <c r="J325" s="32">
        <f t="shared" si="44"/>
        <v>6791545.7999999989</v>
      </c>
      <c r="K325" s="143">
        <v>15000</v>
      </c>
      <c r="L325" s="156">
        <f t="shared" si="18"/>
        <v>7470700.379999999</v>
      </c>
      <c r="M325" s="156"/>
      <c r="N325" s="143">
        <f t="shared" si="19"/>
        <v>5976560.3039999995</v>
      </c>
    </row>
    <row r="326" spans="1:14" customFormat="1" x14ac:dyDescent="0.25">
      <c r="A326" s="13">
        <f t="shared" si="20"/>
        <v>48</v>
      </c>
      <c r="B326" s="192"/>
      <c r="C326" s="52">
        <f>C325+1</f>
        <v>802</v>
      </c>
      <c r="D326" s="52" t="s">
        <v>100</v>
      </c>
      <c r="E326" s="60">
        <f>(40.738+1.8*2.9)*10.764</f>
        <v>494.69191199999995</v>
      </c>
      <c r="F326" s="60">
        <v>0</v>
      </c>
      <c r="G326" s="60">
        <f t="shared" si="42"/>
        <v>494.69191199999995</v>
      </c>
      <c r="H326" s="60">
        <f t="shared" si="43"/>
        <v>593.63029439999991</v>
      </c>
      <c r="I326" s="32">
        <f t="shared" si="41"/>
        <v>1484075.7359999998</v>
      </c>
      <c r="J326" s="32">
        <f t="shared" si="44"/>
        <v>4946919.1199999992</v>
      </c>
      <c r="K326" s="143">
        <v>10000</v>
      </c>
      <c r="L326" s="156">
        <f t="shared" si="18"/>
        <v>5441611.0319999987</v>
      </c>
      <c r="M326" s="156"/>
      <c r="N326" s="143">
        <f t="shared" si="19"/>
        <v>4353288.8255999992</v>
      </c>
    </row>
    <row r="327" spans="1:14" customFormat="1" x14ac:dyDescent="0.25">
      <c r="A327" s="13">
        <f t="shared" si="20"/>
        <v>49</v>
      </c>
      <c r="B327" s="192"/>
      <c r="C327" s="52">
        <f t="shared" ref="C327:C332" si="45">C326+1</f>
        <v>803</v>
      </c>
      <c r="D327" s="52" t="s">
        <v>100</v>
      </c>
      <c r="E327" s="60">
        <f>(40.738+1.8*2.9)*10.764</f>
        <v>494.69191199999995</v>
      </c>
      <c r="F327" s="60">
        <v>0</v>
      </c>
      <c r="G327" s="60">
        <f t="shared" si="42"/>
        <v>494.69191199999995</v>
      </c>
      <c r="H327" s="60">
        <f t="shared" si="43"/>
        <v>593.63029439999991</v>
      </c>
      <c r="I327" s="32">
        <f t="shared" si="41"/>
        <v>1484075.7359999998</v>
      </c>
      <c r="J327" s="32">
        <f t="shared" si="44"/>
        <v>4946919.1199999992</v>
      </c>
      <c r="K327" s="143">
        <v>10000</v>
      </c>
      <c r="L327" s="156">
        <f t="shared" si="18"/>
        <v>5441611.0319999987</v>
      </c>
      <c r="M327" s="156"/>
      <c r="N327" s="143">
        <f t="shared" si="19"/>
        <v>4353288.8255999992</v>
      </c>
    </row>
    <row r="328" spans="1:14" customFormat="1" x14ac:dyDescent="0.25">
      <c r="A328" s="13">
        <f t="shared" si="20"/>
        <v>50</v>
      </c>
      <c r="B328" s="192"/>
      <c r="C328" s="52">
        <f t="shared" si="45"/>
        <v>804</v>
      </c>
      <c r="D328" s="52" t="s">
        <v>104</v>
      </c>
      <c r="E328" s="60">
        <f>(57.605+1.8*3.05)*10.764</f>
        <v>679.1545799999999</v>
      </c>
      <c r="F328" s="60">
        <v>0</v>
      </c>
      <c r="G328" s="60">
        <f t="shared" si="42"/>
        <v>679.1545799999999</v>
      </c>
      <c r="H328" s="60">
        <f t="shared" si="43"/>
        <v>814.9854959999999</v>
      </c>
      <c r="I328" s="32">
        <f t="shared" si="41"/>
        <v>2037463.7399999998</v>
      </c>
      <c r="J328" s="32">
        <f t="shared" si="44"/>
        <v>6791545.7999999989</v>
      </c>
      <c r="K328" s="143">
        <v>15000</v>
      </c>
      <c r="L328" s="156">
        <f t="shared" si="18"/>
        <v>7470700.379999999</v>
      </c>
      <c r="M328" s="156"/>
      <c r="N328" s="143">
        <f t="shared" si="19"/>
        <v>5976560.3039999995</v>
      </c>
    </row>
    <row r="329" spans="1:14" customFormat="1" x14ac:dyDescent="0.25">
      <c r="A329" s="13">
        <f t="shared" si="20"/>
        <v>51</v>
      </c>
      <c r="B329" s="192"/>
      <c r="C329" s="52">
        <f t="shared" si="45"/>
        <v>805</v>
      </c>
      <c r="D329" s="52" t="s">
        <v>104</v>
      </c>
      <c r="E329" s="60">
        <f>(57.605+0.75*3.05)*10.764</f>
        <v>644.68286999999998</v>
      </c>
      <c r="F329" s="60">
        <v>0</v>
      </c>
      <c r="G329" s="60">
        <f t="shared" si="42"/>
        <v>644.68286999999998</v>
      </c>
      <c r="H329" s="60">
        <f t="shared" si="43"/>
        <v>773.61944399999993</v>
      </c>
      <c r="I329" s="32">
        <f t="shared" si="41"/>
        <v>1934048.6099999999</v>
      </c>
      <c r="J329" s="32">
        <f t="shared" si="44"/>
        <v>6446828.7000000002</v>
      </c>
      <c r="K329" s="143">
        <v>15000</v>
      </c>
      <c r="L329" s="156">
        <f t="shared" si="18"/>
        <v>7091511.5700000003</v>
      </c>
      <c r="M329" s="156"/>
      <c r="N329" s="143">
        <f t="shared" si="19"/>
        <v>5673209.256000001</v>
      </c>
    </row>
    <row r="330" spans="1:14" customFormat="1" x14ac:dyDescent="0.25">
      <c r="A330" s="13">
        <f t="shared" si="20"/>
        <v>52</v>
      </c>
      <c r="B330" s="192"/>
      <c r="C330" s="52">
        <f t="shared" si="45"/>
        <v>806</v>
      </c>
      <c r="D330" s="52" t="s">
        <v>100</v>
      </c>
      <c r="E330" s="60">
        <f>(40.738+0.75*2.9)*10.764</f>
        <v>461.91553199999993</v>
      </c>
      <c r="F330" s="60">
        <v>0</v>
      </c>
      <c r="G330" s="60">
        <f t="shared" si="42"/>
        <v>461.91553199999993</v>
      </c>
      <c r="H330" s="60">
        <f t="shared" si="43"/>
        <v>554.29863839999985</v>
      </c>
      <c r="I330" s="32">
        <f t="shared" si="41"/>
        <v>1385746.5959999997</v>
      </c>
      <c r="J330" s="32">
        <f t="shared" si="44"/>
        <v>4619155.3199999994</v>
      </c>
      <c r="K330" s="143">
        <v>10000</v>
      </c>
      <c r="L330" s="156">
        <f t="shared" si="18"/>
        <v>5081070.851999999</v>
      </c>
      <c r="M330" s="156"/>
      <c r="N330" s="143">
        <f t="shared" si="19"/>
        <v>4064856.6815999993</v>
      </c>
    </row>
    <row r="331" spans="1:14" customFormat="1" x14ac:dyDescent="0.25">
      <c r="A331" s="13">
        <f t="shared" si="20"/>
        <v>53</v>
      </c>
      <c r="B331" s="192"/>
      <c r="C331" s="52">
        <f t="shared" si="45"/>
        <v>807</v>
      </c>
      <c r="D331" s="52" t="s">
        <v>100</v>
      </c>
      <c r="E331" s="60">
        <f>(40.738+1.8*2.9)*10.764</f>
        <v>494.69191199999995</v>
      </c>
      <c r="F331" s="60">
        <v>0</v>
      </c>
      <c r="G331" s="60">
        <f t="shared" ref="G331:G338" si="46">E331+(IF(F331&lt;101,F331,IF(F331&lt;201,F331/2,IF(F331&lt;=301,F331/3,F331/4))))</f>
        <v>494.69191199999995</v>
      </c>
      <c r="H331" s="60">
        <f t="shared" ref="H331:H338" si="47">G331*1.2</f>
        <v>593.63029439999991</v>
      </c>
      <c r="I331" s="32">
        <f t="shared" si="41"/>
        <v>1484075.7359999998</v>
      </c>
      <c r="J331" s="32">
        <f t="shared" ref="J331:J338" si="48">G331*$J$273</f>
        <v>4946919.1199999992</v>
      </c>
      <c r="K331" s="143">
        <v>10000</v>
      </c>
      <c r="L331" s="156">
        <f t="shared" si="18"/>
        <v>5441611.0319999987</v>
      </c>
      <c r="M331" s="156"/>
      <c r="N331" s="143">
        <f t="shared" si="19"/>
        <v>4353288.8255999992</v>
      </c>
    </row>
    <row r="332" spans="1:14" customFormat="1" x14ac:dyDescent="0.25">
      <c r="A332" s="13">
        <f t="shared" si="20"/>
        <v>54</v>
      </c>
      <c r="B332" s="175"/>
      <c r="C332" s="52">
        <f t="shared" si="45"/>
        <v>808</v>
      </c>
      <c r="D332" s="52" t="s">
        <v>104</v>
      </c>
      <c r="E332" s="60">
        <f>(57.605+1.8*3.05)*10.764</f>
        <v>679.1545799999999</v>
      </c>
      <c r="F332" s="60">
        <v>0</v>
      </c>
      <c r="G332" s="60">
        <f t="shared" si="46"/>
        <v>679.1545799999999</v>
      </c>
      <c r="H332" s="60">
        <f t="shared" si="47"/>
        <v>814.9854959999999</v>
      </c>
      <c r="I332" s="32">
        <f t="shared" si="41"/>
        <v>2037463.7399999998</v>
      </c>
      <c r="J332" s="32">
        <f t="shared" si="48"/>
        <v>6791545.7999999989</v>
      </c>
      <c r="K332" s="143">
        <v>15000</v>
      </c>
      <c r="L332" s="156">
        <f t="shared" si="18"/>
        <v>7470700.379999999</v>
      </c>
      <c r="M332" s="156"/>
      <c r="N332" s="143">
        <f t="shared" si="19"/>
        <v>5976560.3039999995</v>
      </c>
    </row>
    <row r="333" spans="1:14" customFormat="1" x14ac:dyDescent="0.25">
      <c r="A333" s="13">
        <f t="shared" si="20"/>
        <v>55</v>
      </c>
      <c r="B333" s="174" t="s">
        <v>650</v>
      </c>
      <c r="C333" s="52">
        <f>LEFT(B333,SUM(LEN(B333)-LEN(SUBSTITUTE(B333,{"0","1","2","3","4","5","6","7","8","9"},""))))*100+1</f>
        <v>901</v>
      </c>
      <c r="D333" s="52" t="s">
        <v>104</v>
      </c>
      <c r="E333" s="60">
        <f>(57.605+1.8*3.05)*10.764</f>
        <v>679.1545799999999</v>
      </c>
      <c r="F333" s="60">
        <v>0</v>
      </c>
      <c r="G333" s="60">
        <f t="shared" si="46"/>
        <v>679.1545799999999</v>
      </c>
      <c r="H333" s="60">
        <f t="shared" si="47"/>
        <v>814.9854959999999</v>
      </c>
      <c r="I333" s="32">
        <f t="shared" si="41"/>
        <v>2037463.7399999998</v>
      </c>
      <c r="J333" s="32">
        <f t="shared" si="48"/>
        <v>6791545.7999999989</v>
      </c>
      <c r="K333" s="143">
        <v>15000</v>
      </c>
      <c r="L333" s="156">
        <f t="shared" si="18"/>
        <v>7470700.379999999</v>
      </c>
      <c r="M333" s="156"/>
      <c r="N333" s="143">
        <f t="shared" si="19"/>
        <v>5976560.3039999995</v>
      </c>
    </row>
    <row r="334" spans="1:14" customFormat="1" x14ac:dyDescent="0.25">
      <c r="A334" s="13">
        <f t="shared" si="20"/>
        <v>56</v>
      </c>
      <c r="B334" s="192"/>
      <c r="C334" s="52">
        <f>C333+1</f>
        <v>902</v>
      </c>
      <c r="D334" s="52" t="s">
        <v>100</v>
      </c>
      <c r="E334" s="60">
        <f>(40.738+1.8*2.9)*10.764</f>
        <v>494.69191199999995</v>
      </c>
      <c r="F334" s="60">
        <v>0</v>
      </c>
      <c r="G334" s="60">
        <f t="shared" si="46"/>
        <v>494.69191199999995</v>
      </c>
      <c r="H334" s="60">
        <f t="shared" si="47"/>
        <v>593.63029439999991</v>
      </c>
      <c r="I334" s="32">
        <f t="shared" si="41"/>
        <v>1484075.7359999998</v>
      </c>
      <c r="J334" s="32">
        <f t="shared" si="48"/>
        <v>4946919.1199999992</v>
      </c>
      <c r="K334" s="143">
        <v>10000</v>
      </c>
      <c r="L334" s="156">
        <f t="shared" si="18"/>
        <v>5441611.0319999987</v>
      </c>
      <c r="M334" s="156"/>
      <c r="N334" s="143">
        <f t="shared" si="19"/>
        <v>4353288.8255999992</v>
      </c>
    </row>
    <row r="335" spans="1:14" customFormat="1" x14ac:dyDescent="0.25">
      <c r="A335" s="13">
        <f t="shared" si="20"/>
        <v>57</v>
      </c>
      <c r="B335" s="192"/>
      <c r="C335" s="52">
        <f t="shared" ref="C335:C340" si="49">C334+1</f>
        <v>903</v>
      </c>
      <c r="D335" s="52" t="s">
        <v>100</v>
      </c>
      <c r="E335" s="60">
        <f>(40.738+1.8*2.9)*10.764</f>
        <v>494.69191199999995</v>
      </c>
      <c r="F335" s="60">
        <v>0</v>
      </c>
      <c r="G335" s="60">
        <f t="shared" si="46"/>
        <v>494.69191199999995</v>
      </c>
      <c r="H335" s="60">
        <f t="shared" si="47"/>
        <v>593.63029439999991</v>
      </c>
      <c r="I335" s="32">
        <f t="shared" si="41"/>
        <v>1484075.7359999998</v>
      </c>
      <c r="J335" s="32">
        <f t="shared" si="48"/>
        <v>4946919.1199999992</v>
      </c>
      <c r="K335" s="143">
        <v>10000</v>
      </c>
      <c r="L335" s="156">
        <f t="shared" si="18"/>
        <v>5441611.0319999987</v>
      </c>
      <c r="M335" s="156"/>
      <c r="N335" s="143">
        <f t="shared" si="19"/>
        <v>4353288.8255999992</v>
      </c>
    </row>
    <row r="336" spans="1:14" customFormat="1" x14ac:dyDescent="0.25">
      <c r="A336" s="13">
        <f t="shared" si="20"/>
        <v>58</v>
      </c>
      <c r="B336" s="192"/>
      <c r="C336" s="52">
        <f t="shared" si="49"/>
        <v>904</v>
      </c>
      <c r="D336" s="52" t="s">
        <v>104</v>
      </c>
      <c r="E336" s="60">
        <f>(57.605+1.8*3.05)*10.764</f>
        <v>679.1545799999999</v>
      </c>
      <c r="F336" s="60">
        <v>0</v>
      </c>
      <c r="G336" s="60">
        <f t="shared" si="46"/>
        <v>679.1545799999999</v>
      </c>
      <c r="H336" s="60">
        <f t="shared" si="47"/>
        <v>814.9854959999999</v>
      </c>
      <c r="I336" s="32">
        <f t="shared" si="41"/>
        <v>2037463.7399999998</v>
      </c>
      <c r="J336" s="32">
        <f t="shared" si="48"/>
        <v>6791545.7999999989</v>
      </c>
      <c r="K336" s="143">
        <v>15000</v>
      </c>
      <c r="L336" s="156">
        <f t="shared" si="18"/>
        <v>7470700.379999999</v>
      </c>
      <c r="M336" s="156"/>
      <c r="N336" s="143">
        <f t="shared" si="19"/>
        <v>5976560.3039999995</v>
      </c>
    </row>
    <row r="337" spans="1:14" customFormat="1" x14ac:dyDescent="0.25">
      <c r="A337" s="13">
        <f t="shared" si="20"/>
        <v>59</v>
      </c>
      <c r="B337" s="192"/>
      <c r="C337" s="52">
        <f t="shared" si="49"/>
        <v>905</v>
      </c>
      <c r="D337" s="52" t="s">
        <v>104</v>
      </c>
      <c r="E337" s="60">
        <f>(57.605+0.75*3.05)*10.764</f>
        <v>644.68286999999998</v>
      </c>
      <c r="F337" s="60">
        <v>0</v>
      </c>
      <c r="G337" s="60">
        <f t="shared" si="46"/>
        <v>644.68286999999998</v>
      </c>
      <c r="H337" s="60">
        <f t="shared" si="47"/>
        <v>773.61944399999993</v>
      </c>
      <c r="I337" s="32">
        <f t="shared" si="41"/>
        <v>1934048.6099999999</v>
      </c>
      <c r="J337" s="32">
        <f t="shared" si="48"/>
        <v>6446828.7000000002</v>
      </c>
      <c r="K337" s="143">
        <v>15000</v>
      </c>
      <c r="L337" s="156">
        <f t="shared" si="18"/>
        <v>7091511.5700000003</v>
      </c>
      <c r="M337" s="156"/>
      <c r="N337" s="143">
        <f t="shared" si="19"/>
        <v>5673209.256000001</v>
      </c>
    </row>
    <row r="338" spans="1:14" customFormat="1" x14ac:dyDescent="0.25">
      <c r="A338" s="13">
        <f t="shared" si="20"/>
        <v>60</v>
      </c>
      <c r="B338" s="192"/>
      <c r="C338" s="52">
        <f t="shared" si="49"/>
        <v>906</v>
      </c>
      <c r="D338" s="52" t="s">
        <v>100</v>
      </c>
      <c r="E338" s="60">
        <f>(40.738+0.75*2.9)*10.764</f>
        <v>461.91553199999993</v>
      </c>
      <c r="F338" s="60">
        <v>0</v>
      </c>
      <c r="G338" s="60">
        <f t="shared" si="46"/>
        <v>461.91553199999993</v>
      </c>
      <c r="H338" s="60">
        <f t="shared" si="47"/>
        <v>554.29863839999985</v>
      </c>
      <c r="I338" s="32">
        <f t="shared" si="41"/>
        <v>1385746.5959999997</v>
      </c>
      <c r="J338" s="32">
        <f t="shared" si="48"/>
        <v>4619155.3199999994</v>
      </c>
      <c r="K338" s="143">
        <v>10000</v>
      </c>
      <c r="L338" s="156">
        <f t="shared" si="18"/>
        <v>5081070.851999999</v>
      </c>
      <c r="M338" s="156"/>
      <c r="N338" s="143">
        <f t="shared" si="19"/>
        <v>4064856.6815999993</v>
      </c>
    </row>
    <row r="339" spans="1:14" customFormat="1" x14ac:dyDescent="0.25">
      <c r="A339" s="13">
        <f t="shared" si="20"/>
        <v>61</v>
      </c>
      <c r="B339" s="192"/>
      <c r="C339" s="52">
        <f t="shared" si="49"/>
        <v>907</v>
      </c>
      <c r="D339" s="52" t="s">
        <v>100</v>
      </c>
      <c r="E339" s="60">
        <f>(40.738+1.8*2.9)*10.764</f>
        <v>494.69191199999995</v>
      </c>
      <c r="F339" s="60">
        <v>0</v>
      </c>
      <c r="G339" s="60">
        <f t="shared" ref="G339:G346" si="50">E339+(IF(F339&lt;101,F339,IF(F339&lt;201,F339/2,IF(F339&lt;=301,F339/3,F339/4))))</f>
        <v>494.69191199999995</v>
      </c>
      <c r="H339" s="60">
        <f t="shared" ref="H339:H346" si="51">G339*1.2</f>
        <v>593.63029439999991</v>
      </c>
      <c r="I339" s="32">
        <f t="shared" si="41"/>
        <v>1484075.7359999998</v>
      </c>
      <c r="J339" s="32">
        <f t="shared" ref="J339:J346" si="52">G339*$J$273</f>
        <v>4946919.1199999992</v>
      </c>
      <c r="K339" s="143">
        <v>10000</v>
      </c>
      <c r="L339" s="156">
        <f t="shared" si="18"/>
        <v>5441611.0319999987</v>
      </c>
      <c r="M339" s="156"/>
      <c r="N339" s="143">
        <f t="shared" si="19"/>
        <v>4353288.8255999992</v>
      </c>
    </row>
    <row r="340" spans="1:14" customFormat="1" x14ac:dyDescent="0.25">
      <c r="A340" s="13">
        <f t="shared" si="20"/>
        <v>62</v>
      </c>
      <c r="B340" s="175"/>
      <c r="C340" s="52">
        <f t="shared" si="49"/>
        <v>908</v>
      </c>
      <c r="D340" s="52" t="s">
        <v>104</v>
      </c>
      <c r="E340" s="60">
        <f>(57.605+1.8*3.05)*10.764</f>
        <v>679.1545799999999</v>
      </c>
      <c r="F340" s="60">
        <v>0</v>
      </c>
      <c r="G340" s="60">
        <f t="shared" si="50"/>
        <v>679.1545799999999</v>
      </c>
      <c r="H340" s="60">
        <f t="shared" si="51"/>
        <v>814.9854959999999</v>
      </c>
      <c r="I340" s="32">
        <f t="shared" si="41"/>
        <v>2037463.7399999998</v>
      </c>
      <c r="J340" s="32">
        <f t="shared" si="52"/>
        <v>6791545.7999999989</v>
      </c>
      <c r="K340" s="143">
        <v>15000</v>
      </c>
      <c r="L340" s="156">
        <f t="shared" si="18"/>
        <v>7470700.379999999</v>
      </c>
      <c r="M340" s="156"/>
      <c r="N340" s="143">
        <f t="shared" si="19"/>
        <v>5976560.3039999995</v>
      </c>
    </row>
    <row r="341" spans="1:14" customFormat="1" x14ac:dyDescent="0.25">
      <c r="A341" s="13">
        <f t="shared" si="20"/>
        <v>63</v>
      </c>
      <c r="B341" s="174" t="s">
        <v>651</v>
      </c>
      <c r="C341" s="52">
        <f>LEFT(B341,SUM(LEN(B341)-LEN(SUBSTITUTE(B341,{"0","1","2","3","4","5","6","7","8","9"},""))))*100+1</f>
        <v>1001</v>
      </c>
      <c r="D341" s="52" t="s">
        <v>104</v>
      </c>
      <c r="E341" s="60">
        <f>(57.605+1.8*3.05)*10.764</f>
        <v>679.1545799999999</v>
      </c>
      <c r="F341" s="60">
        <v>0</v>
      </c>
      <c r="G341" s="60">
        <f t="shared" si="50"/>
        <v>679.1545799999999</v>
      </c>
      <c r="H341" s="60">
        <f t="shared" si="51"/>
        <v>814.9854959999999</v>
      </c>
      <c r="I341" s="32">
        <f t="shared" si="41"/>
        <v>2037463.7399999998</v>
      </c>
      <c r="J341" s="32">
        <f t="shared" si="52"/>
        <v>6791545.7999999989</v>
      </c>
      <c r="K341" s="143">
        <v>15000</v>
      </c>
      <c r="L341" s="156">
        <f t="shared" si="18"/>
        <v>7470700.379999999</v>
      </c>
      <c r="M341" s="156"/>
      <c r="N341" s="143">
        <f t="shared" si="19"/>
        <v>5976560.3039999995</v>
      </c>
    </row>
    <row r="342" spans="1:14" customFormat="1" x14ac:dyDescent="0.25">
      <c r="A342" s="13">
        <f t="shared" si="20"/>
        <v>64</v>
      </c>
      <c r="B342" s="192"/>
      <c r="C342" s="52">
        <f>C341+1</f>
        <v>1002</v>
      </c>
      <c r="D342" s="52" t="s">
        <v>100</v>
      </c>
      <c r="E342" s="60">
        <f>(40.738+1.8*2.9)*10.764</f>
        <v>494.69191199999995</v>
      </c>
      <c r="F342" s="60">
        <v>0</v>
      </c>
      <c r="G342" s="60">
        <f t="shared" si="50"/>
        <v>494.69191199999995</v>
      </c>
      <c r="H342" s="60">
        <f t="shared" si="51"/>
        <v>593.63029439999991</v>
      </c>
      <c r="I342" s="32">
        <f t="shared" si="41"/>
        <v>1484075.7359999998</v>
      </c>
      <c r="J342" s="32">
        <f t="shared" si="52"/>
        <v>4946919.1199999992</v>
      </c>
      <c r="K342" s="143">
        <v>10000</v>
      </c>
      <c r="L342" s="156">
        <f t="shared" ref="L342:L356" si="53">J342+J342*$L$274</f>
        <v>5441611.0319999987</v>
      </c>
      <c r="M342" s="156"/>
      <c r="N342" s="143">
        <f t="shared" ref="N342:N356" si="54">L342*0.8</f>
        <v>4353288.8255999992</v>
      </c>
    </row>
    <row r="343" spans="1:14" customFormat="1" x14ac:dyDescent="0.25">
      <c r="A343" s="13">
        <f t="shared" ref="A343:A356" si="55">A342+1</f>
        <v>65</v>
      </c>
      <c r="B343" s="192"/>
      <c r="C343" s="52">
        <f t="shared" ref="C343:C348" si="56">C342+1</f>
        <v>1003</v>
      </c>
      <c r="D343" s="52" t="s">
        <v>100</v>
      </c>
      <c r="E343" s="60">
        <f>(40.738+1.8*2.9)*10.764</f>
        <v>494.69191199999995</v>
      </c>
      <c r="F343" s="60">
        <v>0</v>
      </c>
      <c r="G343" s="60">
        <f t="shared" si="50"/>
        <v>494.69191199999995</v>
      </c>
      <c r="H343" s="60">
        <f t="shared" si="51"/>
        <v>593.63029439999991</v>
      </c>
      <c r="I343" s="32">
        <f t="shared" si="41"/>
        <v>1484075.7359999998</v>
      </c>
      <c r="J343" s="32">
        <f t="shared" si="52"/>
        <v>4946919.1199999992</v>
      </c>
      <c r="K343" s="143">
        <v>10000</v>
      </c>
      <c r="L343" s="156">
        <f t="shared" si="53"/>
        <v>5441611.0319999987</v>
      </c>
      <c r="M343" s="156"/>
      <c r="N343" s="143">
        <f t="shared" si="54"/>
        <v>4353288.8255999992</v>
      </c>
    </row>
    <row r="344" spans="1:14" customFormat="1" x14ac:dyDescent="0.25">
      <c r="A344" s="13">
        <f t="shared" si="55"/>
        <v>66</v>
      </c>
      <c r="B344" s="192"/>
      <c r="C344" s="52">
        <f t="shared" si="56"/>
        <v>1004</v>
      </c>
      <c r="D344" s="52" t="s">
        <v>104</v>
      </c>
      <c r="E344" s="60">
        <f>(57.605+1.8*3.05)*10.764</f>
        <v>679.1545799999999</v>
      </c>
      <c r="F344" s="60">
        <v>0</v>
      </c>
      <c r="G344" s="60">
        <f t="shared" si="50"/>
        <v>679.1545799999999</v>
      </c>
      <c r="H344" s="60">
        <f t="shared" si="51"/>
        <v>814.9854959999999</v>
      </c>
      <c r="I344" s="32">
        <f t="shared" si="41"/>
        <v>2037463.7399999998</v>
      </c>
      <c r="J344" s="32">
        <f t="shared" si="52"/>
        <v>6791545.7999999989</v>
      </c>
      <c r="K344" s="143">
        <v>15000</v>
      </c>
      <c r="L344" s="156">
        <f t="shared" si="53"/>
        <v>7470700.379999999</v>
      </c>
      <c r="M344" s="156"/>
      <c r="N344" s="143">
        <f t="shared" si="54"/>
        <v>5976560.3039999995</v>
      </c>
    </row>
    <row r="345" spans="1:14" customFormat="1" x14ac:dyDescent="0.25">
      <c r="A345" s="13">
        <f t="shared" si="55"/>
        <v>67</v>
      </c>
      <c r="B345" s="192"/>
      <c r="C345" s="52">
        <f t="shared" si="56"/>
        <v>1005</v>
      </c>
      <c r="D345" s="52" t="s">
        <v>104</v>
      </c>
      <c r="E345" s="60">
        <f>(57.605+0.75*3.05)*10.764</f>
        <v>644.68286999999998</v>
      </c>
      <c r="F345" s="60">
        <v>0</v>
      </c>
      <c r="G345" s="60">
        <f t="shared" si="50"/>
        <v>644.68286999999998</v>
      </c>
      <c r="H345" s="60">
        <f t="shared" si="51"/>
        <v>773.61944399999993</v>
      </c>
      <c r="I345" s="32">
        <f t="shared" si="41"/>
        <v>1934048.6099999999</v>
      </c>
      <c r="J345" s="32">
        <f t="shared" si="52"/>
        <v>6446828.7000000002</v>
      </c>
      <c r="K345" s="143">
        <v>15000</v>
      </c>
      <c r="L345" s="156">
        <f t="shared" si="53"/>
        <v>7091511.5700000003</v>
      </c>
      <c r="M345" s="156"/>
      <c r="N345" s="143">
        <f t="shared" si="54"/>
        <v>5673209.256000001</v>
      </c>
    </row>
    <row r="346" spans="1:14" customFormat="1" x14ac:dyDescent="0.25">
      <c r="A346" s="13">
        <f t="shared" si="55"/>
        <v>68</v>
      </c>
      <c r="B346" s="192"/>
      <c r="C346" s="52">
        <f t="shared" si="56"/>
        <v>1006</v>
      </c>
      <c r="D346" s="52" t="s">
        <v>100</v>
      </c>
      <c r="E346" s="60">
        <f>(40.738+0.75*2.9)*10.764</f>
        <v>461.91553199999993</v>
      </c>
      <c r="F346" s="60">
        <v>0</v>
      </c>
      <c r="G346" s="60">
        <f t="shared" si="50"/>
        <v>461.91553199999993</v>
      </c>
      <c r="H346" s="60">
        <f t="shared" si="51"/>
        <v>554.29863839999985</v>
      </c>
      <c r="I346" s="32">
        <f t="shared" si="41"/>
        <v>1385746.5959999997</v>
      </c>
      <c r="J346" s="32">
        <f t="shared" si="52"/>
        <v>4619155.3199999994</v>
      </c>
      <c r="K346" s="143">
        <v>10000</v>
      </c>
      <c r="L346" s="156">
        <f t="shared" si="53"/>
        <v>5081070.851999999</v>
      </c>
      <c r="M346" s="156"/>
      <c r="N346" s="143">
        <f t="shared" si="54"/>
        <v>4064856.6815999993</v>
      </c>
    </row>
    <row r="347" spans="1:14" customFormat="1" x14ac:dyDescent="0.25">
      <c r="A347" s="13">
        <f t="shared" si="55"/>
        <v>69</v>
      </c>
      <c r="B347" s="192"/>
      <c r="C347" s="52">
        <f t="shared" si="56"/>
        <v>1007</v>
      </c>
      <c r="D347" s="52" t="s">
        <v>100</v>
      </c>
      <c r="E347" s="60">
        <f>(40.738+1.8*2.9)*10.764</f>
        <v>494.69191199999995</v>
      </c>
      <c r="F347" s="60">
        <v>0</v>
      </c>
      <c r="G347" s="60">
        <f t="shared" ref="G347:G349" si="57">E347+(IF(F347&lt;101,F347,IF(F347&lt;201,F347/2,IF(F347&lt;=301,F347/3,F347/4))))</f>
        <v>494.69191199999995</v>
      </c>
      <c r="H347" s="60">
        <f t="shared" ref="H347:H349" si="58">G347*1.2</f>
        <v>593.63029439999991</v>
      </c>
      <c r="I347" s="32">
        <f t="shared" si="41"/>
        <v>1484075.7359999998</v>
      </c>
      <c r="J347" s="32">
        <f>G347*$J$273</f>
        <v>4946919.1199999992</v>
      </c>
      <c r="K347" s="143">
        <v>10000</v>
      </c>
      <c r="L347" s="156">
        <f t="shared" si="53"/>
        <v>5441611.0319999987</v>
      </c>
      <c r="M347" s="156"/>
      <c r="N347" s="143">
        <f t="shared" si="54"/>
        <v>4353288.8255999992</v>
      </c>
    </row>
    <row r="348" spans="1:14" customFormat="1" x14ac:dyDescent="0.25">
      <c r="A348" s="13">
        <f t="shared" si="55"/>
        <v>70</v>
      </c>
      <c r="B348" s="175"/>
      <c r="C348" s="52">
        <f t="shared" si="56"/>
        <v>1008</v>
      </c>
      <c r="D348" s="52" t="s">
        <v>104</v>
      </c>
      <c r="E348" s="60">
        <f>(57.605+1.8*3.05)*10.764</f>
        <v>679.1545799999999</v>
      </c>
      <c r="F348" s="60">
        <v>0</v>
      </c>
      <c r="G348" s="60">
        <f t="shared" si="57"/>
        <v>679.1545799999999</v>
      </c>
      <c r="H348" s="60">
        <f t="shared" si="58"/>
        <v>814.9854959999999</v>
      </c>
      <c r="I348" s="32">
        <f t="shared" si="41"/>
        <v>2037463.7399999998</v>
      </c>
      <c r="J348" s="32">
        <f>G348*$J$273</f>
        <v>6791545.7999999989</v>
      </c>
      <c r="K348" s="143">
        <v>15000</v>
      </c>
      <c r="L348" s="156">
        <f t="shared" si="53"/>
        <v>7470700.379999999</v>
      </c>
      <c r="M348" s="156"/>
      <c r="N348" s="143">
        <f t="shared" si="54"/>
        <v>5976560.3039999995</v>
      </c>
    </row>
    <row r="349" spans="1:14" customFormat="1" x14ac:dyDescent="0.25">
      <c r="A349" s="13">
        <f t="shared" si="55"/>
        <v>71</v>
      </c>
      <c r="B349" s="174" t="s">
        <v>652</v>
      </c>
      <c r="C349" s="52">
        <f>LEFT(B349,SUM(LEN(B349)-LEN(SUBSTITUTE(B349,{"0","1","2","3","4","5","6","7","8","9"},""))))*100+1</f>
        <v>1101</v>
      </c>
      <c r="D349" s="52" t="s">
        <v>104</v>
      </c>
      <c r="E349" s="60">
        <f>(57.605+1.8*3.05)*10.764</f>
        <v>679.1545799999999</v>
      </c>
      <c r="F349" s="60">
        <v>0</v>
      </c>
      <c r="G349" s="60">
        <f t="shared" si="57"/>
        <v>679.1545799999999</v>
      </c>
      <c r="H349" s="60">
        <f t="shared" si="58"/>
        <v>814.9854959999999</v>
      </c>
      <c r="I349" s="32">
        <f t="shared" si="41"/>
        <v>2037463.7399999998</v>
      </c>
      <c r="J349" s="32">
        <f>G349*$J$273</f>
        <v>6791545.7999999989</v>
      </c>
      <c r="K349" s="143">
        <v>15000</v>
      </c>
      <c r="L349" s="156">
        <f t="shared" si="53"/>
        <v>7470700.379999999</v>
      </c>
      <c r="M349" s="156"/>
      <c r="N349" s="143">
        <f t="shared" si="54"/>
        <v>5976560.3039999995</v>
      </c>
    </row>
    <row r="350" spans="1:14" customFormat="1" x14ac:dyDescent="0.25">
      <c r="A350" s="13" t="s">
        <v>171</v>
      </c>
      <c r="B350" s="192"/>
      <c r="C350" s="52">
        <f>C349+1</f>
        <v>1102</v>
      </c>
      <c r="D350" s="52" t="s">
        <v>171</v>
      </c>
      <c r="E350" s="148" t="s">
        <v>655</v>
      </c>
      <c r="F350" s="149"/>
      <c r="G350" s="149"/>
      <c r="H350" s="149"/>
      <c r="I350" s="149"/>
      <c r="J350" s="149"/>
      <c r="K350" s="149"/>
      <c r="L350" s="149"/>
      <c r="M350" s="149"/>
      <c r="N350" s="150"/>
    </row>
    <row r="351" spans="1:14" customFormat="1" x14ac:dyDescent="0.25">
      <c r="A351" s="13">
        <v>72</v>
      </c>
      <c r="B351" s="192"/>
      <c r="C351" s="52">
        <f t="shared" ref="C351:C356" si="59">C350+1</f>
        <v>1103</v>
      </c>
      <c r="D351" s="52" t="s">
        <v>100</v>
      </c>
      <c r="E351" s="60">
        <f>(40.738+1.8*2.9)*10.764</f>
        <v>494.69191199999995</v>
      </c>
      <c r="F351" s="60">
        <v>0</v>
      </c>
      <c r="G351" s="60">
        <f t="shared" ref="G351:G356" si="60">E351+(IF(F351&lt;101,F351,IF(F351&lt;201,F351/2,IF(F351&lt;=301,F351/3,F351/4))))</f>
        <v>494.69191199999995</v>
      </c>
      <c r="H351" s="60">
        <f t="shared" ref="H351:H356" si="61">G351*1.2</f>
        <v>593.63029439999991</v>
      </c>
      <c r="I351" s="32">
        <f t="shared" ref="I351:I356" si="62">H351*I$273</f>
        <v>1484075.7359999998</v>
      </c>
      <c r="J351" s="32">
        <f t="shared" ref="J351:J356" si="63">G351*$J$273</f>
        <v>4946919.1199999992</v>
      </c>
      <c r="K351" s="143">
        <v>10000</v>
      </c>
      <c r="L351" s="156">
        <f t="shared" si="53"/>
        <v>5441611.0319999987</v>
      </c>
      <c r="M351" s="156"/>
      <c r="N351" s="143">
        <f t="shared" si="54"/>
        <v>4353288.8255999992</v>
      </c>
    </row>
    <row r="352" spans="1:14" customFormat="1" x14ac:dyDescent="0.25">
      <c r="A352" s="13">
        <f t="shared" si="55"/>
        <v>73</v>
      </c>
      <c r="B352" s="192"/>
      <c r="C352" s="52">
        <f t="shared" si="59"/>
        <v>1104</v>
      </c>
      <c r="D352" s="52" t="s">
        <v>104</v>
      </c>
      <c r="E352" s="60">
        <f>(57.605+1.8*3.05)*10.764</f>
        <v>679.1545799999999</v>
      </c>
      <c r="F352" s="60">
        <v>0</v>
      </c>
      <c r="G352" s="60">
        <f t="shared" si="60"/>
        <v>679.1545799999999</v>
      </c>
      <c r="H352" s="60">
        <f t="shared" si="61"/>
        <v>814.9854959999999</v>
      </c>
      <c r="I352" s="32">
        <f t="shared" si="62"/>
        <v>2037463.7399999998</v>
      </c>
      <c r="J352" s="32">
        <f t="shared" si="63"/>
        <v>6791545.7999999989</v>
      </c>
      <c r="K352" s="143">
        <v>15000</v>
      </c>
      <c r="L352" s="156">
        <f t="shared" si="53"/>
        <v>7470700.379999999</v>
      </c>
      <c r="M352" s="156"/>
      <c r="N352" s="143">
        <f t="shared" si="54"/>
        <v>5976560.3039999995</v>
      </c>
    </row>
    <row r="353" spans="1:16" customFormat="1" x14ac:dyDescent="0.25">
      <c r="A353" s="13">
        <f t="shared" si="55"/>
        <v>74</v>
      </c>
      <c r="B353" s="192"/>
      <c r="C353" s="52">
        <f t="shared" si="59"/>
        <v>1105</v>
      </c>
      <c r="D353" s="52" t="s">
        <v>104</v>
      </c>
      <c r="E353" s="60">
        <f>(57.605+0.75*3.05)*10.764</f>
        <v>644.68286999999998</v>
      </c>
      <c r="F353" s="60">
        <v>0</v>
      </c>
      <c r="G353" s="60">
        <f t="shared" si="60"/>
        <v>644.68286999999998</v>
      </c>
      <c r="H353" s="60">
        <f t="shared" si="61"/>
        <v>773.61944399999993</v>
      </c>
      <c r="I353" s="32">
        <f t="shared" si="62"/>
        <v>1934048.6099999999</v>
      </c>
      <c r="J353" s="32">
        <f t="shared" si="63"/>
        <v>6446828.7000000002</v>
      </c>
      <c r="K353" s="143">
        <v>15000</v>
      </c>
      <c r="L353" s="156">
        <f t="shared" si="53"/>
        <v>7091511.5700000003</v>
      </c>
      <c r="M353" s="156"/>
      <c r="N353" s="143">
        <f t="shared" si="54"/>
        <v>5673209.256000001</v>
      </c>
    </row>
    <row r="354" spans="1:16" customFormat="1" x14ac:dyDescent="0.25">
      <c r="A354" s="13">
        <f t="shared" si="55"/>
        <v>75</v>
      </c>
      <c r="B354" s="192"/>
      <c r="C354" s="52">
        <f t="shared" si="59"/>
        <v>1106</v>
      </c>
      <c r="D354" s="52" t="s">
        <v>100</v>
      </c>
      <c r="E354" s="60">
        <f>(40.738+0.75*2.9)*10.764</f>
        <v>461.91553199999993</v>
      </c>
      <c r="F354" s="60">
        <v>0</v>
      </c>
      <c r="G354" s="60">
        <f t="shared" si="60"/>
        <v>461.91553199999993</v>
      </c>
      <c r="H354" s="60">
        <f t="shared" si="61"/>
        <v>554.29863839999985</v>
      </c>
      <c r="I354" s="32">
        <f t="shared" si="62"/>
        <v>1385746.5959999997</v>
      </c>
      <c r="J354" s="32">
        <f t="shared" si="63"/>
        <v>4619155.3199999994</v>
      </c>
      <c r="K354" s="143">
        <v>10000</v>
      </c>
      <c r="L354" s="156">
        <f t="shared" si="53"/>
        <v>5081070.851999999</v>
      </c>
      <c r="M354" s="156"/>
      <c r="N354" s="143">
        <f t="shared" si="54"/>
        <v>4064856.6815999993</v>
      </c>
    </row>
    <row r="355" spans="1:16" customFormat="1" x14ac:dyDescent="0.25">
      <c r="A355" s="13">
        <f t="shared" si="55"/>
        <v>76</v>
      </c>
      <c r="B355" s="192"/>
      <c r="C355" s="52">
        <f t="shared" si="59"/>
        <v>1107</v>
      </c>
      <c r="D355" s="52" t="s">
        <v>100</v>
      </c>
      <c r="E355" s="60">
        <f>(40.738+1.8*2.9)*10.764</f>
        <v>494.69191199999995</v>
      </c>
      <c r="F355" s="60">
        <v>0</v>
      </c>
      <c r="G355" s="60">
        <f t="shared" si="60"/>
        <v>494.69191199999995</v>
      </c>
      <c r="H355" s="60">
        <f t="shared" si="61"/>
        <v>593.63029439999991</v>
      </c>
      <c r="I355" s="32">
        <f t="shared" si="62"/>
        <v>1484075.7359999998</v>
      </c>
      <c r="J355" s="32">
        <f t="shared" si="63"/>
        <v>4946919.1199999992</v>
      </c>
      <c r="K355" s="143">
        <v>10000</v>
      </c>
      <c r="L355" s="156">
        <f t="shared" si="53"/>
        <v>5441611.0319999987</v>
      </c>
      <c r="M355" s="156"/>
      <c r="N355" s="143">
        <f t="shared" si="54"/>
        <v>4353288.8255999992</v>
      </c>
    </row>
    <row r="356" spans="1:16" customFormat="1" x14ac:dyDescent="0.25">
      <c r="A356" s="13">
        <f t="shared" si="55"/>
        <v>77</v>
      </c>
      <c r="B356" s="175"/>
      <c r="C356" s="52">
        <f t="shared" si="59"/>
        <v>1108</v>
      </c>
      <c r="D356" s="52" t="s">
        <v>104</v>
      </c>
      <c r="E356" s="60">
        <f>(57.605+1.8*3.05)*10.764</f>
        <v>679.1545799999999</v>
      </c>
      <c r="F356" s="60">
        <v>0</v>
      </c>
      <c r="G356" s="60">
        <f t="shared" si="60"/>
        <v>679.1545799999999</v>
      </c>
      <c r="H356" s="60">
        <f t="shared" si="61"/>
        <v>814.9854959999999</v>
      </c>
      <c r="I356" s="32">
        <f t="shared" si="62"/>
        <v>2037463.7399999998</v>
      </c>
      <c r="J356" s="32">
        <f t="shared" si="63"/>
        <v>6791545.7999999989</v>
      </c>
      <c r="K356" s="143">
        <v>15000</v>
      </c>
      <c r="L356" s="156">
        <f t="shared" si="53"/>
        <v>7470700.379999999</v>
      </c>
      <c r="M356" s="156"/>
      <c r="N356" s="143">
        <f t="shared" si="54"/>
        <v>5976560.3039999995</v>
      </c>
    </row>
    <row r="357" spans="1:16" ht="48.75" customHeight="1" x14ac:dyDescent="0.25">
      <c r="A357" s="368" t="s">
        <v>684</v>
      </c>
      <c r="B357" s="369"/>
      <c r="C357" s="369"/>
      <c r="D357" s="369"/>
      <c r="E357" s="369"/>
      <c r="F357" s="369"/>
      <c r="G357" s="369"/>
      <c r="H357" s="369"/>
      <c r="I357" s="369"/>
      <c r="J357" s="369"/>
      <c r="K357" s="369"/>
      <c r="L357" s="369"/>
      <c r="M357" s="369"/>
      <c r="N357" s="370"/>
    </row>
    <row r="358" spans="1:16" ht="15" customHeight="1" x14ac:dyDescent="0.25">
      <c r="A358" s="352"/>
      <c r="B358" s="353"/>
      <c r="C358" s="353"/>
      <c r="D358" s="353"/>
      <c r="E358" s="353"/>
      <c r="F358" s="353"/>
      <c r="G358" s="353"/>
      <c r="H358" s="353"/>
      <c r="I358" s="353"/>
      <c r="J358" s="353"/>
      <c r="K358" s="353"/>
      <c r="L358" s="353"/>
      <c r="M358" s="353"/>
      <c r="N358" s="354"/>
    </row>
    <row r="359" spans="1:16" ht="15.75" x14ac:dyDescent="0.25">
      <c r="A359" s="424" t="s">
        <v>464</v>
      </c>
      <c r="B359" s="425"/>
      <c r="C359" s="425"/>
      <c r="D359" s="425"/>
      <c r="E359" s="425"/>
      <c r="F359" s="425"/>
      <c r="G359" s="425"/>
      <c r="H359" s="425"/>
      <c r="I359" s="425"/>
      <c r="J359" s="425"/>
      <c r="K359" s="425"/>
      <c r="L359" s="425"/>
      <c r="M359" s="425"/>
      <c r="N359" s="426"/>
    </row>
    <row r="360" spans="1:16" customFormat="1" ht="42" customHeight="1" x14ac:dyDescent="0.25">
      <c r="A360" s="153" t="s">
        <v>67</v>
      </c>
      <c r="B360" s="153" t="s">
        <v>68</v>
      </c>
      <c r="C360" s="153" t="s">
        <v>69</v>
      </c>
      <c r="D360" s="153" t="s">
        <v>70</v>
      </c>
      <c r="E360" s="151" t="s">
        <v>83</v>
      </c>
      <c r="F360" s="151" t="s">
        <v>609</v>
      </c>
      <c r="G360" s="151" t="s">
        <v>604</v>
      </c>
      <c r="H360" s="151" t="s">
        <v>244</v>
      </c>
      <c r="I360" s="151" t="s">
        <v>588</v>
      </c>
      <c r="J360" s="134" t="s">
        <v>606</v>
      </c>
      <c r="K360" s="151" t="s">
        <v>589</v>
      </c>
      <c r="L360" s="158" t="s">
        <v>683</v>
      </c>
      <c r="M360" s="159"/>
      <c r="N360" s="164" t="s">
        <v>682</v>
      </c>
    </row>
    <row r="361" spans="1:16" customFormat="1" ht="32.25" customHeight="1" x14ac:dyDescent="0.25">
      <c r="A361" s="154"/>
      <c r="B361" s="154"/>
      <c r="C361" s="154"/>
      <c r="D361" s="154"/>
      <c r="E361" s="157"/>
      <c r="F361" s="157"/>
      <c r="G361" s="157"/>
      <c r="H361" s="157"/>
      <c r="I361" s="152"/>
      <c r="J361" s="133" t="s">
        <v>607</v>
      </c>
      <c r="K361" s="157"/>
      <c r="L361" s="160"/>
      <c r="M361" s="161"/>
      <c r="N361" s="164"/>
    </row>
    <row r="362" spans="1:16" customFormat="1" x14ac:dyDescent="0.25">
      <c r="A362" s="155"/>
      <c r="B362" s="155"/>
      <c r="C362" s="155"/>
      <c r="D362" s="155"/>
      <c r="E362" s="152"/>
      <c r="F362" s="152"/>
      <c r="G362" s="152"/>
      <c r="H362" s="152"/>
      <c r="I362" s="135">
        <v>2500</v>
      </c>
      <c r="J362" s="135">
        <v>10000</v>
      </c>
      <c r="K362" s="152"/>
      <c r="L362" s="162"/>
      <c r="M362" s="163"/>
      <c r="N362" s="164"/>
    </row>
    <row r="363" spans="1:16" customFormat="1" hidden="1" x14ac:dyDescent="0.25">
      <c r="A363" s="165"/>
      <c r="B363" s="166"/>
      <c r="C363" s="166"/>
      <c r="D363" s="166"/>
      <c r="E363" s="166"/>
      <c r="F363" s="166"/>
      <c r="G363" s="166"/>
      <c r="H363" s="166"/>
      <c r="I363" s="166"/>
      <c r="J363" s="166"/>
      <c r="K363" s="167"/>
      <c r="L363" s="168">
        <v>0.1</v>
      </c>
      <c r="M363" s="168"/>
      <c r="N363" s="142"/>
      <c r="P363" s="141"/>
    </row>
    <row r="364" spans="1:16" customFormat="1" x14ac:dyDescent="0.25">
      <c r="A364" s="422" t="s">
        <v>409</v>
      </c>
      <c r="B364" s="422"/>
      <c r="C364" s="422"/>
      <c r="D364" s="422"/>
      <c r="E364" s="422"/>
      <c r="F364" s="422"/>
      <c r="G364" s="422"/>
      <c r="H364" s="422"/>
      <c r="I364" s="422"/>
      <c r="J364" s="422"/>
      <c r="K364" s="422"/>
      <c r="L364" s="422"/>
      <c r="M364" s="422"/>
      <c r="N364" s="422"/>
    </row>
    <row r="365" spans="1:16" customFormat="1" x14ac:dyDescent="0.25">
      <c r="A365" s="13">
        <v>1</v>
      </c>
      <c r="B365" s="189" t="s">
        <v>656</v>
      </c>
      <c r="C365" s="52">
        <f>LEFT(B365,SUM(LEN(B365)-LEN(SUBSTITUTE(B365,{"0","1","2","3","4","5","6","7","8","9"},""))))*100+1</f>
        <v>1201</v>
      </c>
      <c r="D365" s="52" t="s">
        <v>104</v>
      </c>
      <c r="E365" s="60">
        <f>(57.605+1.8*3.05)*10.764</f>
        <v>679.1545799999999</v>
      </c>
      <c r="F365" s="60">
        <v>0</v>
      </c>
      <c r="G365" s="60">
        <f t="shared" ref="G365:G370" si="64">E365+(IF(F365&lt;101,F365,IF(F365&lt;201,F365/2,IF(F365&lt;=301,F365/3,F365/4))))</f>
        <v>679.1545799999999</v>
      </c>
      <c r="H365" s="60">
        <f t="shared" ref="H365:H370" si="65">G365*1.2</f>
        <v>814.9854959999999</v>
      </c>
      <c r="I365" s="32">
        <f>H365*I$362</f>
        <v>2037463.7399999998</v>
      </c>
      <c r="J365" s="32">
        <f>G365*$J$273</f>
        <v>6791545.7999999989</v>
      </c>
      <c r="K365" s="143">
        <v>15000</v>
      </c>
      <c r="L365" s="146">
        <f>J365+J365*$L$363</f>
        <v>7470700.379999999</v>
      </c>
      <c r="M365" s="147"/>
      <c r="N365" s="143">
        <f t="shared" ref="N365:N428" si="66">L365*0.8</f>
        <v>5976560.3039999995</v>
      </c>
    </row>
    <row r="366" spans="1:16" customFormat="1" x14ac:dyDescent="0.25">
      <c r="A366" s="13">
        <f>A365+1</f>
        <v>2</v>
      </c>
      <c r="B366" s="190"/>
      <c r="C366" s="52">
        <f>C365+1</f>
        <v>1202</v>
      </c>
      <c r="D366" s="52" t="s">
        <v>100</v>
      </c>
      <c r="E366" s="60">
        <f>(40.738+1.8*2.9)*10.764</f>
        <v>494.69191199999995</v>
      </c>
      <c r="F366" s="60">
        <v>0</v>
      </c>
      <c r="G366" s="60">
        <f t="shared" si="64"/>
        <v>494.69191199999995</v>
      </c>
      <c r="H366" s="60">
        <f t="shared" si="65"/>
        <v>593.63029439999991</v>
      </c>
      <c r="I366" s="32">
        <f t="shared" ref="I366:I429" si="67">H366*I$362</f>
        <v>1484075.7359999998</v>
      </c>
      <c r="J366" s="32">
        <f t="shared" ref="J366:J370" si="68">G366*$J$273</f>
        <v>4946919.1199999992</v>
      </c>
      <c r="K366" s="143">
        <v>10000</v>
      </c>
      <c r="L366" s="146">
        <f t="shared" ref="L366:L429" si="69">J366+J366*$L$363</f>
        <v>5441611.0319999987</v>
      </c>
      <c r="M366" s="147"/>
      <c r="N366" s="143">
        <f t="shared" si="66"/>
        <v>4353288.8255999992</v>
      </c>
    </row>
    <row r="367" spans="1:16" customFormat="1" x14ac:dyDescent="0.25">
      <c r="A367" s="13">
        <f t="shared" ref="A367:A430" si="70">A366+1</f>
        <v>3</v>
      </c>
      <c r="B367" s="190"/>
      <c r="C367" s="52">
        <f t="shared" ref="C367:C372" si="71">C366+1</f>
        <v>1203</v>
      </c>
      <c r="D367" s="52" t="s">
        <v>100</v>
      </c>
      <c r="E367" s="60">
        <f>(40.738+1.8*2.9)*10.764</f>
        <v>494.69191199999995</v>
      </c>
      <c r="F367" s="60">
        <v>0</v>
      </c>
      <c r="G367" s="60">
        <f t="shared" si="64"/>
        <v>494.69191199999995</v>
      </c>
      <c r="H367" s="60">
        <f t="shared" si="65"/>
        <v>593.63029439999991</v>
      </c>
      <c r="I367" s="32">
        <f t="shared" si="67"/>
        <v>1484075.7359999998</v>
      </c>
      <c r="J367" s="32">
        <f t="shared" si="68"/>
        <v>4946919.1199999992</v>
      </c>
      <c r="K367" s="143">
        <v>10000</v>
      </c>
      <c r="L367" s="146">
        <f t="shared" si="69"/>
        <v>5441611.0319999987</v>
      </c>
      <c r="M367" s="147"/>
      <c r="N367" s="143">
        <f t="shared" si="66"/>
        <v>4353288.8255999992</v>
      </c>
    </row>
    <row r="368" spans="1:16" customFormat="1" x14ac:dyDescent="0.25">
      <c r="A368" s="13">
        <f t="shared" si="70"/>
        <v>4</v>
      </c>
      <c r="B368" s="190"/>
      <c r="C368" s="52">
        <f t="shared" si="71"/>
        <v>1204</v>
      </c>
      <c r="D368" s="52" t="s">
        <v>104</v>
      </c>
      <c r="E368" s="60">
        <f>(57.605+1.8*3.05)*10.764</f>
        <v>679.1545799999999</v>
      </c>
      <c r="F368" s="60">
        <v>0</v>
      </c>
      <c r="G368" s="60">
        <f t="shared" si="64"/>
        <v>679.1545799999999</v>
      </c>
      <c r="H368" s="60">
        <f t="shared" si="65"/>
        <v>814.9854959999999</v>
      </c>
      <c r="I368" s="32">
        <f t="shared" si="67"/>
        <v>2037463.7399999998</v>
      </c>
      <c r="J368" s="32">
        <f t="shared" si="68"/>
        <v>6791545.7999999989</v>
      </c>
      <c r="K368" s="143">
        <v>15000</v>
      </c>
      <c r="L368" s="146">
        <f t="shared" si="69"/>
        <v>7470700.379999999</v>
      </c>
      <c r="M368" s="147"/>
      <c r="N368" s="143">
        <f t="shared" si="66"/>
        <v>5976560.3039999995</v>
      </c>
    </row>
    <row r="369" spans="1:14" customFormat="1" x14ac:dyDescent="0.25">
      <c r="A369" s="13">
        <f t="shared" si="70"/>
        <v>5</v>
      </c>
      <c r="B369" s="190"/>
      <c r="C369" s="52">
        <f t="shared" si="71"/>
        <v>1205</v>
      </c>
      <c r="D369" s="52" t="s">
        <v>104</v>
      </c>
      <c r="E369" s="60">
        <f>(57.605+0.75*3.05)*10.764</f>
        <v>644.68286999999998</v>
      </c>
      <c r="F369" s="60">
        <v>0</v>
      </c>
      <c r="G369" s="60">
        <f t="shared" si="64"/>
        <v>644.68286999999998</v>
      </c>
      <c r="H369" s="60">
        <f t="shared" si="65"/>
        <v>773.61944399999993</v>
      </c>
      <c r="I369" s="32">
        <f t="shared" si="67"/>
        <v>1934048.6099999999</v>
      </c>
      <c r="J369" s="32">
        <f t="shared" si="68"/>
        <v>6446828.7000000002</v>
      </c>
      <c r="K369" s="143">
        <v>15000</v>
      </c>
      <c r="L369" s="146">
        <f t="shared" si="69"/>
        <v>7091511.5700000003</v>
      </c>
      <c r="M369" s="147"/>
      <c r="N369" s="143">
        <f t="shared" si="66"/>
        <v>5673209.256000001</v>
      </c>
    </row>
    <row r="370" spans="1:14" customFormat="1" x14ac:dyDescent="0.25">
      <c r="A370" s="13">
        <f t="shared" si="70"/>
        <v>6</v>
      </c>
      <c r="B370" s="190"/>
      <c r="C370" s="52">
        <f t="shared" si="71"/>
        <v>1206</v>
      </c>
      <c r="D370" s="52" t="s">
        <v>100</v>
      </c>
      <c r="E370" s="60">
        <f>(40.738+0.75*2.9)*10.764</f>
        <v>461.91553199999993</v>
      </c>
      <c r="F370" s="60">
        <v>0</v>
      </c>
      <c r="G370" s="60">
        <f t="shared" si="64"/>
        <v>461.91553199999993</v>
      </c>
      <c r="H370" s="60">
        <f t="shared" si="65"/>
        <v>554.29863839999985</v>
      </c>
      <c r="I370" s="32">
        <f t="shared" si="67"/>
        <v>1385746.5959999997</v>
      </c>
      <c r="J370" s="32">
        <f t="shared" si="68"/>
        <v>4619155.3199999994</v>
      </c>
      <c r="K370" s="143">
        <v>10000</v>
      </c>
      <c r="L370" s="146">
        <f t="shared" si="69"/>
        <v>5081070.851999999</v>
      </c>
      <c r="M370" s="147"/>
      <c r="N370" s="143">
        <f t="shared" si="66"/>
        <v>4064856.6815999993</v>
      </c>
    </row>
    <row r="371" spans="1:14" customFormat="1" x14ac:dyDescent="0.25">
      <c r="A371" s="13">
        <f t="shared" si="70"/>
        <v>7</v>
      </c>
      <c r="B371" s="190"/>
      <c r="C371" s="52">
        <f t="shared" si="71"/>
        <v>1207</v>
      </c>
      <c r="D371" s="52" t="s">
        <v>100</v>
      </c>
      <c r="E371" s="60">
        <f>(40.738+1.8*2.9)*10.764</f>
        <v>494.69191199999995</v>
      </c>
      <c r="F371" s="60">
        <v>0</v>
      </c>
      <c r="G371" s="60">
        <f t="shared" ref="G371:G378" si="72">E371+(IF(F371&lt;101,F371,IF(F371&lt;201,F371/2,IF(F371&lt;=301,F371/3,F371/4))))</f>
        <v>494.69191199999995</v>
      </c>
      <c r="H371" s="60">
        <f t="shared" ref="H371:H378" si="73">G371*1.2</f>
        <v>593.63029439999991</v>
      </c>
      <c r="I371" s="32">
        <f t="shared" si="67"/>
        <v>1484075.7359999998</v>
      </c>
      <c r="J371" s="32">
        <f t="shared" ref="J371:J378" si="74">G371*$J$273</f>
        <v>4946919.1199999992</v>
      </c>
      <c r="K371" s="143">
        <v>10000</v>
      </c>
      <c r="L371" s="146">
        <f t="shared" si="69"/>
        <v>5441611.0319999987</v>
      </c>
      <c r="M371" s="147"/>
      <c r="N371" s="143">
        <f t="shared" si="66"/>
        <v>4353288.8255999992</v>
      </c>
    </row>
    <row r="372" spans="1:14" customFormat="1" x14ac:dyDescent="0.25">
      <c r="A372" s="13">
        <f t="shared" si="70"/>
        <v>8</v>
      </c>
      <c r="B372" s="191"/>
      <c r="C372" s="52">
        <f t="shared" si="71"/>
        <v>1208</v>
      </c>
      <c r="D372" s="52" t="s">
        <v>104</v>
      </c>
      <c r="E372" s="60">
        <f>(57.605+1.8*3.05)*10.764</f>
        <v>679.1545799999999</v>
      </c>
      <c r="F372" s="60">
        <v>0</v>
      </c>
      <c r="G372" s="60">
        <f t="shared" si="72"/>
        <v>679.1545799999999</v>
      </c>
      <c r="H372" s="60">
        <f t="shared" si="73"/>
        <v>814.9854959999999</v>
      </c>
      <c r="I372" s="32">
        <f t="shared" si="67"/>
        <v>2037463.7399999998</v>
      </c>
      <c r="J372" s="32">
        <f t="shared" si="74"/>
        <v>6791545.7999999989</v>
      </c>
      <c r="K372" s="143">
        <v>15000</v>
      </c>
      <c r="L372" s="146">
        <f t="shared" si="69"/>
        <v>7470700.379999999</v>
      </c>
      <c r="M372" s="147"/>
      <c r="N372" s="143">
        <f t="shared" si="66"/>
        <v>5976560.3039999995</v>
      </c>
    </row>
    <row r="373" spans="1:14" customFormat="1" x14ac:dyDescent="0.25">
      <c r="A373" s="13">
        <f t="shared" si="70"/>
        <v>9</v>
      </c>
      <c r="B373" s="189" t="s">
        <v>657</v>
      </c>
      <c r="C373" s="52">
        <f>LEFT(B373,SUM(LEN(B373)-LEN(SUBSTITUTE(B373,{"0","1","2","3","4","5","6","7","8","9"},""))))*100+1</f>
        <v>1301</v>
      </c>
      <c r="D373" s="52" t="s">
        <v>104</v>
      </c>
      <c r="E373" s="60">
        <f>(57.605+1.8*3.05)*10.764</f>
        <v>679.1545799999999</v>
      </c>
      <c r="F373" s="60">
        <v>0</v>
      </c>
      <c r="G373" s="60">
        <f t="shared" si="72"/>
        <v>679.1545799999999</v>
      </c>
      <c r="H373" s="60">
        <f t="shared" si="73"/>
        <v>814.9854959999999</v>
      </c>
      <c r="I373" s="32">
        <f t="shared" si="67"/>
        <v>2037463.7399999998</v>
      </c>
      <c r="J373" s="32">
        <f t="shared" si="74"/>
        <v>6791545.7999999989</v>
      </c>
      <c r="K373" s="143">
        <v>15000</v>
      </c>
      <c r="L373" s="146">
        <f t="shared" si="69"/>
        <v>7470700.379999999</v>
      </c>
      <c r="M373" s="147"/>
      <c r="N373" s="143">
        <f t="shared" si="66"/>
        <v>5976560.3039999995</v>
      </c>
    </row>
    <row r="374" spans="1:14" customFormat="1" x14ac:dyDescent="0.25">
      <c r="A374" s="13">
        <f t="shared" si="70"/>
        <v>10</v>
      </c>
      <c r="B374" s="190"/>
      <c r="C374" s="52">
        <f>C373+1</f>
        <v>1302</v>
      </c>
      <c r="D374" s="52" t="s">
        <v>100</v>
      </c>
      <c r="E374" s="60">
        <f>(40.738+1.8*2.9)*10.764</f>
        <v>494.69191199999995</v>
      </c>
      <c r="F374" s="60">
        <v>0</v>
      </c>
      <c r="G374" s="60">
        <f t="shared" si="72"/>
        <v>494.69191199999995</v>
      </c>
      <c r="H374" s="60">
        <f t="shared" si="73"/>
        <v>593.63029439999991</v>
      </c>
      <c r="I374" s="32">
        <f t="shared" si="67"/>
        <v>1484075.7359999998</v>
      </c>
      <c r="J374" s="32">
        <f t="shared" si="74"/>
        <v>4946919.1199999992</v>
      </c>
      <c r="K374" s="143">
        <v>10000</v>
      </c>
      <c r="L374" s="146">
        <f t="shared" si="69"/>
        <v>5441611.0319999987</v>
      </c>
      <c r="M374" s="147"/>
      <c r="N374" s="143">
        <f t="shared" si="66"/>
        <v>4353288.8255999992</v>
      </c>
    </row>
    <row r="375" spans="1:14" customFormat="1" x14ac:dyDescent="0.25">
      <c r="A375" s="13">
        <f t="shared" si="70"/>
        <v>11</v>
      </c>
      <c r="B375" s="190"/>
      <c r="C375" s="52">
        <f t="shared" ref="C375:C380" si="75">C374+1</f>
        <v>1303</v>
      </c>
      <c r="D375" s="52" t="s">
        <v>100</v>
      </c>
      <c r="E375" s="60">
        <f>(40.738+1.8*2.9)*10.764</f>
        <v>494.69191199999995</v>
      </c>
      <c r="F375" s="60">
        <v>0</v>
      </c>
      <c r="G375" s="60">
        <f t="shared" si="72"/>
        <v>494.69191199999995</v>
      </c>
      <c r="H375" s="60">
        <f t="shared" si="73"/>
        <v>593.63029439999991</v>
      </c>
      <c r="I375" s="32">
        <f t="shared" si="67"/>
        <v>1484075.7359999998</v>
      </c>
      <c r="J375" s="32">
        <f t="shared" si="74"/>
        <v>4946919.1199999992</v>
      </c>
      <c r="K375" s="143">
        <v>10000</v>
      </c>
      <c r="L375" s="146">
        <f t="shared" si="69"/>
        <v>5441611.0319999987</v>
      </c>
      <c r="M375" s="147"/>
      <c r="N375" s="143">
        <f t="shared" si="66"/>
        <v>4353288.8255999992</v>
      </c>
    </row>
    <row r="376" spans="1:14" customFormat="1" x14ac:dyDescent="0.25">
      <c r="A376" s="13">
        <f t="shared" si="70"/>
        <v>12</v>
      </c>
      <c r="B376" s="190"/>
      <c r="C376" s="52">
        <f t="shared" si="75"/>
        <v>1304</v>
      </c>
      <c r="D376" s="52" t="s">
        <v>104</v>
      </c>
      <c r="E376" s="60">
        <f>(57.605+1.8*3.05)*10.764</f>
        <v>679.1545799999999</v>
      </c>
      <c r="F376" s="60">
        <v>0</v>
      </c>
      <c r="G376" s="60">
        <f t="shared" si="72"/>
        <v>679.1545799999999</v>
      </c>
      <c r="H376" s="60">
        <f t="shared" si="73"/>
        <v>814.9854959999999</v>
      </c>
      <c r="I376" s="32">
        <f t="shared" si="67"/>
        <v>2037463.7399999998</v>
      </c>
      <c r="J376" s="32">
        <f t="shared" si="74"/>
        <v>6791545.7999999989</v>
      </c>
      <c r="K376" s="143">
        <v>15000</v>
      </c>
      <c r="L376" s="146">
        <f t="shared" si="69"/>
        <v>7470700.379999999</v>
      </c>
      <c r="M376" s="147"/>
      <c r="N376" s="143">
        <f t="shared" si="66"/>
        <v>5976560.3039999995</v>
      </c>
    </row>
    <row r="377" spans="1:14" customFormat="1" x14ac:dyDescent="0.25">
      <c r="A377" s="13">
        <f t="shared" si="70"/>
        <v>13</v>
      </c>
      <c r="B377" s="190"/>
      <c r="C377" s="52">
        <f t="shared" si="75"/>
        <v>1305</v>
      </c>
      <c r="D377" s="52" t="s">
        <v>104</v>
      </c>
      <c r="E377" s="60">
        <f>(57.605+0.75*3.05)*10.764</f>
        <v>644.68286999999998</v>
      </c>
      <c r="F377" s="60">
        <v>0</v>
      </c>
      <c r="G377" s="60">
        <f t="shared" si="72"/>
        <v>644.68286999999998</v>
      </c>
      <c r="H377" s="60">
        <f t="shared" si="73"/>
        <v>773.61944399999993</v>
      </c>
      <c r="I377" s="32">
        <f t="shared" si="67"/>
        <v>1934048.6099999999</v>
      </c>
      <c r="J377" s="32">
        <f t="shared" si="74"/>
        <v>6446828.7000000002</v>
      </c>
      <c r="K377" s="143">
        <v>15000</v>
      </c>
      <c r="L377" s="146">
        <f t="shared" si="69"/>
        <v>7091511.5700000003</v>
      </c>
      <c r="M377" s="147"/>
      <c r="N377" s="143">
        <f t="shared" si="66"/>
        <v>5673209.256000001</v>
      </c>
    </row>
    <row r="378" spans="1:14" customFormat="1" x14ac:dyDescent="0.25">
      <c r="A378" s="13">
        <f t="shared" si="70"/>
        <v>14</v>
      </c>
      <c r="B378" s="190"/>
      <c r="C378" s="52">
        <f t="shared" si="75"/>
        <v>1306</v>
      </c>
      <c r="D378" s="52" t="s">
        <v>100</v>
      </c>
      <c r="E378" s="60">
        <f>(40.738+0.75*2.9)*10.764</f>
        <v>461.91553199999993</v>
      </c>
      <c r="F378" s="60">
        <v>0</v>
      </c>
      <c r="G378" s="60">
        <f t="shared" si="72"/>
        <v>461.91553199999993</v>
      </c>
      <c r="H378" s="60">
        <f t="shared" si="73"/>
        <v>554.29863839999985</v>
      </c>
      <c r="I378" s="32">
        <f t="shared" si="67"/>
        <v>1385746.5959999997</v>
      </c>
      <c r="J378" s="32">
        <f t="shared" si="74"/>
        <v>4619155.3199999994</v>
      </c>
      <c r="K378" s="143">
        <v>10000</v>
      </c>
      <c r="L378" s="146">
        <f t="shared" si="69"/>
        <v>5081070.851999999</v>
      </c>
      <c r="M378" s="147"/>
      <c r="N378" s="143">
        <f t="shared" si="66"/>
        <v>4064856.6815999993</v>
      </c>
    </row>
    <row r="379" spans="1:14" customFormat="1" x14ac:dyDescent="0.25">
      <c r="A379" s="13">
        <f t="shared" si="70"/>
        <v>15</v>
      </c>
      <c r="B379" s="190"/>
      <c r="C379" s="52">
        <f t="shared" si="75"/>
        <v>1307</v>
      </c>
      <c r="D379" s="52" t="s">
        <v>100</v>
      </c>
      <c r="E379" s="60">
        <f>(40.738+1.8*2.9)*10.764</f>
        <v>494.69191199999995</v>
      </c>
      <c r="F379" s="60">
        <v>0</v>
      </c>
      <c r="G379" s="60">
        <f t="shared" ref="G379:G386" si="76">E379+(IF(F379&lt;101,F379,IF(F379&lt;201,F379/2,IF(F379&lt;=301,F379/3,F379/4))))</f>
        <v>494.69191199999995</v>
      </c>
      <c r="H379" s="60">
        <f t="shared" ref="H379:H386" si="77">G379*1.2</f>
        <v>593.63029439999991</v>
      </c>
      <c r="I379" s="32">
        <f t="shared" si="67"/>
        <v>1484075.7359999998</v>
      </c>
      <c r="J379" s="32">
        <f t="shared" ref="J379:J386" si="78">G379*$J$273</f>
        <v>4946919.1199999992</v>
      </c>
      <c r="K379" s="143">
        <v>10000</v>
      </c>
      <c r="L379" s="146">
        <f t="shared" si="69"/>
        <v>5441611.0319999987</v>
      </c>
      <c r="M379" s="147"/>
      <c r="N379" s="143">
        <f t="shared" si="66"/>
        <v>4353288.8255999992</v>
      </c>
    </row>
    <row r="380" spans="1:14" customFormat="1" x14ac:dyDescent="0.25">
      <c r="A380" s="13">
        <f t="shared" si="70"/>
        <v>16</v>
      </c>
      <c r="B380" s="191"/>
      <c r="C380" s="52">
        <f t="shared" si="75"/>
        <v>1308</v>
      </c>
      <c r="D380" s="52" t="s">
        <v>104</v>
      </c>
      <c r="E380" s="60">
        <f>(57.605+1.8*3.05)*10.764</f>
        <v>679.1545799999999</v>
      </c>
      <c r="F380" s="60">
        <v>0</v>
      </c>
      <c r="G380" s="60">
        <f t="shared" si="76"/>
        <v>679.1545799999999</v>
      </c>
      <c r="H380" s="60">
        <f t="shared" si="77"/>
        <v>814.9854959999999</v>
      </c>
      <c r="I380" s="32">
        <f t="shared" si="67"/>
        <v>2037463.7399999998</v>
      </c>
      <c r="J380" s="32">
        <f t="shared" si="78"/>
        <v>6791545.7999999989</v>
      </c>
      <c r="K380" s="143">
        <v>15000</v>
      </c>
      <c r="L380" s="146">
        <f t="shared" si="69"/>
        <v>7470700.379999999</v>
      </c>
      <c r="M380" s="147"/>
      <c r="N380" s="143">
        <f t="shared" si="66"/>
        <v>5976560.3039999995</v>
      </c>
    </row>
    <row r="381" spans="1:14" customFormat="1" x14ac:dyDescent="0.25">
      <c r="A381" s="13">
        <f t="shared" si="70"/>
        <v>17</v>
      </c>
      <c r="B381" s="189" t="s">
        <v>595</v>
      </c>
      <c r="C381" s="52">
        <f>LEFT(B381,SUM(LEN(B381)-LEN(SUBSTITUTE(B381,{"0","1","2","3","4","5","6","7","8","9"},""))))*100+1</f>
        <v>1401</v>
      </c>
      <c r="D381" s="52" t="s">
        <v>104</v>
      </c>
      <c r="E381" s="60">
        <f>(57.605+1.8*3.05)*10.764</f>
        <v>679.1545799999999</v>
      </c>
      <c r="F381" s="60">
        <v>0</v>
      </c>
      <c r="G381" s="60">
        <f t="shared" si="76"/>
        <v>679.1545799999999</v>
      </c>
      <c r="H381" s="60">
        <f t="shared" si="77"/>
        <v>814.9854959999999</v>
      </c>
      <c r="I381" s="32">
        <f t="shared" si="67"/>
        <v>2037463.7399999998</v>
      </c>
      <c r="J381" s="32">
        <f t="shared" si="78"/>
        <v>6791545.7999999989</v>
      </c>
      <c r="K381" s="143">
        <v>15000</v>
      </c>
      <c r="L381" s="146">
        <f t="shared" si="69"/>
        <v>7470700.379999999</v>
      </c>
      <c r="M381" s="147"/>
      <c r="N381" s="143">
        <f t="shared" si="66"/>
        <v>5976560.3039999995</v>
      </c>
    </row>
    <row r="382" spans="1:14" customFormat="1" x14ac:dyDescent="0.25">
      <c r="A382" s="13">
        <f t="shared" si="70"/>
        <v>18</v>
      </c>
      <c r="B382" s="190"/>
      <c r="C382" s="52">
        <f>C381+1</f>
        <v>1402</v>
      </c>
      <c r="D382" s="52" t="s">
        <v>100</v>
      </c>
      <c r="E382" s="60">
        <f>(40.738+1.8*2.9)*10.764</f>
        <v>494.69191199999995</v>
      </c>
      <c r="F382" s="60">
        <v>0</v>
      </c>
      <c r="G382" s="60">
        <f t="shared" si="76"/>
        <v>494.69191199999995</v>
      </c>
      <c r="H382" s="60">
        <f t="shared" si="77"/>
        <v>593.63029439999991</v>
      </c>
      <c r="I382" s="32">
        <f t="shared" si="67"/>
        <v>1484075.7359999998</v>
      </c>
      <c r="J382" s="32">
        <f t="shared" si="78"/>
        <v>4946919.1199999992</v>
      </c>
      <c r="K382" s="143">
        <v>10000</v>
      </c>
      <c r="L382" s="146">
        <f t="shared" si="69"/>
        <v>5441611.0319999987</v>
      </c>
      <c r="M382" s="147"/>
      <c r="N382" s="143">
        <f t="shared" si="66"/>
        <v>4353288.8255999992</v>
      </c>
    </row>
    <row r="383" spans="1:14" customFormat="1" x14ac:dyDescent="0.25">
      <c r="A383" s="13">
        <f t="shared" si="70"/>
        <v>19</v>
      </c>
      <c r="B383" s="190"/>
      <c r="C383" s="52">
        <f t="shared" ref="C383:C388" si="79">C382+1</f>
        <v>1403</v>
      </c>
      <c r="D383" s="52" t="s">
        <v>100</v>
      </c>
      <c r="E383" s="60">
        <f>(40.738+1.8*2.9)*10.764</f>
        <v>494.69191199999995</v>
      </c>
      <c r="F383" s="60">
        <v>0</v>
      </c>
      <c r="G383" s="60">
        <f t="shared" si="76"/>
        <v>494.69191199999995</v>
      </c>
      <c r="H383" s="60">
        <f t="shared" si="77"/>
        <v>593.63029439999991</v>
      </c>
      <c r="I383" s="32">
        <f t="shared" si="67"/>
        <v>1484075.7359999998</v>
      </c>
      <c r="J383" s="32">
        <f t="shared" si="78"/>
        <v>4946919.1199999992</v>
      </c>
      <c r="K383" s="143">
        <v>10000</v>
      </c>
      <c r="L383" s="146">
        <f t="shared" si="69"/>
        <v>5441611.0319999987</v>
      </c>
      <c r="M383" s="147"/>
      <c r="N383" s="143">
        <f t="shared" si="66"/>
        <v>4353288.8255999992</v>
      </c>
    </row>
    <row r="384" spans="1:14" customFormat="1" x14ac:dyDescent="0.25">
      <c r="A384" s="13">
        <f t="shared" si="70"/>
        <v>20</v>
      </c>
      <c r="B384" s="190"/>
      <c r="C384" s="52">
        <f t="shared" si="79"/>
        <v>1404</v>
      </c>
      <c r="D384" s="52" t="s">
        <v>104</v>
      </c>
      <c r="E384" s="60">
        <f>(57.605+1.8*3.05)*10.764</f>
        <v>679.1545799999999</v>
      </c>
      <c r="F384" s="60">
        <v>0</v>
      </c>
      <c r="G384" s="60">
        <f t="shared" si="76"/>
        <v>679.1545799999999</v>
      </c>
      <c r="H384" s="60">
        <f t="shared" si="77"/>
        <v>814.9854959999999</v>
      </c>
      <c r="I384" s="32">
        <f t="shared" si="67"/>
        <v>2037463.7399999998</v>
      </c>
      <c r="J384" s="32">
        <f t="shared" si="78"/>
        <v>6791545.7999999989</v>
      </c>
      <c r="K384" s="143">
        <v>15000</v>
      </c>
      <c r="L384" s="146">
        <f t="shared" si="69"/>
        <v>7470700.379999999</v>
      </c>
      <c r="M384" s="147"/>
      <c r="N384" s="143">
        <f t="shared" si="66"/>
        <v>5976560.3039999995</v>
      </c>
    </row>
    <row r="385" spans="1:14" customFormat="1" x14ac:dyDescent="0.25">
      <c r="A385" s="13">
        <f t="shared" si="70"/>
        <v>21</v>
      </c>
      <c r="B385" s="190"/>
      <c r="C385" s="52">
        <f t="shared" si="79"/>
        <v>1405</v>
      </c>
      <c r="D385" s="52" t="s">
        <v>104</v>
      </c>
      <c r="E385" s="60">
        <f>(57.605+0.75*3.05)*10.764</f>
        <v>644.68286999999998</v>
      </c>
      <c r="F385" s="60">
        <v>0</v>
      </c>
      <c r="G385" s="60">
        <f t="shared" si="76"/>
        <v>644.68286999999998</v>
      </c>
      <c r="H385" s="60">
        <f t="shared" si="77"/>
        <v>773.61944399999993</v>
      </c>
      <c r="I385" s="32">
        <f t="shared" si="67"/>
        <v>1934048.6099999999</v>
      </c>
      <c r="J385" s="32">
        <f t="shared" si="78"/>
        <v>6446828.7000000002</v>
      </c>
      <c r="K385" s="143">
        <v>15000</v>
      </c>
      <c r="L385" s="146">
        <f t="shared" si="69"/>
        <v>7091511.5700000003</v>
      </c>
      <c r="M385" s="147"/>
      <c r="N385" s="143">
        <f t="shared" si="66"/>
        <v>5673209.256000001</v>
      </c>
    </row>
    <row r="386" spans="1:14" customFormat="1" x14ac:dyDescent="0.25">
      <c r="A386" s="13">
        <f t="shared" si="70"/>
        <v>22</v>
      </c>
      <c r="B386" s="190"/>
      <c r="C386" s="52">
        <f t="shared" si="79"/>
        <v>1406</v>
      </c>
      <c r="D386" s="52" t="s">
        <v>100</v>
      </c>
      <c r="E386" s="60">
        <f>(40.738+0.75*2.9)*10.764</f>
        <v>461.91553199999993</v>
      </c>
      <c r="F386" s="60">
        <v>0</v>
      </c>
      <c r="G386" s="60">
        <f t="shared" si="76"/>
        <v>461.91553199999993</v>
      </c>
      <c r="H386" s="60">
        <f t="shared" si="77"/>
        <v>554.29863839999985</v>
      </c>
      <c r="I386" s="32">
        <f t="shared" si="67"/>
        <v>1385746.5959999997</v>
      </c>
      <c r="J386" s="32">
        <f t="shared" si="78"/>
        <v>4619155.3199999994</v>
      </c>
      <c r="K386" s="143">
        <v>10000</v>
      </c>
      <c r="L386" s="146">
        <f t="shared" si="69"/>
        <v>5081070.851999999</v>
      </c>
      <c r="M386" s="147"/>
      <c r="N386" s="143">
        <f t="shared" si="66"/>
        <v>4064856.6815999993</v>
      </c>
    </row>
    <row r="387" spans="1:14" customFormat="1" x14ac:dyDescent="0.25">
      <c r="A387" s="13">
        <f t="shared" si="70"/>
        <v>23</v>
      </c>
      <c r="B387" s="190"/>
      <c r="C387" s="52">
        <f t="shared" si="79"/>
        <v>1407</v>
      </c>
      <c r="D387" s="52" t="s">
        <v>100</v>
      </c>
      <c r="E387" s="60">
        <f>(40.738+1.8*2.9)*10.764</f>
        <v>494.69191199999995</v>
      </c>
      <c r="F387" s="60">
        <v>0</v>
      </c>
      <c r="G387" s="60">
        <f t="shared" ref="G387:G394" si="80">E387+(IF(F387&lt;101,F387,IF(F387&lt;201,F387/2,IF(F387&lt;=301,F387/3,F387/4))))</f>
        <v>494.69191199999995</v>
      </c>
      <c r="H387" s="60">
        <f t="shared" ref="H387:H394" si="81">G387*1.2</f>
        <v>593.63029439999991</v>
      </c>
      <c r="I387" s="32">
        <f t="shared" si="67"/>
        <v>1484075.7359999998</v>
      </c>
      <c r="J387" s="32">
        <f t="shared" ref="J387:J394" si="82">G387*$J$273</f>
        <v>4946919.1199999992</v>
      </c>
      <c r="K387" s="143">
        <v>10000</v>
      </c>
      <c r="L387" s="146">
        <f t="shared" si="69"/>
        <v>5441611.0319999987</v>
      </c>
      <c r="M387" s="147"/>
      <c r="N387" s="143">
        <f t="shared" si="66"/>
        <v>4353288.8255999992</v>
      </c>
    </row>
    <row r="388" spans="1:14" customFormat="1" x14ac:dyDescent="0.25">
      <c r="A388" s="13">
        <f t="shared" si="70"/>
        <v>24</v>
      </c>
      <c r="B388" s="191"/>
      <c r="C388" s="52">
        <f t="shared" si="79"/>
        <v>1408</v>
      </c>
      <c r="D388" s="52" t="s">
        <v>104</v>
      </c>
      <c r="E388" s="60">
        <f>(57.605+1.8*3.05)*10.764</f>
        <v>679.1545799999999</v>
      </c>
      <c r="F388" s="60">
        <v>0</v>
      </c>
      <c r="G388" s="60">
        <f t="shared" si="80"/>
        <v>679.1545799999999</v>
      </c>
      <c r="H388" s="60">
        <f t="shared" si="81"/>
        <v>814.9854959999999</v>
      </c>
      <c r="I388" s="32">
        <f t="shared" si="67"/>
        <v>2037463.7399999998</v>
      </c>
      <c r="J388" s="32">
        <f t="shared" si="82"/>
        <v>6791545.7999999989</v>
      </c>
      <c r="K388" s="143">
        <v>15000</v>
      </c>
      <c r="L388" s="146">
        <f t="shared" si="69"/>
        <v>7470700.379999999</v>
      </c>
      <c r="M388" s="147"/>
      <c r="N388" s="143">
        <f t="shared" si="66"/>
        <v>5976560.3039999995</v>
      </c>
    </row>
    <row r="389" spans="1:14" customFormat="1" x14ac:dyDescent="0.25">
      <c r="A389" s="13">
        <f t="shared" si="70"/>
        <v>25</v>
      </c>
      <c r="B389" s="189" t="s">
        <v>596</v>
      </c>
      <c r="C389" s="52">
        <f>LEFT(B389,SUM(LEN(B389)-LEN(SUBSTITUTE(B389,{"0","1","2","3","4","5","6","7","8","9"},""))))*100+1</f>
        <v>1501</v>
      </c>
      <c r="D389" s="52" t="s">
        <v>104</v>
      </c>
      <c r="E389" s="60">
        <f>(57.605+1.8*3.05)*10.764</f>
        <v>679.1545799999999</v>
      </c>
      <c r="F389" s="60">
        <v>0</v>
      </c>
      <c r="G389" s="60">
        <f t="shared" si="80"/>
        <v>679.1545799999999</v>
      </c>
      <c r="H389" s="60">
        <f t="shared" si="81"/>
        <v>814.9854959999999</v>
      </c>
      <c r="I389" s="32">
        <f t="shared" si="67"/>
        <v>2037463.7399999998</v>
      </c>
      <c r="J389" s="32">
        <f t="shared" si="82"/>
        <v>6791545.7999999989</v>
      </c>
      <c r="K389" s="143">
        <v>15000</v>
      </c>
      <c r="L389" s="146">
        <f t="shared" si="69"/>
        <v>7470700.379999999</v>
      </c>
      <c r="M389" s="147"/>
      <c r="N389" s="143">
        <f t="shared" si="66"/>
        <v>5976560.3039999995</v>
      </c>
    </row>
    <row r="390" spans="1:14" customFormat="1" x14ac:dyDescent="0.25">
      <c r="A390" s="13">
        <f t="shared" si="70"/>
        <v>26</v>
      </c>
      <c r="B390" s="190"/>
      <c r="C390" s="52">
        <f>C389+1</f>
        <v>1502</v>
      </c>
      <c r="D390" s="52" t="s">
        <v>100</v>
      </c>
      <c r="E390" s="60">
        <f>(40.738+1.8*2.9)*10.764</f>
        <v>494.69191199999995</v>
      </c>
      <c r="F390" s="60">
        <v>0</v>
      </c>
      <c r="G390" s="60">
        <f t="shared" si="80"/>
        <v>494.69191199999995</v>
      </c>
      <c r="H390" s="60">
        <f t="shared" si="81"/>
        <v>593.63029439999991</v>
      </c>
      <c r="I390" s="32">
        <f t="shared" si="67"/>
        <v>1484075.7359999998</v>
      </c>
      <c r="J390" s="32">
        <f t="shared" si="82"/>
        <v>4946919.1199999992</v>
      </c>
      <c r="K390" s="143">
        <v>10000</v>
      </c>
      <c r="L390" s="146">
        <f t="shared" si="69"/>
        <v>5441611.0319999987</v>
      </c>
      <c r="M390" s="147"/>
      <c r="N390" s="143">
        <f t="shared" si="66"/>
        <v>4353288.8255999992</v>
      </c>
    </row>
    <row r="391" spans="1:14" customFormat="1" x14ac:dyDescent="0.25">
      <c r="A391" s="13">
        <f t="shared" si="70"/>
        <v>27</v>
      </c>
      <c r="B391" s="190"/>
      <c r="C391" s="52">
        <f t="shared" ref="C391:C396" si="83">C390+1</f>
        <v>1503</v>
      </c>
      <c r="D391" s="52" t="s">
        <v>100</v>
      </c>
      <c r="E391" s="60">
        <f>(40.738+1.8*2.9)*10.764</f>
        <v>494.69191199999995</v>
      </c>
      <c r="F391" s="60">
        <v>0</v>
      </c>
      <c r="G391" s="60">
        <f t="shared" si="80"/>
        <v>494.69191199999995</v>
      </c>
      <c r="H391" s="60">
        <f t="shared" si="81"/>
        <v>593.63029439999991</v>
      </c>
      <c r="I391" s="32">
        <f t="shared" si="67"/>
        <v>1484075.7359999998</v>
      </c>
      <c r="J391" s="32">
        <f t="shared" si="82"/>
        <v>4946919.1199999992</v>
      </c>
      <c r="K391" s="143">
        <v>10000</v>
      </c>
      <c r="L391" s="146">
        <f t="shared" si="69"/>
        <v>5441611.0319999987</v>
      </c>
      <c r="M391" s="147"/>
      <c r="N391" s="143">
        <f t="shared" si="66"/>
        <v>4353288.8255999992</v>
      </c>
    </row>
    <row r="392" spans="1:14" customFormat="1" x14ac:dyDescent="0.25">
      <c r="A392" s="13">
        <f t="shared" si="70"/>
        <v>28</v>
      </c>
      <c r="B392" s="190"/>
      <c r="C392" s="52">
        <f t="shared" si="83"/>
        <v>1504</v>
      </c>
      <c r="D392" s="52" t="s">
        <v>104</v>
      </c>
      <c r="E392" s="60">
        <f>(57.605+1.8*3.05)*10.764</f>
        <v>679.1545799999999</v>
      </c>
      <c r="F392" s="60">
        <v>0</v>
      </c>
      <c r="G392" s="60">
        <f t="shared" si="80"/>
        <v>679.1545799999999</v>
      </c>
      <c r="H392" s="60">
        <f t="shared" si="81"/>
        <v>814.9854959999999</v>
      </c>
      <c r="I392" s="32">
        <f t="shared" si="67"/>
        <v>2037463.7399999998</v>
      </c>
      <c r="J392" s="32">
        <f t="shared" si="82"/>
        <v>6791545.7999999989</v>
      </c>
      <c r="K392" s="143">
        <v>15000</v>
      </c>
      <c r="L392" s="146">
        <f t="shared" si="69"/>
        <v>7470700.379999999</v>
      </c>
      <c r="M392" s="147"/>
      <c r="N392" s="143">
        <f t="shared" si="66"/>
        <v>5976560.3039999995</v>
      </c>
    </row>
    <row r="393" spans="1:14" customFormat="1" x14ac:dyDescent="0.25">
      <c r="A393" s="13">
        <f t="shared" si="70"/>
        <v>29</v>
      </c>
      <c r="B393" s="190"/>
      <c r="C393" s="52">
        <f t="shared" si="83"/>
        <v>1505</v>
      </c>
      <c r="D393" s="52" t="s">
        <v>104</v>
      </c>
      <c r="E393" s="60">
        <f>(57.605+0.75*3.05)*10.764</f>
        <v>644.68286999999998</v>
      </c>
      <c r="F393" s="60">
        <v>0</v>
      </c>
      <c r="G393" s="60">
        <f t="shared" si="80"/>
        <v>644.68286999999998</v>
      </c>
      <c r="H393" s="60">
        <f t="shared" si="81"/>
        <v>773.61944399999993</v>
      </c>
      <c r="I393" s="32">
        <f t="shared" si="67"/>
        <v>1934048.6099999999</v>
      </c>
      <c r="J393" s="32">
        <f t="shared" si="82"/>
        <v>6446828.7000000002</v>
      </c>
      <c r="K393" s="143">
        <v>15000</v>
      </c>
      <c r="L393" s="146">
        <f t="shared" si="69"/>
        <v>7091511.5700000003</v>
      </c>
      <c r="M393" s="147"/>
      <c r="N393" s="143">
        <f t="shared" si="66"/>
        <v>5673209.256000001</v>
      </c>
    </row>
    <row r="394" spans="1:14" customFormat="1" x14ac:dyDescent="0.25">
      <c r="A394" s="13">
        <f t="shared" si="70"/>
        <v>30</v>
      </c>
      <c r="B394" s="190"/>
      <c r="C394" s="52">
        <f t="shared" si="83"/>
        <v>1506</v>
      </c>
      <c r="D394" s="52" t="s">
        <v>100</v>
      </c>
      <c r="E394" s="60">
        <f>(40.738+0.75*2.9)*10.764</f>
        <v>461.91553199999993</v>
      </c>
      <c r="F394" s="60">
        <v>0</v>
      </c>
      <c r="G394" s="60">
        <f t="shared" si="80"/>
        <v>461.91553199999993</v>
      </c>
      <c r="H394" s="60">
        <f t="shared" si="81"/>
        <v>554.29863839999985</v>
      </c>
      <c r="I394" s="32">
        <f t="shared" si="67"/>
        <v>1385746.5959999997</v>
      </c>
      <c r="J394" s="32">
        <f t="shared" si="82"/>
        <v>4619155.3199999994</v>
      </c>
      <c r="K394" s="143">
        <v>10000</v>
      </c>
      <c r="L394" s="146">
        <f t="shared" si="69"/>
        <v>5081070.851999999</v>
      </c>
      <c r="M394" s="147"/>
      <c r="N394" s="143">
        <f t="shared" si="66"/>
        <v>4064856.6815999993</v>
      </c>
    </row>
    <row r="395" spans="1:14" customFormat="1" x14ac:dyDescent="0.25">
      <c r="A395" s="13">
        <f t="shared" si="70"/>
        <v>31</v>
      </c>
      <c r="B395" s="190"/>
      <c r="C395" s="52">
        <f t="shared" si="83"/>
        <v>1507</v>
      </c>
      <c r="D395" s="52" t="s">
        <v>100</v>
      </c>
      <c r="E395" s="60">
        <f>(40.738+1.8*2.9)*10.764</f>
        <v>494.69191199999995</v>
      </c>
      <c r="F395" s="60">
        <v>0</v>
      </c>
      <c r="G395" s="60">
        <f t="shared" ref="G395:G402" si="84">E395+(IF(F395&lt;101,F395,IF(F395&lt;201,F395/2,IF(F395&lt;=301,F395/3,F395/4))))</f>
        <v>494.69191199999995</v>
      </c>
      <c r="H395" s="60">
        <f t="shared" ref="H395:H402" si="85">G395*1.2</f>
        <v>593.63029439999991</v>
      </c>
      <c r="I395" s="32">
        <f t="shared" si="67"/>
        <v>1484075.7359999998</v>
      </c>
      <c r="J395" s="32">
        <f t="shared" ref="J395:J402" si="86">G395*$J$273</f>
        <v>4946919.1199999992</v>
      </c>
      <c r="K395" s="143">
        <v>10000</v>
      </c>
      <c r="L395" s="146">
        <f t="shared" si="69"/>
        <v>5441611.0319999987</v>
      </c>
      <c r="M395" s="147"/>
      <c r="N395" s="143">
        <f t="shared" si="66"/>
        <v>4353288.8255999992</v>
      </c>
    </row>
    <row r="396" spans="1:14" customFormat="1" x14ac:dyDescent="0.25">
      <c r="A396" s="13">
        <f t="shared" si="70"/>
        <v>32</v>
      </c>
      <c r="B396" s="191"/>
      <c r="C396" s="52">
        <f t="shared" si="83"/>
        <v>1508</v>
      </c>
      <c r="D396" s="52" t="s">
        <v>104</v>
      </c>
      <c r="E396" s="60">
        <f>(57.605+1.8*3.05)*10.764</f>
        <v>679.1545799999999</v>
      </c>
      <c r="F396" s="60">
        <v>0</v>
      </c>
      <c r="G396" s="60">
        <f t="shared" si="84"/>
        <v>679.1545799999999</v>
      </c>
      <c r="H396" s="60">
        <f t="shared" si="85"/>
        <v>814.9854959999999</v>
      </c>
      <c r="I396" s="32">
        <f t="shared" si="67"/>
        <v>2037463.7399999998</v>
      </c>
      <c r="J396" s="32">
        <f t="shared" si="86"/>
        <v>6791545.7999999989</v>
      </c>
      <c r="K396" s="143">
        <v>15000</v>
      </c>
      <c r="L396" s="146">
        <f t="shared" si="69"/>
        <v>7470700.379999999</v>
      </c>
      <c r="M396" s="147"/>
      <c r="N396" s="143">
        <f t="shared" si="66"/>
        <v>5976560.3039999995</v>
      </c>
    </row>
    <row r="397" spans="1:14" customFormat="1" x14ac:dyDescent="0.25">
      <c r="A397" s="13">
        <f t="shared" si="70"/>
        <v>33</v>
      </c>
      <c r="B397" s="189" t="s">
        <v>597</v>
      </c>
      <c r="C397" s="52">
        <f>LEFT(B397,SUM(LEN(B397)-LEN(SUBSTITUTE(B397,{"0","1","2","3","4","5","6","7","8","9"},""))))*100+1</f>
        <v>1601</v>
      </c>
      <c r="D397" s="52" t="s">
        <v>104</v>
      </c>
      <c r="E397" s="60">
        <f>(57.605+1.8*3.05)*10.764</f>
        <v>679.1545799999999</v>
      </c>
      <c r="F397" s="60">
        <v>0</v>
      </c>
      <c r="G397" s="60">
        <f t="shared" si="84"/>
        <v>679.1545799999999</v>
      </c>
      <c r="H397" s="60">
        <f t="shared" si="85"/>
        <v>814.9854959999999</v>
      </c>
      <c r="I397" s="32">
        <f t="shared" si="67"/>
        <v>2037463.7399999998</v>
      </c>
      <c r="J397" s="32">
        <f t="shared" si="86"/>
        <v>6791545.7999999989</v>
      </c>
      <c r="K397" s="143">
        <v>15000</v>
      </c>
      <c r="L397" s="146">
        <f t="shared" si="69"/>
        <v>7470700.379999999</v>
      </c>
      <c r="M397" s="147"/>
      <c r="N397" s="143">
        <f t="shared" si="66"/>
        <v>5976560.3039999995</v>
      </c>
    </row>
    <row r="398" spans="1:14" customFormat="1" x14ac:dyDescent="0.25">
      <c r="A398" s="13">
        <f t="shared" si="70"/>
        <v>34</v>
      </c>
      <c r="B398" s="190"/>
      <c r="C398" s="52">
        <f>C397+1</f>
        <v>1602</v>
      </c>
      <c r="D398" s="52" t="s">
        <v>100</v>
      </c>
      <c r="E398" s="60">
        <f>(40.738+1.8*2.9)*10.764</f>
        <v>494.69191199999995</v>
      </c>
      <c r="F398" s="60">
        <v>0</v>
      </c>
      <c r="G398" s="60">
        <f t="shared" si="84"/>
        <v>494.69191199999995</v>
      </c>
      <c r="H398" s="60">
        <f t="shared" si="85"/>
        <v>593.63029439999991</v>
      </c>
      <c r="I398" s="32">
        <f t="shared" si="67"/>
        <v>1484075.7359999998</v>
      </c>
      <c r="J398" s="32">
        <f t="shared" si="86"/>
        <v>4946919.1199999992</v>
      </c>
      <c r="K398" s="143">
        <v>10000</v>
      </c>
      <c r="L398" s="146">
        <f t="shared" si="69"/>
        <v>5441611.0319999987</v>
      </c>
      <c r="M398" s="147"/>
      <c r="N398" s="143">
        <f t="shared" si="66"/>
        <v>4353288.8255999992</v>
      </c>
    </row>
    <row r="399" spans="1:14" customFormat="1" x14ac:dyDescent="0.25">
      <c r="A399" s="13">
        <f t="shared" si="70"/>
        <v>35</v>
      </c>
      <c r="B399" s="190"/>
      <c r="C399" s="52">
        <f t="shared" ref="C399:C404" si="87">C398+1</f>
        <v>1603</v>
      </c>
      <c r="D399" s="52" t="s">
        <v>100</v>
      </c>
      <c r="E399" s="60">
        <f>(40.738+1.8*2.9)*10.764</f>
        <v>494.69191199999995</v>
      </c>
      <c r="F399" s="60">
        <v>0</v>
      </c>
      <c r="G399" s="60">
        <f t="shared" si="84"/>
        <v>494.69191199999995</v>
      </c>
      <c r="H399" s="60">
        <f t="shared" si="85"/>
        <v>593.63029439999991</v>
      </c>
      <c r="I399" s="32">
        <f t="shared" si="67"/>
        <v>1484075.7359999998</v>
      </c>
      <c r="J399" s="32">
        <f t="shared" si="86"/>
        <v>4946919.1199999992</v>
      </c>
      <c r="K399" s="143">
        <v>10000</v>
      </c>
      <c r="L399" s="146">
        <f t="shared" si="69"/>
        <v>5441611.0319999987</v>
      </c>
      <c r="M399" s="147"/>
      <c r="N399" s="143">
        <f t="shared" si="66"/>
        <v>4353288.8255999992</v>
      </c>
    </row>
    <row r="400" spans="1:14" customFormat="1" x14ac:dyDescent="0.25">
      <c r="A400" s="13">
        <f t="shared" si="70"/>
        <v>36</v>
      </c>
      <c r="B400" s="190"/>
      <c r="C400" s="52">
        <f t="shared" si="87"/>
        <v>1604</v>
      </c>
      <c r="D400" s="52" t="s">
        <v>104</v>
      </c>
      <c r="E400" s="60">
        <f>(57.605+1.8*3.05)*10.764</f>
        <v>679.1545799999999</v>
      </c>
      <c r="F400" s="60">
        <v>0</v>
      </c>
      <c r="G400" s="60">
        <f t="shared" si="84"/>
        <v>679.1545799999999</v>
      </c>
      <c r="H400" s="60">
        <f t="shared" si="85"/>
        <v>814.9854959999999</v>
      </c>
      <c r="I400" s="32">
        <f t="shared" si="67"/>
        <v>2037463.7399999998</v>
      </c>
      <c r="J400" s="32">
        <f t="shared" si="86"/>
        <v>6791545.7999999989</v>
      </c>
      <c r="K400" s="143">
        <v>15000</v>
      </c>
      <c r="L400" s="146">
        <f t="shared" si="69"/>
        <v>7470700.379999999</v>
      </c>
      <c r="M400" s="147"/>
      <c r="N400" s="143">
        <f t="shared" si="66"/>
        <v>5976560.3039999995</v>
      </c>
    </row>
    <row r="401" spans="1:19" customFormat="1" x14ac:dyDescent="0.25">
      <c r="A401" s="13">
        <f t="shared" si="70"/>
        <v>37</v>
      </c>
      <c r="B401" s="190"/>
      <c r="C401" s="52">
        <f t="shared" si="87"/>
        <v>1605</v>
      </c>
      <c r="D401" s="52" t="s">
        <v>104</v>
      </c>
      <c r="E401" s="60">
        <f>(57.605+0.75*3.05)*10.764</f>
        <v>644.68286999999998</v>
      </c>
      <c r="F401" s="60">
        <v>0</v>
      </c>
      <c r="G401" s="60">
        <f t="shared" si="84"/>
        <v>644.68286999999998</v>
      </c>
      <c r="H401" s="60">
        <f t="shared" si="85"/>
        <v>773.61944399999993</v>
      </c>
      <c r="I401" s="32">
        <f t="shared" si="67"/>
        <v>1934048.6099999999</v>
      </c>
      <c r="J401" s="32">
        <f t="shared" si="86"/>
        <v>6446828.7000000002</v>
      </c>
      <c r="K401" s="143">
        <v>15000</v>
      </c>
      <c r="L401" s="146">
        <f t="shared" si="69"/>
        <v>7091511.5700000003</v>
      </c>
      <c r="M401" s="147"/>
      <c r="N401" s="143">
        <f t="shared" si="66"/>
        <v>5673209.256000001</v>
      </c>
    </row>
    <row r="402" spans="1:19" customFormat="1" x14ac:dyDescent="0.25">
      <c r="A402" s="13">
        <f t="shared" si="70"/>
        <v>38</v>
      </c>
      <c r="B402" s="190"/>
      <c r="C402" s="52">
        <f t="shared" si="87"/>
        <v>1606</v>
      </c>
      <c r="D402" s="52" t="s">
        <v>100</v>
      </c>
      <c r="E402" s="60">
        <f>(40.738+0.75*2.9)*10.764</f>
        <v>461.91553199999993</v>
      </c>
      <c r="F402" s="60">
        <v>0</v>
      </c>
      <c r="G402" s="60">
        <f t="shared" si="84"/>
        <v>461.91553199999993</v>
      </c>
      <c r="H402" s="60">
        <f t="shared" si="85"/>
        <v>554.29863839999985</v>
      </c>
      <c r="I402" s="32">
        <f t="shared" si="67"/>
        <v>1385746.5959999997</v>
      </c>
      <c r="J402" s="32">
        <f t="shared" si="86"/>
        <v>4619155.3199999994</v>
      </c>
      <c r="K402" s="143">
        <v>10000</v>
      </c>
      <c r="L402" s="146">
        <f t="shared" si="69"/>
        <v>5081070.851999999</v>
      </c>
      <c r="M402" s="147"/>
      <c r="N402" s="143">
        <f t="shared" si="66"/>
        <v>4064856.6815999993</v>
      </c>
    </row>
    <row r="403" spans="1:19" customFormat="1" x14ac:dyDescent="0.25">
      <c r="A403" s="13">
        <f t="shared" si="70"/>
        <v>39</v>
      </c>
      <c r="B403" s="190"/>
      <c r="C403" s="52">
        <f t="shared" si="87"/>
        <v>1607</v>
      </c>
      <c r="D403" s="52" t="s">
        <v>100</v>
      </c>
      <c r="E403" s="60">
        <f>(40.738+1.8*2.9)*10.764</f>
        <v>494.69191199999995</v>
      </c>
      <c r="F403" s="60">
        <v>0</v>
      </c>
      <c r="G403" s="60">
        <f t="shared" ref="G403:G410" si="88">E403+(IF(F403&lt;101,F403,IF(F403&lt;201,F403/2,IF(F403&lt;=301,F403/3,F403/4))))</f>
        <v>494.69191199999995</v>
      </c>
      <c r="H403" s="60">
        <f t="shared" ref="H403:H410" si="89">G403*1.2</f>
        <v>593.63029439999991</v>
      </c>
      <c r="I403" s="32">
        <f t="shared" si="67"/>
        <v>1484075.7359999998</v>
      </c>
      <c r="J403" s="32">
        <f t="shared" ref="J403:J410" si="90">G403*$J$273</f>
        <v>4946919.1199999992</v>
      </c>
      <c r="K403" s="143">
        <v>10000</v>
      </c>
      <c r="L403" s="146">
        <f t="shared" si="69"/>
        <v>5441611.0319999987</v>
      </c>
      <c r="M403" s="147"/>
      <c r="N403" s="143">
        <f t="shared" si="66"/>
        <v>4353288.8255999992</v>
      </c>
    </row>
    <row r="404" spans="1:19" customFormat="1" x14ac:dyDescent="0.25">
      <c r="A404" s="13">
        <f t="shared" si="70"/>
        <v>40</v>
      </c>
      <c r="B404" s="191"/>
      <c r="C404" s="52">
        <f t="shared" si="87"/>
        <v>1608</v>
      </c>
      <c r="D404" s="52" t="s">
        <v>104</v>
      </c>
      <c r="E404" s="60">
        <f>(57.605+1.8*3.05)*10.764</f>
        <v>679.1545799999999</v>
      </c>
      <c r="F404" s="60">
        <v>0</v>
      </c>
      <c r="G404" s="60">
        <f t="shared" si="88"/>
        <v>679.1545799999999</v>
      </c>
      <c r="H404" s="60">
        <f t="shared" si="89"/>
        <v>814.9854959999999</v>
      </c>
      <c r="I404" s="32">
        <f t="shared" si="67"/>
        <v>2037463.7399999998</v>
      </c>
      <c r="J404" s="32">
        <f t="shared" si="90"/>
        <v>6791545.7999999989</v>
      </c>
      <c r="K404" s="143">
        <v>15000</v>
      </c>
      <c r="L404" s="146">
        <f t="shared" si="69"/>
        <v>7470700.379999999</v>
      </c>
      <c r="M404" s="147"/>
      <c r="N404" s="143">
        <f t="shared" si="66"/>
        <v>5976560.3039999995</v>
      </c>
    </row>
    <row r="405" spans="1:19" customFormat="1" x14ac:dyDescent="0.25">
      <c r="A405" s="13">
        <f t="shared" si="70"/>
        <v>41</v>
      </c>
      <c r="B405" s="189" t="s">
        <v>598</v>
      </c>
      <c r="C405" s="52">
        <f>LEFT(B405,SUM(LEN(B405)-LEN(SUBSTITUTE(B405,{"0","1","2","3","4","5","6","7","8","9"},""))))*100+1</f>
        <v>1701</v>
      </c>
      <c r="D405" s="52" t="s">
        <v>104</v>
      </c>
      <c r="E405" s="60">
        <f>(57.605+1.8*3.05)*10.764</f>
        <v>679.1545799999999</v>
      </c>
      <c r="F405" s="60">
        <v>0</v>
      </c>
      <c r="G405" s="60">
        <f t="shared" si="88"/>
        <v>679.1545799999999</v>
      </c>
      <c r="H405" s="60">
        <f t="shared" si="89"/>
        <v>814.9854959999999</v>
      </c>
      <c r="I405" s="32">
        <f t="shared" si="67"/>
        <v>2037463.7399999998</v>
      </c>
      <c r="J405" s="32">
        <f t="shared" si="90"/>
        <v>6791545.7999999989</v>
      </c>
      <c r="K405" s="143">
        <v>15000</v>
      </c>
      <c r="L405" s="146">
        <f t="shared" si="69"/>
        <v>7470700.379999999</v>
      </c>
      <c r="M405" s="147"/>
      <c r="N405" s="143">
        <f t="shared" si="66"/>
        <v>5976560.3039999995</v>
      </c>
    </row>
    <row r="406" spans="1:19" customFormat="1" x14ac:dyDescent="0.25">
      <c r="A406" s="13">
        <f t="shared" si="70"/>
        <v>42</v>
      </c>
      <c r="B406" s="190"/>
      <c r="C406" s="52">
        <f>C405+1</f>
        <v>1702</v>
      </c>
      <c r="D406" s="52" t="s">
        <v>100</v>
      </c>
      <c r="E406" s="60">
        <f>(40.738+1.8*2.9)*10.764</f>
        <v>494.69191199999995</v>
      </c>
      <c r="F406" s="60">
        <v>0</v>
      </c>
      <c r="G406" s="60">
        <f t="shared" si="88"/>
        <v>494.69191199999995</v>
      </c>
      <c r="H406" s="60">
        <f t="shared" si="89"/>
        <v>593.63029439999991</v>
      </c>
      <c r="I406" s="32">
        <f t="shared" si="67"/>
        <v>1484075.7359999998</v>
      </c>
      <c r="J406" s="32">
        <f t="shared" si="90"/>
        <v>4946919.1199999992</v>
      </c>
      <c r="K406" s="143">
        <v>10000</v>
      </c>
      <c r="L406" s="146">
        <f t="shared" si="69"/>
        <v>5441611.0319999987</v>
      </c>
      <c r="M406" s="147"/>
      <c r="N406" s="143">
        <f t="shared" si="66"/>
        <v>4353288.8255999992</v>
      </c>
    </row>
    <row r="407" spans="1:19" customFormat="1" x14ac:dyDescent="0.25">
      <c r="A407" s="13">
        <f t="shared" si="70"/>
        <v>43</v>
      </c>
      <c r="B407" s="190"/>
      <c r="C407" s="52">
        <f t="shared" ref="C407:C412" si="91">C406+1</f>
        <v>1703</v>
      </c>
      <c r="D407" s="52" t="s">
        <v>100</v>
      </c>
      <c r="E407" s="60">
        <f>(40.738+1.8*2.9)*10.764</f>
        <v>494.69191199999995</v>
      </c>
      <c r="F407" s="60">
        <v>0</v>
      </c>
      <c r="G407" s="60">
        <f t="shared" si="88"/>
        <v>494.69191199999995</v>
      </c>
      <c r="H407" s="60">
        <f t="shared" si="89"/>
        <v>593.63029439999991</v>
      </c>
      <c r="I407" s="32">
        <f t="shared" si="67"/>
        <v>1484075.7359999998</v>
      </c>
      <c r="J407" s="32">
        <f t="shared" si="90"/>
        <v>4946919.1199999992</v>
      </c>
      <c r="K407" s="143">
        <v>10000</v>
      </c>
      <c r="L407" s="146">
        <f t="shared" si="69"/>
        <v>5441611.0319999987</v>
      </c>
      <c r="M407" s="147"/>
      <c r="N407" s="143">
        <f t="shared" si="66"/>
        <v>4353288.8255999992</v>
      </c>
    </row>
    <row r="408" spans="1:19" customFormat="1" x14ac:dyDescent="0.25">
      <c r="A408" s="13">
        <f t="shared" si="70"/>
        <v>44</v>
      </c>
      <c r="B408" s="190"/>
      <c r="C408" s="52">
        <f t="shared" si="91"/>
        <v>1704</v>
      </c>
      <c r="D408" s="52" t="s">
        <v>104</v>
      </c>
      <c r="E408" s="60">
        <f>(57.605+1.8*3.05)*10.764</f>
        <v>679.1545799999999</v>
      </c>
      <c r="F408" s="60">
        <v>0</v>
      </c>
      <c r="G408" s="60">
        <f t="shared" si="88"/>
        <v>679.1545799999999</v>
      </c>
      <c r="H408" s="60">
        <f t="shared" si="89"/>
        <v>814.9854959999999</v>
      </c>
      <c r="I408" s="32">
        <f t="shared" si="67"/>
        <v>2037463.7399999998</v>
      </c>
      <c r="J408" s="32">
        <f t="shared" si="90"/>
        <v>6791545.7999999989</v>
      </c>
      <c r="K408" s="143">
        <v>15000</v>
      </c>
      <c r="L408" s="146">
        <f t="shared" si="69"/>
        <v>7470700.379999999</v>
      </c>
      <c r="M408" s="147"/>
      <c r="N408" s="143">
        <f t="shared" si="66"/>
        <v>5976560.3039999995</v>
      </c>
    </row>
    <row r="409" spans="1:19" customFormat="1" x14ac:dyDescent="0.25">
      <c r="A409" s="13">
        <f t="shared" si="70"/>
        <v>45</v>
      </c>
      <c r="B409" s="190"/>
      <c r="C409" s="52">
        <f t="shared" si="91"/>
        <v>1705</v>
      </c>
      <c r="D409" s="52" t="s">
        <v>104</v>
      </c>
      <c r="E409" s="60">
        <f>(57.605+0.75*3.05)*10.764</f>
        <v>644.68286999999998</v>
      </c>
      <c r="F409" s="60">
        <v>0</v>
      </c>
      <c r="G409" s="60">
        <f t="shared" si="88"/>
        <v>644.68286999999998</v>
      </c>
      <c r="H409" s="60">
        <f t="shared" si="89"/>
        <v>773.61944399999993</v>
      </c>
      <c r="I409" s="32">
        <f t="shared" si="67"/>
        <v>1934048.6099999999</v>
      </c>
      <c r="J409" s="32">
        <f t="shared" si="90"/>
        <v>6446828.7000000002</v>
      </c>
      <c r="K409" s="143">
        <v>15000</v>
      </c>
      <c r="L409" s="146">
        <f t="shared" si="69"/>
        <v>7091511.5700000003</v>
      </c>
      <c r="M409" s="147"/>
      <c r="N409" s="143">
        <f t="shared" si="66"/>
        <v>5673209.256000001</v>
      </c>
    </row>
    <row r="410" spans="1:19" customFormat="1" x14ac:dyDescent="0.25">
      <c r="A410" s="13">
        <f t="shared" si="70"/>
        <v>46</v>
      </c>
      <c r="B410" s="190"/>
      <c r="C410" s="52">
        <f t="shared" si="91"/>
        <v>1706</v>
      </c>
      <c r="D410" s="52" t="s">
        <v>100</v>
      </c>
      <c r="E410" s="60">
        <f>(40.738+0.75*2.9)*10.764</f>
        <v>461.91553199999993</v>
      </c>
      <c r="F410" s="60">
        <v>0</v>
      </c>
      <c r="G410" s="60">
        <f t="shared" si="88"/>
        <v>461.91553199999993</v>
      </c>
      <c r="H410" s="60">
        <f t="shared" si="89"/>
        <v>554.29863839999985</v>
      </c>
      <c r="I410" s="32">
        <f t="shared" si="67"/>
        <v>1385746.5959999997</v>
      </c>
      <c r="J410" s="32">
        <f t="shared" si="90"/>
        <v>4619155.3199999994</v>
      </c>
      <c r="K410" s="143">
        <v>10000</v>
      </c>
      <c r="L410" s="146">
        <f t="shared" si="69"/>
        <v>5081070.851999999</v>
      </c>
      <c r="M410" s="147"/>
      <c r="N410" s="143">
        <f t="shared" si="66"/>
        <v>4064856.6815999993</v>
      </c>
    </row>
    <row r="411" spans="1:19" customFormat="1" x14ac:dyDescent="0.25">
      <c r="A411" s="13">
        <f t="shared" si="70"/>
        <v>47</v>
      </c>
      <c r="B411" s="190"/>
      <c r="C411" s="52">
        <f t="shared" si="91"/>
        <v>1707</v>
      </c>
      <c r="D411" s="52" t="s">
        <v>100</v>
      </c>
      <c r="E411" s="60">
        <f>(40.738+1.8*2.9)*10.764</f>
        <v>494.69191199999995</v>
      </c>
      <c r="F411" s="60">
        <v>0</v>
      </c>
      <c r="G411" s="60">
        <f t="shared" ref="G411:G418" si="92">E411+(IF(F411&lt;101,F411,IF(F411&lt;201,F411/2,IF(F411&lt;=301,F411/3,F411/4))))</f>
        <v>494.69191199999995</v>
      </c>
      <c r="H411" s="60">
        <f t="shared" ref="H411:H418" si="93">G411*1.2</f>
        <v>593.63029439999991</v>
      </c>
      <c r="I411" s="32">
        <f t="shared" si="67"/>
        <v>1484075.7359999998</v>
      </c>
      <c r="J411" s="32">
        <f t="shared" ref="J411:J418" si="94">G411*$J$273</f>
        <v>4946919.1199999992</v>
      </c>
      <c r="K411" s="143">
        <v>10000</v>
      </c>
      <c r="L411" s="146">
        <f t="shared" si="69"/>
        <v>5441611.0319999987</v>
      </c>
      <c r="M411" s="147"/>
      <c r="N411" s="143">
        <f t="shared" si="66"/>
        <v>4353288.8255999992</v>
      </c>
    </row>
    <row r="412" spans="1:19" customFormat="1" x14ac:dyDescent="0.25">
      <c r="A412" s="13">
        <f t="shared" si="70"/>
        <v>48</v>
      </c>
      <c r="B412" s="191"/>
      <c r="C412" s="52">
        <f t="shared" si="91"/>
        <v>1708</v>
      </c>
      <c r="D412" s="52" t="s">
        <v>104</v>
      </c>
      <c r="E412" s="60">
        <f>(57.605+1.8*3.05)*10.764</f>
        <v>679.1545799999999</v>
      </c>
      <c r="F412" s="60">
        <v>0</v>
      </c>
      <c r="G412" s="60">
        <f t="shared" si="92"/>
        <v>679.1545799999999</v>
      </c>
      <c r="H412" s="60">
        <f t="shared" si="93"/>
        <v>814.9854959999999</v>
      </c>
      <c r="I412" s="32">
        <f t="shared" si="67"/>
        <v>2037463.7399999998</v>
      </c>
      <c r="J412" s="32">
        <f t="shared" si="94"/>
        <v>6791545.7999999989</v>
      </c>
      <c r="K412" s="143">
        <v>15000</v>
      </c>
      <c r="L412" s="146">
        <f t="shared" si="69"/>
        <v>7470700.379999999</v>
      </c>
      <c r="M412" s="147"/>
      <c r="N412" s="143">
        <f t="shared" si="66"/>
        <v>5976560.3039999995</v>
      </c>
    </row>
    <row r="413" spans="1:19" customFormat="1" x14ac:dyDescent="0.25">
      <c r="A413" s="13">
        <f t="shared" si="70"/>
        <v>49</v>
      </c>
      <c r="B413" s="189" t="s">
        <v>599</v>
      </c>
      <c r="C413" s="52">
        <f>LEFT(B413,SUM(LEN(B413)-LEN(SUBSTITUTE(B413,{"0","1","2","3","4","5","6","7","8","9"},""))))*100+1</f>
        <v>1801</v>
      </c>
      <c r="D413" s="52" t="s">
        <v>104</v>
      </c>
      <c r="E413" s="60">
        <f>(57.605+1.8*3.05)*10.764</f>
        <v>679.1545799999999</v>
      </c>
      <c r="F413" s="60">
        <v>0</v>
      </c>
      <c r="G413" s="60">
        <f t="shared" si="92"/>
        <v>679.1545799999999</v>
      </c>
      <c r="H413" s="60">
        <f t="shared" si="93"/>
        <v>814.9854959999999</v>
      </c>
      <c r="I413" s="32">
        <f t="shared" si="67"/>
        <v>2037463.7399999998</v>
      </c>
      <c r="J413" s="32">
        <f t="shared" si="94"/>
        <v>6791545.7999999989</v>
      </c>
      <c r="K413" s="143">
        <v>15000</v>
      </c>
      <c r="L413" s="146">
        <f t="shared" si="69"/>
        <v>7470700.379999999</v>
      </c>
      <c r="M413" s="147"/>
      <c r="N413" s="143">
        <f t="shared" si="66"/>
        <v>5976560.3039999995</v>
      </c>
      <c r="P413">
        <f>6501515+340076</f>
        <v>6841591</v>
      </c>
      <c r="S413">
        <f>P413/G413</f>
        <v>10073.687495415257</v>
      </c>
    </row>
    <row r="414" spans="1:19" customFormat="1" x14ac:dyDescent="0.25">
      <c r="A414" s="13">
        <f t="shared" si="70"/>
        <v>50</v>
      </c>
      <c r="B414" s="190"/>
      <c r="C414" s="52">
        <f>C413+1</f>
        <v>1802</v>
      </c>
      <c r="D414" s="52" t="s">
        <v>100</v>
      </c>
      <c r="E414" s="60">
        <f>(40.738+1.8*2.9)*10.764</f>
        <v>494.69191199999995</v>
      </c>
      <c r="F414" s="60">
        <v>0</v>
      </c>
      <c r="G414" s="60">
        <f t="shared" si="92"/>
        <v>494.69191199999995</v>
      </c>
      <c r="H414" s="60">
        <f t="shared" si="93"/>
        <v>593.63029439999991</v>
      </c>
      <c r="I414" s="32">
        <f t="shared" si="67"/>
        <v>1484075.7359999998</v>
      </c>
      <c r="J414" s="32">
        <f t="shared" si="94"/>
        <v>4946919.1199999992</v>
      </c>
      <c r="K414" s="143">
        <v>10000</v>
      </c>
      <c r="L414" s="146">
        <f t="shared" si="69"/>
        <v>5441611.0319999987</v>
      </c>
      <c r="M414" s="147"/>
      <c r="N414" s="143">
        <f t="shared" si="66"/>
        <v>4353288.8255999992</v>
      </c>
      <c r="P414">
        <f>4742495</f>
        <v>4742495</v>
      </c>
      <c r="Q414">
        <f>252125</f>
        <v>252125</v>
      </c>
      <c r="R414">
        <f>P414+Q414</f>
        <v>4994620</v>
      </c>
      <c r="S414">
        <f>R414/G415</f>
        <v>10096.425429328629</v>
      </c>
    </row>
    <row r="415" spans="1:19" customFormat="1" x14ac:dyDescent="0.25">
      <c r="A415" s="13">
        <f t="shared" si="70"/>
        <v>51</v>
      </c>
      <c r="B415" s="190"/>
      <c r="C415" s="52">
        <f t="shared" ref="C415:C420" si="95">C414+1</f>
        <v>1803</v>
      </c>
      <c r="D415" s="52" t="s">
        <v>100</v>
      </c>
      <c r="E415" s="60">
        <f>(40.738+1.8*2.9)*10.764</f>
        <v>494.69191199999995</v>
      </c>
      <c r="F415" s="60">
        <v>0</v>
      </c>
      <c r="G415" s="60">
        <f t="shared" si="92"/>
        <v>494.69191199999995</v>
      </c>
      <c r="H415" s="60">
        <f t="shared" si="93"/>
        <v>593.63029439999991</v>
      </c>
      <c r="I415" s="32">
        <f t="shared" si="67"/>
        <v>1484075.7359999998</v>
      </c>
      <c r="J415" s="32">
        <f t="shared" si="94"/>
        <v>4946919.1199999992</v>
      </c>
      <c r="K415" s="143">
        <v>10000</v>
      </c>
      <c r="L415" s="146">
        <f t="shared" si="69"/>
        <v>5441611.0319999987</v>
      </c>
      <c r="M415" s="147"/>
      <c r="N415" s="143">
        <f t="shared" si="66"/>
        <v>4353288.8255999992</v>
      </c>
      <c r="P415" s="5"/>
      <c r="Q415" s="5"/>
      <c r="R415" s="5"/>
      <c r="S415" s="5"/>
    </row>
    <row r="416" spans="1:19" customFormat="1" x14ac:dyDescent="0.25">
      <c r="A416" s="13">
        <f t="shared" si="70"/>
        <v>52</v>
      </c>
      <c r="B416" s="190"/>
      <c r="C416" s="52">
        <f t="shared" si="95"/>
        <v>1804</v>
      </c>
      <c r="D416" s="52" t="s">
        <v>104</v>
      </c>
      <c r="E416" s="60">
        <f>(57.605+1.8*3.05)*10.764</f>
        <v>679.1545799999999</v>
      </c>
      <c r="F416" s="60">
        <v>0</v>
      </c>
      <c r="G416" s="60">
        <f t="shared" si="92"/>
        <v>679.1545799999999</v>
      </c>
      <c r="H416" s="60">
        <f t="shared" si="93"/>
        <v>814.9854959999999</v>
      </c>
      <c r="I416" s="32">
        <f t="shared" si="67"/>
        <v>2037463.7399999998</v>
      </c>
      <c r="J416" s="32">
        <f t="shared" si="94"/>
        <v>6791545.7999999989</v>
      </c>
      <c r="K416" s="143">
        <v>15000</v>
      </c>
      <c r="L416" s="146">
        <f t="shared" si="69"/>
        <v>7470700.379999999</v>
      </c>
      <c r="M416" s="147"/>
      <c r="N416" s="143">
        <f t="shared" si="66"/>
        <v>5976560.3039999995</v>
      </c>
      <c r="P416" s="5"/>
      <c r="Q416" s="5"/>
    </row>
    <row r="417" spans="1:14" customFormat="1" x14ac:dyDescent="0.25">
      <c r="A417" s="13">
        <f t="shared" si="70"/>
        <v>53</v>
      </c>
      <c r="B417" s="190"/>
      <c r="C417" s="52">
        <f t="shared" si="95"/>
        <v>1805</v>
      </c>
      <c r="D417" s="52" t="s">
        <v>104</v>
      </c>
      <c r="E417" s="60">
        <f>(57.605+0.75*3.05)*10.764</f>
        <v>644.68286999999998</v>
      </c>
      <c r="F417" s="60">
        <v>0</v>
      </c>
      <c r="G417" s="60">
        <f t="shared" si="92"/>
        <v>644.68286999999998</v>
      </c>
      <c r="H417" s="60">
        <f t="shared" si="93"/>
        <v>773.61944399999993</v>
      </c>
      <c r="I417" s="32">
        <f t="shared" si="67"/>
        <v>1934048.6099999999</v>
      </c>
      <c r="J417" s="32">
        <f t="shared" si="94"/>
        <v>6446828.7000000002</v>
      </c>
      <c r="K417" s="143">
        <v>15000</v>
      </c>
      <c r="L417" s="146">
        <f t="shared" si="69"/>
        <v>7091511.5700000003</v>
      </c>
      <c r="M417" s="147"/>
      <c r="N417" s="143">
        <f t="shared" si="66"/>
        <v>5673209.256000001</v>
      </c>
    </row>
    <row r="418" spans="1:14" customFormat="1" x14ac:dyDescent="0.25">
      <c r="A418" s="13">
        <f t="shared" si="70"/>
        <v>54</v>
      </c>
      <c r="B418" s="190"/>
      <c r="C418" s="52">
        <f t="shared" si="95"/>
        <v>1806</v>
      </c>
      <c r="D418" s="52" t="s">
        <v>100</v>
      </c>
      <c r="E418" s="60">
        <f>(40.738+0.75*2.9)*10.764</f>
        <v>461.91553199999993</v>
      </c>
      <c r="F418" s="60">
        <v>0</v>
      </c>
      <c r="G418" s="60">
        <f t="shared" si="92"/>
        <v>461.91553199999993</v>
      </c>
      <c r="H418" s="60">
        <f t="shared" si="93"/>
        <v>554.29863839999985</v>
      </c>
      <c r="I418" s="32">
        <f t="shared" si="67"/>
        <v>1385746.5959999997</v>
      </c>
      <c r="J418" s="32">
        <f t="shared" si="94"/>
        <v>4619155.3199999994</v>
      </c>
      <c r="K418" s="143">
        <v>10000</v>
      </c>
      <c r="L418" s="146">
        <f t="shared" si="69"/>
        <v>5081070.851999999</v>
      </c>
      <c r="M418" s="147"/>
      <c r="N418" s="143">
        <f t="shared" si="66"/>
        <v>4064856.6815999993</v>
      </c>
    </row>
    <row r="419" spans="1:14" customFormat="1" x14ac:dyDescent="0.25">
      <c r="A419" s="13">
        <f t="shared" si="70"/>
        <v>55</v>
      </c>
      <c r="B419" s="190"/>
      <c r="C419" s="52">
        <f t="shared" si="95"/>
        <v>1807</v>
      </c>
      <c r="D419" s="52" t="s">
        <v>100</v>
      </c>
      <c r="E419" s="60">
        <f>(40.738+1.8*2.9)*10.764</f>
        <v>494.69191199999995</v>
      </c>
      <c r="F419" s="60">
        <v>0</v>
      </c>
      <c r="G419" s="60">
        <f t="shared" ref="G419:G426" si="96">E419+(IF(F419&lt;101,F419,IF(F419&lt;201,F419/2,IF(F419&lt;=301,F419/3,F419/4))))</f>
        <v>494.69191199999995</v>
      </c>
      <c r="H419" s="60">
        <f t="shared" ref="H419:H426" si="97">G419*1.2</f>
        <v>593.63029439999991</v>
      </c>
      <c r="I419" s="32">
        <f t="shared" si="67"/>
        <v>1484075.7359999998</v>
      </c>
      <c r="J419" s="32">
        <f t="shared" ref="J419:J426" si="98">G419*$J$273</f>
        <v>4946919.1199999992</v>
      </c>
      <c r="K419" s="143">
        <v>10000</v>
      </c>
      <c r="L419" s="146">
        <f t="shared" si="69"/>
        <v>5441611.0319999987</v>
      </c>
      <c r="M419" s="147"/>
      <c r="N419" s="143">
        <f t="shared" si="66"/>
        <v>4353288.8255999992</v>
      </c>
    </row>
    <row r="420" spans="1:14" customFormat="1" x14ac:dyDescent="0.25">
      <c r="A420" s="13">
        <f t="shared" si="70"/>
        <v>56</v>
      </c>
      <c r="B420" s="191"/>
      <c r="C420" s="52">
        <f t="shared" si="95"/>
        <v>1808</v>
      </c>
      <c r="D420" s="52" t="s">
        <v>104</v>
      </c>
      <c r="E420" s="60">
        <f>(57.605+1.8*3.05)*10.764</f>
        <v>679.1545799999999</v>
      </c>
      <c r="F420" s="60">
        <v>0</v>
      </c>
      <c r="G420" s="60">
        <f t="shared" si="96"/>
        <v>679.1545799999999</v>
      </c>
      <c r="H420" s="60">
        <f t="shared" si="97"/>
        <v>814.9854959999999</v>
      </c>
      <c r="I420" s="32">
        <f t="shared" si="67"/>
        <v>2037463.7399999998</v>
      </c>
      <c r="J420" s="32">
        <f t="shared" si="98"/>
        <v>6791545.7999999989</v>
      </c>
      <c r="K420" s="143">
        <v>15000</v>
      </c>
      <c r="L420" s="146">
        <f t="shared" si="69"/>
        <v>7470700.379999999</v>
      </c>
      <c r="M420" s="147"/>
      <c r="N420" s="143">
        <f t="shared" si="66"/>
        <v>5976560.3039999995</v>
      </c>
    </row>
    <row r="421" spans="1:14" customFormat="1" x14ac:dyDescent="0.25">
      <c r="A421" s="13">
        <f t="shared" si="70"/>
        <v>57</v>
      </c>
      <c r="B421" s="189" t="s">
        <v>658</v>
      </c>
      <c r="C421" s="52">
        <f>LEFT(B421,SUM(LEN(B421)-LEN(SUBSTITUTE(B421,{"0","1","2","3","4","5","6","7","8","9"},""))))*100+1</f>
        <v>1901</v>
      </c>
      <c r="D421" s="52" t="s">
        <v>104</v>
      </c>
      <c r="E421" s="60">
        <f>(57.605+1.8*3.05)*10.764</f>
        <v>679.1545799999999</v>
      </c>
      <c r="F421" s="60">
        <v>0</v>
      </c>
      <c r="G421" s="60">
        <f t="shared" si="96"/>
        <v>679.1545799999999</v>
      </c>
      <c r="H421" s="60">
        <f t="shared" si="97"/>
        <v>814.9854959999999</v>
      </c>
      <c r="I421" s="32">
        <f t="shared" si="67"/>
        <v>2037463.7399999998</v>
      </c>
      <c r="J421" s="32">
        <f t="shared" si="98"/>
        <v>6791545.7999999989</v>
      </c>
      <c r="K421" s="143">
        <v>15000</v>
      </c>
      <c r="L421" s="146">
        <f t="shared" si="69"/>
        <v>7470700.379999999</v>
      </c>
      <c r="M421" s="147"/>
      <c r="N421" s="143">
        <f t="shared" si="66"/>
        <v>5976560.3039999995</v>
      </c>
    </row>
    <row r="422" spans="1:14" customFormat="1" x14ac:dyDescent="0.25">
      <c r="A422" s="13">
        <f t="shared" si="70"/>
        <v>58</v>
      </c>
      <c r="B422" s="190"/>
      <c r="C422" s="52">
        <f>C421+1</f>
        <v>1902</v>
      </c>
      <c r="D422" s="52" t="s">
        <v>100</v>
      </c>
      <c r="E422" s="60">
        <f>(40.738+1.8*2.9)*10.764</f>
        <v>494.69191199999995</v>
      </c>
      <c r="F422" s="60">
        <v>0</v>
      </c>
      <c r="G422" s="60">
        <f t="shared" si="96"/>
        <v>494.69191199999995</v>
      </c>
      <c r="H422" s="60">
        <f t="shared" si="97"/>
        <v>593.63029439999991</v>
      </c>
      <c r="I422" s="32">
        <f t="shared" si="67"/>
        <v>1484075.7359999998</v>
      </c>
      <c r="J422" s="32">
        <f t="shared" si="98"/>
        <v>4946919.1199999992</v>
      </c>
      <c r="K422" s="143">
        <v>10000</v>
      </c>
      <c r="L422" s="146">
        <f t="shared" si="69"/>
        <v>5441611.0319999987</v>
      </c>
      <c r="M422" s="147"/>
      <c r="N422" s="143">
        <f t="shared" si="66"/>
        <v>4353288.8255999992</v>
      </c>
    </row>
    <row r="423" spans="1:14" customFormat="1" x14ac:dyDescent="0.25">
      <c r="A423" s="13">
        <f t="shared" si="70"/>
        <v>59</v>
      </c>
      <c r="B423" s="190"/>
      <c r="C423" s="52">
        <f t="shared" ref="C423:C428" si="99">C422+1</f>
        <v>1903</v>
      </c>
      <c r="D423" s="52" t="s">
        <v>100</v>
      </c>
      <c r="E423" s="60">
        <f>(40.738+1.8*2.9)*10.764</f>
        <v>494.69191199999995</v>
      </c>
      <c r="F423" s="60">
        <v>0</v>
      </c>
      <c r="G423" s="60">
        <f t="shared" si="96"/>
        <v>494.69191199999995</v>
      </c>
      <c r="H423" s="60">
        <f t="shared" si="97"/>
        <v>593.63029439999991</v>
      </c>
      <c r="I423" s="32">
        <f t="shared" si="67"/>
        <v>1484075.7359999998</v>
      </c>
      <c r="J423" s="32">
        <f t="shared" si="98"/>
        <v>4946919.1199999992</v>
      </c>
      <c r="K423" s="143">
        <v>10000</v>
      </c>
      <c r="L423" s="146">
        <f t="shared" si="69"/>
        <v>5441611.0319999987</v>
      </c>
      <c r="M423" s="147"/>
      <c r="N423" s="143">
        <f t="shared" si="66"/>
        <v>4353288.8255999992</v>
      </c>
    </row>
    <row r="424" spans="1:14" customFormat="1" x14ac:dyDescent="0.25">
      <c r="A424" s="13">
        <f t="shared" si="70"/>
        <v>60</v>
      </c>
      <c r="B424" s="190"/>
      <c r="C424" s="52">
        <f t="shared" si="99"/>
        <v>1904</v>
      </c>
      <c r="D424" s="52" t="s">
        <v>104</v>
      </c>
      <c r="E424" s="60">
        <f>(57.605+1.8*3.05)*10.764</f>
        <v>679.1545799999999</v>
      </c>
      <c r="F424" s="60">
        <v>0</v>
      </c>
      <c r="G424" s="60">
        <f t="shared" si="96"/>
        <v>679.1545799999999</v>
      </c>
      <c r="H424" s="60">
        <f t="shared" si="97"/>
        <v>814.9854959999999</v>
      </c>
      <c r="I424" s="32">
        <f t="shared" si="67"/>
        <v>2037463.7399999998</v>
      </c>
      <c r="J424" s="32">
        <f t="shared" si="98"/>
        <v>6791545.7999999989</v>
      </c>
      <c r="K424" s="143">
        <v>15000</v>
      </c>
      <c r="L424" s="146">
        <f t="shared" si="69"/>
        <v>7470700.379999999</v>
      </c>
      <c r="M424" s="147"/>
      <c r="N424" s="143">
        <f t="shared" si="66"/>
        <v>5976560.3039999995</v>
      </c>
    </row>
    <row r="425" spans="1:14" customFormat="1" x14ac:dyDescent="0.25">
      <c r="A425" s="13">
        <f t="shared" si="70"/>
        <v>61</v>
      </c>
      <c r="B425" s="190"/>
      <c r="C425" s="52">
        <f t="shared" si="99"/>
        <v>1905</v>
      </c>
      <c r="D425" s="52" t="s">
        <v>104</v>
      </c>
      <c r="E425" s="60">
        <f>(57.605+0.75*3.05)*10.764</f>
        <v>644.68286999999998</v>
      </c>
      <c r="F425" s="60">
        <v>0</v>
      </c>
      <c r="G425" s="60">
        <f t="shared" si="96"/>
        <v>644.68286999999998</v>
      </c>
      <c r="H425" s="60">
        <f t="shared" si="97"/>
        <v>773.61944399999993</v>
      </c>
      <c r="I425" s="32">
        <f t="shared" si="67"/>
        <v>1934048.6099999999</v>
      </c>
      <c r="J425" s="32">
        <f t="shared" si="98"/>
        <v>6446828.7000000002</v>
      </c>
      <c r="K425" s="143">
        <v>15000</v>
      </c>
      <c r="L425" s="146">
        <f t="shared" si="69"/>
        <v>7091511.5700000003</v>
      </c>
      <c r="M425" s="147"/>
      <c r="N425" s="143">
        <f t="shared" si="66"/>
        <v>5673209.256000001</v>
      </c>
    </row>
    <row r="426" spans="1:14" customFormat="1" x14ac:dyDescent="0.25">
      <c r="A426" s="13">
        <f t="shared" si="70"/>
        <v>62</v>
      </c>
      <c r="B426" s="190"/>
      <c r="C426" s="52">
        <f t="shared" si="99"/>
        <v>1906</v>
      </c>
      <c r="D426" s="52" t="s">
        <v>100</v>
      </c>
      <c r="E426" s="60">
        <f>(40.738+0.75*2.9)*10.764</f>
        <v>461.91553199999993</v>
      </c>
      <c r="F426" s="60">
        <v>0</v>
      </c>
      <c r="G426" s="60">
        <f t="shared" si="96"/>
        <v>461.91553199999993</v>
      </c>
      <c r="H426" s="60">
        <f t="shared" si="97"/>
        <v>554.29863839999985</v>
      </c>
      <c r="I426" s="32">
        <f t="shared" si="67"/>
        <v>1385746.5959999997</v>
      </c>
      <c r="J426" s="32">
        <f t="shared" si="98"/>
        <v>4619155.3199999994</v>
      </c>
      <c r="K426" s="143">
        <v>10000</v>
      </c>
      <c r="L426" s="146">
        <f t="shared" si="69"/>
        <v>5081070.851999999</v>
      </c>
      <c r="M426" s="147"/>
      <c r="N426" s="143">
        <f t="shared" si="66"/>
        <v>4064856.6815999993</v>
      </c>
    </row>
    <row r="427" spans="1:14" customFormat="1" x14ac:dyDescent="0.25">
      <c r="A427" s="13">
        <f t="shared" si="70"/>
        <v>63</v>
      </c>
      <c r="B427" s="190"/>
      <c r="C427" s="52">
        <f t="shared" si="99"/>
        <v>1907</v>
      </c>
      <c r="D427" s="52" t="s">
        <v>100</v>
      </c>
      <c r="E427" s="60">
        <f>(40.738+1.8*2.9)*10.764</f>
        <v>494.69191199999995</v>
      </c>
      <c r="F427" s="60">
        <v>0</v>
      </c>
      <c r="G427" s="60">
        <f t="shared" ref="G427:G434" si="100">E427+(IF(F427&lt;101,F427,IF(F427&lt;201,F427/2,IF(F427&lt;=301,F427/3,F427/4))))</f>
        <v>494.69191199999995</v>
      </c>
      <c r="H427" s="60">
        <f t="shared" ref="H427:H434" si="101">G427*1.2</f>
        <v>593.63029439999991</v>
      </c>
      <c r="I427" s="32">
        <f t="shared" si="67"/>
        <v>1484075.7359999998</v>
      </c>
      <c r="J427" s="32">
        <f t="shared" ref="J427:J434" si="102">G427*$J$273</f>
        <v>4946919.1199999992</v>
      </c>
      <c r="K427" s="143">
        <v>10000</v>
      </c>
      <c r="L427" s="146">
        <f t="shared" si="69"/>
        <v>5441611.0319999987</v>
      </c>
      <c r="M427" s="147"/>
      <c r="N427" s="143">
        <f t="shared" si="66"/>
        <v>4353288.8255999992</v>
      </c>
    </row>
    <row r="428" spans="1:14" customFormat="1" x14ac:dyDescent="0.25">
      <c r="A428" s="13">
        <f t="shared" si="70"/>
        <v>64</v>
      </c>
      <c r="B428" s="191"/>
      <c r="C428" s="52">
        <f t="shared" si="99"/>
        <v>1908</v>
      </c>
      <c r="D428" s="52" t="s">
        <v>104</v>
      </c>
      <c r="E428" s="60">
        <f>(57.605+1.8*3.05)*10.764</f>
        <v>679.1545799999999</v>
      </c>
      <c r="F428" s="60">
        <v>0</v>
      </c>
      <c r="G428" s="60">
        <f t="shared" si="100"/>
        <v>679.1545799999999</v>
      </c>
      <c r="H428" s="60">
        <f t="shared" si="101"/>
        <v>814.9854959999999</v>
      </c>
      <c r="I428" s="32">
        <f t="shared" si="67"/>
        <v>2037463.7399999998</v>
      </c>
      <c r="J428" s="32">
        <f t="shared" si="102"/>
        <v>6791545.7999999989</v>
      </c>
      <c r="K428" s="143">
        <v>15000</v>
      </c>
      <c r="L428" s="146">
        <f t="shared" si="69"/>
        <v>7470700.379999999</v>
      </c>
      <c r="M428" s="147"/>
      <c r="N428" s="143">
        <f t="shared" si="66"/>
        <v>5976560.3039999995</v>
      </c>
    </row>
    <row r="429" spans="1:14" customFormat="1" x14ac:dyDescent="0.25">
      <c r="A429" s="13">
        <f t="shared" si="70"/>
        <v>65</v>
      </c>
      <c r="B429" s="189" t="s">
        <v>659</v>
      </c>
      <c r="C429" s="52">
        <f>LEFT(B429,SUM(LEN(B429)-LEN(SUBSTITUTE(B429,{"0","1","2","3","4","5","6","7","8","9"},""))))*100+1</f>
        <v>2001</v>
      </c>
      <c r="D429" s="52" t="s">
        <v>104</v>
      </c>
      <c r="E429" s="60">
        <f>(57.605+1.8*3.05)*10.764</f>
        <v>679.1545799999999</v>
      </c>
      <c r="F429" s="60">
        <v>0</v>
      </c>
      <c r="G429" s="60">
        <f t="shared" si="100"/>
        <v>679.1545799999999</v>
      </c>
      <c r="H429" s="60">
        <f t="shared" si="101"/>
        <v>814.9854959999999</v>
      </c>
      <c r="I429" s="32">
        <f t="shared" si="67"/>
        <v>2037463.7399999998</v>
      </c>
      <c r="J429" s="32">
        <f t="shared" si="102"/>
        <v>6791545.7999999989</v>
      </c>
      <c r="K429" s="143">
        <v>15000</v>
      </c>
      <c r="L429" s="146">
        <f t="shared" si="69"/>
        <v>7470700.379999999</v>
      </c>
      <c r="M429" s="147"/>
      <c r="N429" s="143">
        <f t="shared" ref="N429:N452" si="103">L429*0.8</f>
        <v>5976560.3039999995</v>
      </c>
    </row>
    <row r="430" spans="1:14" customFormat="1" x14ac:dyDescent="0.25">
      <c r="A430" s="13">
        <f t="shared" si="70"/>
        <v>66</v>
      </c>
      <c r="B430" s="190"/>
      <c r="C430" s="52">
        <f>C429+1</f>
        <v>2002</v>
      </c>
      <c r="D430" s="52" t="s">
        <v>100</v>
      </c>
      <c r="E430" s="60">
        <f>(40.738+1.8*2.9)*10.764</f>
        <v>494.69191199999995</v>
      </c>
      <c r="F430" s="60">
        <v>0</v>
      </c>
      <c r="G430" s="60">
        <f t="shared" si="100"/>
        <v>494.69191199999995</v>
      </c>
      <c r="H430" s="60">
        <f t="shared" si="101"/>
        <v>593.63029439999991</v>
      </c>
      <c r="I430" s="32">
        <f t="shared" ref="I430:I452" si="104">H430*I$362</f>
        <v>1484075.7359999998</v>
      </c>
      <c r="J430" s="32">
        <f t="shared" si="102"/>
        <v>4946919.1199999992</v>
      </c>
      <c r="K430" s="143">
        <v>10000</v>
      </c>
      <c r="L430" s="146">
        <f t="shared" ref="L430:L452" si="105">J430+J430*$L$363</f>
        <v>5441611.0319999987</v>
      </c>
      <c r="M430" s="147"/>
      <c r="N430" s="143">
        <f t="shared" si="103"/>
        <v>4353288.8255999992</v>
      </c>
    </row>
    <row r="431" spans="1:14" customFormat="1" x14ac:dyDescent="0.25">
      <c r="A431" s="13">
        <f t="shared" ref="A431:A452" si="106">A430+1</f>
        <v>67</v>
      </c>
      <c r="B431" s="190"/>
      <c r="C431" s="52">
        <f t="shared" ref="C431:C436" si="107">C430+1</f>
        <v>2003</v>
      </c>
      <c r="D431" s="52" t="s">
        <v>100</v>
      </c>
      <c r="E431" s="60">
        <f>(40.738+1.8*2.9)*10.764</f>
        <v>494.69191199999995</v>
      </c>
      <c r="F431" s="60">
        <v>0</v>
      </c>
      <c r="G431" s="60">
        <f t="shared" si="100"/>
        <v>494.69191199999995</v>
      </c>
      <c r="H431" s="60">
        <f t="shared" si="101"/>
        <v>593.63029439999991</v>
      </c>
      <c r="I431" s="32">
        <f t="shared" si="104"/>
        <v>1484075.7359999998</v>
      </c>
      <c r="J431" s="32">
        <f t="shared" si="102"/>
        <v>4946919.1199999992</v>
      </c>
      <c r="K431" s="143">
        <v>10000</v>
      </c>
      <c r="L431" s="146">
        <f t="shared" si="105"/>
        <v>5441611.0319999987</v>
      </c>
      <c r="M431" s="147"/>
      <c r="N431" s="143">
        <f t="shared" si="103"/>
        <v>4353288.8255999992</v>
      </c>
    </row>
    <row r="432" spans="1:14" customFormat="1" x14ac:dyDescent="0.25">
      <c r="A432" s="13">
        <f t="shared" si="106"/>
        <v>68</v>
      </c>
      <c r="B432" s="190"/>
      <c r="C432" s="52">
        <f t="shared" si="107"/>
        <v>2004</v>
      </c>
      <c r="D432" s="52" t="s">
        <v>104</v>
      </c>
      <c r="E432" s="60">
        <f>(57.605+1.8*3.05)*10.764</f>
        <v>679.1545799999999</v>
      </c>
      <c r="F432" s="60">
        <v>0</v>
      </c>
      <c r="G432" s="60">
        <f t="shared" si="100"/>
        <v>679.1545799999999</v>
      </c>
      <c r="H432" s="60">
        <f t="shared" si="101"/>
        <v>814.9854959999999</v>
      </c>
      <c r="I432" s="32">
        <f t="shared" si="104"/>
        <v>2037463.7399999998</v>
      </c>
      <c r="J432" s="32">
        <f t="shared" si="102"/>
        <v>6791545.7999999989</v>
      </c>
      <c r="K432" s="143">
        <v>15000</v>
      </c>
      <c r="L432" s="146">
        <f t="shared" si="105"/>
        <v>7470700.379999999</v>
      </c>
      <c r="M432" s="147"/>
      <c r="N432" s="143">
        <f t="shared" si="103"/>
        <v>5976560.3039999995</v>
      </c>
    </row>
    <row r="433" spans="1:14" customFormat="1" x14ac:dyDescent="0.25">
      <c r="A433" s="13">
        <f t="shared" si="106"/>
        <v>69</v>
      </c>
      <c r="B433" s="190"/>
      <c r="C433" s="52">
        <f t="shared" si="107"/>
        <v>2005</v>
      </c>
      <c r="D433" s="52" t="s">
        <v>104</v>
      </c>
      <c r="E433" s="60">
        <f>(57.605+0.75*3.05)*10.764</f>
        <v>644.68286999999998</v>
      </c>
      <c r="F433" s="60">
        <v>0</v>
      </c>
      <c r="G433" s="60">
        <f t="shared" si="100"/>
        <v>644.68286999999998</v>
      </c>
      <c r="H433" s="60">
        <f t="shared" si="101"/>
        <v>773.61944399999993</v>
      </c>
      <c r="I433" s="32">
        <f t="shared" si="104"/>
        <v>1934048.6099999999</v>
      </c>
      <c r="J433" s="32">
        <f t="shared" si="102"/>
        <v>6446828.7000000002</v>
      </c>
      <c r="K433" s="143">
        <v>15000</v>
      </c>
      <c r="L433" s="146">
        <f t="shared" si="105"/>
        <v>7091511.5700000003</v>
      </c>
      <c r="M433" s="147"/>
      <c r="N433" s="143">
        <f t="shared" si="103"/>
        <v>5673209.256000001</v>
      </c>
    </row>
    <row r="434" spans="1:14" customFormat="1" x14ac:dyDescent="0.25">
      <c r="A434" s="13">
        <f t="shared" si="106"/>
        <v>70</v>
      </c>
      <c r="B434" s="190"/>
      <c r="C434" s="52">
        <f t="shared" si="107"/>
        <v>2006</v>
      </c>
      <c r="D434" s="52" t="s">
        <v>100</v>
      </c>
      <c r="E434" s="60">
        <f>(40.738+0.75*2.9)*10.764</f>
        <v>461.91553199999993</v>
      </c>
      <c r="F434" s="60">
        <v>0</v>
      </c>
      <c r="G434" s="60">
        <f t="shared" si="100"/>
        <v>461.91553199999993</v>
      </c>
      <c r="H434" s="60">
        <f t="shared" si="101"/>
        <v>554.29863839999985</v>
      </c>
      <c r="I434" s="32">
        <f t="shared" si="104"/>
        <v>1385746.5959999997</v>
      </c>
      <c r="J434" s="32">
        <f t="shared" si="102"/>
        <v>4619155.3199999994</v>
      </c>
      <c r="K434" s="143">
        <v>10000</v>
      </c>
      <c r="L434" s="146">
        <f t="shared" si="105"/>
        <v>5081070.851999999</v>
      </c>
      <c r="M434" s="147"/>
      <c r="N434" s="143">
        <f t="shared" si="103"/>
        <v>4064856.6815999993</v>
      </c>
    </row>
    <row r="435" spans="1:14" customFormat="1" x14ac:dyDescent="0.25">
      <c r="A435" s="13">
        <f t="shared" si="106"/>
        <v>71</v>
      </c>
      <c r="B435" s="190"/>
      <c r="C435" s="52">
        <f t="shared" si="107"/>
        <v>2007</v>
      </c>
      <c r="D435" s="52" t="s">
        <v>100</v>
      </c>
      <c r="E435" s="60">
        <f>(40.738+1.8*2.9)*10.764</f>
        <v>494.69191199999995</v>
      </c>
      <c r="F435" s="60">
        <v>0</v>
      </c>
      <c r="G435" s="60">
        <f t="shared" ref="G435:G442" si="108">E435+(IF(F435&lt;101,F435,IF(F435&lt;201,F435/2,IF(F435&lt;=301,F435/3,F435/4))))</f>
        <v>494.69191199999995</v>
      </c>
      <c r="H435" s="60">
        <f t="shared" ref="H435:H442" si="109">G435*1.2</f>
        <v>593.63029439999991</v>
      </c>
      <c r="I435" s="32">
        <f t="shared" si="104"/>
        <v>1484075.7359999998</v>
      </c>
      <c r="J435" s="32">
        <f t="shared" ref="J435:J442" si="110">G435*$J$273</f>
        <v>4946919.1199999992</v>
      </c>
      <c r="K435" s="143">
        <v>10000</v>
      </c>
      <c r="L435" s="146">
        <f t="shared" si="105"/>
        <v>5441611.0319999987</v>
      </c>
      <c r="M435" s="147"/>
      <c r="N435" s="143">
        <f t="shared" si="103"/>
        <v>4353288.8255999992</v>
      </c>
    </row>
    <row r="436" spans="1:14" customFormat="1" x14ac:dyDescent="0.25">
      <c r="A436" s="13">
        <f t="shared" si="106"/>
        <v>72</v>
      </c>
      <c r="B436" s="191"/>
      <c r="C436" s="52">
        <f t="shared" si="107"/>
        <v>2008</v>
      </c>
      <c r="D436" s="52" t="s">
        <v>104</v>
      </c>
      <c r="E436" s="60">
        <f>(57.605+1.8*3.05)*10.764</f>
        <v>679.1545799999999</v>
      </c>
      <c r="F436" s="60">
        <v>0</v>
      </c>
      <c r="G436" s="60">
        <f t="shared" si="108"/>
        <v>679.1545799999999</v>
      </c>
      <c r="H436" s="60">
        <f t="shared" si="109"/>
        <v>814.9854959999999</v>
      </c>
      <c r="I436" s="32">
        <f t="shared" si="104"/>
        <v>2037463.7399999998</v>
      </c>
      <c r="J436" s="32">
        <f t="shared" si="110"/>
        <v>6791545.7999999989</v>
      </c>
      <c r="K436" s="143">
        <v>15000</v>
      </c>
      <c r="L436" s="146">
        <f t="shared" si="105"/>
        <v>7470700.379999999</v>
      </c>
      <c r="M436" s="147"/>
      <c r="N436" s="143">
        <f t="shared" si="103"/>
        <v>5976560.3039999995</v>
      </c>
    </row>
    <row r="437" spans="1:14" customFormat="1" x14ac:dyDescent="0.25">
      <c r="A437" s="13">
        <f t="shared" si="106"/>
        <v>73</v>
      </c>
      <c r="B437" s="189" t="s">
        <v>660</v>
      </c>
      <c r="C437" s="52">
        <f>LEFT(B437,SUM(LEN(B437)-LEN(SUBSTITUTE(B437,{"0","1","2","3","4","5","6","7","8","9"},""))))*100+1</f>
        <v>2101</v>
      </c>
      <c r="D437" s="52" t="s">
        <v>104</v>
      </c>
      <c r="E437" s="60">
        <f>(57.605+1.8*3.05)*10.764</f>
        <v>679.1545799999999</v>
      </c>
      <c r="F437" s="60">
        <v>0</v>
      </c>
      <c r="G437" s="60">
        <f t="shared" si="108"/>
        <v>679.1545799999999</v>
      </c>
      <c r="H437" s="60">
        <f t="shared" si="109"/>
        <v>814.9854959999999</v>
      </c>
      <c r="I437" s="32">
        <f t="shared" si="104"/>
        <v>2037463.7399999998</v>
      </c>
      <c r="J437" s="32">
        <f t="shared" si="110"/>
        <v>6791545.7999999989</v>
      </c>
      <c r="K437" s="143">
        <v>15000</v>
      </c>
      <c r="L437" s="146">
        <f t="shared" si="105"/>
        <v>7470700.379999999</v>
      </c>
      <c r="M437" s="147"/>
      <c r="N437" s="143">
        <f t="shared" si="103"/>
        <v>5976560.3039999995</v>
      </c>
    </row>
    <row r="438" spans="1:14" customFormat="1" x14ac:dyDescent="0.25">
      <c r="A438" s="13">
        <f t="shared" si="106"/>
        <v>74</v>
      </c>
      <c r="B438" s="190"/>
      <c r="C438" s="52">
        <f>C437+1</f>
        <v>2102</v>
      </c>
      <c r="D438" s="52" t="s">
        <v>100</v>
      </c>
      <c r="E438" s="60">
        <f>(40.738+1.8*2.9)*10.764</f>
        <v>494.69191199999995</v>
      </c>
      <c r="F438" s="60">
        <v>0</v>
      </c>
      <c r="G438" s="60">
        <f t="shared" si="108"/>
        <v>494.69191199999995</v>
      </c>
      <c r="H438" s="60">
        <f t="shared" si="109"/>
        <v>593.63029439999991</v>
      </c>
      <c r="I438" s="32">
        <f t="shared" si="104"/>
        <v>1484075.7359999998</v>
      </c>
      <c r="J438" s="32">
        <f t="shared" si="110"/>
        <v>4946919.1199999992</v>
      </c>
      <c r="K438" s="143">
        <v>10000</v>
      </c>
      <c r="L438" s="146">
        <f t="shared" si="105"/>
        <v>5441611.0319999987</v>
      </c>
      <c r="M438" s="147"/>
      <c r="N438" s="143">
        <f t="shared" si="103"/>
        <v>4353288.8255999992</v>
      </c>
    </row>
    <row r="439" spans="1:14" customFormat="1" x14ac:dyDescent="0.25">
      <c r="A439" s="13">
        <f t="shared" si="106"/>
        <v>75</v>
      </c>
      <c r="B439" s="190"/>
      <c r="C439" s="52">
        <f t="shared" ref="C439:C444" si="111">C438+1</f>
        <v>2103</v>
      </c>
      <c r="D439" s="52" t="s">
        <v>100</v>
      </c>
      <c r="E439" s="60">
        <f>(40.738+1.8*2.9)*10.764</f>
        <v>494.69191199999995</v>
      </c>
      <c r="F439" s="60">
        <v>0</v>
      </c>
      <c r="G439" s="60">
        <f t="shared" si="108"/>
        <v>494.69191199999995</v>
      </c>
      <c r="H439" s="60">
        <f t="shared" si="109"/>
        <v>593.63029439999991</v>
      </c>
      <c r="I439" s="32">
        <f t="shared" si="104"/>
        <v>1484075.7359999998</v>
      </c>
      <c r="J439" s="32">
        <f t="shared" si="110"/>
        <v>4946919.1199999992</v>
      </c>
      <c r="K439" s="143">
        <v>10000</v>
      </c>
      <c r="L439" s="146">
        <f t="shared" si="105"/>
        <v>5441611.0319999987</v>
      </c>
      <c r="M439" s="147"/>
      <c r="N439" s="143">
        <f t="shared" si="103"/>
        <v>4353288.8255999992</v>
      </c>
    </row>
    <row r="440" spans="1:14" customFormat="1" x14ac:dyDescent="0.25">
      <c r="A440" s="13">
        <f t="shared" si="106"/>
        <v>76</v>
      </c>
      <c r="B440" s="190"/>
      <c r="C440" s="52">
        <f t="shared" si="111"/>
        <v>2104</v>
      </c>
      <c r="D440" s="52" t="s">
        <v>104</v>
      </c>
      <c r="E440" s="60">
        <f>(57.605+1.8*3.05)*10.764</f>
        <v>679.1545799999999</v>
      </c>
      <c r="F440" s="60">
        <v>0</v>
      </c>
      <c r="G440" s="60">
        <f t="shared" si="108"/>
        <v>679.1545799999999</v>
      </c>
      <c r="H440" s="60">
        <f t="shared" si="109"/>
        <v>814.9854959999999</v>
      </c>
      <c r="I440" s="32">
        <f t="shared" si="104"/>
        <v>2037463.7399999998</v>
      </c>
      <c r="J440" s="32">
        <f t="shared" si="110"/>
        <v>6791545.7999999989</v>
      </c>
      <c r="K440" s="143">
        <v>15000</v>
      </c>
      <c r="L440" s="146">
        <f t="shared" si="105"/>
        <v>7470700.379999999</v>
      </c>
      <c r="M440" s="147"/>
      <c r="N440" s="143">
        <f t="shared" si="103"/>
        <v>5976560.3039999995</v>
      </c>
    </row>
    <row r="441" spans="1:14" customFormat="1" x14ac:dyDescent="0.25">
      <c r="A441" s="13">
        <f t="shared" si="106"/>
        <v>77</v>
      </c>
      <c r="B441" s="190"/>
      <c r="C441" s="52">
        <f t="shared" si="111"/>
        <v>2105</v>
      </c>
      <c r="D441" s="52" t="s">
        <v>104</v>
      </c>
      <c r="E441" s="60">
        <f>(57.605+0.75*3.05)*10.764</f>
        <v>644.68286999999998</v>
      </c>
      <c r="F441" s="60">
        <v>0</v>
      </c>
      <c r="G441" s="60">
        <f t="shared" si="108"/>
        <v>644.68286999999998</v>
      </c>
      <c r="H441" s="60">
        <f t="shared" si="109"/>
        <v>773.61944399999993</v>
      </c>
      <c r="I441" s="32">
        <f t="shared" si="104"/>
        <v>1934048.6099999999</v>
      </c>
      <c r="J441" s="32">
        <f t="shared" si="110"/>
        <v>6446828.7000000002</v>
      </c>
      <c r="K441" s="143">
        <v>15000</v>
      </c>
      <c r="L441" s="146">
        <f t="shared" si="105"/>
        <v>7091511.5700000003</v>
      </c>
      <c r="M441" s="147"/>
      <c r="N441" s="143">
        <f t="shared" si="103"/>
        <v>5673209.256000001</v>
      </c>
    </row>
    <row r="442" spans="1:14" customFormat="1" x14ac:dyDescent="0.25">
      <c r="A442" s="13">
        <f t="shared" si="106"/>
        <v>78</v>
      </c>
      <c r="B442" s="190"/>
      <c r="C442" s="52">
        <f t="shared" si="111"/>
        <v>2106</v>
      </c>
      <c r="D442" s="52" t="s">
        <v>100</v>
      </c>
      <c r="E442" s="60">
        <f>(40.738+0.75*2.9)*10.764</f>
        <v>461.91553199999993</v>
      </c>
      <c r="F442" s="60">
        <v>0</v>
      </c>
      <c r="G442" s="60">
        <f t="shared" si="108"/>
        <v>461.91553199999993</v>
      </c>
      <c r="H442" s="60">
        <f t="shared" si="109"/>
        <v>554.29863839999985</v>
      </c>
      <c r="I442" s="32">
        <f t="shared" si="104"/>
        <v>1385746.5959999997</v>
      </c>
      <c r="J442" s="32">
        <f t="shared" si="110"/>
        <v>4619155.3199999994</v>
      </c>
      <c r="K442" s="143">
        <v>10000</v>
      </c>
      <c r="L442" s="146">
        <f t="shared" si="105"/>
        <v>5081070.851999999</v>
      </c>
      <c r="M442" s="147"/>
      <c r="N442" s="143">
        <f t="shared" si="103"/>
        <v>4064856.6815999993</v>
      </c>
    </row>
    <row r="443" spans="1:14" customFormat="1" x14ac:dyDescent="0.25">
      <c r="A443" s="13">
        <f t="shared" si="106"/>
        <v>79</v>
      </c>
      <c r="B443" s="190"/>
      <c r="C443" s="52">
        <f t="shared" si="111"/>
        <v>2107</v>
      </c>
      <c r="D443" s="52" t="s">
        <v>100</v>
      </c>
      <c r="E443" s="60">
        <f>(40.738+1.8*2.9)*10.764</f>
        <v>494.69191199999995</v>
      </c>
      <c r="F443" s="60">
        <v>0</v>
      </c>
      <c r="G443" s="60">
        <f t="shared" ref="G443:G450" si="112">E443+(IF(F443&lt;101,F443,IF(F443&lt;201,F443/2,IF(F443&lt;=301,F443/3,F443/4))))</f>
        <v>494.69191199999995</v>
      </c>
      <c r="H443" s="60">
        <f t="shared" ref="H443:H450" si="113">G443*1.2</f>
        <v>593.63029439999991</v>
      </c>
      <c r="I443" s="32">
        <f t="shared" si="104"/>
        <v>1484075.7359999998</v>
      </c>
      <c r="J443" s="32">
        <f t="shared" ref="J443:J450" si="114">G443*$J$273</f>
        <v>4946919.1199999992</v>
      </c>
      <c r="K443" s="143">
        <v>10000</v>
      </c>
      <c r="L443" s="146">
        <f t="shared" si="105"/>
        <v>5441611.0319999987</v>
      </c>
      <c r="M443" s="147"/>
      <c r="N443" s="143">
        <f t="shared" si="103"/>
        <v>4353288.8255999992</v>
      </c>
    </row>
    <row r="444" spans="1:14" customFormat="1" x14ac:dyDescent="0.25">
      <c r="A444" s="13">
        <f t="shared" si="106"/>
        <v>80</v>
      </c>
      <c r="B444" s="191"/>
      <c r="C444" s="52">
        <f t="shared" si="111"/>
        <v>2108</v>
      </c>
      <c r="D444" s="52" t="s">
        <v>104</v>
      </c>
      <c r="E444" s="60">
        <f>(57.605+1.8*3.05)*10.764</f>
        <v>679.1545799999999</v>
      </c>
      <c r="F444" s="60">
        <v>0</v>
      </c>
      <c r="G444" s="60">
        <f t="shared" si="112"/>
        <v>679.1545799999999</v>
      </c>
      <c r="H444" s="60">
        <f t="shared" si="113"/>
        <v>814.9854959999999</v>
      </c>
      <c r="I444" s="32">
        <f t="shared" si="104"/>
        <v>2037463.7399999998</v>
      </c>
      <c r="J444" s="32">
        <f t="shared" si="114"/>
        <v>6791545.7999999989</v>
      </c>
      <c r="K444" s="143">
        <v>15000</v>
      </c>
      <c r="L444" s="146">
        <f t="shared" si="105"/>
        <v>7470700.379999999</v>
      </c>
      <c r="M444" s="147"/>
      <c r="N444" s="143">
        <f t="shared" si="103"/>
        <v>5976560.3039999995</v>
      </c>
    </row>
    <row r="445" spans="1:14" customFormat="1" x14ac:dyDescent="0.25">
      <c r="A445" s="13">
        <f t="shared" si="106"/>
        <v>81</v>
      </c>
      <c r="B445" s="189" t="s">
        <v>661</v>
      </c>
      <c r="C445" s="52">
        <f>LEFT(B445,SUM(LEN(B445)-LEN(SUBSTITUTE(B445,{"0","1","2","3","4","5","6","7","8","9"},""))))*100+1</f>
        <v>2201</v>
      </c>
      <c r="D445" s="52" t="s">
        <v>104</v>
      </c>
      <c r="E445" s="60">
        <f>(57.605+1.8*3.05)*10.764</f>
        <v>679.1545799999999</v>
      </c>
      <c r="F445" s="60">
        <v>0</v>
      </c>
      <c r="G445" s="60">
        <f t="shared" si="112"/>
        <v>679.1545799999999</v>
      </c>
      <c r="H445" s="60">
        <f t="shared" si="113"/>
        <v>814.9854959999999</v>
      </c>
      <c r="I445" s="32">
        <f t="shared" si="104"/>
        <v>2037463.7399999998</v>
      </c>
      <c r="J445" s="32">
        <f t="shared" si="114"/>
        <v>6791545.7999999989</v>
      </c>
      <c r="K445" s="143">
        <v>15000</v>
      </c>
      <c r="L445" s="146">
        <f t="shared" si="105"/>
        <v>7470700.379999999</v>
      </c>
      <c r="M445" s="147"/>
      <c r="N445" s="143">
        <f t="shared" si="103"/>
        <v>5976560.3039999995</v>
      </c>
    </row>
    <row r="446" spans="1:14" customFormat="1" x14ac:dyDescent="0.25">
      <c r="A446" s="13">
        <f t="shared" si="106"/>
        <v>82</v>
      </c>
      <c r="B446" s="190"/>
      <c r="C446" s="52">
        <f>C445+1</f>
        <v>2202</v>
      </c>
      <c r="D446" s="52" t="s">
        <v>100</v>
      </c>
      <c r="E446" s="60">
        <f>(40.738+1.8*2.9)*10.764</f>
        <v>494.69191199999995</v>
      </c>
      <c r="F446" s="60">
        <v>0</v>
      </c>
      <c r="G446" s="60">
        <f t="shared" si="112"/>
        <v>494.69191199999995</v>
      </c>
      <c r="H446" s="60">
        <f t="shared" si="113"/>
        <v>593.63029439999991</v>
      </c>
      <c r="I446" s="32">
        <f t="shared" si="104"/>
        <v>1484075.7359999998</v>
      </c>
      <c r="J446" s="32">
        <f t="shared" si="114"/>
        <v>4946919.1199999992</v>
      </c>
      <c r="K446" s="143">
        <v>10000</v>
      </c>
      <c r="L446" s="146">
        <f t="shared" si="105"/>
        <v>5441611.0319999987</v>
      </c>
      <c r="M446" s="147"/>
      <c r="N446" s="143">
        <f t="shared" si="103"/>
        <v>4353288.8255999992</v>
      </c>
    </row>
    <row r="447" spans="1:14" customFormat="1" x14ac:dyDescent="0.25">
      <c r="A447" s="13">
        <f t="shared" si="106"/>
        <v>83</v>
      </c>
      <c r="B447" s="190"/>
      <c r="C447" s="52">
        <f t="shared" ref="C447:C452" si="115">C446+1</f>
        <v>2203</v>
      </c>
      <c r="D447" s="52" t="s">
        <v>100</v>
      </c>
      <c r="E447" s="60">
        <f>(40.738+1.8*2.9)*10.764</f>
        <v>494.69191199999995</v>
      </c>
      <c r="F447" s="60">
        <v>0</v>
      </c>
      <c r="G447" s="60">
        <f t="shared" si="112"/>
        <v>494.69191199999995</v>
      </c>
      <c r="H447" s="60">
        <f t="shared" si="113"/>
        <v>593.63029439999991</v>
      </c>
      <c r="I447" s="32">
        <f t="shared" si="104"/>
        <v>1484075.7359999998</v>
      </c>
      <c r="J447" s="32">
        <f t="shared" si="114"/>
        <v>4946919.1199999992</v>
      </c>
      <c r="K447" s="143">
        <v>10000</v>
      </c>
      <c r="L447" s="146">
        <f t="shared" si="105"/>
        <v>5441611.0319999987</v>
      </c>
      <c r="M447" s="147"/>
      <c r="N447" s="143">
        <f t="shared" si="103"/>
        <v>4353288.8255999992</v>
      </c>
    </row>
    <row r="448" spans="1:14" customFormat="1" x14ac:dyDescent="0.25">
      <c r="A448" s="13">
        <f t="shared" si="106"/>
        <v>84</v>
      </c>
      <c r="B448" s="190"/>
      <c r="C448" s="52">
        <f t="shared" si="115"/>
        <v>2204</v>
      </c>
      <c r="D448" s="52" t="s">
        <v>104</v>
      </c>
      <c r="E448" s="60">
        <f>(57.605+1.8*3.05)*10.764</f>
        <v>679.1545799999999</v>
      </c>
      <c r="F448" s="60">
        <v>0</v>
      </c>
      <c r="G448" s="60">
        <f t="shared" si="112"/>
        <v>679.1545799999999</v>
      </c>
      <c r="H448" s="60">
        <f t="shared" si="113"/>
        <v>814.9854959999999</v>
      </c>
      <c r="I448" s="32">
        <f t="shared" si="104"/>
        <v>2037463.7399999998</v>
      </c>
      <c r="J448" s="32">
        <f t="shared" si="114"/>
        <v>6791545.7999999989</v>
      </c>
      <c r="K448" s="143">
        <v>15000</v>
      </c>
      <c r="L448" s="146">
        <f t="shared" si="105"/>
        <v>7470700.379999999</v>
      </c>
      <c r="M448" s="147"/>
      <c r="N448" s="143">
        <f t="shared" si="103"/>
        <v>5976560.3039999995</v>
      </c>
    </row>
    <row r="449" spans="1:16" customFormat="1" x14ac:dyDescent="0.25">
      <c r="A449" s="13">
        <f t="shared" si="106"/>
        <v>85</v>
      </c>
      <c r="B449" s="190"/>
      <c r="C449" s="52">
        <f t="shared" si="115"/>
        <v>2205</v>
      </c>
      <c r="D449" s="52" t="s">
        <v>104</v>
      </c>
      <c r="E449" s="60">
        <f>(57.605+0.75*3.05)*10.764</f>
        <v>644.68286999999998</v>
      </c>
      <c r="F449" s="60">
        <v>0</v>
      </c>
      <c r="G449" s="60">
        <f t="shared" si="112"/>
        <v>644.68286999999998</v>
      </c>
      <c r="H449" s="60">
        <f t="shared" si="113"/>
        <v>773.61944399999993</v>
      </c>
      <c r="I449" s="32">
        <f t="shared" si="104"/>
        <v>1934048.6099999999</v>
      </c>
      <c r="J449" s="32">
        <f t="shared" si="114"/>
        <v>6446828.7000000002</v>
      </c>
      <c r="K449" s="143">
        <v>15000</v>
      </c>
      <c r="L449" s="146">
        <f t="shared" si="105"/>
        <v>7091511.5700000003</v>
      </c>
      <c r="M449" s="147"/>
      <c r="N449" s="143">
        <f t="shared" si="103"/>
        <v>5673209.256000001</v>
      </c>
    </row>
    <row r="450" spans="1:16" customFormat="1" x14ac:dyDescent="0.25">
      <c r="A450" s="13">
        <f t="shared" si="106"/>
        <v>86</v>
      </c>
      <c r="B450" s="190"/>
      <c r="C450" s="52">
        <f t="shared" si="115"/>
        <v>2206</v>
      </c>
      <c r="D450" s="52" t="s">
        <v>100</v>
      </c>
      <c r="E450" s="60">
        <f>(40.738+0.75*2.9)*10.764</f>
        <v>461.91553199999993</v>
      </c>
      <c r="F450" s="60">
        <v>0</v>
      </c>
      <c r="G450" s="60">
        <f t="shared" si="112"/>
        <v>461.91553199999993</v>
      </c>
      <c r="H450" s="60">
        <f t="shared" si="113"/>
        <v>554.29863839999985</v>
      </c>
      <c r="I450" s="32">
        <f t="shared" si="104"/>
        <v>1385746.5959999997</v>
      </c>
      <c r="J450" s="32">
        <f t="shared" si="114"/>
        <v>4619155.3199999994</v>
      </c>
      <c r="K450" s="143">
        <v>10000</v>
      </c>
      <c r="L450" s="146">
        <f t="shared" si="105"/>
        <v>5081070.851999999</v>
      </c>
      <c r="M450" s="147"/>
      <c r="N450" s="143">
        <f t="shared" si="103"/>
        <v>4064856.6815999993</v>
      </c>
    </row>
    <row r="451" spans="1:16" customFormat="1" x14ac:dyDescent="0.25">
      <c r="A451" s="13">
        <f t="shared" si="106"/>
        <v>87</v>
      </c>
      <c r="B451" s="190"/>
      <c r="C451" s="52">
        <f t="shared" si="115"/>
        <v>2207</v>
      </c>
      <c r="D451" s="52" t="s">
        <v>100</v>
      </c>
      <c r="E451" s="60">
        <f>(40.738+1.8*2.9)*10.764</f>
        <v>494.69191199999995</v>
      </c>
      <c r="F451" s="60">
        <v>0</v>
      </c>
      <c r="G451" s="60">
        <f t="shared" ref="G451:G452" si="116">E451+(IF(F451&lt;101,F451,IF(F451&lt;201,F451/2,IF(F451&lt;=301,F451/3,F451/4))))</f>
        <v>494.69191199999995</v>
      </c>
      <c r="H451" s="60">
        <f t="shared" ref="H451:H452" si="117">G451*1.2</f>
        <v>593.63029439999991</v>
      </c>
      <c r="I451" s="32">
        <f t="shared" si="104"/>
        <v>1484075.7359999998</v>
      </c>
      <c r="J451" s="32">
        <f t="shared" ref="J451:J452" si="118">G451*$J$273</f>
        <v>4946919.1199999992</v>
      </c>
      <c r="K451" s="143">
        <v>10000</v>
      </c>
      <c r="L451" s="146">
        <f t="shared" si="105"/>
        <v>5441611.0319999987</v>
      </c>
      <c r="M451" s="147"/>
      <c r="N451" s="143">
        <f t="shared" si="103"/>
        <v>4353288.8255999992</v>
      </c>
    </row>
    <row r="452" spans="1:16" customFormat="1" x14ac:dyDescent="0.25">
      <c r="A452" s="13">
        <f t="shared" si="106"/>
        <v>88</v>
      </c>
      <c r="B452" s="191"/>
      <c r="C452" s="52">
        <f t="shared" si="115"/>
        <v>2208</v>
      </c>
      <c r="D452" s="52" t="s">
        <v>104</v>
      </c>
      <c r="E452" s="60">
        <f>(57.605+1.8*3.05)*10.764</f>
        <v>679.1545799999999</v>
      </c>
      <c r="F452" s="60">
        <v>0</v>
      </c>
      <c r="G452" s="60">
        <f t="shared" si="116"/>
        <v>679.1545799999999</v>
      </c>
      <c r="H452" s="60">
        <f t="shared" si="117"/>
        <v>814.9854959999999</v>
      </c>
      <c r="I452" s="32">
        <f t="shared" si="104"/>
        <v>2037463.7399999998</v>
      </c>
      <c r="J452" s="32">
        <f t="shared" si="118"/>
        <v>6791545.7999999989</v>
      </c>
      <c r="K452" s="143">
        <v>15000</v>
      </c>
      <c r="L452" s="146">
        <f t="shared" si="105"/>
        <v>7470700.379999999</v>
      </c>
      <c r="M452" s="147"/>
      <c r="N452" s="143">
        <f t="shared" si="103"/>
        <v>5976560.3039999995</v>
      </c>
    </row>
    <row r="453" spans="1:16" x14ac:dyDescent="0.25">
      <c r="A453" s="474" t="s">
        <v>75</v>
      </c>
      <c r="B453" s="475"/>
      <c r="C453" s="475"/>
      <c r="D453" s="475"/>
      <c r="E453" s="475"/>
      <c r="F453" s="475"/>
      <c r="G453" s="475"/>
      <c r="H453" s="475"/>
      <c r="I453" s="475"/>
      <c r="J453" s="475"/>
      <c r="K453" s="475"/>
      <c r="L453" s="475"/>
      <c r="M453" s="475"/>
      <c r="N453" s="476"/>
    </row>
    <row r="454" spans="1:16" s="68" customFormat="1" ht="30.6" customHeight="1" x14ac:dyDescent="0.25">
      <c r="A454" s="165" t="s">
        <v>241</v>
      </c>
      <c r="B454" s="167"/>
      <c r="C454" s="127" t="s">
        <v>46</v>
      </c>
      <c r="D454" s="200" t="s">
        <v>608</v>
      </c>
      <c r="E454" s="201"/>
      <c r="F454" s="200" t="s">
        <v>242</v>
      </c>
      <c r="G454" s="201"/>
      <c r="H454" s="200" t="s">
        <v>97</v>
      </c>
      <c r="I454" s="201"/>
      <c r="J454" s="126" t="s">
        <v>243</v>
      </c>
      <c r="K454" s="165" t="s">
        <v>434</v>
      </c>
      <c r="L454" s="167"/>
      <c r="M454" s="200" t="s">
        <v>695</v>
      </c>
      <c r="N454" s="201"/>
    </row>
    <row r="455" spans="1:16" x14ac:dyDescent="0.25">
      <c r="A455" s="516" t="s">
        <v>465</v>
      </c>
      <c r="B455" s="517"/>
      <c r="C455" s="517"/>
      <c r="D455" s="517"/>
      <c r="E455" s="517"/>
      <c r="F455" s="517"/>
      <c r="G455" s="517"/>
      <c r="H455" s="517"/>
      <c r="I455" s="517"/>
      <c r="J455" s="517"/>
      <c r="K455" s="517"/>
      <c r="L455" s="517"/>
      <c r="M455" s="517"/>
      <c r="N455" s="518"/>
    </row>
    <row r="456" spans="1:16" x14ac:dyDescent="0.25">
      <c r="A456" s="356" t="s">
        <v>422</v>
      </c>
      <c r="B456" s="357"/>
      <c r="C456" s="32" t="s">
        <v>424</v>
      </c>
      <c r="D456" s="202" t="s">
        <v>171</v>
      </c>
      <c r="E456" s="203"/>
      <c r="F456" s="202">
        <f>E216</f>
        <v>34</v>
      </c>
      <c r="G456" s="203"/>
      <c r="H456" s="529">
        <f>I216</f>
        <v>7596.6865416000001</v>
      </c>
      <c r="I456" s="529"/>
      <c r="J456" s="69">
        <f>L216</f>
        <v>9116.0238499199986</v>
      </c>
      <c r="K456" s="532">
        <v>0</v>
      </c>
      <c r="L456" s="471"/>
      <c r="M456" s="202">
        <f t="shared" ref="M456" si="119">(H456*K456)</f>
        <v>0</v>
      </c>
      <c r="N456" s="203"/>
    </row>
    <row r="457" spans="1:16" x14ac:dyDescent="0.25">
      <c r="A457" s="356" t="s">
        <v>422</v>
      </c>
      <c r="B457" s="357"/>
      <c r="C457" s="136" t="s">
        <v>425</v>
      </c>
      <c r="D457" s="202" t="s">
        <v>100</v>
      </c>
      <c r="E457" s="203"/>
      <c r="F457" s="169">
        <f>COUNT(G278:G279,G282:G283,G286:G287,G290:G291,G294:G295,G298:G299,G302:G303,G306:G307,G310:G311,G314:G315,G319,G322:G323,G326:G327,G330:G331,G334:G335,G338:G339,G342:G343,G346:G347,G351,G354:G355)</f>
        <v>38</v>
      </c>
      <c r="G457" s="170"/>
      <c r="H457" s="171">
        <f>SUM(G278:G279,G282:G283,G286:G287,G290:G291,G294:G295,G298:G299,G302:G303,G306:G307,G310:G311,G314:G315,G319,G322:G323,G326:G327,G330:G331,G334:G335,G338:G339,G342:G343,G346:G347,G351,G354:G355)</f>
        <v>18528.116255999994</v>
      </c>
      <c r="I457" s="171"/>
      <c r="J457" s="137">
        <f>SUM(H278:H279,H282:H283,H286:H287,H290:H291,H294:H295,H298:H299,H302:H303,H306:H307,H310:H311,H314:H315,H319,H322:H323,H326:H327,H330:H331,H334:H335,H338:H339,H342:H343,H346:H347,H351,H354:H355)</f>
        <v>22233.739507199993</v>
      </c>
      <c r="K457" s="172">
        <v>10000</v>
      </c>
      <c r="L457" s="173"/>
      <c r="M457" s="171">
        <f>SUM(L278:L279,L282:L283,L286:L287,L290:L291,L294:L295,L298:L299,L302:L303,L306:L307,L310:L311,L314:L315,L319,L322:L323,L326:L327,L330:L331,L334:L335,L338:L339,L342:L343,L346:L347,L351,L354:L355)</f>
        <v>203809278.81600004</v>
      </c>
      <c r="N457" s="171"/>
    </row>
    <row r="458" spans="1:16" x14ac:dyDescent="0.25">
      <c r="A458" s="477" t="s">
        <v>422</v>
      </c>
      <c r="B458" s="478"/>
      <c r="C458" s="136" t="s">
        <v>425</v>
      </c>
      <c r="D458" s="169" t="s">
        <v>104</v>
      </c>
      <c r="E458" s="170"/>
      <c r="F458" s="169">
        <f>COUNT(G277,G280,G284,G285,G288:G289,G292:G293,G296:G297,G300:G301,G304:G305,G308:G309,G312:G313,G316:G317,G320:G321,G324:G325,G328:G329,G332:G333,G336:G337,G340:G341,G344:G345,G348:G349,G352:G353,G356)</f>
        <v>39</v>
      </c>
      <c r="G458" s="170"/>
      <c r="H458" s="171">
        <f>SUM(G277,G280,G284,G285,G288:G289,G292:G293,G296:G297,G300:G301,G304:G305,G308:G309,G312:G313,G316:G317,G320:G321,G324:G325,G328:G329,G332:G333,G336:G337,G340:G341,G344:G345,G348:G349,G352:G353,G356)</f>
        <v>26227.876349999991</v>
      </c>
      <c r="I458" s="171"/>
      <c r="J458" s="137">
        <f>SUM(H277,H280,H284,H285,H288:H289,H292:H293,H296:H297,H300:H301,H304:H305,H308:H309,H312:H313,H316:H317,H320:H321,H324:H325,H328:H329,H332:H333,H336:H337,H340:H341,H344:H345,H348:H349,H352:H353,H356)</f>
        <v>31473.451620000011</v>
      </c>
      <c r="K458" s="172">
        <v>10000</v>
      </c>
      <c r="L458" s="173"/>
      <c r="M458" s="171">
        <f>SUM(L277,L280,L284,L285,L288:L289,L292:L293,L296:L297,L300:L301,L304:L305,L308:L309,L312:L313,L316:L317,L320:L321,L324:L325,L328:L329,L332:L333,L336:L337,L340:L341,L344:L345,L348:L349,L352:L353,L356)</f>
        <v>288506639.84999985</v>
      </c>
      <c r="N458" s="171"/>
    </row>
    <row r="459" spans="1:16" x14ac:dyDescent="0.25">
      <c r="A459" s="542" t="s">
        <v>238</v>
      </c>
      <c r="B459" s="543"/>
      <c r="C459" s="138"/>
      <c r="D459" s="472"/>
      <c r="E459" s="473"/>
      <c r="F459" s="472">
        <f>SUM(F456:F458)</f>
        <v>111</v>
      </c>
      <c r="G459" s="473"/>
      <c r="H459" s="472">
        <f>SUM(H456:H458)</f>
        <v>52352.679147599985</v>
      </c>
      <c r="I459" s="473"/>
      <c r="J459" s="139">
        <f>SUM(J456:J458)</f>
        <v>62823.214977120006</v>
      </c>
      <c r="K459" s="472"/>
      <c r="L459" s="473"/>
      <c r="M459" s="524">
        <f>SUM(M456:M458)</f>
        <v>492315918.66599989</v>
      </c>
      <c r="N459" s="525"/>
      <c r="P459" s="5">
        <v>2411860438.7280002</v>
      </c>
    </row>
    <row r="460" spans="1:16" x14ac:dyDescent="0.25">
      <c r="A460" s="521" t="s">
        <v>466</v>
      </c>
      <c r="B460" s="522"/>
      <c r="C460" s="522"/>
      <c r="D460" s="522"/>
      <c r="E460" s="522"/>
      <c r="F460" s="522"/>
      <c r="G460" s="522"/>
      <c r="H460" s="522"/>
      <c r="I460" s="522"/>
      <c r="J460" s="522"/>
      <c r="K460" s="522"/>
      <c r="L460" s="522"/>
      <c r="M460" s="522"/>
      <c r="N460" s="523"/>
    </row>
    <row r="461" spans="1:16" x14ac:dyDescent="0.25">
      <c r="A461" s="477" t="s">
        <v>422</v>
      </c>
      <c r="B461" s="478"/>
      <c r="C461" s="136" t="s">
        <v>425</v>
      </c>
      <c r="D461" s="169" t="s">
        <v>100</v>
      </c>
      <c r="E461" s="170"/>
      <c r="F461" s="169">
        <f>COUNT(G366:G367,G370:G371,G374:G375,G378:G379,G382:G383,G386:G387,G390:G391,G394:G395,G398:G399,G402:G403,G406:G407,G410:G411,G414:G415,G418:G419,G422:G423,G426:G427,G430:G431,G434:G435,G438:G439,G442:G443,G446:G447,G450:G451)</f>
        <v>44</v>
      </c>
      <c r="G461" s="170"/>
      <c r="H461" s="171">
        <f>SUM(G366:G367,G370:G371,G374:G375,G378:G379,G382:G383,G386:G387,G390:G391,G394:G395,G398:G399,G402:G403,G406:G407,G410:G411,G414:G415,G418:G419,G422:G423,G426:G427,G430:G431,G434:G435,G438:G439,G442:G443,G446:G447,G450:G451)</f>
        <v>21405.903947999985</v>
      </c>
      <c r="I461" s="171"/>
      <c r="J461" s="137">
        <f>SUM(H366:H367,H370:H371,H374:H375,H378:H379,H382:H383,H386:H387,H390:H391,H394:H395,H398:H399,H402:H403,H406:H407,H410:H411,H414:H415,H418:H419,H422:H423,H426:H427,H430:H431,H434:H435,H438:H439,H442:H443,H446:H447,H450:H451)</f>
        <v>25687.084737599987</v>
      </c>
      <c r="K461" s="172">
        <v>10000</v>
      </c>
      <c r="L461" s="173"/>
      <c r="M461" s="171">
        <f>SUM(L366:L367,L370:L371,L374:L375,L378:L379,L382:L383,L386:L387,L390:L391,L394:L395,L398:L399,L402:L403,L406:L407,L410:L411,L414:L415,L418:L419,L422:L423,L426:L427,L430:L431,L434:L435,L438:L439,L442:L443,L446:L447,L450:L451)</f>
        <v>235464943.42800009</v>
      </c>
      <c r="N461" s="171"/>
    </row>
    <row r="462" spans="1:16" x14ac:dyDescent="0.25">
      <c r="A462" s="477" t="s">
        <v>422</v>
      </c>
      <c r="B462" s="478"/>
      <c r="C462" s="136" t="s">
        <v>425</v>
      </c>
      <c r="D462" s="169" t="s">
        <v>104</v>
      </c>
      <c r="E462" s="170"/>
      <c r="F462" s="169">
        <f>COUNT(G365,G368:G369,G372:G373,G376:G377,G380:G381,G384:G385,G388:G389,G392:G393,G396:G397,G400:G401,G404:G405,G408:G409,G412:G413,G416:G417,G420:G421,G424:G425,G428:G429,G432:G433,G436:G437,G440:G441,G444:G445,G448:G449,G452)</f>
        <v>44</v>
      </c>
      <c r="G462" s="170"/>
      <c r="H462" s="171">
        <f>SUM(G365,G368:G369,G372:G373,G376:G377,G380:G381,G384:G385,G388:G389,G392:G393,G396:G397,G400:G401,G404:G405,G408:G409,G412:G413,G416:G417,G420:G421,G424:G425,G428:G429,G432:G433,G436:G437,G440:G441,G444:G445,G448:G449,G452)</f>
        <v>29503.612709999987</v>
      </c>
      <c r="I462" s="171"/>
      <c r="J462" s="137">
        <f>SUM(H365,H368:H369,H372:H373,H376:H377,H380:H381,H384:H385,H388:H389,H392:H393,H396:H397,H400:H401,H404:H405,H408:H409,H412:H413,H416:H417,H420:H421,H424:H425,H428:H429,H432:H433,H436:H437,H440:H441,H444:H445,H448:H449,H452)</f>
        <v>35404.335252000012</v>
      </c>
      <c r="K462" s="172">
        <v>10000</v>
      </c>
      <c r="L462" s="173"/>
      <c r="M462" s="171">
        <f>SUM(L365,L368:L369,L372:L373,L376:L377,L380:L381,L384:L385,L388:L389,L392:L393,L396:L397,L400:L401,L404:L405,L408:L409,L412:L413,L416:L417,L420:L421,L424:L425,L428:L429,L432:L433,L436:L437,L440:L441,L444:L445,L448:L449,L452)</f>
        <v>324539739.80999982</v>
      </c>
      <c r="N462" s="171"/>
    </row>
    <row r="463" spans="1:16" x14ac:dyDescent="0.25">
      <c r="A463" s="533" t="s">
        <v>238</v>
      </c>
      <c r="B463" s="534"/>
      <c r="C463" s="50"/>
      <c r="D463" s="193"/>
      <c r="E463" s="194"/>
      <c r="F463" s="193">
        <f>SUM(F461:G462)</f>
        <v>88</v>
      </c>
      <c r="G463" s="194"/>
      <c r="H463" s="193">
        <f>SUM(H461:I462)</f>
        <v>50909.516657999971</v>
      </c>
      <c r="I463" s="194"/>
      <c r="J463" s="51">
        <f>SUM(J461:J462)</f>
        <v>61091.419989599999</v>
      </c>
      <c r="K463" s="530"/>
      <c r="L463" s="531"/>
      <c r="M463" s="519">
        <f>SUM(M461:N462)</f>
        <v>560004683.23799992</v>
      </c>
      <c r="N463" s="520"/>
      <c r="P463" s="5">
        <v>2411860438.7280002</v>
      </c>
    </row>
    <row r="464" spans="1:16" x14ac:dyDescent="0.25">
      <c r="A464" s="537"/>
      <c r="B464" s="537"/>
      <c r="C464" s="537"/>
      <c r="D464" s="537"/>
      <c r="E464" s="537"/>
      <c r="F464" s="537"/>
      <c r="G464" s="537"/>
      <c r="H464" s="537"/>
      <c r="I464" s="537"/>
      <c r="J464" s="537"/>
      <c r="K464" s="537"/>
      <c r="L464" s="537"/>
      <c r="M464" s="537"/>
      <c r="N464" s="537"/>
    </row>
    <row r="465" spans="1:14" x14ac:dyDescent="0.25">
      <c r="A465" s="526" t="s">
        <v>470</v>
      </c>
      <c r="B465" s="526"/>
      <c r="C465" s="526"/>
      <c r="D465" s="526"/>
      <c r="E465" s="526"/>
      <c r="F465" s="526"/>
      <c r="G465" s="526"/>
      <c r="H465" s="526"/>
      <c r="I465" s="527" t="s">
        <v>65</v>
      </c>
      <c r="J465" s="527"/>
      <c r="K465" s="527"/>
      <c r="L465" s="527"/>
      <c r="M465" s="527"/>
      <c r="N465" s="528"/>
    </row>
    <row r="466" spans="1:14" x14ac:dyDescent="0.25">
      <c r="A466" s="367" t="s">
        <v>245</v>
      </c>
      <c r="B466" s="367"/>
      <c r="C466" s="367"/>
      <c r="D466" s="367"/>
      <c r="E466" s="367"/>
      <c r="F466" s="367"/>
      <c r="G466" s="367"/>
      <c r="H466" s="367"/>
      <c r="I466" s="540">
        <f>M459</f>
        <v>492315918.66599989</v>
      </c>
      <c r="J466" s="540"/>
      <c r="K466" s="540"/>
      <c r="L466" s="540"/>
      <c r="M466" s="540"/>
      <c r="N466" s="541"/>
    </row>
    <row r="467" spans="1:14" ht="48.75" customHeight="1" x14ac:dyDescent="0.25">
      <c r="A467" s="535" t="s">
        <v>678</v>
      </c>
      <c r="B467" s="536"/>
      <c r="C467" s="536"/>
      <c r="D467" s="536"/>
      <c r="E467" s="536"/>
      <c r="F467" s="536"/>
      <c r="G467" s="536"/>
      <c r="H467" s="536"/>
      <c r="I467" s="538">
        <f>J459*2500</f>
        <v>157058037.44280002</v>
      </c>
      <c r="J467" s="538"/>
      <c r="K467" s="538"/>
      <c r="L467" s="538"/>
      <c r="M467" s="538"/>
      <c r="N467" s="539"/>
    </row>
    <row r="468" spans="1:14" x14ac:dyDescent="0.25">
      <c r="A468" s="352"/>
      <c r="B468" s="353"/>
      <c r="C468" s="353"/>
      <c r="D468" s="353"/>
      <c r="E468" s="353"/>
      <c r="F468" s="353"/>
      <c r="G468" s="353"/>
      <c r="H468" s="353"/>
      <c r="I468" s="353"/>
      <c r="J468" s="353"/>
      <c r="K468" s="353"/>
      <c r="L468" s="353"/>
      <c r="M468" s="353"/>
      <c r="N468" s="354"/>
    </row>
    <row r="469" spans="1:14" x14ac:dyDescent="0.25">
      <c r="A469" s="526" t="s">
        <v>471</v>
      </c>
      <c r="B469" s="526"/>
      <c r="C469" s="526"/>
      <c r="D469" s="526"/>
      <c r="E469" s="526"/>
      <c r="F469" s="526"/>
      <c r="G469" s="526"/>
      <c r="H469" s="526"/>
      <c r="I469" s="527" t="s">
        <v>65</v>
      </c>
      <c r="J469" s="527"/>
      <c r="K469" s="527"/>
      <c r="L469" s="527"/>
      <c r="M469" s="527"/>
      <c r="N469" s="528"/>
    </row>
    <row r="470" spans="1:14" x14ac:dyDescent="0.25">
      <c r="A470" s="367" t="s">
        <v>245</v>
      </c>
      <c r="B470" s="367"/>
      <c r="C470" s="367"/>
      <c r="D470" s="367"/>
      <c r="E470" s="367"/>
      <c r="F470" s="367"/>
      <c r="G470" s="367"/>
      <c r="H470" s="367"/>
      <c r="I470" s="540">
        <f>M463</f>
        <v>560004683.23799992</v>
      </c>
      <c r="J470" s="540"/>
      <c r="K470" s="540"/>
      <c r="L470" s="540"/>
      <c r="M470" s="540"/>
      <c r="N470" s="541"/>
    </row>
    <row r="471" spans="1:14" ht="51" customHeight="1" x14ac:dyDescent="0.25">
      <c r="A471" s="535" t="s">
        <v>678</v>
      </c>
      <c r="B471" s="536"/>
      <c r="C471" s="536"/>
      <c r="D471" s="536"/>
      <c r="E471" s="536"/>
      <c r="F471" s="536"/>
      <c r="G471" s="536"/>
      <c r="H471" s="536"/>
      <c r="I471" s="538">
        <f>J463*2500</f>
        <v>152728549.97400001</v>
      </c>
      <c r="J471" s="538"/>
      <c r="K471" s="538"/>
      <c r="L471" s="538"/>
      <c r="M471" s="538"/>
      <c r="N471" s="539"/>
    </row>
    <row r="472" spans="1:14" customFormat="1" x14ac:dyDescent="0.25">
      <c r="A472" s="366" t="s">
        <v>433</v>
      </c>
      <c r="B472" s="366"/>
      <c r="C472" s="366"/>
      <c r="D472" s="366"/>
      <c r="E472" s="366"/>
      <c r="F472" s="366"/>
      <c r="G472" s="366"/>
      <c r="H472" s="366"/>
      <c r="I472" s="366" t="s">
        <v>270</v>
      </c>
      <c r="J472" s="366"/>
      <c r="K472" s="366"/>
      <c r="L472" s="366"/>
      <c r="M472" s="366"/>
      <c r="N472" s="366"/>
    </row>
    <row r="473" spans="1:14" customFormat="1" x14ac:dyDescent="0.25">
      <c r="A473" s="334">
        <v>1</v>
      </c>
      <c r="B473" s="335"/>
      <c r="C473" s="229" t="s">
        <v>246</v>
      </c>
      <c r="D473" s="230"/>
      <c r="E473" s="230"/>
      <c r="F473" s="230"/>
      <c r="G473" s="230"/>
      <c r="H473" s="231"/>
      <c r="I473" s="220" t="s">
        <v>208</v>
      </c>
      <c r="J473" s="221"/>
      <c r="K473" s="221"/>
      <c r="L473" s="221"/>
      <c r="M473" s="221"/>
      <c r="N473" s="222"/>
    </row>
    <row r="474" spans="1:14" customFormat="1" x14ac:dyDescent="0.25">
      <c r="A474" s="334">
        <v>2</v>
      </c>
      <c r="B474" s="335"/>
      <c r="C474" s="229" t="s">
        <v>247</v>
      </c>
      <c r="D474" s="230"/>
      <c r="E474" s="230"/>
      <c r="F474" s="230"/>
      <c r="G474" s="230"/>
      <c r="H474" s="231"/>
      <c r="I474" s="223"/>
      <c r="J474" s="224"/>
      <c r="K474" s="224"/>
      <c r="L474" s="224"/>
      <c r="M474" s="224"/>
      <c r="N474" s="225"/>
    </row>
    <row r="475" spans="1:14" customFormat="1" x14ac:dyDescent="0.25">
      <c r="A475" s="334">
        <v>3</v>
      </c>
      <c r="B475" s="335"/>
      <c r="C475" s="229" t="s">
        <v>248</v>
      </c>
      <c r="D475" s="230"/>
      <c r="E475" s="230"/>
      <c r="F475" s="230"/>
      <c r="G475" s="230"/>
      <c r="H475" s="231"/>
      <c r="I475" s="223"/>
      <c r="J475" s="224"/>
      <c r="K475" s="224"/>
      <c r="L475" s="224"/>
      <c r="M475" s="224"/>
      <c r="N475" s="225"/>
    </row>
    <row r="476" spans="1:14" customFormat="1" x14ac:dyDescent="0.25">
      <c r="A476" s="334">
        <v>4</v>
      </c>
      <c r="B476" s="335"/>
      <c r="C476" s="229" t="s">
        <v>249</v>
      </c>
      <c r="D476" s="230"/>
      <c r="E476" s="230"/>
      <c r="F476" s="230"/>
      <c r="G476" s="230"/>
      <c r="H476" s="231"/>
      <c r="I476" s="223"/>
      <c r="J476" s="224"/>
      <c r="K476" s="224"/>
      <c r="L476" s="224"/>
      <c r="M476" s="224"/>
      <c r="N476" s="225"/>
    </row>
    <row r="477" spans="1:14" customFormat="1" x14ac:dyDescent="0.25">
      <c r="A477" s="334">
        <v>5</v>
      </c>
      <c r="B477" s="335"/>
      <c r="C477" s="229" t="s">
        <v>250</v>
      </c>
      <c r="D477" s="230"/>
      <c r="E477" s="230"/>
      <c r="F477" s="230"/>
      <c r="G477" s="230"/>
      <c r="H477" s="231"/>
      <c r="I477" s="226"/>
      <c r="J477" s="227"/>
      <c r="K477" s="227"/>
      <c r="L477" s="227"/>
      <c r="M477" s="227"/>
      <c r="N477" s="228"/>
    </row>
    <row r="478" spans="1:14" x14ac:dyDescent="0.25">
      <c r="A478" s="352"/>
      <c r="B478" s="353"/>
      <c r="C478" s="353"/>
      <c r="D478" s="353"/>
      <c r="E478" s="353"/>
      <c r="F478" s="353"/>
      <c r="G478" s="353"/>
      <c r="H478" s="353"/>
      <c r="I478" s="353"/>
      <c r="J478" s="353"/>
      <c r="K478" s="353"/>
      <c r="L478" s="353"/>
      <c r="M478" s="353"/>
      <c r="N478" s="354"/>
    </row>
    <row r="479" spans="1:14" customFormat="1" x14ac:dyDescent="0.25">
      <c r="A479" s="366" t="s">
        <v>432</v>
      </c>
      <c r="B479" s="366"/>
      <c r="C479" s="366"/>
      <c r="D479" s="366"/>
      <c r="E479" s="366"/>
      <c r="F479" s="366"/>
      <c r="G479" s="366"/>
      <c r="H479" s="366"/>
      <c r="I479" s="366" t="s">
        <v>270</v>
      </c>
      <c r="J479" s="366"/>
      <c r="K479" s="366"/>
      <c r="L479" s="366"/>
      <c r="M479" s="366"/>
      <c r="N479" s="366"/>
    </row>
    <row r="480" spans="1:14" customFormat="1" x14ac:dyDescent="0.25">
      <c r="A480" s="334">
        <v>1</v>
      </c>
      <c r="B480" s="335"/>
      <c r="C480" s="229" t="s">
        <v>251</v>
      </c>
      <c r="D480" s="230"/>
      <c r="E480" s="230"/>
      <c r="F480" s="230"/>
      <c r="G480" s="230"/>
      <c r="H480" s="231"/>
      <c r="I480" s="220" t="s">
        <v>208</v>
      </c>
      <c r="J480" s="221"/>
      <c r="K480" s="221"/>
      <c r="L480" s="221"/>
      <c r="M480" s="221"/>
      <c r="N480" s="222"/>
    </row>
    <row r="481" spans="1:14" customFormat="1" x14ac:dyDescent="0.25">
      <c r="A481" s="334">
        <v>2</v>
      </c>
      <c r="B481" s="335"/>
      <c r="C481" s="229" t="s">
        <v>252</v>
      </c>
      <c r="D481" s="230"/>
      <c r="E481" s="230"/>
      <c r="F481" s="230"/>
      <c r="G481" s="230"/>
      <c r="H481" s="231"/>
      <c r="I481" s="223"/>
      <c r="J481" s="224"/>
      <c r="K481" s="224"/>
      <c r="L481" s="224"/>
      <c r="M481" s="224"/>
      <c r="N481" s="225"/>
    </row>
    <row r="482" spans="1:14" customFormat="1" x14ac:dyDescent="0.25">
      <c r="A482" s="334">
        <v>3</v>
      </c>
      <c r="B482" s="335"/>
      <c r="C482" s="229" t="s">
        <v>253</v>
      </c>
      <c r="D482" s="230"/>
      <c r="E482" s="230"/>
      <c r="F482" s="230"/>
      <c r="G482" s="230"/>
      <c r="H482" s="231"/>
      <c r="I482" s="223"/>
      <c r="J482" s="224"/>
      <c r="K482" s="224"/>
      <c r="L482" s="224"/>
      <c r="M482" s="224"/>
      <c r="N482" s="225"/>
    </row>
    <row r="483" spans="1:14" customFormat="1" x14ac:dyDescent="0.25">
      <c r="A483" s="334">
        <v>4</v>
      </c>
      <c r="B483" s="335"/>
      <c r="C483" s="229" t="s">
        <v>254</v>
      </c>
      <c r="D483" s="230"/>
      <c r="E483" s="230"/>
      <c r="F483" s="230"/>
      <c r="G483" s="230"/>
      <c r="H483" s="231"/>
      <c r="I483" s="223"/>
      <c r="J483" s="224"/>
      <c r="K483" s="224"/>
      <c r="L483" s="224"/>
      <c r="M483" s="224"/>
      <c r="N483" s="225"/>
    </row>
    <row r="484" spans="1:14" customFormat="1" x14ac:dyDescent="0.25">
      <c r="A484" s="334">
        <v>5</v>
      </c>
      <c r="B484" s="335"/>
      <c r="C484" s="229" t="s">
        <v>255</v>
      </c>
      <c r="D484" s="230"/>
      <c r="E484" s="230"/>
      <c r="F484" s="230"/>
      <c r="G484" s="230"/>
      <c r="H484" s="231"/>
      <c r="I484" s="223"/>
      <c r="J484" s="224"/>
      <c r="K484" s="224"/>
      <c r="L484" s="224"/>
      <c r="M484" s="224"/>
      <c r="N484" s="225"/>
    </row>
    <row r="485" spans="1:14" customFormat="1" x14ac:dyDescent="0.25">
      <c r="A485" s="334">
        <v>6</v>
      </c>
      <c r="B485" s="335"/>
      <c r="C485" s="229" t="s">
        <v>256</v>
      </c>
      <c r="D485" s="230"/>
      <c r="E485" s="230"/>
      <c r="F485" s="230"/>
      <c r="G485" s="230"/>
      <c r="H485" s="231"/>
      <c r="I485" s="223"/>
      <c r="J485" s="224"/>
      <c r="K485" s="224"/>
      <c r="L485" s="224"/>
      <c r="M485" s="224"/>
      <c r="N485" s="225"/>
    </row>
    <row r="486" spans="1:14" customFormat="1" x14ac:dyDescent="0.25">
      <c r="A486" s="334">
        <v>7</v>
      </c>
      <c r="B486" s="335"/>
      <c r="C486" s="229" t="s">
        <v>257</v>
      </c>
      <c r="D486" s="230"/>
      <c r="E486" s="230"/>
      <c r="F486" s="230"/>
      <c r="G486" s="230"/>
      <c r="H486" s="231"/>
      <c r="I486" s="223"/>
      <c r="J486" s="224"/>
      <c r="K486" s="224"/>
      <c r="L486" s="224"/>
      <c r="M486" s="224"/>
      <c r="N486" s="225"/>
    </row>
    <row r="487" spans="1:14" customFormat="1" x14ac:dyDescent="0.25">
      <c r="A487" s="334">
        <v>8</v>
      </c>
      <c r="B487" s="335"/>
      <c r="C487" s="229" t="s">
        <v>258</v>
      </c>
      <c r="D487" s="230"/>
      <c r="E487" s="230"/>
      <c r="F487" s="230"/>
      <c r="G487" s="230"/>
      <c r="H487" s="231"/>
      <c r="I487" s="223"/>
      <c r="J487" s="224"/>
      <c r="K487" s="224"/>
      <c r="L487" s="224"/>
      <c r="M487" s="224"/>
      <c r="N487" s="225"/>
    </row>
    <row r="488" spans="1:14" customFormat="1" x14ac:dyDescent="0.25">
      <c r="A488" s="334">
        <v>9</v>
      </c>
      <c r="B488" s="335"/>
      <c r="C488" s="229" t="s">
        <v>259</v>
      </c>
      <c r="D488" s="230"/>
      <c r="E488" s="230"/>
      <c r="F488" s="230"/>
      <c r="G488" s="230"/>
      <c r="H488" s="231"/>
      <c r="I488" s="223"/>
      <c r="J488" s="224"/>
      <c r="K488" s="224"/>
      <c r="L488" s="224"/>
      <c r="M488" s="224"/>
      <c r="N488" s="225"/>
    </row>
    <row r="489" spans="1:14" customFormat="1" x14ac:dyDescent="0.25">
      <c r="A489" s="334">
        <v>10</v>
      </c>
      <c r="B489" s="335"/>
      <c r="C489" s="229" t="s">
        <v>260</v>
      </c>
      <c r="D489" s="230"/>
      <c r="E489" s="230"/>
      <c r="F489" s="230"/>
      <c r="G489" s="230"/>
      <c r="H489" s="231"/>
      <c r="I489" s="226"/>
      <c r="J489" s="227"/>
      <c r="K489" s="227"/>
      <c r="L489" s="227"/>
      <c r="M489" s="227"/>
      <c r="N489" s="228"/>
    </row>
    <row r="490" spans="1:14" x14ac:dyDescent="0.25">
      <c r="A490" s="352"/>
      <c r="B490" s="353"/>
      <c r="C490" s="353"/>
      <c r="D490" s="353"/>
      <c r="E490" s="353"/>
      <c r="F490" s="353"/>
      <c r="G490" s="353"/>
      <c r="H490" s="353"/>
      <c r="I490" s="353"/>
      <c r="J490" s="353"/>
      <c r="K490" s="353"/>
      <c r="L490" s="353"/>
      <c r="M490" s="353"/>
      <c r="N490" s="354"/>
    </row>
    <row r="491" spans="1:14" customFormat="1" x14ac:dyDescent="0.25">
      <c r="A491" s="366" t="s">
        <v>431</v>
      </c>
      <c r="B491" s="366"/>
      <c r="C491" s="366"/>
      <c r="D491" s="366"/>
      <c r="E491" s="366"/>
      <c r="F491" s="366"/>
      <c r="G491" s="366"/>
      <c r="H491" s="366"/>
      <c r="I491" s="366" t="s">
        <v>270</v>
      </c>
      <c r="J491" s="366"/>
      <c r="K491" s="366"/>
      <c r="L491" s="366"/>
      <c r="M491" s="366"/>
      <c r="N491" s="366"/>
    </row>
    <row r="492" spans="1:14" customFormat="1" x14ac:dyDescent="0.25">
      <c r="A492" s="334">
        <v>1</v>
      </c>
      <c r="B492" s="335"/>
      <c r="C492" s="229" t="s">
        <v>261</v>
      </c>
      <c r="D492" s="230"/>
      <c r="E492" s="230"/>
      <c r="F492" s="230"/>
      <c r="G492" s="230"/>
      <c r="H492" s="231"/>
      <c r="I492" s="220" t="s">
        <v>208</v>
      </c>
      <c r="J492" s="221"/>
      <c r="K492" s="221"/>
      <c r="L492" s="221"/>
      <c r="M492" s="221"/>
      <c r="N492" s="222"/>
    </row>
    <row r="493" spans="1:14" customFormat="1" x14ac:dyDescent="0.25">
      <c r="A493" s="334">
        <v>2</v>
      </c>
      <c r="B493" s="335"/>
      <c r="C493" s="229" t="s">
        <v>262</v>
      </c>
      <c r="D493" s="230"/>
      <c r="E493" s="230"/>
      <c r="F493" s="230"/>
      <c r="G493" s="230"/>
      <c r="H493" s="231"/>
      <c r="I493" s="223"/>
      <c r="J493" s="224"/>
      <c r="K493" s="224"/>
      <c r="L493" s="224"/>
      <c r="M493" s="224"/>
      <c r="N493" s="225"/>
    </row>
    <row r="494" spans="1:14" customFormat="1" x14ac:dyDescent="0.25">
      <c r="A494" s="334">
        <v>3</v>
      </c>
      <c r="B494" s="335"/>
      <c r="C494" s="229" t="s">
        <v>263</v>
      </c>
      <c r="D494" s="230"/>
      <c r="E494" s="230"/>
      <c r="F494" s="230"/>
      <c r="G494" s="230"/>
      <c r="H494" s="231"/>
      <c r="I494" s="223"/>
      <c r="J494" s="224"/>
      <c r="K494" s="224"/>
      <c r="L494" s="224"/>
      <c r="M494" s="224"/>
      <c r="N494" s="225"/>
    </row>
    <row r="495" spans="1:14" customFormat="1" x14ac:dyDescent="0.25">
      <c r="A495" s="334">
        <v>4</v>
      </c>
      <c r="B495" s="335"/>
      <c r="C495" s="229" t="s">
        <v>264</v>
      </c>
      <c r="D495" s="230"/>
      <c r="E495" s="230"/>
      <c r="F495" s="230"/>
      <c r="G495" s="230"/>
      <c r="H495" s="231"/>
      <c r="I495" s="226"/>
      <c r="J495" s="227"/>
      <c r="K495" s="227"/>
      <c r="L495" s="227"/>
      <c r="M495" s="227"/>
      <c r="N495" s="228"/>
    </row>
    <row r="496" spans="1:14" x14ac:dyDescent="0.25">
      <c r="A496" s="352"/>
      <c r="B496" s="353"/>
      <c r="C496" s="353"/>
      <c r="D496" s="353"/>
      <c r="E496" s="353"/>
      <c r="F496" s="353"/>
      <c r="G496" s="353"/>
      <c r="H496" s="353"/>
      <c r="I496" s="353"/>
      <c r="J496" s="353"/>
      <c r="K496" s="353"/>
      <c r="L496" s="353"/>
      <c r="M496" s="353"/>
      <c r="N496" s="354"/>
    </row>
    <row r="497" spans="1:16" customFormat="1" x14ac:dyDescent="0.25">
      <c r="A497" s="366" t="s">
        <v>430</v>
      </c>
      <c r="B497" s="366"/>
      <c r="C497" s="366"/>
      <c r="D497" s="366"/>
      <c r="E497" s="366"/>
      <c r="F497" s="366"/>
      <c r="G497" s="366"/>
      <c r="H497" s="366"/>
      <c r="I497" s="366" t="s">
        <v>270</v>
      </c>
      <c r="J497" s="366"/>
      <c r="K497" s="366"/>
      <c r="L497" s="366"/>
      <c r="M497" s="366"/>
      <c r="N497" s="366"/>
    </row>
    <row r="498" spans="1:16" customFormat="1" x14ac:dyDescent="0.25">
      <c r="A498" s="334">
        <v>1</v>
      </c>
      <c r="B498" s="335"/>
      <c r="C498" s="229" t="s">
        <v>265</v>
      </c>
      <c r="D498" s="230"/>
      <c r="E498" s="230"/>
      <c r="F498" s="230"/>
      <c r="G498" s="230"/>
      <c r="H498" s="231"/>
      <c r="I498" s="220" t="s">
        <v>208</v>
      </c>
      <c r="J498" s="221"/>
      <c r="K498" s="221"/>
      <c r="L498" s="221"/>
      <c r="M498" s="221"/>
      <c r="N498" s="222"/>
    </row>
    <row r="499" spans="1:16" customFormat="1" x14ac:dyDescent="0.25">
      <c r="A499" s="334">
        <v>2</v>
      </c>
      <c r="B499" s="335"/>
      <c r="C499" s="229" t="s">
        <v>266</v>
      </c>
      <c r="D499" s="230"/>
      <c r="E499" s="230"/>
      <c r="F499" s="230"/>
      <c r="G499" s="230"/>
      <c r="H499" s="231"/>
      <c r="I499" s="223"/>
      <c r="J499" s="224"/>
      <c r="K499" s="224"/>
      <c r="L499" s="224"/>
      <c r="M499" s="224"/>
      <c r="N499" s="225"/>
    </row>
    <row r="500" spans="1:16" customFormat="1" x14ac:dyDescent="0.25">
      <c r="A500" s="334">
        <v>3</v>
      </c>
      <c r="B500" s="335"/>
      <c r="C500" s="229" t="s">
        <v>267</v>
      </c>
      <c r="D500" s="230"/>
      <c r="E500" s="230"/>
      <c r="F500" s="230"/>
      <c r="G500" s="230"/>
      <c r="H500" s="231"/>
      <c r="I500" s="223"/>
      <c r="J500" s="224"/>
      <c r="K500" s="224"/>
      <c r="L500" s="224"/>
      <c r="M500" s="224"/>
      <c r="N500" s="225"/>
    </row>
    <row r="501" spans="1:16" customFormat="1" x14ac:dyDescent="0.25">
      <c r="A501" s="334">
        <v>4</v>
      </c>
      <c r="B501" s="335"/>
      <c r="C501" s="229" t="s">
        <v>269</v>
      </c>
      <c r="D501" s="230"/>
      <c r="E501" s="230"/>
      <c r="F501" s="230"/>
      <c r="G501" s="230"/>
      <c r="H501" s="231"/>
      <c r="I501" s="223"/>
      <c r="J501" s="224"/>
      <c r="K501" s="224"/>
      <c r="L501" s="224"/>
      <c r="M501" s="224"/>
      <c r="N501" s="225"/>
    </row>
    <row r="502" spans="1:16" customFormat="1" x14ac:dyDescent="0.25">
      <c r="A502" s="334">
        <v>5</v>
      </c>
      <c r="B502" s="335"/>
      <c r="C502" s="229" t="s">
        <v>268</v>
      </c>
      <c r="D502" s="230"/>
      <c r="E502" s="230"/>
      <c r="F502" s="230"/>
      <c r="G502" s="230"/>
      <c r="H502" s="231"/>
      <c r="I502" s="226"/>
      <c r="J502" s="227"/>
      <c r="K502" s="227"/>
      <c r="L502" s="227"/>
      <c r="M502" s="227"/>
      <c r="N502" s="228"/>
    </row>
    <row r="503" spans="1:16" customFormat="1" x14ac:dyDescent="0.25">
      <c r="A503" s="334"/>
      <c r="B503" s="358"/>
      <c r="C503" s="358"/>
      <c r="D503" s="358"/>
      <c r="E503" s="358"/>
      <c r="F503" s="358"/>
      <c r="G503" s="358"/>
      <c r="H503" s="358"/>
      <c r="I503" s="358"/>
      <c r="J503" s="358"/>
      <c r="K503" s="358"/>
      <c r="L503" s="358"/>
      <c r="M503" s="358"/>
      <c r="N503" s="335"/>
    </row>
    <row r="504" spans="1:16" customFormat="1" x14ac:dyDescent="0.25">
      <c r="A504" s="363" t="s">
        <v>271</v>
      </c>
      <c r="B504" s="364"/>
      <c r="C504" s="364"/>
      <c r="D504" s="364"/>
      <c r="E504" s="364"/>
      <c r="F504" s="364"/>
      <c r="G504" s="364"/>
      <c r="H504" s="364"/>
      <c r="I504" s="364"/>
      <c r="J504" s="364"/>
      <c r="K504" s="364"/>
      <c r="L504" s="364"/>
      <c r="M504" s="364"/>
      <c r="N504" s="365"/>
    </row>
    <row r="505" spans="1:16" customFormat="1" x14ac:dyDescent="0.25">
      <c r="A505" s="334" t="s">
        <v>272</v>
      </c>
      <c r="B505" s="335"/>
      <c r="C505" s="229" t="s">
        <v>278</v>
      </c>
      <c r="D505" s="230"/>
      <c r="E505" s="230"/>
      <c r="F505" s="230"/>
      <c r="G505" s="230"/>
      <c r="H505" s="231"/>
      <c r="I505" s="375" t="s">
        <v>426</v>
      </c>
      <c r="J505" s="375"/>
      <c r="K505" s="375"/>
      <c r="L505" s="375"/>
      <c r="M505" s="375"/>
      <c r="N505" s="375"/>
    </row>
    <row r="506" spans="1:16" customFormat="1" x14ac:dyDescent="0.25">
      <c r="A506" s="334" t="s">
        <v>273</v>
      </c>
      <c r="B506" s="335"/>
      <c r="C506" s="229" t="s">
        <v>279</v>
      </c>
      <c r="D506" s="230"/>
      <c r="E506" s="230"/>
      <c r="F506" s="230"/>
      <c r="G506" s="230"/>
      <c r="H506" s="231"/>
      <c r="I506" s="375" t="s">
        <v>426</v>
      </c>
      <c r="J506" s="375"/>
      <c r="K506" s="375"/>
      <c r="L506" s="375"/>
      <c r="M506" s="375"/>
      <c r="N506" s="375"/>
    </row>
    <row r="507" spans="1:16" customFormat="1" x14ac:dyDescent="0.25">
      <c r="A507" s="334" t="s">
        <v>274</v>
      </c>
      <c r="B507" s="335"/>
      <c r="C507" s="229" t="s">
        <v>280</v>
      </c>
      <c r="D507" s="230"/>
      <c r="E507" s="230"/>
      <c r="F507" s="230"/>
      <c r="G507" s="230"/>
      <c r="H507" s="231"/>
      <c r="I507" s="375" t="s">
        <v>426</v>
      </c>
      <c r="J507" s="375"/>
      <c r="K507" s="375"/>
      <c r="L507" s="375"/>
      <c r="M507" s="375"/>
      <c r="N507" s="375"/>
    </row>
    <row r="508" spans="1:16" customFormat="1" x14ac:dyDescent="0.25">
      <c r="A508" s="334" t="s">
        <v>275</v>
      </c>
      <c r="B508" s="335"/>
      <c r="C508" s="229" t="s">
        <v>281</v>
      </c>
      <c r="D508" s="230"/>
      <c r="E508" s="230"/>
      <c r="F508" s="230"/>
      <c r="G508" s="230"/>
      <c r="H508" s="231"/>
      <c r="I508" s="375" t="s">
        <v>426</v>
      </c>
      <c r="J508" s="375"/>
      <c r="K508" s="375"/>
      <c r="L508" s="375"/>
      <c r="M508" s="375"/>
      <c r="N508" s="375"/>
    </row>
    <row r="509" spans="1:16" customFormat="1" x14ac:dyDescent="0.25">
      <c r="A509" s="334" t="s">
        <v>276</v>
      </c>
      <c r="B509" s="335"/>
      <c r="C509" s="229" t="s">
        <v>282</v>
      </c>
      <c r="D509" s="230"/>
      <c r="E509" s="230"/>
      <c r="F509" s="230"/>
      <c r="G509" s="230"/>
      <c r="H509" s="231"/>
      <c r="I509" s="375" t="s">
        <v>426</v>
      </c>
      <c r="J509" s="375"/>
      <c r="K509" s="375"/>
      <c r="L509" s="375"/>
      <c r="M509" s="375"/>
      <c r="N509" s="375"/>
    </row>
    <row r="510" spans="1:16" customFormat="1" x14ac:dyDescent="0.25">
      <c r="A510" s="334" t="s">
        <v>277</v>
      </c>
      <c r="B510" s="335"/>
      <c r="C510" s="229" t="s">
        <v>283</v>
      </c>
      <c r="D510" s="230"/>
      <c r="E510" s="230"/>
      <c r="F510" s="230"/>
      <c r="G510" s="230"/>
      <c r="H510" s="231"/>
      <c r="I510" s="375" t="s">
        <v>426</v>
      </c>
      <c r="J510" s="375"/>
      <c r="K510" s="375"/>
      <c r="L510" s="375"/>
      <c r="M510" s="375"/>
      <c r="N510" s="375"/>
      <c r="P510" s="73">
        <v>956655092.63999951</v>
      </c>
    </row>
    <row r="511" spans="1:16" s="71" customFormat="1" x14ac:dyDescent="0.25">
      <c r="A511" s="361" t="s">
        <v>435</v>
      </c>
      <c r="B511" s="361"/>
      <c r="C511" s="361"/>
      <c r="D511" s="361"/>
      <c r="E511" s="361"/>
      <c r="F511" s="361"/>
      <c r="G511" s="361"/>
      <c r="H511" s="361"/>
      <c r="I511" s="362">
        <f>I466+I470</f>
        <v>1052320601.9039998</v>
      </c>
      <c r="J511" s="362"/>
      <c r="K511" s="362"/>
      <c r="L511" s="362"/>
      <c r="M511" s="362"/>
      <c r="N511" s="362"/>
    </row>
    <row r="512" spans="1:16" s="71" customFormat="1" ht="28.5" customHeight="1" x14ac:dyDescent="0.25">
      <c r="A512" s="361" t="s">
        <v>436</v>
      </c>
      <c r="B512" s="361"/>
      <c r="C512" s="361"/>
      <c r="D512" s="361"/>
      <c r="E512" s="361"/>
      <c r="F512" s="361"/>
      <c r="G512" s="361"/>
      <c r="H512" s="361"/>
      <c r="I512" s="373" t="s">
        <v>694</v>
      </c>
      <c r="J512" s="373"/>
      <c r="K512" s="373"/>
      <c r="L512" s="373"/>
      <c r="M512" s="373"/>
      <c r="N512" s="373"/>
      <c r="P512" s="71">
        <v>956655093</v>
      </c>
    </row>
    <row r="513" spans="1:14" customFormat="1" x14ac:dyDescent="0.25">
      <c r="A513" s="334"/>
      <c r="B513" s="358"/>
      <c r="C513" s="358"/>
      <c r="D513" s="358"/>
      <c r="E513" s="358"/>
      <c r="F513" s="358"/>
      <c r="G513" s="358"/>
      <c r="H513" s="358"/>
      <c r="I513" s="358"/>
      <c r="J513" s="358"/>
      <c r="K513" s="358"/>
      <c r="L513" s="358"/>
      <c r="M513" s="358"/>
      <c r="N513" s="335"/>
    </row>
    <row r="514" spans="1:14" customFormat="1" ht="99" customHeight="1" x14ac:dyDescent="0.25">
      <c r="A514" s="188" t="s">
        <v>685</v>
      </c>
      <c r="B514" s="359"/>
      <c r="C514" s="359"/>
      <c r="D514" s="359"/>
      <c r="E514" s="359"/>
      <c r="F514" s="359"/>
      <c r="G514" s="359"/>
      <c r="H514" s="359"/>
      <c r="I514" s="359"/>
      <c r="J514" s="359"/>
      <c r="K514" s="359"/>
      <c r="L514" s="359"/>
      <c r="M514" s="359"/>
      <c r="N514" s="360"/>
    </row>
    <row r="515" spans="1:14" x14ac:dyDescent="0.25">
      <c r="A515" s="492" t="s">
        <v>57</v>
      </c>
      <c r="B515" s="493"/>
      <c r="C515" s="493"/>
      <c r="D515" s="493"/>
      <c r="E515" s="493"/>
      <c r="F515" s="493"/>
      <c r="G515" s="493"/>
      <c r="H515" s="493"/>
      <c r="I515" s="493"/>
      <c r="J515" s="493"/>
      <c r="K515" s="493"/>
      <c r="L515" s="493"/>
      <c r="M515" s="493"/>
      <c r="N515" s="494"/>
    </row>
    <row r="516" spans="1:14" x14ac:dyDescent="0.25">
      <c r="A516" s="125">
        <v>1</v>
      </c>
      <c r="B516" s="374" t="s">
        <v>691</v>
      </c>
      <c r="C516" s="371"/>
      <c r="D516" s="371"/>
      <c r="E516" s="371"/>
      <c r="F516" s="371"/>
      <c r="G516" s="371"/>
      <c r="H516" s="371"/>
      <c r="I516" s="371"/>
      <c r="J516" s="371"/>
      <c r="K516" s="371"/>
      <c r="L516" s="371"/>
      <c r="M516" s="371"/>
      <c r="N516" s="371"/>
    </row>
    <row r="517" spans="1:14" x14ac:dyDescent="0.25">
      <c r="A517" s="125">
        <f>A516+1</f>
        <v>2</v>
      </c>
      <c r="B517" s="374" t="s">
        <v>427</v>
      </c>
      <c r="C517" s="371"/>
      <c r="D517" s="371"/>
      <c r="E517" s="371"/>
      <c r="F517" s="371"/>
      <c r="G517" s="371"/>
      <c r="H517" s="371"/>
      <c r="I517" s="371"/>
      <c r="J517" s="371"/>
      <c r="K517" s="371"/>
      <c r="L517" s="371"/>
      <c r="M517" s="371"/>
      <c r="N517" s="371"/>
    </row>
    <row r="518" spans="1:14" x14ac:dyDescent="0.25">
      <c r="A518" s="125">
        <f t="shared" ref="A518:A525" si="120">A517+1</f>
        <v>3</v>
      </c>
      <c r="B518" s="355" t="s">
        <v>663</v>
      </c>
      <c r="C518" s="197"/>
      <c r="D518" s="197"/>
      <c r="E518" s="197"/>
      <c r="F518" s="197"/>
      <c r="G518" s="197"/>
      <c r="H518" s="197"/>
      <c r="I518" s="197"/>
      <c r="J518" s="197"/>
      <c r="K518" s="197"/>
      <c r="L518" s="197"/>
      <c r="M518" s="197"/>
      <c r="N518" s="197"/>
    </row>
    <row r="519" spans="1:14" x14ac:dyDescent="0.25">
      <c r="A519" s="125">
        <f t="shared" si="120"/>
        <v>4</v>
      </c>
      <c r="B519" s="371" t="s">
        <v>428</v>
      </c>
      <c r="C519" s="371"/>
      <c r="D519" s="371"/>
      <c r="E519" s="371"/>
      <c r="F519" s="371"/>
      <c r="G519" s="371"/>
      <c r="H519" s="371"/>
      <c r="I519" s="371"/>
      <c r="J519" s="371"/>
      <c r="K519" s="371"/>
      <c r="L519" s="371"/>
      <c r="M519" s="371"/>
      <c r="N519" s="371"/>
    </row>
    <row r="520" spans="1:14" x14ac:dyDescent="0.25">
      <c r="A520" s="125">
        <f t="shared" si="120"/>
        <v>5</v>
      </c>
      <c r="B520" s="197" t="s">
        <v>671</v>
      </c>
      <c r="C520" s="197"/>
      <c r="D520" s="197"/>
      <c r="E520" s="197"/>
      <c r="F520" s="197"/>
      <c r="G520" s="197"/>
      <c r="H520" s="197"/>
      <c r="I520" s="197"/>
      <c r="J520" s="197"/>
      <c r="K520" s="197"/>
      <c r="L520" s="197"/>
      <c r="M520" s="197"/>
      <c r="N520" s="197"/>
    </row>
    <row r="521" spans="1:14" ht="31.5" customHeight="1" x14ac:dyDescent="0.25">
      <c r="A521" s="125">
        <f t="shared" si="120"/>
        <v>6</v>
      </c>
      <c r="B521" s="368" t="s">
        <v>686</v>
      </c>
      <c r="C521" s="369"/>
      <c r="D521" s="369"/>
      <c r="E521" s="369"/>
      <c r="F521" s="369"/>
      <c r="G521" s="369"/>
      <c r="H521" s="369"/>
      <c r="I521" s="369"/>
      <c r="J521" s="369"/>
      <c r="K521" s="369"/>
      <c r="L521" s="369"/>
      <c r="M521" s="369"/>
      <c r="N521" s="370"/>
    </row>
    <row r="522" spans="1:14" ht="30.75" customHeight="1" x14ac:dyDescent="0.25">
      <c r="A522" s="125">
        <f t="shared" si="120"/>
        <v>7</v>
      </c>
      <c r="B522" s="355" t="s">
        <v>672</v>
      </c>
      <c r="C522" s="355"/>
      <c r="D522" s="355"/>
      <c r="E522" s="355"/>
      <c r="F522" s="355"/>
      <c r="G522" s="355"/>
      <c r="H522" s="355"/>
      <c r="I522" s="355"/>
      <c r="J522" s="355"/>
      <c r="K522" s="355"/>
      <c r="L522" s="355"/>
      <c r="M522" s="355"/>
      <c r="N522" s="355"/>
    </row>
    <row r="523" spans="1:14" ht="34.5" customHeight="1" x14ac:dyDescent="0.25">
      <c r="A523" s="125">
        <f t="shared" si="120"/>
        <v>8</v>
      </c>
      <c r="B523" s="355" t="s">
        <v>687</v>
      </c>
      <c r="C523" s="355"/>
      <c r="D523" s="355"/>
      <c r="E523" s="355"/>
      <c r="F523" s="355"/>
      <c r="G523" s="355"/>
      <c r="H523" s="355"/>
      <c r="I523" s="355"/>
      <c r="J523" s="355"/>
      <c r="K523" s="355"/>
      <c r="L523" s="355"/>
      <c r="M523" s="355"/>
      <c r="N523" s="355"/>
    </row>
    <row r="524" spans="1:14" x14ac:dyDescent="0.25">
      <c r="A524" s="125">
        <f t="shared" si="120"/>
        <v>9</v>
      </c>
      <c r="B524" s="374" t="s">
        <v>429</v>
      </c>
      <c r="C524" s="374"/>
      <c r="D524" s="374"/>
      <c r="E524" s="374"/>
      <c r="F524" s="374"/>
      <c r="G524" s="374"/>
      <c r="H524" s="374"/>
      <c r="I524" s="374"/>
      <c r="J524" s="374"/>
      <c r="K524" s="374"/>
      <c r="L524" s="374"/>
      <c r="M524" s="374"/>
      <c r="N524" s="374"/>
    </row>
    <row r="525" spans="1:14" x14ac:dyDescent="0.25">
      <c r="A525" s="125">
        <f t="shared" si="120"/>
        <v>10</v>
      </c>
      <c r="B525" s="355" t="s">
        <v>688</v>
      </c>
      <c r="C525" s="355"/>
      <c r="D525" s="355"/>
      <c r="E525" s="355"/>
      <c r="F525" s="355"/>
      <c r="G525" s="355"/>
      <c r="H525" s="355"/>
      <c r="I525" s="355"/>
      <c r="J525" s="355"/>
      <c r="K525" s="355"/>
      <c r="L525" s="355"/>
      <c r="M525" s="355"/>
      <c r="N525" s="355"/>
    </row>
    <row r="526" spans="1:14" x14ac:dyDescent="0.25">
      <c r="A526" s="125">
        <v>11</v>
      </c>
      <c r="B526" s="371" t="s">
        <v>690</v>
      </c>
      <c r="C526" s="371"/>
      <c r="D526" s="371"/>
      <c r="E526" s="371"/>
      <c r="F526" s="371"/>
      <c r="G526" s="371"/>
      <c r="H526" s="371"/>
      <c r="I526" s="371"/>
      <c r="J526" s="371"/>
      <c r="K526" s="371"/>
      <c r="L526" s="371"/>
      <c r="M526" s="371"/>
      <c r="N526" s="371"/>
    </row>
    <row r="527" spans="1:14" x14ac:dyDescent="0.25">
      <c r="A527" s="16" t="s">
        <v>58</v>
      </c>
      <c r="B527" s="10"/>
      <c r="C527" s="4"/>
      <c r="D527" s="4"/>
      <c r="E527" s="4"/>
      <c r="F527" s="4"/>
      <c r="G527" s="4"/>
      <c r="H527" s="47" t="str">
        <f>I52</f>
        <v>Renucorp Vanaha</v>
      </c>
      <c r="I527" s="2"/>
      <c r="J527" s="2"/>
      <c r="K527" s="2"/>
      <c r="L527" s="2"/>
      <c r="M527" s="2"/>
      <c r="N527" s="2"/>
    </row>
    <row r="528" spans="1:14" x14ac:dyDescent="0.25">
      <c r="A528" s="4"/>
      <c r="B528" s="10"/>
      <c r="C528" s="4"/>
      <c r="D528" s="4"/>
      <c r="E528" s="4"/>
      <c r="F528" s="4"/>
      <c r="G528" s="4"/>
      <c r="H528" s="4"/>
      <c r="I528" s="4"/>
      <c r="J528" s="4"/>
      <c r="K528" s="4"/>
      <c r="L528" s="4"/>
      <c r="M528" s="4"/>
      <c r="N528" s="4"/>
    </row>
    <row r="529" spans="1:14" x14ac:dyDescent="0.25">
      <c r="A529" s="4"/>
      <c r="B529" s="10"/>
      <c r="C529" s="4"/>
      <c r="D529" s="4"/>
      <c r="E529" s="4"/>
      <c r="F529" s="4"/>
      <c r="G529" s="4"/>
      <c r="H529" s="4"/>
      <c r="I529" s="4"/>
      <c r="J529" s="4"/>
      <c r="K529" s="4"/>
      <c r="L529" s="4"/>
      <c r="M529" s="4"/>
      <c r="N529" s="4"/>
    </row>
    <row r="573" spans="1:2" ht="18.75" x14ac:dyDescent="0.25">
      <c r="A573" s="372" t="s">
        <v>284</v>
      </c>
      <c r="B573" s="372"/>
    </row>
    <row r="619" spans="1:1" x14ac:dyDescent="0.25">
      <c r="A619" s="3" t="s">
        <v>0</v>
      </c>
    </row>
    <row r="665" spans="1:14" x14ac:dyDescent="0.25">
      <c r="A665" s="27" t="s">
        <v>329</v>
      </c>
      <c r="B665" s="27"/>
      <c r="C665" s="27"/>
      <c r="D665" s="27"/>
      <c r="E665" s="27"/>
      <c r="F665" s="27"/>
      <c r="G665" s="27"/>
      <c r="H665" s="27"/>
      <c r="I665" s="27"/>
      <c r="J665" s="27"/>
      <c r="K665" s="27"/>
      <c r="L665" s="27"/>
      <c r="M665" s="27"/>
      <c r="N665" s="27"/>
    </row>
    <row r="666" spans="1:14" ht="15" customHeight="1" x14ac:dyDescent="0.25">
      <c r="A666" s="390"/>
      <c r="B666" s="390"/>
      <c r="C666" s="390"/>
      <c r="D666" s="390"/>
      <c r="E666" s="66"/>
      <c r="F666" s="66"/>
      <c r="G666" s="66"/>
      <c r="H666" s="66"/>
      <c r="I666" s="66"/>
      <c r="J666" s="66"/>
      <c r="K666" s="66"/>
      <c r="L666" s="66"/>
      <c r="M666" s="390"/>
      <c r="N666" s="390"/>
    </row>
    <row r="667" spans="1:14" ht="15" customHeight="1" x14ac:dyDescent="0.25">
      <c r="A667" s="390"/>
      <c r="B667" s="390"/>
      <c r="C667" s="390"/>
      <c r="D667" s="390"/>
      <c r="E667" s="66"/>
      <c r="F667" s="66"/>
      <c r="G667" s="66"/>
      <c r="H667" s="68"/>
      <c r="I667" s="12"/>
      <c r="J667" s="12"/>
      <c r="K667" s="61"/>
      <c r="L667" s="61"/>
      <c r="M667" s="390"/>
      <c r="N667" s="390"/>
    </row>
    <row r="668" spans="1:14" ht="15" customHeight="1" x14ac:dyDescent="0.25">
      <c r="A668" s="390"/>
      <c r="B668" s="390"/>
      <c r="C668" s="390"/>
      <c r="D668" s="390"/>
      <c r="E668" s="66"/>
      <c r="F668" s="66"/>
      <c r="G668" s="66"/>
      <c r="H668" s="68"/>
      <c r="I668" s="12"/>
      <c r="J668" s="12"/>
      <c r="K668" s="61"/>
      <c r="L668" s="61"/>
      <c r="M668" s="390"/>
      <c r="N668" s="390"/>
    </row>
    <row r="669" spans="1:14" ht="15" customHeight="1" x14ac:dyDescent="0.25">
      <c r="A669" s="390"/>
      <c r="B669" s="390"/>
      <c r="C669" s="390"/>
      <c r="D669" s="390"/>
      <c r="E669" s="66"/>
      <c r="F669" s="66"/>
      <c r="G669" s="66"/>
      <c r="H669" s="68"/>
      <c r="I669" s="12"/>
      <c r="J669" s="12"/>
      <c r="K669" s="61"/>
      <c r="L669" s="61"/>
      <c r="M669" s="390"/>
      <c r="N669" s="390"/>
    </row>
    <row r="670" spans="1:14" ht="15" customHeight="1" x14ac:dyDescent="0.25">
      <c r="A670" s="390"/>
      <c r="B670" s="390"/>
      <c r="C670" s="390"/>
      <c r="D670" s="390"/>
      <c r="E670" s="66"/>
      <c r="F670" s="66"/>
      <c r="G670" s="66"/>
      <c r="H670" s="68"/>
      <c r="I670" s="61"/>
      <c r="J670" s="12"/>
      <c r="K670" s="61"/>
      <c r="L670" s="61"/>
      <c r="M670" s="390"/>
      <c r="N670" s="390"/>
    </row>
    <row r="671" spans="1:14" ht="15" customHeight="1" x14ac:dyDescent="0.25">
      <c r="A671" s="390"/>
      <c r="B671" s="390"/>
      <c r="C671" s="390"/>
      <c r="D671" s="390"/>
      <c r="E671" s="66"/>
      <c r="F671" s="66"/>
      <c r="G671" s="66"/>
      <c r="H671" s="68"/>
      <c r="I671" s="12"/>
      <c r="J671" s="12"/>
      <c r="K671" s="61"/>
      <c r="L671" s="61"/>
      <c r="M671" s="390"/>
      <c r="N671" s="390"/>
    </row>
    <row r="672" spans="1:14" ht="15" customHeight="1" x14ac:dyDescent="0.25">
      <c r="A672" s="390"/>
      <c r="B672" s="390"/>
      <c r="C672" s="390"/>
      <c r="D672" s="390"/>
      <c r="E672" s="66"/>
      <c r="F672" s="66"/>
      <c r="G672" s="66"/>
      <c r="H672" s="68"/>
      <c r="I672" s="12"/>
      <c r="J672" s="12"/>
      <c r="K672" s="61"/>
      <c r="L672" s="61"/>
      <c r="M672" s="390"/>
      <c r="N672" s="390"/>
    </row>
    <row r="673" spans="1:14" ht="15" customHeight="1" x14ac:dyDescent="0.25">
      <c r="A673" s="390"/>
      <c r="B673" s="390"/>
      <c r="C673" s="390"/>
      <c r="D673" s="390"/>
      <c r="E673" s="66"/>
      <c r="F673" s="66"/>
      <c r="G673" s="66"/>
      <c r="H673" s="68"/>
      <c r="I673" s="61"/>
      <c r="J673" s="12"/>
      <c r="K673" s="61"/>
      <c r="L673" s="61"/>
      <c r="M673" s="390"/>
      <c r="N673" s="390"/>
    </row>
    <row r="674" spans="1:14" ht="15" customHeight="1" x14ac:dyDescent="0.25">
      <c r="A674" s="390"/>
      <c r="B674" s="390"/>
      <c r="C674" s="390"/>
      <c r="D674" s="390"/>
      <c r="E674" s="390"/>
      <c r="F674" s="390"/>
      <c r="G674" s="390"/>
      <c r="H674" s="390"/>
      <c r="I674" s="390"/>
      <c r="J674" s="390"/>
      <c r="K674" s="62"/>
      <c r="L674" s="62"/>
      <c r="M674" s="390"/>
      <c r="N674" s="390"/>
    </row>
    <row r="675" spans="1:14" x14ac:dyDescent="0.25">
      <c r="A675" s="327"/>
      <c r="B675" s="327"/>
      <c r="C675" s="327"/>
      <c r="D675" s="327"/>
      <c r="E675" s="327"/>
      <c r="F675" s="327"/>
      <c r="G675" s="327"/>
      <c r="H675" s="327"/>
      <c r="I675" s="327"/>
      <c r="J675" s="327"/>
      <c r="K675" s="65"/>
      <c r="L675" s="65"/>
      <c r="M675" s="390"/>
      <c r="N675" s="390"/>
    </row>
    <row r="711" spans="1:1" x14ac:dyDescent="0.25">
      <c r="A711" s="27" t="s">
        <v>59</v>
      </c>
    </row>
    <row r="757" spans="1:1" x14ac:dyDescent="0.25">
      <c r="A757" s="27" t="s">
        <v>59</v>
      </c>
    </row>
    <row r="803" spans="1:1" x14ac:dyDescent="0.25">
      <c r="A803" s="27" t="s">
        <v>59</v>
      </c>
    </row>
    <row r="849" spans="1:14" ht="53.25" customHeight="1" x14ac:dyDescent="0.25">
      <c r="A849" s="384" t="s">
        <v>439</v>
      </c>
      <c r="B849" s="384"/>
      <c r="C849" s="384"/>
      <c r="D849" s="384"/>
      <c r="E849" s="384"/>
      <c r="F849" s="384"/>
      <c r="G849" s="384"/>
      <c r="H849" s="384"/>
      <c r="I849" s="384"/>
      <c r="J849" s="384"/>
      <c r="K849" s="384"/>
      <c r="L849" s="384"/>
      <c r="M849" s="384"/>
      <c r="N849" s="384"/>
    </row>
    <row r="853" spans="1:14" x14ac:dyDescent="0.25">
      <c r="A853" s="382" t="s">
        <v>330</v>
      </c>
      <c r="B853" s="382"/>
    </row>
    <row r="855" spans="1:14" x14ac:dyDescent="0.25">
      <c r="A855" s="382" t="s">
        <v>331</v>
      </c>
      <c r="B855" s="382"/>
    </row>
    <row r="858" spans="1:14" x14ac:dyDescent="0.25">
      <c r="K858" s="382" t="s">
        <v>332</v>
      </c>
      <c r="L858" s="382"/>
      <c r="M858" s="382"/>
    </row>
    <row r="859" spans="1:14" x14ac:dyDescent="0.25">
      <c r="J859" s="382" t="s">
        <v>333</v>
      </c>
      <c r="K859" s="382"/>
      <c r="L859" s="382"/>
      <c r="M859" s="382"/>
      <c r="N859" s="382"/>
    </row>
    <row r="862" spans="1:14" ht="60" customHeight="1" x14ac:dyDescent="0.25">
      <c r="A862" s="384" t="s">
        <v>437</v>
      </c>
      <c r="B862" s="384"/>
      <c r="C862" s="384"/>
      <c r="D862" s="384"/>
      <c r="E862" s="384"/>
      <c r="F862" s="384"/>
      <c r="G862" s="384"/>
      <c r="H862" s="384"/>
      <c r="I862" s="384"/>
      <c r="J862" s="384"/>
      <c r="K862" s="384"/>
      <c r="L862" s="384"/>
      <c r="M862" s="384"/>
      <c r="N862" s="384"/>
    </row>
    <row r="864" spans="1:14" x14ac:dyDescent="0.25">
      <c r="K864" s="382" t="s">
        <v>332</v>
      </c>
      <c r="L864" s="382"/>
      <c r="M864" s="382"/>
    </row>
    <row r="865" spans="1:14" x14ac:dyDescent="0.25">
      <c r="J865" s="382" t="s">
        <v>334</v>
      </c>
      <c r="K865" s="382"/>
      <c r="L865" s="382"/>
      <c r="M865" s="382"/>
      <c r="N865" s="382"/>
    </row>
    <row r="868" spans="1:14" x14ac:dyDescent="0.25">
      <c r="A868" s="382"/>
      <c r="B868" s="382"/>
      <c r="C868" s="382"/>
      <c r="D868" s="382"/>
      <c r="E868" s="382"/>
      <c r="F868" s="382"/>
      <c r="G868" s="382"/>
      <c r="H868" s="382"/>
      <c r="I868" s="382"/>
      <c r="J868" s="382"/>
      <c r="K868" s="382"/>
      <c r="L868" s="382"/>
      <c r="M868" s="382"/>
      <c r="N868" s="382"/>
    </row>
    <row r="869" spans="1:14" x14ac:dyDescent="0.25">
      <c r="A869" s="67"/>
      <c r="N869" s="44"/>
    </row>
    <row r="870" spans="1:14" x14ac:dyDescent="0.25">
      <c r="A870" s="67"/>
      <c r="N870" s="44"/>
    </row>
    <row r="871" spans="1:14" x14ac:dyDescent="0.25">
      <c r="B871" s="70" t="s">
        <v>336</v>
      </c>
      <c r="C871" s="219" t="s">
        <v>335</v>
      </c>
      <c r="D871" s="219"/>
      <c r="E871" s="219"/>
      <c r="F871" s="219"/>
      <c r="G871" s="219"/>
      <c r="H871" s="219"/>
      <c r="I871" s="219"/>
      <c r="J871" s="219"/>
      <c r="K871" s="260" t="s">
        <v>338</v>
      </c>
      <c r="L871" s="260"/>
      <c r="M871" s="260"/>
    </row>
    <row r="872" spans="1:14" x14ac:dyDescent="0.25">
      <c r="B872" s="26" t="s">
        <v>336</v>
      </c>
      <c r="C872" s="238" t="s">
        <v>337</v>
      </c>
      <c r="D872" s="238"/>
      <c r="E872" s="238"/>
      <c r="F872" s="238"/>
      <c r="G872" s="238"/>
      <c r="H872" s="238"/>
      <c r="I872" s="238"/>
      <c r="J872" s="238"/>
      <c r="K872" s="260" t="s">
        <v>338</v>
      </c>
      <c r="L872" s="260"/>
      <c r="M872" s="260"/>
    </row>
    <row r="874" spans="1:14" ht="15.75" customHeight="1" x14ac:dyDescent="0.25"/>
    <row r="875" spans="1:14" customFormat="1" ht="15" customHeight="1" x14ac:dyDescent="0.25">
      <c r="A875" s="408" t="s">
        <v>287</v>
      </c>
      <c r="B875" s="408"/>
      <c r="C875" s="408"/>
      <c r="D875" s="408"/>
      <c r="E875" s="408"/>
      <c r="F875" s="408"/>
      <c r="G875" s="408"/>
      <c r="H875" s="408"/>
      <c r="I875" s="408"/>
      <c r="J875" s="408"/>
      <c r="K875" s="408"/>
      <c r="L875" s="408"/>
      <c r="M875" s="408"/>
      <c r="N875" s="408"/>
    </row>
    <row r="876" spans="1:14" customFormat="1" ht="15" customHeight="1" x14ac:dyDescent="0.25">
      <c r="A876" s="263" t="s">
        <v>339</v>
      </c>
      <c r="B876" s="263"/>
      <c r="C876" s="263"/>
      <c r="D876" s="263"/>
      <c r="E876" s="263"/>
      <c r="F876" s="263"/>
      <c r="G876" s="263"/>
      <c r="H876" s="263"/>
      <c r="I876" s="263"/>
      <c r="J876" s="263"/>
      <c r="K876" s="263"/>
      <c r="L876" s="263"/>
      <c r="M876" s="263"/>
      <c r="N876" s="263"/>
    </row>
    <row r="877" spans="1:14" customFormat="1" ht="15" customHeight="1" x14ac:dyDescent="0.25">
      <c r="A877" s="409" t="s">
        <v>288</v>
      </c>
      <c r="B877" s="409"/>
      <c r="C877" s="409"/>
      <c r="D877" s="409"/>
      <c r="E877" s="409"/>
      <c r="F877" s="409"/>
      <c r="G877" s="409"/>
      <c r="H877" s="409"/>
      <c r="I877" s="409"/>
      <c r="J877" s="409"/>
      <c r="K877" s="409"/>
      <c r="L877" s="409"/>
      <c r="M877" s="409"/>
      <c r="N877" s="409"/>
    </row>
    <row r="878" spans="1:14" customFormat="1" x14ac:dyDescent="0.25">
      <c r="A878" s="52">
        <v>1</v>
      </c>
      <c r="B878" s="219" t="s">
        <v>289</v>
      </c>
      <c r="C878" s="219"/>
      <c r="D878" s="219"/>
      <c r="E878" s="219"/>
      <c r="F878" s="219"/>
      <c r="G878" s="219"/>
      <c r="H878" s="219"/>
      <c r="I878" s="219"/>
      <c r="J878" s="219"/>
      <c r="K878" s="219"/>
      <c r="L878" s="219"/>
      <c r="M878" s="219"/>
      <c r="N878" s="219"/>
    </row>
    <row r="879" spans="1:14" customFormat="1" ht="29.45" customHeight="1" x14ac:dyDescent="0.25">
      <c r="A879" s="52">
        <v>2</v>
      </c>
      <c r="B879" s="219" t="s">
        <v>290</v>
      </c>
      <c r="C879" s="219"/>
      <c r="D879" s="219"/>
      <c r="E879" s="219"/>
      <c r="F879" s="219"/>
      <c r="G879" s="219"/>
      <c r="H879" s="219"/>
      <c r="I879" s="219"/>
      <c r="J879" s="219"/>
      <c r="K879" s="219"/>
      <c r="L879" s="219"/>
      <c r="M879" s="219"/>
      <c r="N879" s="219"/>
    </row>
    <row r="880" spans="1:14" customFormat="1" ht="30" customHeight="1" x14ac:dyDescent="0.25">
      <c r="A880" s="52">
        <v>3</v>
      </c>
      <c r="B880" s="261" t="s">
        <v>673</v>
      </c>
      <c r="C880" s="261"/>
      <c r="D880" s="261"/>
      <c r="E880" s="261"/>
      <c r="F880" s="261"/>
      <c r="G880" s="261"/>
      <c r="H880" s="261"/>
      <c r="I880" s="261"/>
      <c r="J880" s="261"/>
      <c r="K880" s="261"/>
      <c r="L880" s="261"/>
      <c r="M880" s="261"/>
      <c r="N880" s="261"/>
    </row>
    <row r="881" spans="1:14" customFormat="1" x14ac:dyDescent="0.25">
      <c r="A881" s="52">
        <v>4</v>
      </c>
      <c r="B881" s="261" t="s">
        <v>674</v>
      </c>
      <c r="C881" s="261"/>
      <c r="D881" s="261"/>
      <c r="E881" s="261"/>
      <c r="F881" s="261"/>
      <c r="G881" s="261"/>
      <c r="H881" s="261"/>
      <c r="I881" s="261"/>
      <c r="J881" s="261"/>
      <c r="K881" s="261"/>
      <c r="L881" s="261"/>
      <c r="M881" s="261"/>
      <c r="N881" s="261"/>
    </row>
    <row r="882" spans="1:14" customFormat="1" ht="15" customHeight="1" x14ac:dyDescent="0.25">
      <c r="A882" s="52">
        <v>5</v>
      </c>
      <c r="B882" s="219" t="s">
        <v>291</v>
      </c>
      <c r="C882" s="219"/>
      <c r="D882" s="219"/>
      <c r="E882" s="219"/>
      <c r="F882" s="219"/>
      <c r="G882" s="219"/>
      <c r="H882" s="219"/>
      <c r="I882" s="219"/>
      <c r="J882" s="219"/>
      <c r="K882" s="219"/>
      <c r="L882" s="219"/>
      <c r="M882" s="219"/>
      <c r="N882" s="219"/>
    </row>
    <row r="883" spans="1:14" customFormat="1" ht="32.25" customHeight="1" x14ac:dyDescent="0.25">
      <c r="A883" s="52">
        <v>6</v>
      </c>
      <c r="B883" s="219" t="s">
        <v>292</v>
      </c>
      <c r="C883" s="219"/>
      <c r="D883" s="219"/>
      <c r="E883" s="219"/>
      <c r="F883" s="219"/>
      <c r="G883" s="219"/>
      <c r="H883" s="219"/>
      <c r="I883" s="219"/>
      <c r="J883" s="219"/>
      <c r="K883" s="219"/>
      <c r="L883" s="219"/>
      <c r="M883" s="219"/>
      <c r="N883" s="219"/>
    </row>
    <row r="884" spans="1:14" customFormat="1" ht="15" customHeight="1" x14ac:dyDescent="0.25">
      <c r="A884" s="52">
        <v>7</v>
      </c>
      <c r="B884" s="219" t="s">
        <v>293</v>
      </c>
      <c r="C884" s="219"/>
      <c r="D884" s="219"/>
      <c r="E884" s="219"/>
      <c r="F884" s="219"/>
      <c r="G884" s="219"/>
      <c r="H884" s="219"/>
      <c r="I884" s="219"/>
      <c r="J884" s="219"/>
      <c r="K884" s="219"/>
      <c r="L884" s="219"/>
      <c r="M884" s="219"/>
      <c r="N884" s="219"/>
    </row>
    <row r="885" spans="1:14" customFormat="1" ht="15" customHeight="1" x14ac:dyDescent="0.25">
      <c r="A885" s="52">
        <v>8</v>
      </c>
      <c r="B885" s="219" t="s">
        <v>294</v>
      </c>
      <c r="C885" s="219"/>
      <c r="D885" s="219"/>
      <c r="E885" s="219"/>
      <c r="F885" s="219"/>
      <c r="G885" s="219"/>
      <c r="H885" s="219"/>
      <c r="I885" s="219"/>
      <c r="J885" s="219"/>
      <c r="K885" s="219"/>
      <c r="L885" s="219"/>
      <c r="M885" s="219"/>
      <c r="N885" s="219"/>
    </row>
    <row r="886" spans="1:14" customFormat="1" ht="15" customHeight="1" x14ac:dyDescent="0.25">
      <c r="A886" s="52">
        <v>9</v>
      </c>
      <c r="B886" s="219" t="s">
        <v>295</v>
      </c>
      <c r="C886" s="219"/>
      <c r="D886" s="219"/>
      <c r="E886" s="219"/>
      <c r="F886" s="219"/>
      <c r="G886" s="219"/>
      <c r="H886" s="219"/>
      <c r="I886" s="219"/>
      <c r="J886" s="219"/>
      <c r="K886" s="219"/>
      <c r="L886" s="219"/>
      <c r="M886" s="219"/>
      <c r="N886" s="219"/>
    </row>
    <row r="887" spans="1:14" customFormat="1" ht="15" customHeight="1" x14ac:dyDescent="0.25">
      <c r="A887" s="52">
        <v>10</v>
      </c>
      <c r="B887" s="219" t="s">
        <v>296</v>
      </c>
      <c r="C887" s="219"/>
      <c r="D887" s="219"/>
      <c r="E887" s="219"/>
      <c r="F887" s="219"/>
      <c r="G887" s="219"/>
      <c r="H887" s="219"/>
      <c r="I887" s="219"/>
      <c r="J887" s="219"/>
      <c r="K887" s="219"/>
      <c r="L887" s="219"/>
      <c r="M887" s="219"/>
      <c r="N887" s="219"/>
    </row>
    <row r="888" spans="1:14" customFormat="1" ht="15" customHeight="1" x14ac:dyDescent="0.25">
      <c r="A888" s="52">
        <v>11</v>
      </c>
      <c r="B888" s="219" t="s">
        <v>297</v>
      </c>
      <c r="C888" s="219"/>
      <c r="D888" s="219"/>
      <c r="E888" s="219"/>
      <c r="F888" s="219"/>
      <c r="G888" s="219"/>
      <c r="H888" s="219"/>
      <c r="I888" s="219"/>
      <c r="J888" s="219"/>
      <c r="K888" s="219"/>
      <c r="L888" s="219"/>
      <c r="M888" s="219"/>
      <c r="N888" s="219"/>
    </row>
    <row r="889" spans="1:14" customFormat="1" ht="15" customHeight="1" x14ac:dyDescent="0.25">
      <c r="A889" s="52">
        <v>12</v>
      </c>
      <c r="B889" s="219" t="s">
        <v>298</v>
      </c>
      <c r="C889" s="219"/>
      <c r="D889" s="219"/>
      <c r="E889" s="219"/>
      <c r="F889" s="219"/>
      <c r="G889" s="219"/>
      <c r="H889" s="219"/>
      <c r="I889" s="219"/>
      <c r="J889" s="219"/>
      <c r="K889" s="219"/>
      <c r="L889" s="219"/>
      <c r="M889" s="219"/>
      <c r="N889" s="219"/>
    </row>
    <row r="890" spans="1:14" customFormat="1" ht="43.9" customHeight="1" x14ac:dyDescent="0.25">
      <c r="A890" s="52">
        <v>13</v>
      </c>
      <c r="B890" s="219" t="s">
        <v>299</v>
      </c>
      <c r="C890" s="219"/>
      <c r="D890" s="219"/>
      <c r="E890" s="219"/>
      <c r="F890" s="219"/>
      <c r="G890" s="219"/>
      <c r="H890" s="219"/>
      <c r="I890" s="219"/>
      <c r="J890" s="219"/>
      <c r="K890" s="219"/>
      <c r="L890" s="219"/>
      <c r="M890" s="219"/>
      <c r="N890" s="219"/>
    </row>
    <row r="891" spans="1:14" customFormat="1" ht="31.5" customHeight="1" x14ac:dyDescent="0.25">
      <c r="A891" s="52">
        <v>14</v>
      </c>
      <c r="B891" s="261" t="s">
        <v>440</v>
      </c>
      <c r="C891" s="261"/>
      <c r="D891" s="261"/>
      <c r="E891" s="261"/>
      <c r="F891" s="261"/>
      <c r="G891" s="261"/>
      <c r="H891" s="261"/>
      <c r="I891" s="261"/>
      <c r="J891" s="261"/>
      <c r="K891" s="261"/>
      <c r="L891" s="261"/>
      <c r="M891" s="261"/>
      <c r="N891" s="261"/>
    </row>
    <row r="892" spans="1:14" customFormat="1" ht="15" customHeight="1" x14ac:dyDescent="0.25">
      <c r="A892" s="52">
        <v>15</v>
      </c>
      <c r="B892" s="219" t="s">
        <v>417</v>
      </c>
      <c r="C892" s="219"/>
      <c r="D892" s="219"/>
      <c r="E892" s="219"/>
      <c r="F892" s="219"/>
      <c r="G892" s="219"/>
      <c r="H892" s="219"/>
      <c r="I892" s="219"/>
      <c r="J892" s="219"/>
      <c r="K892" s="219"/>
      <c r="L892" s="219"/>
      <c r="M892" s="219"/>
      <c r="N892" s="219"/>
    </row>
    <row r="893" spans="1:14" customFormat="1" x14ac:dyDescent="0.25">
      <c r="A893" s="52">
        <v>16</v>
      </c>
      <c r="B893" s="219" t="s">
        <v>300</v>
      </c>
      <c r="C893" s="219"/>
      <c r="D893" s="219"/>
      <c r="E893" s="219"/>
      <c r="F893" s="219"/>
      <c r="G893" s="219"/>
      <c r="H893" s="219"/>
      <c r="I893" s="219"/>
      <c r="J893" s="219"/>
      <c r="K893" s="219"/>
      <c r="L893" s="219"/>
      <c r="M893" s="219"/>
      <c r="N893" s="219"/>
    </row>
    <row r="894" spans="1:14" customFormat="1" x14ac:dyDescent="0.25">
      <c r="A894" s="52">
        <v>17</v>
      </c>
      <c r="B894" s="219" t="s">
        <v>301</v>
      </c>
      <c r="C894" s="219"/>
      <c r="D894" s="219"/>
      <c r="E894" s="219"/>
      <c r="F894" s="219"/>
      <c r="G894" s="219"/>
      <c r="H894" s="219"/>
      <c r="I894" s="219"/>
      <c r="J894" s="219"/>
      <c r="K894" s="219"/>
      <c r="L894" s="219"/>
      <c r="M894" s="219"/>
      <c r="N894" s="219"/>
    </row>
    <row r="895" spans="1:14" customFormat="1" ht="30.6" customHeight="1" x14ac:dyDescent="0.25">
      <c r="A895" s="52">
        <v>18</v>
      </c>
      <c r="B895" s="219" t="s">
        <v>302</v>
      </c>
      <c r="C895" s="219"/>
      <c r="D895" s="219"/>
      <c r="E895" s="219"/>
      <c r="F895" s="219"/>
      <c r="G895" s="219"/>
      <c r="H895" s="219"/>
      <c r="I895" s="219"/>
      <c r="J895" s="219"/>
      <c r="K895" s="219"/>
      <c r="L895" s="219"/>
      <c r="M895" s="219"/>
      <c r="N895" s="219"/>
    </row>
    <row r="896" spans="1:14" customFormat="1" ht="30" customHeight="1" x14ac:dyDescent="0.25">
      <c r="A896" s="52">
        <v>19</v>
      </c>
      <c r="B896" s="219" t="s">
        <v>303</v>
      </c>
      <c r="C896" s="219"/>
      <c r="D896" s="219"/>
      <c r="E896" s="219"/>
      <c r="F896" s="219"/>
      <c r="G896" s="219"/>
      <c r="H896" s="219"/>
      <c r="I896" s="219"/>
      <c r="J896" s="219"/>
      <c r="K896" s="219"/>
      <c r="L896" s="219"/>
      <c r="M896" s="219"/>
      <c r="N896" s="219"/>
    </row>
    <row r="897" spans="1:14" customFormat="1" ht="30.75" customHeight="1" x14ac:dyDescent="0.25">
      <c r="A897" s="52">
        <v>20</v>
      </c>
      <c r="B897" s="219" t="s">
        <v>304</v>
      </c>
      <c r="C897" s="219"/>
      <c r="D897" s="219"/>
      <c r="E897" s="219"/>
      <c r="F897" s="219"/>
      <c r="G897" s="219"/>
      <c r="H897" s="219"/>
      <c r="I897" s="219"/>
      <c r="J897" s="219"/>
      <c r="K897" s="219"/>
      <c r="L897" s="219"/>
      <c r="M897" s="219"/>
      <c r="N897" s="219"/>
    </row>
    <row r="898" spans="1:14" customFormat="1" x14ac:dyDescent="0.25">
      <c r="A898" s="52">
        <v>21</v>
      </c>
      <c r="B898" s="219" t="s">
        <v>305</v>
      </c>
      <c r="C898" s="219"/>
      <c r="D898" s="219"/>
      <c r="E898" s="219"/>
      <c r="F898" s="219"/>
      <c r="G898" s="219"/>
      <c r="H898" s="219"/>
      <c r="I898" s="219"/>
      <c r="J898" s="219"/>
      <c r="K898" s="219"/>
      <c r="L898" s="219"/>
      <c r="M898" s="219"/>
      <c r="N898" s="219"/>
    </row>
    <row r="899" spans="1:14" customFormat="1" x14ac:dyDescent="0.25">
      <c r="A899" s="52">
        <v>22</v>
      </c>
      <c r="B899" s="219" t="s">
        <v>306</v>
      </c>
      <c r="C899" s="219"/>
      <c r="D899" s="219"/>
      <c r="E899" s="219"/>
      <c r="F899" s="219"/>
      <c r="G899" s="219"/>
      <c r="H899" s="219"/>
      <c r="I899" s="219"/>
      <c r="J899" s="219"/>
      <c r="K899" s="219"/>
      <c r="L899" s="219"/>
      <c r="M899" s="219"/>
      <c r="N899" s="219"/>
    </row>
    <row r="900" spans="1:14" customFormat="1" ht="15" customHeight="1" x14ac:dyDescent="0.25">
      <c r="A900" s="52">
        <v>23</v>
      </c>
      <c r="B900" s="219" t="s">
        <v>307</v>
      </c>
      <c r="C900" s="219"/>
      <c r="D900" s="219"/>
      <c r="E900" s="219"/>
      <c r="F900" s="219"/>
      <c r="G900" s="219"/>
      <c r="H900" s="219"/>
      <c r="I900" s="219"/>
      <c r="J900" s="219"/>
      <c r="K900" s="219"/>
      <c r="L900" s="219"/>
      <c r="M900" s="219"/>
      <c r="N900" s="219"/>
    </row>
    <row r="901" spans="1:14" customFormat="1" x14ac:dyDescent="0.25">
      <c r="A901" s="52">
        <v>24</v>
      </c>
      <c r="B901" s="219" t="s">
        <v>308</v>
      </c>
      <c r="C901" s="219"/>
      <c r="D901" s="219"/>
      <c r="E901" s="219"/>
      <c r="F901" s="219"/>
      <c r="G901" s="219"/>
      <c r="H901" s="219"/>
      <c r="I901" s="219"/>
      <c r="J901" s="219"/>
      <c r="K901" s="219"/>
      <c r="L901" s="219"/>
      <c r="M901" s="219"/>
      <c r="N901" s="219"/>
    </row>
    <row r="902" spans="1:14" customFormat="1" x14ac:dyDescent="0.25">
      <c r="A902" s="52">
        <v>25</v>
      </c>
      <c r="B902" s="219" t="s">
        <v>309</v>
      </c>
      <c r="C902" s="219"/>
      <c r="D902" s="219"/>
      <c r="E902" s="219"/>
      <c r="F902" s="219"/>
      <c r="G902" s="219"/>
      <c r="H902" s="219"/>
      <c r="I902" s="219"/>
      <c r="J902" s="219"/>
      <c r="K902" s="219"/>
      <c r="L902" s="219"/>
      <c r="M902" s="219"/>
      <c r="N902" s="219"/>
    </row>
    <row r="903" spans="1:14" customFormat="1" ht="15" customHeight="1" x14ac:dyDescent="0.25">
      <c r="A903" s="52">
        <v>26</v>
      </c>
      <c r="B903" s="219" t="s">
        <v>418</v>
      </c>
      <c r="C903" s="219"/>
      <c r="D903" s="219"/>
      <c r="E903" s="219"/>
      <c r="F903" s="219"/>
      <c r="G903" s="219"/>
      <c r="H903" s="219"/>
      <c r="I903" s="219"/>
      <c r="J903" s="219"/>
      <c r="K903" s="219"/>
      <c r="L903" s="219"/>
      <c r="M903" s="219"/>
      <c r="N903" s="219"/>
    </row>
    <row r="904" spans="1:14" customFormat="1" ht="15" customHeight="1" x14ac:dyDescent="0.25">
      <c r="A904" s="63" t="s">
        <v>310</v>
      </c>
      <c r="B904" s="385" t="s">
        <v>14</v>
      </c>
      <c r="C904" s="385"/>
      <c r="D904" s="385"/>
      <c r="E904" s="385"/>
      <c r="F904" s="385"/>
      <c r="G904" s="385"/>
      <c r="H904" s="385"/>
      <c r="I904" s="385" t="s">
        <v>311</v>
      </c>
      <c r="J904" s="385"/>
      <c r="K904" s="385"/>
      <c r="L904" s="385"/>
      <c r="M904" s="385"/>
      <c r="N904" s="385"/>
    </row>
    <row r="905" spans="1:14" customFormat="1" ht="32.25" customHeight="1" x14ac:dyDescent="0.25">
      <c r="A905" s="52">
        <v>1</v>
      </c>
      <c r="B905" s="219" t="s">
        <v>312</v>
      </c>
      <c r="C905" s="219"/>
      <c r="D905" s="219"/>
      <c r="E905" s="219"/>
      <c r="F905" s="219"/>
      <c r="G905" s="219"/>
      <c r="H905" s="219"/>
      <c r="I905" s="261" t="s">
        <v>675</v>
      </c>
      <c r="J905" s="261"/>
      <c r="K905" s="261"/>
      <c r="L905" s="261"/>
      <c r="M905" s="261"/>
      <c r="N905" s="261"/>
    </row>
    <row r="906" spans="1:14" customFormat="1" ht="15" customHeight="1" x14ac:dyDescent="0.25">
      <c r="A906" s="52">
        <v>2</v>
      </c>
      <c r="B906" s="219" t="s">
        <v>313</v>
      </c>
      <c r="C906" s="219"/>
      <c r="D906" s="219"/>
      <c r="E906" s="219"/>
      <c r="F906" s="219"/>
      <c r="G906" s="219"/>
      <c r="H906" s="219"/>
      <c r="I906" s="261" t="s">
        <v>676</v>
      </c>
      <c r="J906" s="261"/>
      <c r="K906" s="261"/>
      <c r="L906" s="261"/>
      <c r="M906" s="261"/>
      <c r="N906" s="261"/>
    </row>
    <row r="907" spans="1:14" customFormat="1" ht="15" customHeight="1" x14ac:dyDescent="0.25">
      <c r="A907" s="260">
        <v>3</v>
      </c>
      <c r="B907" s="219" t="s">
        <v>314</v>
      </c>
      <c r="C907" s="219"/>
      <c r="D907" s="219"/>
      <c r="E907" s="219"/>
      <c r="F907" s="219"/>
      <c r="G907" s="219"/>
      <c r="H907" s="219"/>
      <c r="I907" s="261" t="s">
        <v>340</v>
      </c>
      <c r="J907" s="261"/>
      <c r="K907" s="261"/>
      <c r="L907" s="261"/>
      <c r="M907" s="261"/>
      <c r="N907" s="261"/>
    </row>
    <row r="908" spans="1:14" customFormat="1" ht="15" customHeight="1" x14ac:dyDescent="0.25">
      <c r="A908" s="260"/>
      <c r="B908" s="219"/>
      <c r="C908" s="219"/>
      <c r="D908" s="219"/>
      <c r="E908" s="219"/>
      <c r="F908" s="219"/>
      <c r="G908" s="219"/>
      <c r="H908" s="219"/>
      <c r="I908" s="261" t="s">
        <v>689</v>
      </c>
      <c r="J908" s="261"/>
      <c r="K908" s="261"/>
      <c r="L908" s="261"/>
      <c r="M908" s="261"/>
      <c r="N908" s="261"/>
    </row>
    <row r="909" spans="1:14" customFormat="1" ht="15" customHeight="1" x14ac:dyDescent="0.25">
      <c r="A909" s="260"/>
      <c r="B909" s="219"/>
      <c r="C909" s="219"/>
      <c r="D909" s="219"/>
      <c r="E909" s="219"/>
      <c r="F909" s="219"/>
      <c r="G909" s="219"/>
      <c r="H909" s="219"/>
      <c r="I909" s="261" t="s">
        <v>341</v>
      </c>
      <c r="J909" s="261"/>
      <c r="K909" s="261"/>
      <c r="L909" s="261"/>
      <c r="M909" s="261"/>
      <c r="N909" s="261"/>
    </row>
    <row r="910" spans="1:14" customFormat="1" ht="15" customHeight="1" x14ac:dyDescent="0.25">
      <c r="A910" s="52">
        <v>4</v>
      </c>
      <c r="B910" s="219" t="s">
        <v>315</v>
      </c>
      <c r="C910" s="219"/>
      <c r="D910" s="219"/>
      <c r="E910" s="219"/>
      <c r="F910" s="219"/>
      <c r="G910" s="219"/>
      <c r="H910" s="219"/>
      <c r="I910" s="219" t="s">
        <v>54</v>
      </c>
      <c r="J910" s="219"/>
      <c r="K910" s="219"/>
      <c r="L910" s="219"/>
      <c r="M910" s="219"/>
      <c r="N910" s="219"/>
    </row>
    <row r="911" spans="1:14" customFormat="1" x14ac:dyDescent="0.25">
      <c r="A911" s="260">
        <v>5</v>
      </c>
      <c r="B911" s="219" t="s">
        <v>316</v>
      </c>
      <c r="C911" s="219"/>
      <c r="D911" s="219"/>
      <c r="E911" s="219"/>
      <c r="F911" s="219"/>
      <c r="G911" s="219"/>
      <c r="H911" s="219"/>
      <c r="I911" s="374" t="s">
        <v>317</v>
      </c>
      <c r="J911" s="374"/>
      <c r="K911" s="374"/>
      <c r="L911" s="377">
        <v>45922</v>
      </c>
      <c r="M911" s="378"/>
      <c r="N911" s="379"/>
    </row>
    <row r="912" spans="1:14" customFormat="1" x14ac:dyDescent="0.25">
      <c r="A912" s="260"/>
      <c r="B912" s="219"/>
      <c r="C912" s="219"/>
      <c r="D912" s="219"/>
      <c r="E912" s="219"/>
      <c r="F912" s="219"/>
      <c r="G912" s="219"/>
      <c r="H912" s="219"/>
      <c r="I912" s="374" t="s">
        <v>318</v>
      </c>
      <c r="J912" s="374"/>
      <c r="K912" s="374"/>
      <c r="L912" s="377">
        <v>45924</v>
      </c>
      <c r="M912" s="378"/>
      <c r="N912" s="379"/>
    </row>
    <row r="913" spans="1:14" customFormat="1" ht="15" customHeight="1" x14ac:dyDescent="0.25">
      <c r="A913" s="260"/>
      <c r="B913" s="219"/>
      <c r="C913" s="219"/>
      <c r="D913" s="219"/>
      <c r="E913" s="219"/>
      <c r="F913" s="219"/>
      <c r="G913" s="219"/>
      <c r="H913" s="219"/>
      <c r="I913" s="374" t="s">
        <v>319</v>
      </c>
      <c r="J913" s="374"/>
      <c r="K913" s="374"/>
      <c r="L913" s="377" t="str">
        <f ca="1">TEXT(TODAY(),"DD/MM/YYYY")</f>
        <v>26/09/2025</v>
      </c>
      <c r="M913" s="378"/>
      <c r="N913" s="379"/>
    </row>
    <row r="914" spans="1:14" customFormat="1" ht="15" customHeight="1" x14ac:dyDescent="0.25">
      <c r="A914" s="52">
        <v>6</v>
      </c>
      <c r="B914" s="219" t="s">
        <v>320</v>
      </c>
      <c r="C914" s="219"/>
      <c r="D914" s="219"/>
      <c r="E914" s="219"/>
      <c r="F914" s="219"/>
      <c r="G914" s="219"/>
      <c r="H914" s="219"/>
      <c r="I914" s="219" t="s">
        <v>321</v>
      </c>
      <c r="J914" s="219"/>
      <c r="K914" s="219"/>
      <c r="L914" s="219"/>
      <c r="M914" s="219"/>
      <c r="N914" s="219"/>
    </row>
    <row r="915" spans="1:14" customFormat="1" ht="99.75" customHeight="1" x14ac:dyDescent="0.25">
      <c r="A915" s="52">
        <v>7</v>
      </c>
      <c r="B915" s="219" t="s">
        <v>322</v>
      </c>
      <c r="C915" s="219"/>
      <c r="D915" s="219"/>
      <c r="E915" s="219"/>
      <c r="F915" s="219"/>
      <c r="G915" s="219"/>
      <c r="H915" s="219"/>
      <c r="I915" s="219" t="s">
        <v>342</v>
      </c>
      <c r="J915" s="219"/>
      <c r="K915" s="219"/>
      <c r="L915" s="219"/>
      <c r="M915" s="219"/>
      <c r="N915" s="219"/>
    </row>
    <row r="916" spans="1:14" customFormat="1" ht="33.75" customHeight="1" x14ac:dyDescent="0.25">
      <c r="A916" s="52">
        <v>8</v>
      </c>
      <c r="B916" s="219" t="s">
        <v>323</v>
      </c>
      <c r="C916" s="219"/>
      <c r="D916" s="219"/>
      <c r="E916" s="219"/>
      <c r="F916" s="219"/>
      <c r="G916" s="219"/>
      <c r="H916" s="219"/>
      <c r="I916" s="219" t="s">
        <v>324</v>
      </c>
      <c r="J916" s="219"/>
      <c r="K916" s="219"/>
      <c r="L916" s="219"/>
      <c r="M916" s="219"/>
      <c r="N916" s="219"/>
    </row>
    <row r="917" spans="1:14" customFormat="1" x14ac:dyDescent="0.25">
      <c r="A917" s="52">
        <v>9</v>
      </c>
      <c r="B917" s="219" t="s">
        <v>325</v>
      </c>
      <c r="C917" s="219"/>
      <c r="D917" s="219"/>
      <c r="E917" s="219"/>
      <c r="F917" s="219"/>
      <c r="G917" s="219"/>
      <c r="H917" s="219"/>
      <c r="I917" s="219" t="s">
        <v>54</v>
      </c>
      <c r="J917" s="219"/>
      <c r="K917" s="219"/>
      <c r="L917" s="219"/>
      <c r="M917" s="219"/>
      <c r="N917" s="219"/>
    </row>
    <row r="918" spans="1:14" customFormat="1" ht="33.75" customHeight="1" x14ac:dyDescent="0.25">
      <c r="A918" s="52">
        <v>10</v>
      </c>
      <c r="B918" s="219" t="s">
        <v>326</v>
      </c>
      <c r="C918" s="219"/>
      <c r="D918" s="219"/>
      <c r="E918" s="219"/>
      <c r="F918" s="219"/>
      <c r="G918" s="219"/>
      <c r="H918" s="219"/>
      <c r="I918" s="219" t="s">
        <v>343</v>
      </c>
      <c r="J918" s="219"/>
      <c r="K918" s="219"/>
      <c r="L918" s="219"/>
      <c r="M918" s="219"/>
      <c r="N918" s="219"/>
    </row>
    <row r="919" spans="1:14" customFormat="1" ht="30" customHeight="1" x14ac:dyDescent="0.25">
      <c r="A919" s="52">
        <v>11</v>
      </c>
      <c r="B919" s="219" t="s">
        <v>327</v>
      </c>
      <c r="C919" s="219"/>
      <c r="D919" s="219"/>
      <c r="E919" s="219"/>
      <c r="F919" s="219"/>
      <c r="G919" s="219"/>
      <c r="H919" s="219"/>
      <c r="I919" s="219" t="s">
        <v>171</v>
      </c>
      <c r="J919" s="219"/>
      <c r="K919" s="219"/>
      <c r="L919" s="219"/>
      <c r="M919" s="219"/>
      <c r="N919" s="219"/>
    </row>
    <row r="920" spans="1:14" customFormat="1" ht="51" customHeight="1" x14ac:dyDescent="0.25">
      <c r="A920" s="52">
        <v>12</v>
      </c>
      <c r="B920" s="381" t="s">
        <v>328</v>
      </c>
      <c r="C920" s="267"/>
      <c r="D920" s="267"/>
      <c r="E920" s="267"/>
      <c r="F920" s="267"/>
      <c r="G920" s="267"/>
      <c r="H920" s="268"/>
      <c r="I920" s="381" t="s">
        <v>338</v>
      </c>
      <c r="J920" s="267"/>
      <c r="K920" s="267"/>
      <c r="L920" s="267"/>
      <c r="M920" s="267"/>
      <c r="N920" s="268"/>
    </row>
    <row r="921" spans="1:14" customFormat="1" x14ac:dyDescent="0.25">
      <c r="A921" s="380" t="s">
        <v>385</v>
      </c>
      <c r="B921" s="380"/>
      <c r="C921" s="380"/>
      <c r="D921" s="380"/>
      <c r="E921" s="380"/>
      <c r="F921" s="380"/>
      <c r="G921" s="380"/>
      <c r="H921" s="380"/>
      <c r="I921" s="380"/>
      <c r="J921" s="380"/>
      <c r="K921" s="380"/>
      <c r="L921" s="380"/>
      <c r="M921" s="380"/>
      <c r="N921" s="380"/>
    </row>
    <row r="922" spans="1:14" customFormat="1" ht="45.75" customHeight="1" x14ac:dyDescent="0.25">
      <c r="A922" s="72" t="s">
        <v>458</v>
      </c>
      <c r="B922" s="261" t="s">
        <v>677</v>
      </c>
      <c r="C922" s="261"/>
      <c r="D922" s="261"/>
      <c r="E922" s="261"/>
      <c r="F922" s="261"/>
      <c r="G922" s="261"/>
      <c r="H922" s="261"/>
      <c r="I922" s="261"/>
      <c r="J922" s="261"/>
      <c r="K922" s="261"/>
      <c r="L922" s="261"/>
      <c r="M922" s="261"/>
      <c r="N922" s="261"/>
    </row>
    <row r="923" spans="1:14" customFormat="1" ht="92.25" customHeight="1" x14ac:dyDescent="0.25">
      <c r="A923" s="72" t="s">
        <v>458</v>
      </c>
      <c r="B923" s="219" t="s">
        <v>443</v>
      </c>
      <c r="C923" s="219"/>
      <c r="D923" s="219"/>
      <c r="E923" s="219"/>
      <c r="F923" s="219"/>
      <c r="G923" s="219"/>
      <c r="H923" s="219"/>
      <c r="I923" s="219"/>
      <c r="J923" s="219"/>
      <c r="K923" s="219"/>
      <c r="L923" s="219"/>
      <c r="M923" s="219"/>
      <c r="N923" s="219"/>
    </row>
    <row r="924" spans="1:14" customFormat="1" ht="91.5" customHeight="1" x14ac:dyDescent="0.25">
      <c r="A924" s="72" t="s">
        <v>458</v>
      </c>
      <c r="B924" s="219" t="s">
        <v>444</v>
      </c>
      <c r="C924" s="219"/>
      <c r="D924" s="219"/>
      <c r="E924" s="219"/>
      <c r="F924" s="219"/>
      <c r="G924" s="219"/>
      <c r="H924" s="219"/>
      <c r="I924" s="219"/>
      <c r="J924" s="219"/>
      <c r="K924" s="219"/>
      <c r="L924" s="219"/>
      <c r="M924" s="219"/>
      <c r="N924" s="219"/>
    </row>
    <row r="925" spans="1:14" customFormat="1" ht="75" customHeight="1" x14ac:dyDescent="0.25">
      <c r="A925" s="72" t="s">
        <v>458</v>
      </c>
      <c r="B925" s="219" t="s">
        <v>445</v>
      </c>
      <c r="C925" s="219"/>
      <c r="D925" s="219"/>
      <c r="E925" s="219"/>
      <c r="F925" s="219"/>
      <c r="G925" s="219"/>
      <c r="H925" s="219"/>
      <c r="I925" s="219"/>
      <c r="J925" s="219"/>
      <c r="K925" s="219"/>
      <c r="L925" s="219"/>
      <c r="M925" s="219"/>
      <c r="N925" s="219"/>
    </row>
    <row r="926" spans="1:14" customFormat="1" ht="61.5" customHeight="1" x14ac:dyDescent="0.25">
      <c r="A926" s="72" t="s">
        <v>458</v>
      </c>
      <c r="B926" s="219" t="s">
        <v>446</v>
      </c>
      <c r="C926" s="219"/>
      <c r="D926" s="219"/>
      <c r="E926" s="219"/>
      <c r="F926" s="219"/>
      <c r="G926" s="219"/>
      <c r="H926" s="219"/>
      <c r="I926" s="219"/>
      <c r="J926" s="219"/>
      <c r="K926" s="219"/>
      <c r="L926" s="219"/>
      <c r="M926" s="219"/>
      <c r="N926" s="219"/>
    </row>
    <row r="927" spans="1:14" customFormat="1" ht="45" customHeight="1" x14ac:dyDescent="0.25">
      <c r="A927" s="72" t="s">
        <v>458</v>
      </c>
      <c r="B927" s="219" t="s">
        <v>447</v>
      </c>
      <c r="C927" s="219"/>
      <c r="D927" s="219"/>
      <c r="E927" s="219"/>
      <c r="F927" s="219"/>
      <c r="G927" s="219"/>
      <c r="H927" s="219"/>
      <c r="I927" s="219"/>
      <c r="J927" s="219"/>
      <c r="K927" s="219"/>
      <c r="L927" s="219"/>
      <c r="M927" s="219"/>
      <c r="N927" s="219"/>
    </row>
    <row r="928" spans="1:14" customFormat="1" ht="92.25" customHeight="1" x14ac:dyDescent="0.25">
      <c r="A928" s="72" t="s">
        <v>458</v>
      </c>
      <c r="B928" s="219" t="s">
        <v>448</v>
      </c>
      <c r="C928" s="219"/>
      <c r="D928" s="219"/>
      <c r="E928" s="219"/>
      <c r="F928" s="219"/>
      <c r="G928" s="219"/>
      <c r="H928" s="219"/>
      <c r="I928" s="219"/>
      <c r="J928" s="219"/>
      <c r="K928" s="219"/>
      <c r="L928" s="219"/>
      <c r="M928" s="219"/>
      <c r="N928" s="219"/>
    </row>
    <row r="929" spans="1:14" customFormat="1" ht="105.75" customHeight="1" x14ac:dyDescent="0.25">
      <c r="A929" s="72" t="s">
        <v>458</v>
      </c>
      <c r="B929" s="219" t="s">
        <v>449</v>
      </c>
      <c r="C929" s="219"/>
      <c r="D929" s="219"/>
      <c r="E929" s="219"/>
      <c r="F929" s="219"/>
      <c r="G929" s="219"/>
      <c r="H929" s="219"/>
      <c r="I929" s="219"/>
      <c r="J929" s="219"/>
      <c r="K929" s="219"/>
      <c r="L929" s="219"/>
      <c r="M929" s="219"/>
      <c r="N929" s="219"/>
    </row>
    <row r="930" spans="1:14" customFormat="1" ht="61.5" customHeight="1" x14ac:dyDescent="0.25">
      <c r="A930" s="72" t="s">
        <v>458</v>
      </c>
      <c r="B930" s="219" t="s">
        <v>451</v>
      </c>
      <c r="C930" s="219"/>
      <c r="D930" s="219"/>
      <c r="E930" s="219"/>
      <c r="F930" s="219"/>
      <c r="G930" s="219"/>
      <c r="H930" s="219"/>
      <c r="I930" s="219"/>
      <c r="J930" s="219"/>
      <c r="K930" s="219"/>
      <c r="L930" s="219"/>
      <c r="M930" s="219"/>
      <c r="N930" s="219"/>
    </row>
    <row r="931" spans="1:14" customFormat="1" ht="61.5" customHeight="1" x14ac:dyDescent="0.25">
      <c r="A931" s="72" t="s">
        <v>458</v>
      </c>
      <c r="B931" s="219" t="s">
        <v>452</v>
      </c>
      <c r="C931" s="219"/>
      <c r="D931" s="219"/>
      <c r="E931" s="219"/>
      <c r="F931" s="219"/>
      <c r="G931" s="219"/>
      <c r="H931" s="219"/>
      <c r="I931" s="219"/>
      <c r="J931" s="219"/>
      <c r="K931" s="219"/>
      <c r="L931" s="219"/>
      <c r="M931" s="219"/>
      <c r="N931" s="219"/>
    </row>
    <row r="932" spans="1:14" customFormat="1" ht="60.75" customHeight="1" x14ac:dyDescent="0.25">
      <c r="A932" s="72" t="s">
        <v>458</v>
      </c>
      <c r="B932" s="219" t="s">
        <v>450</v>
      </c>
      <c r="C932" s="219"/>
      <c r="D932" s="219"/>
      <c r="E932" s="219"/>
      <c r="F932" s="219"/>
      <c r="G932" s="219"/>
      <c r="H932" s="219"/>
      <c r="I932" s="219"/>
      <c r="J932" s="219"/>
      <c r="K932" s="219"/>
      <c r="L932" s="219"/>
      <c r="M932" s="219"/>
      <c r="N932" s="219"/>
    </row>
    <row r="933" spans="1:14" customFormat="1" ht="123.75" customHeight="1" x14ac:dyDescent="0.25">
      <c r="A933" s="72" t="s">
        <v>458</v>
      </c>
      <c r="B933" s="219" t="s">
        <v>459</v>
      </c>
      <c r="C933" s="219"/>
      <c r="D933" s="219"/>
      <c r="E933" s="219"/>
      <c r="F933" s="219"/>
      <c r="G933" s="219"/>
      <c r="H933" s="219"/>
      <c r="I933" s="219"/>
      <c r="J933" s="219"/>
      <c r="K933" s="219"/>
      <c r="L933" s="219"/>
      <c r="M933" s="219"/>
      <c r="N933" s="219"/>
    </row>
    <row r="934" spans="1:14" customFormat="1" ht="231" customHeight="1" x14ac:dyDescent="0.25">
      <c r="A934" s="72" t="s">
        <v>458</v>
      </c>
      <c r="B934" s="219" t="s">
        <v>453</v>
      </c>
      <c r="C934" s="219"/>
      <c r="D934" s="219"/>
      <c r="E934" s="219"/>
      <c r="F934" s="219"/>
      <c r="G934" s="219"/>
      <c r="H934" s="219"/>
      <c r="I934" s="219"/>
      <c r="J934" s="219"/>
      <c r="K934" s="219"/>
      <c r="L934" s="219"/>
      <c r="M934" s="219"/>
      <c r="N934" s="219"/>
    </row>
    <row r="935" spans="1:14" customFormat="1" ht="33" customHeight="1" x14ac:dyDescent="0.25">
      <c r="A935" s="72" t="s">
        <v>458</v>
      </c>
      <c r="B935" s="219" t="s">
        <v>454</v>
      </c>
      <c r="C935" s="219"/>
      <c r="D935" s="219"/>
      <c r="E935" s="219"/>
      <c r="F935" s="219"/>
      <c r="G935" s="219"/>
      <c r="H935" s="219"/>
      <c r="I935" s="219"/>
      <c r="J935" s="219"/>
      <c r="K935" s="219"/>
      <c r="L935" s="219"/>
      <c r="M935" s="219"/>
      <c r="N935" s="219"/>
    </row>
    <row r="936" spans="1:14" customFormat="1" ht="31.5" customHeight="1" x14ac:dyDescent="0.25">
      <c r="A936" s="72" t="s">
        <v>458</v>
      </c>
      <c r="B936" s="219" t="s">
        <v>455</v>
      </c>
      <c r="C936" s="219"/>
      <c r="D936" s="219"/>
      <c r="E936" s="219"/>
      <c r="F936" s="219"/>
      <c r="G936" s="219"/>
      <c r="H936" s="219"/>
      <c r="I936" s="219"/>
      <c r="J936" s="219"/>
      <c r="K936" s="219"/>
      <c r="L936" s="219"/>
      <c r="M936" s="219"/>
      <c r="N936" s="219"/>
    </row>
    <row r="937" spans="1:14" customFormat="1" ht="77.25" customHeight="1" x14ac:dyDescent="0.25">
      <c r="A937" s="72" t="s">
        <v>458</v>
      </c>
      <c r="B937" s="219" t="s">
        <v>456</v>
      </c>
      <c r="C937" s="219"/>
      <c r="D937" s="219"/>
      <c r="E937" s="219"/>
      <c r="F937" s="219"/>
      <c r="G937" s="219"/>
      <c r="H937" s="219"/>
      <c r="I937" s="219"/>
      <c r="J937" s="219"/>
      <c r="K937" s="219"/>
      <c r="L937" s="219"/>
      <c r="M937" s="219"/>
      <c r="N937" s="219"/>
    </row>
    <row r="938" spans="1:14" customFormat="1" ht="63" customHeight="1" x14ac:dyDescent="0.25">
      <c r="A938" s="72" t="s">
        <v>458</v>
      </c>
      <c r="B938" s="219" t="s">
        <v>457</v>
      </c>
      <c r="C938" s="219"/>
      <c r="D938" s="219"/>
      <c r="E938" s="219"/>
      <c r="F938" s="219"/>
      <c r="G938" s="219"/>
      <c r="H938" s="219"/>
      <c r="I938" s="219"/>
      <c r="J938" s="219"/>
      <c r="K938" s="219"/>
      <c r="L938" s="219"/>
      <c r="M938" s="219"/>
      <c r="N938" s="219"/>
    </row>
    <row r="939" spans="1:14" customFormat="1" x14ac:dyDescent="0.25">
      <c r="A939" s="382"/>
      <c r="B939" s="382"/>
      <c r="C939" s="382"/>
      <c r="D939" s="382"/>
      <c r="E939" s="382"/>
      <c r="F939" s="382"/>
      <c r="G939" s="382"/>
      <c r="H939" s="382"/>
      <c r="I939" s="382"/>
      <c r="J939" s="382"/>
      <c r="K939" s="382"/>
      <c r="L939" s="382"/>
      <c r="M939" s="382"/>
      <c r="N939" s="382"/>
    </row>
    <row r="940" spans="1:14" customFormat="1" ht="15" customHeight="1" x14ac:dyDescent="0.25">
      <c r="A940" s="387" t="s">
        <v>386</v>
      </c>
      <c r="B940" s="388"/>
      <c r="C940" s="388"/>
      <c r="D940" s="388"/>
      <c r="E940" s="388"/>
      <c r="F940" s="388"/>
      <c r="G940" s="388"/>
      <c r="H940" s="388"/>
      <c r="I940" s="388"/>
      <c r="J940" s="388"/>
      <c r="K940" s="388"/>
      <c r="L940" s="388"/>
      <c r="M940" s="388"/>
      <c r="N940" s="389"/>
    </row>
    <row r="941" spans="1:14" customFormat="1" ht="15" customHeight="1" x14ac:dyDescent="0.25">
      <c r="A941" s="26">
        <v>1</v>
      </c>
      <c r="B941" s="219" t="s">
        <v>387</v>
      </c>
      <c r="C941" s="219"/>
      <c r="D941" s="219"/>
      <c r="E941" s="219"/>
      <c r="F941" s="219"/>
      <c r="G941" s="219"/>
      <c r="H941" s="219"/>
      <c r="I941" s="219"/>
      <c r="J941" s="219"/>
      <c r="K941" s="219"/>
      <c r="L941" s="219"/>
      <c r="M941" s="219"/>
      <c r="N941" s="219"/>
    </row>
    <row r="942" spans="1:14" customFormat="1" ht="15" customHeight="1" x14ac:dyDescent="0.25">
      <c r="A942" s="26">
        <f>A941+1</f>
        <v>2</v>
      </c>
      <c r="B942" s="219" t="s">
        <v>391</v>
      </c>
      <c r="C942" s="219"/>
      <c r="D942" s="219"/>
      <c r="E942" s="219"/>
      <c r="F942" s="219"/>
      <c r="G942" s="219"/>
      <c r="H942" s="219"/>
      <c r="I942" s="219"/>
      <c r="J942" s="219"/>
      <c r="K942" s="219"/>
      <c r="L942" s="219"/>
      <c r="M942" s="219"/>
      <c r="N942" s="219"/>
    </row>
    <row r="943" spans="1:14" customFormat="1" ht="15" customHeight="1" x14ac:dyDescent="0.25">
      <c r="A943" s="26">
        <f t="shared" ref="A943:A946" si="121">A942+1</f>
        <v>3</v>
      </c>
      <c r="B943" s="219" t="s">
        <v>392</v>
      </c>
      <c r="C943" s="219"/>
      <c r="D943" s="219"/>
      <c r="E943" s="219"/>
      <c r="F943" s="219"/>
      <c r="G943" s="219"/>
      <c r="H943" s="219"/>
      <c r="I943" s="219"/>
      <c r="J943" s="219"/>
      <c r="K943" s="219"/>
      <c r="L943" s="219"/>
      <c r="M943" s="219"/>
      <c r="N943" s="219"/>
    </row>
    <row r="944" spans="1:14" customFormat="1" ht="45" customHeight="1" x14ac:dyDescent="0.25">
      <c r="A944" s="26">
        <f t="shared" si="121"/>
        <v>4</v>
      </c>
      <c r="B944" s="219" t="s">
        <v>388</v>
      </c>
      <c r="C944" s="219"/>
      <c r="D944" s="219"/>
      <c r="E944" s="219"/>
      <c r="F944" s="219"/>
      <c r="G944" s="219"/>
      <c r="H944" s="219"/>
      <c r="I944" s="219"/>
      <c r="J944" s="219"/>
      <c r="K944" s="219"/>
      <c r="L944" s="219"/>
      <c r="M944" s="219"/>
      <c r="N944" s="219"/>
    </row>
    <row r="945" spans="1:15" customFormat="1" x14ac:dyDescent="0.25">
      <c r="A945" s="26">
        <f t="shared" si="121"/>
        <v>5</v>
      </c>
      <c r="B945" s="219" t="s">
        <v>389</v>
      </c>
      <c r="C945" s="219"/>
      <c r="D945" s="219"/>
      <c r="E945" s="219"/>
      <c r="F945" s="219"/>
      <c r="G945" s="219"/>
      <c r="H945" s="219"/>
      <c r="I945" s="219"/>
      <c r="J945" s="219"/>
      <c r="K945" s="219"/>
      <c r="L945" s="219"/>
      <c r="M945" s="219"/>
      <c r="N945" s="219"/>
    </row>
    <row r="946" spans="1:15" customFormat="1" x14ac:dyDescent="0.25">
      <c r="A946" s="26">
        <f t="shared" si="121"/>
        <v>6</v>
      </c>
      <c r="B946" s="219" t="s">
        <v>390</v>
      </c>
      <c r="C946" s="219"/>
      <c r="D946" s="219"/>
      <c r="E946" s="219"/>
      <c r="F946" s="219"/>
      <c r="G946" s="219"/>
      <c r="H946" s="219"/>
      <c r="I946" s="219"/>
      <c r="J946" s="219"/>
      <c r="K946" s="219"/>
      <c r="L946" s="219"/>
      <c r="M946" s="219"/>
      <c r="N946" s="219"/>
    </row>
    <row r="947" spans="1:15" customFormat="1" x14ac:dyDescent="0.25">
      <c r="A947" s="386" t="s">
        <v>344</v>
      </c>
      <c r="B947" s="386"/>
      <c r="C947" s="386"/>
      <c r="D947" s="386"/>
      <c r="E947" s="386"/>
      <c r="F947" s="386"/>
      <c r="G947" s="386"/>
      <c r="H947" s="386"/>
      <c r="I947" s="386"/>
      <c r="J947" s="386"/>
      <c r="K947" s="386"/>
      <c r="L947" s="386"/>
      <c r="M947" s="386"/>
      <c r="N947" s="386"/>
    </row>
    <row r="948" spans="1:15" customFormat="1" x14ac:dyDescent="0.25">
      <c r="A948" s="376" t="s">
        <v>345</v>
      </c>
      <c r="B948" s="376"/>
      <c r="C948" s="376"/>
      <c r="D948" s="376"/>
      <c r="E948" s="376"/>
      <c r="F948" s="376"/>
      <c r="G948" s="376"/>
      <c r="H948" s="376"/>
      <c r="I948" s="376"/>
      <c r="J948" s="376"/>
      <c r="K948" s="376"/>
      <c r="L948" s="376"/>
      <c r="M948" s="376"/>
      <c r="N948" s="376"/>
    </row>
    <row r="949" spans="1:15" customFormat="1" x14ac:dyDescent="0.25">
      <c r="A949" s="72" t="s">
        <v>458</v>
      </c>
      <c r="B949" s="383" t="s">
        <v>346</v>
      </c>
      <c r="C949" s="383"/>
      <c r="D949" s="383"/>
      <c r="E949" s="383"/>
      <c r="F949" s="383"/>
      <c r="G949" s="383"/>
      <c r="H949" s="383"/>
      <c r="I949" s="383"/>
      <c r="J949" s="383"/>
      <c r="K949" s="383"/>
      <c r="L949" s="383"/>
      <c r="M949" s="383"/>
      <c r="N949" s="383"/>
    </row>
    <row r="950" spans="1:15" customFormat="1" ht="31.5" customHeight="1" x14ac:dyDescent="0.25">
      <c r="A950" s="54">
        <v>1</v>
      </c>
      <c r="B950" s="219" t="s">
        <v>347</v>
      </c>
      <c r="C950" s="219"/>
      <c r="D950" s="219"/>
      <c r="E950" s="219"/>
      <c r="F950" s="219"/>
      <c r="G950" s="219"/>
      <c r="H950" s="219"/>
      <c r="I950" s="219"/>
      <c r="J950" s="219"/>
      <c r="K950" s="219"/>
      <c r="L950" s="219"/>
      <c r="M950" s="219"/>
      <c r="N950" s="219"/>
      <c r="O950" s="57"/>
    </row>
    <row r="951" spans="1:15" customFormat="1" ht="31.5" customHeight="1" x14ac:dyDescent="0.25">
      <c r="A951" s="54">
        <v>2</v>
      </c>
      <c r="B951" s="374" t="s">
        <v>419</v>
      </c>
      <c r="C951" s="374"/>
      <c r="D951" s="374"/>
      <c r="E951" s="374"/>
      <c r="F951" s="374"/>
      <c r="G951" s="374"/>
      <c r="H951" s="374"/>
      <c r="I951" s="374"/>
      <c r="J951" s="374"/>
      <c r="K951" s="374"/>
      <c r="L951" s="374"/>
      <c r="M951" s="374"/>
      <c r="N951" s="374"/>
      <c r="O951" s="57"/>
    </row>
    <row r="952" spans="1:15" customFormat="1" ht="31.5" customHeight="1" x14ac:dyDescent="0.25">
      <c r="A952" s="54">
        <v>3</v>
      </c>
      <c r="B952" s="374" t="s">
        <v>420</v>
      </c>
      <c r="C952" s="374"/>
      <c r="D952" s="374"/>
      <c r="E952" s="374"/>
      <c r="F952" s="374"/>
      <c r="G952" s="374"/>
      <c r="H952" s="374"/>
      <c r="I952" s="374"/>
      <c r="J952" s="374"/>
      <c r="K952" s="374"/>
      <c r="L952" s="374"/>
      <c r="M952" s="374"/>
      <c r="N952" s="374"/>
      <c r="O952" s="57"/>
    </row>
    <row r="953" spans="1:15" customFormat="1" x14ac:dyDescent="0.25">
      <c r="A953" s="54">
        <v>4</v>
      </c>
      <c r="B953" s="219" t="s">
        <v>364</v>
      </c>
      <c r="C953" s="374"/>
      <c r="D953" s="374"/>
      <c r="E953" s="374"/>
      <c r="F953" s="374"/>
      <c r="G953" s="374"/>
      <c r="H953" s="374"/>
      <c r="I953" s="374"/>
      <c r="J953" s="374"/>
      <c r="K953" s="374"/>
      <c r="L953" s="374"/>
      <c r="M953" s="374"/>
      <c r="N953" s="374"/>
      <c r="O953" s="57"/>
    </row>
    <row r="954" spans="1:15" customFormat="1" x14ac:dyDescent="0.25">
      <c r="A954" s="54">
        <v>5</v>
      </c>
      <c r="B954" s="219" t="s">
        <v>365</v>
      </c>
      <c r="C954" s="374"/>
      <c r="D954" s="374"/>
      <c r="E954" s="374"/>
      <c r="F954" s="374"/>
      <c r="G954" s="374"/>
      <c r="H954" s="374"/>
      <c r="I954" s="374"/>
      <c r="J954" s="374"/>
      <c r="K954" s="374"/>
      <c r="L954" s="374"/>
      <c r="M954" s="374"/>
      <c r="N954" s="374"/>
      <c r="O954" s="57"/>
    </row>
    <row r="955" spans="1:15" customFormat="1" ht="15" customHeight="1" x14ac:dyDescent="0.25">
      <c r="A955" s="72" t="s">
        <v>458</v>
      </c>
      <c r="B955" s="383" t="s">
        <v>348</v>
      </c>
      <c r="C955" s="383"/>
      <c r="D955" s="383"/>
      <c r="E955" s="383"/>
      <c r="F955" s="383"/>
      <c r="G955" s="383"/>
      <c r="H955" s="383"/>
      <c r="I955" s="383"/>
      <c r="J955" s="383"/>
      <c r="K955" s="383"/>
      <c r="L955" s="383"/>
      <c r="M955" s="383"/>
      <c r="N955" s="383"/>
      <c r="O955" s="57"/>
    </row>
    <row r="956" spans="1:15" customFormat="1" ht="32.25" customHeight="1" x14ac:dyDescent="0.25">
      <c r="A956" s="54">
        <v>6</v>
      </c>
      <c r="B956" s="219" t="s">
        <v>349</v>
      </c>
      <c r="C956" s="219"/>
      <c r="D956" s="219"/>
      <c r="E956" s="219"/>
      <c r="F956" s="219"/>
      <c r="G956" s="219"/>
      <c r="H956" s="219"/>
      <c r="I956" s="219"/>
      <c r="J956" s="219"/>
      <c r="K956" s="219"/>
      <c r="L956" s="219"/>
      <c r="M956" s="219"/>
      <c r="N956" s="219"/>
      <c r="O956" s="48"/>
    </row>
    <row r="957" spans="1:15" customFormat="1" ht="32.25" customHeight="1" x14ac:dyDescent="0.25">
      <c r="A957" s="54">
        <v>7</v>
      </c>
      <c r="B957" s="219" t="s">
        <v>350</v>
      </c>
      <c r="C957" s="219"/>
      <c r="D957" s="219"/>
      <c r="E957" s="219"/>
      <c r="F957" s="219"/>
      <c r="G957" s="219"/>
      <c r="H957" s="219"/>
      <c r="I957" s="219"/>
      <c r="J957" s="219"/>
      <c r="K957" s="219"/>
      <c r="L957" s="219"/>
      <c r="M957" s="219"/>
      <c r="N957" s="219"/>
      <c r="O957" s="48"/>
    </row>
    <row r="958" spans="1:15" customFormat="1" ht="34.5" customHeight="1" x14ac:dyDescent="0.25">
      <c r="A958" s="54">
        <v>8</v>
      </c>
      <c r="B958" s="219" t="s">
        <v>361</v>
      </c>
      <c r="C958" s="219"/>
      <c r="D958" s="219"/>
      <c r="E958" s="219"/>
      <c r="F958" s="219"/>
      <c r="G958" s="219"/>
      <c r="H958" s="219"/>
      <c r="I958" s="219"/>
      <c r="J958" s="219"/>
      <c r="K958" s="219"/>
      <c r="L958" s="219"/>
      <c r="M958" s="219"/>
      <c r="N958" s="219"/>
      <c r="O958" s="48"/>
    </row>
    <row r="959" spans="1:15" customFormat="1" ht="63.75" customHeight="1" x14ac:dyDescent="0.25">
      <c r="A959" s="54">
        <v>9</v>
      </c>
      <c r="B959" s="219" t="s">
        <v>362</v>
      </c>
      <c r="C959" s="219"/>
      <c r="D959" s="219"/>
      <c r="E959" s="219"/>
      <c r="F959" s="219"/>
      <c r="G959" s="219"/>
      <c r="H959" s="219"/>
      <c r="I959" s="219"/>
      <c r="J959" s="219"/>
      <c r="K959" s="219"/>
      <c r="L959" s="219"/>
      <c r="M959" s="219"/>
      <c r="N959" s="219"/>
      <c r="O959" s="48"/>
    </row>
    <row r="960" spans="1:15" customFormat="1" ht="33" customHeight="1" x14ac:dyDescent="0.25">
      <c r="A960" s="54">
        <v>10</v>
      </c>
      <c r="B960" s="219" t="s">
        <v>371</v>
      </c>
      <c r="C960" s="219"/>
      <c r="D960" s="219"/>
      <c r="E960" s="219"/>
      <c r="F960" s="219"/>
      <c r="G960" s="219"/>
      <c r="H960" s="219"/>
      <c r="I960" s="219"/>
      <c r="J960" s="219"/>
      <c r="K960" s="219"/>
      <c r="L960" s="219"/>
      <c r="M960" s="219"/>
      <c r="N960" s="219"/>
      <c r="O960" s="48"/>
    </row>
    <row r="961" spans="1:15" customFormat="1" ht="47.25" customHeight="1" x14ac:dyDescent="0.25">
      <c r="A961" s="54">
        <v>11</v>
      </c>
      <c r="B961" s="219" t="s">
        <v>372</v>
      </c>
      <c r="C961" s="219"/>
      <c r="D961" s="219"/>
      <c r="E961" s="219"/>
      <c r="F961" s="219"/>
      <c r="G961" s="219"/>
      <c r="H961" s="219"/>
      <c r="I961" s="219"/>
      <c r="J961" s="219"/>
      <c r="K961" s="219"/>
      <c r="L961" s="219"/>
      <c r="M961" s="219"/>
      <c r="N961" s="219"/>
      <c r="O961" s="48"/>
    </row>
    <row r="962" spans="1:15" customFormat="1" ht="15" customHeight="1" x14ac:dyDescent="0.25">
      <c r="A962" s="72" t="s">
        <v>458</v>
      </c>
      <c r="B962" s="383" t="s">
        <v>351</v>
      </c>
      <c r="C962" s="383"/>
      <c r="D962" s="383"/>
      <c r="E962" s="383"/>
      <c r="F962" s="383"/>
      <c r="G962" s="383"/>
      <c r="H962" s="383"/>
      <c r="I962" s="383"/>
      <c r="J962" s="383"/>
      <c r="K962" s="383"/>
      <c r="L962" s="383"/>
      <c r="M962" s="383"/>
      <c r="N962" s="383"/>
      <c r="O962" s="57"/>
    </row>
    <row r="963" spans="1:15" customFormat="1" ht="51" customHeight="1" x14ac:dyDescent="0.25">
      <c r="A963" s="54">
        <v>12</v>
      </c>
      <c r="B963" s="219" t="s">
        <v>373</v>
      </c>
      <c r="C963" s="219"/>
      <c r="D963" s="219"/>
      <c r="E963" s="219"/>
      <c r="F963" s="219"/>
      <c r="G963" s="219"/>
      <c r="H963" s="219"/>
      <c r="I963" s="219"/>
      <c r="J963" s="219"/>
      <c r="K963" s="219"/>
      <c r="L963" s="219"/>
      <c r="M963" s="219"/>
      <c r="N963" s="219"/>
      <c r="O963" s="57"/>
    </row>
    <row r="964" spans="1:15" customFormat="1" ht="33" customHeight="1" x14ac:dyDescent="0.25">
      <c r="A964" s="54">
        <v>13</v>
      </c>
      <c r="B964" s="219" t="s">
        <v>374</v>
      </c>
      <c r="C964" s="219"/>
      <c r="D964" s="219"/>
      <c r="E964" s="219"/>
      <c r="F964" s="219"/>
      <c r="G964" s="219"/>
      <c r="H964" s="219"/>
      <c r="I964" s="219"/>
      <c r="J964" s="219"/>
      <c r="K964" s="219"/>
      <c r="L964" s="219"/>
      <c r="M964" s="219"/>
      <c r="N964" s="219"/>
      <c r="O964" s="57"/>
    </row>
    <row r="965" spans="1:15" customFormat="1" ht="33" customHeight="1" x14ac:dyDescent="0.25">
      <c r="A965" s="54">
        <v>14</v>
      </c>
      <c r="B965" s="219" t="s">
        <v>376</v>
      </c>
      <c r="C965" s="219"/>
      <c r="D965" s="219"/>
      <c r="E965" s="219"/>
      <c r="F965" s="219"/>
      <c r="G965" s="219"/>
      <c r="H965" s="219"/>
      <c r="I965" s="219"/>
      <c r="J965" s="219"/>
      <c r="K965" s="219"/>
      <c r="L965" s="219"/>
      <c r="M965" s="219"/>
      <c r="N965" s="219"/>
      <c r="O965" s="57"/>
    </row>
    <row r="966" spans="1:15" customFormat="1" ht="33" customHeight="1" x14ac:dyDescent="0.25">
      <c r="A966" s="54">
        <v>15</v>
      </c>
      <c r="B966" s="219" t="s">
        <v>375</v>
      </c>
      <c r="C966" s="219"/>
      <c r="D966" s="219"/>
      <c r="E966" s="219"/>
      <c r="F966" s="219"/>
      <c r="G966" s="219"/>
      <c r="H966" s="219"/>
      <c r="I966" s="219"/>
      <c r="J966" s="219"/>
      <c r="K966" s="219"/>
      <c r="L966" s="219"/>
      <c r="M966" s="219"/>
      <c r="N966" s="219"/>
      <c r="O966" s="57"/>
    </row>
    <row r="967" spans="1:15" customFormat="1" ht="63" customHeight="1" x14ac:dyDescent="0.25">
      <c r="A967" s="54">
        <v>16</v>
      </c>
      <c r="B967" s="219" t="s">
        <v>377</v>
      </c>
      <c r="C967" s="219"/>
      <c r="D967" s="219"/>
      <c r="E967" s="219"/>
      <c r="F967" s="219"/>
      <c r="G967" s="219"/>
      <c r="H967" s="219"/>
      <c r="I967" s="219"/>
      <c r="J967" s="219"/>
      <c r="K967" s="219"/>
      <c r="L967" s="219"/>
      <c r="M967" s="219"/>
      <c r="N967" s="219"/>
      <c r="O967" s="57"/>
    </row>
    <row r="968" spans="1:15" customFormat="1" ht="33" customHeight="1" x14ac:dyDescent="0.25">
      <c r="A968" s="54">
        <v>17</v>
      </c>
      <c r="B968" s="219" t="s">
        <v>363</v>
      </c>
      <c r="C968" s="219"/>
      <c r="D968" s="219"/>
      <c r="E968" s="219"/>
      <c r="F968" s="219"/>
      <c r="G968" s="219"/>
      <c r="H968" s="219"/>
      <c r="I968" s="219"/>
      <c r="J968" s="219"/>
      <c r="K968" s="219"/>
      <c r="L968" s="219"/>
      <c r="M968" s="219"/>
      <c r="N968" s="219"/>
      <c r="O968" s="57"/>
    </row>
    <row r="969" spans="1:15" customFormat="1" x14ac:dyDescent="0.25">
      <c r="A969" s="54">
        <v>18</v>
      </c>
      <c r="B969" s="219" t="s">
        <v>366</v>
      </c>
      <c r="C969" s="219"/>
      <c r="D969" s="219"/>
      <c r="E969" s="219"/>
      <c r="F969" s="219"/>
      <c r="G969" s="219"/>
      <c r="H969" s="219"/>
      <c r="I969" s="219"/>
      <c r="J969" s="219"/>
      <c r="K969" s="219"/>
      <c r="L969" s="219"/>
      <c r="M969" s="219"/>
      <c r="N969" s="219"/>
      <c r="O969" s="57"/>
    </row>
    <row r="970" spans="1:15" customFormat="1" ht="32.25" customHeight="1" x14ac:dyDescent="0.25">
      <c r="A970" s="54">
        <v>19</v>
      </c>
      <c r="B970" s="219" t="s">
        <v>352</v>
      </c>
      <c r="C970" s="219"/>
      <c r="D970" s="219"/>
      <c r="E970" s="219"/>
      <c r="F970" s="219"/>
      <c r="G970" s="219"/>
      <c r="H970" s="219"/>
      <c r="I970" s="219"/>
      <c r="J970" s="219"/>
      <c r="K970" s="219"/>
      <c r="L970" s="219"/>
      <c r="M970" s="219"/>
      <c r="N970" s="219"/>
      <c r="O970" s="57"/>
    </row>
    <row r="971" spans="1:15" customFormat="1" ht="15" customHeight="1" x14ac:dyDescent="0.25">
      <c r="A971" s="72" t="s">
        <v>458</v>
      </c>
      <c r="B971" s="383" t="s">
        <v>353</v>
      </c>
      <c r="C971" s="383"/>
      <c r="D971" s="383"/>
      <c r="E971" s="383"/>
      <c r="F971" s="383"/>
      <c r="G971" s="383"/>
      <c r="H971" s="383"/>
      <c r="I971" s="383"/>
      <c r="J971" s="383"/>
      <c r="K971" s="383"/>
      <c r="L971" s="383"/>
      <c r="M971" s="383"/>
      <c r="N971" s="383"/>
      <c r="O971" s="57"/>
    </row>
    <row r="972" spans="1:15" customFormat="1" ht="29.45" customHeight="1" x14ac:dyDescent="0.25">
      <c r="A972" s="54">
        <v>20</v>
      </c>
      <c r="B972" s="219" t="s">
        <v>367</v>
      </c>
      <c r="C972" s="374"/>
      <c r="D972" s="374"/>
      <c r="E972" s="374"/>
      <c r="F972" s="374"/>
      <c r="G972" s="374"/>
      <c r="H972" s="374"/>
      <c r="I972" s="374"/>
      <c r="J972" s="374"/>
      <c r="K972" s="374"/>
      <c r="L972" s="374"/>
      <c r="M972" s="374"/>
      <c r="N972" s="374"/>
      <c r="O972" s="57"/>
    </row>
    <row r="973" spans="1:15" customFormat="1" ht="15" customHeight="1" x14ac:dyDescent="0.25">
      <c r="A973" s="72" t="s">
        <v>458</v>
      </c>
      <c r="B973" s="371" t="s">
        <v>354</v>
      </c>
      <c r="C973" s="371"/>
      <c r="D973" s="371"/>
      <c r="E973" s="371"/>
      <c r="F973" s="371"/>
      <c r="G973" s="371"/>
      <c r="H973" s="371"/>
      <c r="I973" s="371"/>
      <c r="J973" s="371"/>
      <c r="K973" s="371"/>
      <c r="L973" s="371"/>
      <c r="M973" s="371"/>
      <c r="N973" s="371"/>
      <c r="O973" s="57"/>
    </row>
    <row r="974" spans="1:15" customFormat="1" ht="46.5" customHeight="1" x14ac:dyDescent="0.25">
      <c r="A974" s="54">
        <v>21</v>
      </c>
      <c r="B974" s="219" t="s">
        <v>368</v>
      </c>
      <c r="C974" s="219"/>
      <c r="D974" s="219"/>
      <c r="E974" s="219"/>
      <c r="F974" s="219"/>
      <c r="G974" s="219"/>
      <c r="H974" s="219"/>
      <c r="I974" s="219"/>
      <c r="J974" s="219"/>
      <c r="K974" s="219"/>
      <c r="L974" s="219"/>
      <c r="M974" s="219"/>
      <c r="N974" s="219"/>
      <c r="O974" s="57"/>
    </row>
    <row r="975" spans="1:15" customFormat="1" ht="33.6" customHeight="1" x14ac:dyDescent="0.25">
      <c r="A975" s="54">
        <v>22</v>
      </c>
      <c r="B975" s="219" t="s">
        <v>369</v>
      </c>
      <c r="C975" s="219"/>
      <c r="D975" s="219"/>
      <c r="E975" s="219"/>
      <c r="F975" s="219"/>
      <c r="G975" s="219"/>
      <c r="H975" s="219"/>
      <c r="I975" s="219"/>
      <c r="J975" s="219"/>
      <c r="K975" s="219"/>
      <c r="L975" s="219"/>
      <c r="M975" s="219"/>
      <c r="N975" s="219"/>
      <c r="O975" s="57"/>
    </row>
    <row r="976" spans="1:15" customFormat="1" ht="31.5" customHeight="1" x14ac:dyDescent="0.25">
      <c r="A976" s="54">
        <v>23</v>
      </c>
      <c r="B976" s="219" t="s">
        <v>370</v>
      </c>
      <c r="C976" s="219"/>
      <c r="D976" s="219"/>
      <c r="E976" s="219"/>
      <c r="F976" s="219"/>
      <c r="G976" s="219"/>
      <c r="H976" s="219"/>
      <c r="I976" s="219"/>
      <c r="J976" s="219"/>
      <c r="K976" s="219"/>
      <c r="L976" s="219"/>
      <c r="M976" s="219"/>
      <c r="N976" s="219"/>
      <c r="O976" s="57"/>
    </row>
    <row r="977" spans="1:15" customFormat="1" ht="65.25" customHeight="1" x14ac:dyDescent="0.25">
      <c r="A977" s="54">
        <v>24</v>
      </c>
      <c r="B977" s="219" t="s">
        <v>355</v>
      </c>
      <c r="C977" s="219"/>
      <c r="D977" s="219"/>
      <c r="E977" s="219"/>
      <c r="F977" s="219"/>
      <c r="G977" s="219"/>
      <c r="H977" s="219"/>
      <c r="I977" s="219"/>
      <c r="J977" s="219"/>
      <c r="K977" s="219"/>
      <c r="L977" s="219"/>
      <c r="M977" s="219"/>
      <c r="N977" s="219"/>
      <c r="O977" s="57"/>
    </row>
    <row r="978" spans="1:15" customFormat="1" ht="15" customHeight="1" x14ac:dyDescent="0.25">
      <c r="A978" s="72" t="s">
        <v>458</v>
      </c>
      <c r="B978" s="383" t="s">
        <v>356</v>
      </c>
      <c r="C978" s="383"/>
      <c r="D978" s="383"/>
      <c r="E978" s="383"/>
      <c r="F978" s="383"/>
      <c r="G978" s="383"/>
      <c r="H978" s="383"/>
      <c r="I978" s="383"/>
      <c r="J978" s="383"/>
      <c r="K978" s="383"/>
      <c r="L978" s="383"/>
      <c r="M978" s="383"/>
      <c r="N978" s="383"/>
      <c r="O978" s="57"/>
    </row>
    <row r="979" spans="1:15" customFormat="1" ht="43.9" customHeight="1" x14ac:dyDescent="0.25">
      <c r="A979" s="54">
        <v>25</v>
      </c>
      <c r="B979" s="219" t="s">
        <v>378</v>
      </c>
      <c r="C979" s="374"/>
      <c r="D979" s="374"/>
      <c r="E979" s="374"/>
      <c r="F979" s="374"/>
      <c r="G979" s="374"/>
      <c r="H979" s="374"/>
      <c r="I979" s="374"/>
      <c r="J979" s="374"/>
      <c r="K979" s="374"/>
      <c r="L979" s="374"/>
      <c r="M979" s="374"/>
      <c r="N979" s="374"/>
      <c r="O979" s="57"/>
    </row>
    <row r="980" spans="1:15" customFormat="1" ht="28.15" customHeight="1" x14ac:dyDescent="0.25">
      <c r="A980" s="54">
        <v>26</v>
      </c>
      <c r="B980" s="219" t="s">
        <v>379</v>
      </c>
      <c r="C980" s="374"/>
      <c r="D980" s="374"/>
      <c r="E980" s="374"/>
      <c r="F980" s="374"/>
      <c r="G980" s="374"/>
      <c r="H980" s="374"/>
      <c r="I980" s="374"/>
      <c r="J980" s="374"/>
      <c r="K980" s="374"/>
      <c r="L980" s="374"/>
      <c r="M980" s="374"/>
      <c r="N980" s="374"/>
      <c r="O980" s="57"/>
    </row>
    <row r="981" spans="1:15" customFormat="1" ht="15" customHeight="1" x14ac:dyDescent="0.25">
      <c r="A981" s="72" t="s">
        <v>458</v>
      </c>
      <c r="B981" s="383" t="s">
        <v>357</v>
      </c>
      <c r="C981" s="383"/>
      <c r="D981" s="383"/>
      <c r="E981" s="383"/>
      <c r="F981" s="383"/>
      <c r="G981" s="383"/>
      <c r="H981" s="383"/>
      <c r="I981" s="383"/>
      <c r="J981" s="383"/>
      <c r="K981" s="383"/>
      <c r="L981" s="383"/>
      <c r="M981" s="383"/>
      <c r="N981" s="383"/>
      <c r="O981" s="57"/>
    </row>
    <row r="982" spans="1:15" customFormat="1" ht="33.75" customHeight="1" x14ac:dyDescent="0.25">
      <c r="A982" s="54">
        <v>27</v>
      </c>
      <c r="B982" s="219" t="s">
        <v>380</v>
      </c>
      <c r="C982" s="374"/>
      <c r="D982" s="374"/>
      <c r="E982" s="374"/>
      <c r="F982" s="374"/>
      <c r="G982" s="374"/>
      <c r="H982" s="374"/>
      <c r="I982" s="374"/>
      <c r="J982" s="374"/>
      <c r="K982" s="374"/>
      <c r="L982" s="374"/>
      <c r="M982" s="374"/>
      <c r="N982" s="374"/>
      <c r="O982" s="57"/>
    </row>
    <row r="983" spans="1:15" customFormat="1" ht="32.25" customHeight="1" x14ac:dyDescent="0.25">
      <c r="A983" s="54">
        <v>28</v>
      </c>
      <c r="B983" s="374" t="s">
        <v>421</v>
      </c>
      <c r="C983" s="374"/>
      <c r="D983" s="374"/>
      <c r="E983" s="374"/>
      <c r="F983" s="374"/>
      <c r="G983" s="374"/>
      <c r="H983" s="374"/>
      <c r="I983" s="374"/>
      <c r="J983" s="374"/>
      <c r="K983" s="374"/>
      <c r="L983" s="374"/>
      <c r="M983" s="374"/>
      <c r="N983" s="374"/>
      <c r="O983" s="57"/>
    </row>
    <row r="984" spans="1:15" customFormat="1" x14ac:dyDescent="0.25">
      <c r="A984" s="54">
        <v>29</v>
      </c>
      <c r="B984" s="219" t="s">
        <v>381</v>
      </c>
      <c r="C984" s="374"/>
      <c r="D984" s="374"/>
      <c r="E984" s="374"/>
      <c r="F984" s="374"/>
      <c r="G984" s="374"/>
      <c r="H984" s="374"/>
      <c r="I984" s="374"/>
      <c r="J984" s="374"/>
      <c r="K984" s="374"/>
      <c r="L984" s="374"/>
      <c r="M984" s="374"/>
      <c r="N984" s="374"/>
      <c r="O984" s="57"/>
    </row>
    <row r="985" spans="1:15" customFormat="1" x14ac:dyDescent="0.25">
      <c r="A985" s="54">
        <v>30</v>
      </c>
      <c r="B985" s="219" t="s">
        <v>382</v>
      </c>
      <c r="C985" s="374"/>
      <c r="D985" s="374"/>
      <c r="E985" s="374"/>
      <c r="F985" s="374"/>
      <c r="G985" s="374"/>
      <c r="H985" s="374"/>
      <c r="I985" s="374"/>
      <c r="J985" s="374"/>
      <c r="K985" s="374"/>
      <c r="L985" s="374"/>
      <c r="M985" s="374"/>
      <c r="N985" s="374"/>
      <c r="O985" s="57"/>
    </row>
    <row r="986" spans="1:15" customFormat="1" x14ac:dyDescent="0.25">
      <c r="A986" s="72" t="s">
        <v>458</v>
      </c>
      <c r="B986" s="383" t="s">
        <v>282</v>
      </c>
      <c r="C986" s="383"/>
      <c r="D986" s="383"/>
      <c r="E986" s="383"/>
      <c r="F986" s="383"/>
      <c r="G986" s="383"/>
      <c r="H986" s="383"/>
      <c r="I986" s="383"/>
      <c r="J986" s="383"/>
      <c r="K986" s="383"/>
      <c r="L986" s="383"/>
      <c r="M986" s="383"/>
      <c r="N986" s="383"/>
      <c r="O986" s="57"/>
    </row>
    <row r="987" spans="1:15" customFormat="1" ht="33.75" customHeight="1" x14ac:dyDescent="0.25">
      <c r="A987" s="54">
        <v>31</v>
      </c>
      <c r="B987" s="219" t="s">
        <v>383</v>
      </c>
      <c r="C987" s="374"/>
      <c r="D987" s="374"/>
      <c r="E987" s="374"/>
      <c r="F987" s="374"/>
      <c r="G987" s="374"/>
      <c r="H987" s="374"/>
      <c r="I987" s="374"/>
      <c r="J987" s="374"/>
      <c r="K987" s="374"/>
      <c r="L987" s="374"/>
      <c r="M987" s="374"/>
      <c r="N987" s="374"/>
      <c r="O987" s="57"/>
    </row>
    <row r="988" spans="1:15" customFormat="1" x14ac:dyDescent="0.25">
      <c r="A988" s="54">
        <v>32</v>
      </c>
      <c r="B988" s="219" t="s">
        <v>384</v>
      </c>
      <c r="C988" s="374"/>
      <c r="D988" s="374"/>
      <c r="E988" s="374"/>
      <c r="F988" s="374"/>
      <c r="G988" s="374"/>
      <c r="H988" s="374"/>
      <c r="I988" s="374"/>
      <c r="J988" s="374"/>
      <c r="K988" s="374"/>
      <c r="L988" s="374"/>
      <c r="M988" s="374"/>
      <c r="N988" s="374"/>
      <c r="O988" s="57"/>
    </row>
    <row r="989" spans="1:15" customFormat="1" ht="59.25" customHeight="1" x14ac:dyDescent="0.25">
      <c r="A989" s="302"/>
      <c r="B989" s="239" t="s">
        <v>358</v>
      </c>
      <c r="C989" s="240"/>
      <c r="D989" s="240"/>
      <c r="E989" s="240"/>
      <c r="F989" s="240"/>
      <c r="G989" s="240"/>
      <c r="H989" s="391"/>
      <c r="I989" s="392"/>
      <c r="J989" s="393"/>
      <c r="K989" s="393"/>
      <c r="L989" s="393"/>
      <c r="M989" s="393"/>
      <c r="N989" s="394"/>
    </row>
    <row r="990" spans="1:15" customFormat="1" x14ac:dyDescent="0.25">
      <c r="A990" s="260"/>
      <c r="B990" s="395" t="s">
        <v>359</v>
      </c>
      <c r="C990" s="396"/>
      <c r="D990" s="396"/>
      <c r="E990" s="396"/>
      <c r="F990" s="396"/>
      <c r="G990" s="396"/>
      <c r="H990" s="397"/>
      <c r="I990" s="401" t="s">
        <v>360</v>
      </c>
      <c r="J990" s="402"/>
      <c r="K990" s="402"/>
      <c r="L990" s="402"/>
      <c r="M990" s="402"/>
      <c r="N990" s="403"/>
    </row>
    <row r="991" spans="1:15" customFormat="1" ht="85.5" customHeight="1" x14ac:dyDescent="0.25">
      <c r="A991" s="260"/>
      <c r="B991" s="398"/>
      <c r="C991" s="399"/>
      <c r="D991" s="399"/>
      <c r="E991" s="399"/>
      <c r="F991" s="399"/>
      <c r="G991" s="399"/>
      <c r="H991" s="400"/>
      <c r="I991" s="404" t="s">
        <v>438</v>
      </c>
      <c r="J991" s="405"/>
      <c r="K991" s="405"/>
      <c r="L991" s="405"/>
      <c r="M991" s="405"/>
      <c r="N991" s="406"/>
    </row>
    <row r="992" spans="1:15" s="49" customFormat="1" ht="31.5" customHeight="1" x14ac:dyDescent="0.25">
      <c r="A992" s="260"/>
      <c r="B992" s="376" t="s">
        <v>285</v>
      </c>
      <c r="C992" s="376"/>
      <c r="D992" s="376" t="s">
        <v>286</v>
      </c>
      <c r="E992" s="376"/>
      <c r="F992" s="376"/>
      <c r="G992" s="376"/>
      <c r="H992" s="376"/>
      <c r="I992" s="376" t="s">
        <v>232</v>
      </c>
      <c r="J992" s="376"/>
      <c r="K992" s="407" t="str">
        <f ca="1">TEXT(TODAY(),"DD/MM/YYYY")</f>
        <v>26/09/2025</v>
      </c>
      <c r="L992" s="407"/>
      <c r="M992" s="407"/>
      <c r="N992" s="407"/>
    </row>
    <row r="993" spans="1:14" ht="15" customHeight="1" x14ac:dyDescent="0.25">
      <c r="A993" s="12"/>
    </row>
    <row r="994" spans="1:14" x14ac:dyDescent="0.25">
      <c r="A994" s="12"/>
      <c r="B994" s="55"/>
      <c r="C994" s="55"/>
      <c r="D994" s="55"/>
      <c r="E994" s="55"/>
      <c r="F994" s="55"/>
      <c r="G994" s="55"/>
      <c r="H994" s="55"/>
      <c r="I994" s="55"/>
      <c r="J994" s="55"/>
      <c r="K994" s="55"/>
      <c r="L994" s="55"/>
      <c r="M994" s="55"/>
      <c r="N994" s="55"/>
    </row>
  </sheetData>
  <mergeCells count="1017">
    <mergeCell ref="L401:M401"/>
    <mergeCell ref="L402:M402"/>
    <mergeCell ref="A501:B501"/>
    <mergeCell ref="C501:H501"/>
    <mergeCell ref="A502:B502"/>
    <mergeCell ref="C502:H502"/>
    <mergeCell ref="A505:B505"/>
    <mergeCell ref="C505:H505"/>
    <mergeCell ref="A506:B506"/>
    <mergeCell ref="C506:H506"/>
    <mergeCell ref="A507:B507"/>
    <mergeCell ref="C507:H507"/>
    <mergeCell ref="A475:B475"/>
    <mergeCell ref="A489:B489"/>
    <mergeCell ref="M454:N454"/>
    <mergeCell ref="M666:N666"/>
    <mergeCell ref="B517:N517"/>
    <mergeCell ref="A479:H479"/>
    <mergeCell ref="I466:N466"/>
    <mergeCell ref="A467:H467"/>
    <mergeCell ref="I467:N467"/>
    <mergeCell ref="A675:J675"/>
    <mergeCell ref="M675:N675"/>
    <mergeCell ref="A674:J674"/>
    <mergeCell ref="C667:D667"/>
    <mergeCell ref="A469:H469"/>
    <mergeCell ref="I469:N469"/>
    <mergeCell ref="A470:H470"/>
    <mergeCell ref="I470:N470"/>
    <mergeCell ref="C477:H477"/>
    <mergeCell ref="A473:B473"/>
    <mergeCell ref="A474:B474"/>
    <mergeCell ref="M674:N674"/>
    <mergeCell ref="C666:D666"/>
    <mergeCell ref="A672:B672"/>
    <mergeCell ref="M672:N672"/>
    <mergeCell ref="A669:B669"/>
    <mergeCell ref="B525:N525"/>
    <mergeCell ref="B516:N516"/>
    <mergeCell ref="C493:H493"/>
    <mergeCell ref="A494:B494"/>
    <mergeCell ref="C489:H489"/>
    <mergeCell ref="A455:N455"/>
    <mergeCell ref="H463:I463"/>
    <mergeCell ref="M463:N463"/>
    <mergeCell ref="A460:N460"/>
    <mergeCell ref="M459:N459"/>
    <mergeCell ref="A465:H465"/>
    <mergeCell ref="I465:N465"/>
    <mergeCell ref="A481:B481"/>
    <mergeCell ref="H456:I456"/>
    <mergeCell ref="M456:N456"/>
    <mergeCell ref="A456:B456"/>
    <mergeCell ref="K463:L463"/>
    <mergeCell ref="K456:L456"/>
    <mergeCell ref="A476:B476"/>
    <mergeCell ref="A477:B477"/>
    <mergeCell ref="A487:B487"/>
    <mergeCell ref="C487:H487"/>
    <mergeCell ref="A488:B488"/>
    <mergeCell ref="C488:H488"/>
    <mergeCell ref="A463:B463"/>
    <mergeCell ref="H459:I459"/>
    <mergeCell ref="C480:H480"/>
    <mergeCell ref="A471:H471"/>
    <mergeCell ref="A464:N464"/>
    <mergeCell ref="I471:N471"/>
    <mergeCell ref="C473:H473"/>
    <mergeCell ref="C474:H474"/>
    <mergeCell ref="C475:H475"/>
    <mergeCell ref="C476:H476"/>
    <mergeCell ref="K457:L457"/>
    <mergeCell ref="K459:L459"/>
    <mergeCell ref="E271:E273"/>
    <mergeCell ref="M230:M232"/>
    <mergeCell ref="B230:B232"/>
    <mergeCell ref="C230:C232"/>
    <mergeCell ref="D230:D232"/>
    <mergeCell ref="E230:E232"/>
    <mergeCell ref="H230:H232"/>
    <mergeCell ref="I230:I232"/>
    <mergeCell ref="B197:H197"/>
    <mergeCell ref="A222:N222"/>
    <mergeCell ref="L216:N216"/>
    <mergeCell ref="G230:G232"/>
    <mergeCell ref="B227:H227"/>
    <mergeCell ref="I216:K216"/>
    <mergeCell ref="B236:B252"/>
    <mergeCell ref="B253:B269"/>
    <mergeCell ref="L203:N203"/>
    <mergeCell ref="E216:H216"/>
    <mergeCell ref="I215:K215"/>
    <mergeCell ref="I158:N158"/>
    <mergeCell ref="I159:N159"/>
    <mergeCell ref="B159:H159"/>
    <mergeCell ref="I217:K217"/>
    <mergeCell ref="A167:A170"/>
    <mergeCell ref="A189:A190"/>
    <mergeCell ref="A229:N229"/>
    <mergeCell ref="A270:N270"/>
    <mergeCell ref="B172:H172"/>
    <mergeCell ref="B173:H173"/>
    <mergeCell ref="B174:H174"/>
    <mergeCell ref="I172:N177"/>
    <mergeCell ref="B166:H166"/>
    <mergeCell ref="I157:N157"/>
    <mergeCell ref="B171:N171"/>
    <mergeCell ref="A178:A184"/>
    <mergeCell ref="B185:N185"/>
    <mergeCell ref="B111:H111"/>
    <mergeCell ref="I111:N111"/>
    <mergeCell ref="B112:H112"/>
    <mergeCell ref="B147:H147"/>
    <mergeCell ref="B127:H127"/>
    <mergeCell ref="I127:N127"/>
    <mergeCell ref="A171:A177"/>
    <mergeCell ref="I119:N119"/>
    <mergeCell ref="B120:H120"/>
    <mergeCell ref="I120:N120"/>
    <mergeCell ref="B121:H121"/>
    <mergeCell ref="A125:N125"/>
    <mergeCell ref="I129:N129"/>
    <mergeCell ref="B130:H130"/>
    <mergeCell ref="A462:B462"/>
    <mergeCell ref="B163:H163"/>
    <mergeCell ref="B160:H160"/>
    <mergeCell ref="B158:H158"/>
    <mergeCell ref="M138:N138"/>
    <mergeCell ref="I140:J140"/>
    <mergeCell ref="L150:N150"/>
    <mergeCell ref="B148:H148"/>
    <mergeCell ref="B149:H150"/>
    <mergeCell ref="B167:N167"/>
    <mergeCell ref="E215:H215"/>
    <mergeCell ref="H461:I461"/>
    <mergeCell ref="B155:N155"/>
    <mergeCell ref="B154:H154"/>
    <mergeCell ref="L217:N217"/>
    <mergeCell ref="B157:H157"/>
    <mergeCell ref="B161:H161"/>
    <mergeCell ref="B162:H162"/>
    <mergeCell ref="K133:N133"/>
    <mergeCell ref="K134:N134"/>
    <mergeCell ref="B131:H131"/>
    <mergeCell ref="L89:N89"/>
    <mergeCell ref="L90:N90"/>
    <mergeCell ref="L91:N91"/>
    <mergeCell ref="L92:N92"/>
    <mergeCell ref="B78:N78"/>
    <mergeCell ref="B84:N84"/>
    <mergeCell ref="M85:N85"/>
    <mergeCell ref="B80:H80"/>
    <mergeCell ref="I80:N80"/>
    <mergeCell ref="B81:H81"/>
    <mergeCell ref="I81:N81"/>
    <mergeCell ref="L99:N99"/>
    <mergeCell ref="A515:N515"/>
    <mergeCell ref="A500:B500"/>
    <mergeCell ref="C500:H500"/>
    <mergeCell ref="C494:H494"/>
    <mergeCell ref="A495:B495"/>
    <mergeCell ref="C495:H495"/>
    <mergeCell ref="A498:B498"/>
    <mergeCell ref="C498:H498"/>
    <mergeCell ref="A499:B499"/>
    <mergeCell ref="C499:H499"/>
    <mergeCell ref="A101:N101"/>
    <mergeCell ref="A105:A108"/>
    <mergeCell ref="B105:H108"/>
    <mergeCell ref="B104:H104"/>
    <mergeCell ref="I104:N104"/>
    <mergeCell ref="B114:H114"/>
    <mergeCell ref="I114:N114"/>
    <mergeCell ref="A98:A99"/>
    <mergeCell ref="B98:H99"/>
    <mergeCell ref="I112:N112"/>
    <mergeCell ref="B113:H113"/>
    <mergeCell ref="I105:N105"/>
    <mergeCell ref="B109:H109"/>
    <mergeCell ref="I109:N109"/>
    <mergeCell ref="B110:H110"/>
    <mergeCell ref="B115:H115"/>
    <mergeCell ref="I115:N115"/>
    <mergeCell ref="B116:H116"/>
    <mergeCell ref="A136:A141"/>
    <mergeCell ref="I134:J134"/>
    <mergeCell ref="A127:A130"/>
    <mergeCell ref="I116:N116"/>
    <mergeCell ref="B122:H122"/>
    <mergeCell ref="I122:N122"/>
    <mergeCell ref="I131:N131"/>
    <mergeCell ref="I133:J133"/>
    <mergeCell ref="B117:H117"/>
    <mergeCell ref="I117:N117"/>
    <mergeCell ref="B119:H119"/>
    <mergeCell ref="B118:H118"/>
    <mergeCell ref="I118:N118"/>
    <mergeCell ref="B136:H141"/>
    <mergeCell ref="I137:J137"/>
    <mergeCell ref="M140:N140"/>
    <mergeCell ref="I141:J141"/>
    <mergeCell ref="M141:N141"/>
    <mergeCell ref="K137:L137"/>
    <mergeCell ref="K138:L138"/>
    <mergeCell ref="K140:L140"/>
    <mergeCell ref="I75:N75"/>
    <mergeCell ref="B76:H76"/>
    <mergeCell ref="I76:N76"/>
    <mergeCell ref="B77:H77"/>
    <mergeCell ref="I77:N77"/>
    <mergeCell ref="I87:J87"/>
    <mergeCell ref="I94:N94"/>
    <mergeCell ref="L93:N93"/>
    <mergeCell ref="I92:K92"/>
    <mergeCell ref="I93:K93"/>
    <mergeCell ref="F459:G459"/>
    <mergeCell ref="D459:E459"/>
    <mergeCell ref="F461:G461"/>
    <mergeCell ref="A453:N453"/>
    <mergeCell ref="K454:L454"/>
    <mergeCell ref="A458:B458"/>
    <mergeCell ref="H458:I458"/>
    <mergeCell ref="K458:L458"/>
    <mergeCell ref="M458:N458"/>
    <mergeCell ref="B124:H124"/>
    <mergeCell ref="I124:N124"/>
    <mergeCell ref="B123:H123"/>
    <mergeCell ref="I123:N123"/>
    <mergeCell ref="B126:N126"/>
    <mergeCell ref="I121:N121"/>
    <mergeCell ref="B156:N156"/>
    <mergeCell ref="I152:N152"/>
    <mergeCell ref="I153:N153"/>
    <mergeCell ref="I154:N154"/>
    <mergeCell ref="B153:H153"/>
    <mergeCell ref="M137:N137"/>
    <mergeCell ref="I138:J138"/>
    <mergeCell ref="I95:N95"/>
    <mergeCell ref="B89:H89"/>
    <mergeCell ref="B68:H68"/>
    <mergeCell ref="I68:N68"/>
    <mergeCell ref="B70:H70"/>
    <mergeCell ref="I70:N70"/>
    <mergeCell ref="B62:H62"/>
    <mergeCell ref="I62:N62"/>
    <mergeCell ref="A64:N64"/>
    <mergeCell ref="M88:N88"/>
    <mergeCell ref="F85:H85"/>
    <mergeCell ref="F86:H86"/>
    <mergeCell ref="F87:H87"/>
    <mergeCell ref="F88:H88"/>
    <mergeCell ref="A85:E85"/>
    <mergeCell ref="I79:N79"/>
    <mergeCell ref="A78:A80"/>
    <mergeCell ref="M86:N86"/>
    <mergeCell ref="M87:N87"/>
    <mergeCell ref="I85:J85"/>
    <mergeCell ref="K85:L85"/>
    <mergeCell ref="I86:J86"/>
    <mergeCell ref="K87:L87"/>
    <mergeCell ref="I88:J88"/>
    <mergeCell ref="B79:H79"/>
    <mergeCell ref="B63:H63"/>
    <mergeCell ref="I63:N63"/>
    <mergeCell ref="B67:H67"/>
    <mergeCell ref="I67:N67"/>
    <mergeCell ref="B69:H69"/>
    <mergeCell ref="I69:N69"/>
    <mergeCell ref="B72:H72"/>
    <mergeCell ref="A89:A93"/>
    <mergeCell ref="K86:L86"/>
    <mergeCell ref="B129:H129"/>
    <mergeCell ref="I60:N61"/>
    <mergeCell ref="B60:H61"/>
    <mergeCell ref="I66:N66"/>
    <mergeCell ref="I72:N72"/>
    <mergeCell ref="B66:H66"/>
    <mergeCell ref="B71:H71"/>
    <mergeCell ref="I71:N71"/>
    <mergeCell ref="I83:N83"/>
    <mergeCell ref="I132:N132"/>
    <mergeCell ref="B135:H135"/>
    <mergeCell ref="I135:N135"/>
    <mergeCell ref="I130:N130"/>
    <mergeCell ref="B65:H65"/>
    <mergeCell ref="I65:N65"/>
    <mergeCell ref="A86:E86"/>
    <mergeCell ref="A74:A77"/>
    <mergeCell ref="B75:H75"/>
    <mergeCell ref="K88:L88"/>
    <mergeCell ref="I110:N110"/>
    <mergeCell ref="I108:N108"/>
    <mergeCell ref="I113:N113"/>
    <mergeCell ref="I106:N106"/>
    <mergeCell ref="I107:N107"/>
    <mergeCell ref="B100:H100"/>
    <mergeCell ref="I100:N100"/>
    <mergeCell ref="I89:K89"/>
    <mergeCell ref="I90:K90"/>
    <mergeCell ref="I91:K91"/>
    <mergeCell ref="B95:H95"/>
    <mergeCell ref="B90:H90"/>
    <mergeCell ref="B91:H91"/>
    <mergeCell ref="B92:H92"/>
    <mergeCell ref="B93:H93"/>
    <mergeCell ref="B94:H94"/>
    <mergeCell ref="B183:H183"/>
    <mergeCell ref="B184:H184"/>
    <mergeCell ref="B180:H180"/>
    <mergeCell ref="B181:H181"/>
    <mergeCell ref="B182:H182"/>
    <mergeCell ref="B177:H177"/>
    <mergeCell ref="B196:H196"/>
    <mergeCell ref="I196:N196"/>
    <mergeCell ref="I198:N198"/>
    <mergeCell ref="L215:N215"/>
    <mergeCell ref="B198:H198"/>
    <mergeCell ref="A60:A61"/>
    <mergeCell ref="A96:A97"/>
    <mergeCell ref="B96:H97"/>
    <mergeCell ref="B82:H82"/>
    <mergeCell ref="I82:N82"/>
    <mergeCell ref="B102:H102"/>
    <mergeCell ref="I102:N102"/>
    <mergeCell ref="B103:H103"/>
    <mergeCell ref="I103:N103"/>
    <mergeCell ref="L96:N96"/>
    <mergeCell ref="I96:K96"/>
    <mergeCell ref="I97:K97"/>
    <mergeCell ref="I98:K98"/>
    <mergeCell ref="I99:K99"/>
    <mergeCell ref="L97:N97"/>
    <mergeCell ref="L98:N98"/>
    <mergeCell ref="A233:N233"/>
    <mergeCell ref="A230:A232"/>
    <mergeCell ref="A228:N228"/>
    <mergeCell ref="I221:K221"/>
    <mergeCell ref="A271:A273"/>
    <mergeCell ref="B271:B273"/>
    <mergeCell ref="L221:N221"/>
    <mergeCell ref="A235:N235"/>
    <mergeCell ref="G271:G273"/>
    <mergeCell ref="F271:F273"/>
    <mergeCell ref="F360:F362"/>
    <mergeCell ref="G360:G362"/>
    <mergeCell ref="F230:F232"/>
    <mergeCell ref="A234:N234"/>
    <mergeCell ref="A275:N275"/>
    <mergeCell ref="A276:N276"/>
    <mergeCell ref="A358:N358"/>
    <mergeCell ref="C360:C362"/>
    <mergeCell ref="D360:D362"/>
    <mergeCell ref="A357:N357"/>
    <mergeCell ref="H360:H362"/>
    <mergeCell ref="A359:N359"/>
    <mergeCell ref="I226:K226"/>
    <mergeCell ref="L226:N226"/>
    <mergeCell ref="A221:D221"/>
    <mergeCell ref="L230:L232"/>
    <mergeCell ref="N230:N232"/>
    <mergeCell ref="B277:B284"/>
    <mergeCell ref="B285:B292"/>
    <mergeCell ref="B301:B308"/>
    <mergeCell ref="B309:B316"/>
    <mergeCell ref="L348:M348"/>
    <mergeCell ref="A875:N875"/>
    <mergeCell ref="A876:N876"/>
    <mergeCell ref="J859:N859"/>
    <mergeCell ref="A877:N877"/>
    <mergeCell ref="A673:B673"/>
    <mergeCell ref="A668:B668"/>
    <mergeCell ref="M671:N671"/>
    <mergeCell ref="A853:B853"/>
    <mergeCell ref="A855:B855"/>
    <mergeCell ref="K871:M871"/>
    <mergeCell ref="C871:J871"/>
    <mergeCell ref="C671:D671"/>
    <mergeCell ref="C672:D672"/>
    <mergeCell ref="C673:D673"/>
    <mergeCell ref="M667:N667"/>
    <mergeCell ref="M670:N670"/>
    <mergeCell ref="A671:B671"/>
    <mergeCell ref="M673:N673"/>
    <mergeCell ref="M668:N668"/>
    <mergeCell ref="M669:N669"/>
    <mergeCell ref="A670:B670"/>
    <mergeCell ref="K872:M872"/>
    <mergeCell ref="C872:J872"/>
    <mergeCell ref="C668:D668"/>
    <mergeCell ref="C669:D669"/>
    <mergeCell ref="C670:D670"/>
    <mergeCell ref="J865:N865"/>
    <mergeCell ref="A868:N868"/>
    <mergeCell ref="A666:B666"/>
    <mergeCell ref="A667:B667"/>
    <mergeCell ref="K858:M858"/>
    <mergeCell ref="K864:M864"/>
    <mergeCell ref="A862:N862"/>
    <mergeCell ref="B985:N985"/>
    <mergeCell ref="B986:N986"/>
    <mergeCell ref="B987:N987"/>
    <mergeCell ref="B988:N988"/>
    <mergeCell ref="A989:A992"/>
    <mergeCell ref="B989:H989"/>
    <mergeCell ref="I989:N989"/>
    <mergeCell ref="B990:H991"/>
    <mergeCell ref="I990:N990"/>
    <mergeCell ref="I991:N991"/>
    <mergeCell ref="B992:C992"/>
    <mergeCell ref="D992:H992"/>
    <mergeCell ref="I992:J992"/>
    <mergeCell ref="K992:N992"/>
    <mergeCell ref="B959:N959"/>
    <mergeCell ref="B960:N960"/>
    <mergeCell ref="B961:N961"/>
    <mergeCell ref="B962:N962"/>
    <mergeCell ref="B963:N963"/>
    <mergeCell ref="B964:N964"/>
    <mergeCell ref="B965:N965"/>
    <mergeCell ref="B984:N984"/>
    <mergeCell ref="B975:N975"/>
    <mergeCell ref="B976:N976"/>
    <mergeCell ref="B977:N977"/>
    <mergeCell ref="B978:N978"/>
    <mergeCell ref="B979:N979"/>
    <mergeCell ref="B980:N980"/>
    <mergeCell ref="B981:N981"/>
    <mergeCell ref="B982:N982"/>
    <mergeCell ref="B983:N983"/>
    <mergeCell ref="B969:N969"/>
    <mergeCell ref="B949:N949"/>
    <mergeCell ref="B950:N950"/>
    <mergeCell ref="B951:N951"/>
    <mergeCell ref="B952:N952"/>
    <mergeCell ref="B953:N953"/>
    <mergeCell ref="B954:N954"/>
    <mergeCell ref="B955:N955"/>
    <mergeCell ref="B956:N956"/>
    <mergeCell ref="A947:N947"/>
    <mergeCell ref="B922:N922"/>
    <mergeCell ref="B923:N923"/>
    <mergeCell ref="B924:N924"/>
    <mergeCell ref="B925:N925"/>
    <mergeCell ref="B974:N974"/>
    <mergeCell ref="B957:N957"/>
    <mergeCell ref="B958:N958"/>
    <mergeCell ref="B934:N934"/>
    <mergeCell ref="B935:N935"/>
    <mergeCell ref="B945:N945"/>
    <mergeCell ref="B946:N946"/>
    <mergeCell ref="B936:N936"/>
    <mergeCell ref="B937:N937"/>
    <mergeCell ref="A940:N940"/>
    <mergeCell ref="B942:N942"/>
    <mergeCell ref="B943:N943"/>
    <mergeCell ref="B944:N944"/>
    <mergeCell ref="B941:N941"/>
    <mergeCell ref="A939:N939"/>
    <mergeCell ref="B966:N966"/>
    <mergeCell ref="B967:N967"/>
    <mergeCell ref="B968:N968"/>
    <mergeCell ref="B970:N970"/>
    <mergeCell ref="B971:N971"/>
    <mergeCell ref="B972:N972"/>
    <mergeCell ref="B973:N973"/>
    <mergeCell ref="A849:N849"/>
    <mergeCell ref="B899:N899"/>
    <mergeCell ref="B887:N887"/>
    <mergeCell ref="B888:N888"/>
    <mergeCell ref="B889:N889"/>
    <mergeCell ref="B903:N903"/>
    <mergeCell ref="B904:H904"/>
    <mergeCell ref="I904:N904"/>
    <mergeCell ref="B905:H905"/>
    <mergeCell ref="I905:N905"/>
    <mergeCell ref="B890:N890"/>
    <mergeCell ref="B891:N891"/>
    <mergeCell ref="B892:N892"/>
    <mergeCell ref="B893:N893"/>
    <mergeCell ref="B894:N894"/>
    <mergeCell ref="B895:N895"/>
    <mergeCell ref="B896:N896"/>
    <mergeCell ref="B897:N897"/>
    <mergeCell ref="B898:N898"/>
    <mergeCell ref="B900:N900"/>
    <mergeCell ref="B901:N901"/>
    <mergeCell ref="B902:N902"/>
    <mergeCell ref="B878:N878"/>
    <mergeCell ref="B879:N879"/>
    <mergeCell ref="B880:N880"/>
    <mergeCell ref="B881:N881"/>
    <mergeCell ref="B882:N882"/>
    <mergeCell ref="A948:N948"/>
    <mergeCell ref="B883:N883"/>
    <mergeCell ref="B884:N884"/>
    <mergeCell ref="B885:N885"/>
    <mergeCell ref="B886:N886"/>
    <mergeCell ref="A911:A913"/>
    <mergeCell ref="B911:H913"/>
    <mergeCell ref="I911:K911"/>
    <mergeCell ref="I912:K912"/>
    <mergeCell ref="I913:K913"/>
    <mergeCell ref="B906:H906"/>
    <mergeCell ref="I906:N906"/>
    <mergeCell ref="A907:A909"/>
    <mergeCell ref="B907:H907"/>
    <mergeCell ref="I907:N907"/>
    <mergeCell ref="B908:H908"/>
    <mergeCell ref="I908:N908"/>
    <mergeCell ref="B909:H909"/>
    <mergeCell ref="L911:N911"/>
    <mergeCell ref="L912:N912"/>
    <mergeCell ref="L913:N913"/>
    <mergeCell ref="I909:N909"/>
    <mergeCell ref="B910:H910"/>
    <mergeCell ref="I910:N910"/>
    <mergeCell ref="A921:N921"/>
    <mergeCell ref="B938:N938"/>
    <mergeCell ref="B920:H920"/>
    <mergeCell ref="I920:N920"/>
    <mergeCell ref="B914:H914"/>
    <mergeCell ref="I914:N914"/>
    <mergeCell ref="B915:H915"/>
    <mergeCell ref="I915:N915"/>
    <mergeCell ref="B916:H916"/>
    <mergeCell ref="I916:N916"/>
    <mergeCell ref="B917:H917"/>
    <mergeCell ref="I917:N917"/>
    <mergeCell ref="B918:H918"/>
    <mergeCell ref="I918:N918"/>
    <mergeCell ref="B919:H919"/>
    <mergeCell ref="I919:N919"/>
    <mergeCell ref="B926:N926"/>
    <mergeCell ref="B927:N927"/>
    <mergeCell ref="B928:N928"/>
    <mergeCell ref="B929:N929"/>
    <mergeCell ref="B930:N930"/>
    <mergeCell ref="B931:N931"/>
    <mergeCell ref="B932:N932"/>
    <mergeCell ref="B933:N933"/>
    <mergeCell ref="B521:N521"/>
    <mergeCell ref="B519:N519"/>
    <mergeCell ref="B520:N520"/>
    <mergeCell ref="B526:N526"/>
    <mergeCell ref="A573:B573"/>
    <mergeCell ref="C510:H510"/>
    <mergeCell ref="I473:N477"/>
    <mergeCell ref="A512:H512"/>
    <mergeCell ref="I512:N512"/>
    <mergeCell ref="A486:B486"/>
    <mergeCell ref="C486:H486"/>
    <mergeCell ref="B524:N524"/>
    <mergeCell ref="B522:N522"/>
    <mergeCell ref="B523:N523"/>
    <mergeCell ref="A503:N503"/>
    <mergeCell ref="I507:N507"/>
    <mergeCell ref="I510:N510"/>
    <mergeCell ref="I508:N508"/>
    <mergeCell ref="I509:N509"/>
    <mergeCell ref="I505:N505"/>
    <mergeCell ref="I506:N506"/>
    <mergeCell ref="A508:B508"/>
    <mergeCell ref="C508:H508"/>
    <mergeCell ref="A509:B509"/>
    <mergeCell ref="I492:N495"/>
    <mergeCell ref="I498:N502"/>
    <mergeCell ref="A491:H491"/>
    <mergeCell ref="I491:N491"/>
    <mergeCell ref="A497:H497"/>
    <mergeCell ref="A490:N490"/>
    <mergeCell ref="A478:N478"/>
    <mergeCell ref="A496:N496"/>
    <mergeCell ref="B518:N518"/>
    <mergeCell ref="A457:B457"/>
    <mergeCell ref="H457:I457"/>
    <mergeCell ref="M457:N457"/>
    <mergeCell ref="C509:H509"/>
    <mergeCell ref="A510:B510"/>
    <mergeCell ref="A513:N513"/>
    <mergeCell ref="A514:N514"/>
    <mergeCell ref="A511:H511"/>
    <mergeCell ref="I511:N511"/>
    <mergeCell ref="A504:N504"/>
    <mergeCell ref="C481:H481"/>
    <mergeCell ref="A482:B482"/>
    <mergeCell ref="C482:H482"/>
    <mergeCell ref="A483:B483"/>
    <mergeCell ref="C483:H483"/>
    <mergeCell ref="A484:B484"/>
    <mergeCell ref="C484:H484"/>
    <mergeCell ref="A485:B485"/>
    <mergeCell ref="C485:H485"/>
    <mergeCell ref="A492:B492"/>
    <mergeCell ref="C492:H492"/>
    <mergeCell ref="A493:B493"/>
    <mergeCell ref="A468:N468"/>
    <mergeCell ref="A472:H472"/>
    <mergeCell ref="I472:N472"/>
    <mergeCell ref="A466:H466"/>
    <mergeCell ref="I479:N479"/>
    <mergeCell ref="I480:N489"/>
    <mergeCell ref="I497:N497"/>
    <mergeCell ref="A480:B480"/>
    <mergeCell ref="M461:N461"/>
    <mergeCell ref="O200:P200"/>
    <mergeCell ref="J204:K213"/>
    <mergeCell ref="J203:K203"/>
    <mergeCell ref="A201:B201"/>
    <mergeCell ref="I201:J201"/>
    <mergeCell ref="L201:M201"/>
    <mergeCell ref="C271:C273"/>
    <mergeCell ref="D271:D273"/>
    <mergeCell ref="H271:H273"/>
    <mergeCell ref="E205:F205"/>
    <mergeCell ref="E206:F206"/>
    <mergeCell ref="E207:F207"/>
    <mergeCell ref="E208:F208"/>
    <mergeCell ref="E209:F209"/>
    <mergeCell ref="E210:F210"/>
    <mergeCell ref="E211:F211"/>
    <mergeCell ref="E212:F212"/>
    <mergeCell ref="E213:F213"/>
    <mergeCell ref="A218:N218"/>
    <mergeCell ref="I219:K219"/>
    <mergeCell ref="L219:N219"/>
    <mergeCell ref="L204:N213"/>
    <mergeCell ref="E217:H217"/>
    <mergeCell ref="E219:H219"/>
    <mergeCell ref="L223:N223"/>
    <mergeCell ref="I224:K224"/>
    <mergeCell ref="L224:N224"/>
    <mergeCell ref="I227:N227"/>
    <mergeCell ref="I225:K225"/>
    <mergeCell ref="L225:N225"/>
    <mergeCell ref="A4:N4"/>
    <mergeCell ref="A2:N2"/>
    <mergeCell ref="J230:J232"/>
    <mergeCell ref="A205:D205"/>
    <mergeCell ref="G201:H201"/>
    <mergeCell ref="G203:I203"/>
    <mergeCell ref="G204:I204"/>
    <mergeCell ref="G205:I205"/>
    <mergeCell ref="G206:I206"/>
    <mergeCell ref="G207:I207"/>
    <mergeCell ref="G208:I208"/>
    <mergeCell ref="G209:I209"/>
    <mergeCell ref="G210:I210"/>
    <mergeCell ref="G211:I211"/>
    <mergeCell ref="G212:I212"/>
    <mergeCell ref="G213:I213"/>
    <mergeCell ref="I223:K223"/>
    <mergeCell ref="I220:K220"/>
    <mergeCell ref="L220:N220"/>
    <mergeCell ref="A224:D224"/>
    <mergeCell ref="E224:H224"/>
    <mergeCell ref="K230:K231"/>
    <mergeCell ref="I139:N139"/>
    <mergeCell ref="B142:N142"/>
    <mergeCell ref="I128:N128"/>
    <mergeCell ref="I136:N136"/>
    <mergeCell ref="B132:H132"/>
    <mergeCell ref="A42:N42"/>
    <mergeCell ref="A40:N40"/>
    <mergeCell ref="A33:N33"/>
    <mergeCell ref="B59:H59"/>
    <mergeCell ref="A46:N47"/>
    <mergeCell ref="E220:H220"/>
    <mergeCell ref="E221:H221"/>
    <mergeCell ref="A223:D223"/>
    <mergeCell ref="E223:H223"/>
    <mergeCell ref="A220:D220"/>
    <mergeCell ref="A206:D206"/>
    <mergeCell ref="A207:D207"/>
    <mergeCell ref="A208:D208"/>
    <mergeCell ref="A209:D209"/>
    <mergeCell ref="A210:D210"/>
    <mergeCell ref="A211:D211"/>
    <mergeCell ref="A212:D212"/>
    <mergeCell ref="A213:D213"/>
    <mergeCell ref="A9:N9"/>
    <mergeCell ref="A8:N8"/>
    <mergeCell ref="A6:N6"/>
    <mergeCell ref="A34:N34"/>
    <mergeCell ref="A36:N36"/>
    <mergeCell ref="A37:N37"/>
    <mergeCell ref="A38:N38"/>
    <mergeCell ref="I50:N50"/>
    <mergeCell ref="I52:N52"/>
    <mergeCell ref="A45:N45"/>
    <mergeCell ref="A35:N35"/>
    <mergeCell ref="I55:N55"/>
    <mergeCell ref="B56:H56"/>
    <mergeCell ref="I56:N56"/>
    <mergeCell ref="A54:N54"/>
    <mergeCell ref="A56:A57"/>
    <mergeCell ref="B58:H58"/>
    <mergeCell ref="I58:N58"/>
    <mergeCell ref="M189:N189"/>
    <mergeCell ref="A87:E87"/>
    <mergeCell ref="A88:E88"/>
    <mergeCell ref="I59:N59"/>
    <mergeCell ref="M48:N48"/>
    <mergeCell ref="B50:D50"/>
    <mergeCell ref="B52:D52"/>
    <mergeCell ref="B57:H57"/>
    <mergeCell ref="I57:N57"/>
    <mergeCell ref="B55:H55"/>
    <mergeCell ref="B73:H73"/>
    <mergeCell ref="I73:N73"/>
    <mergeCell ref="B74:H74"/>
    <mergeCell ref="I74:N74"/>
    <mergeCell ref="B83:H83"/>
    <mergeCell ref="B146:H146"/>
    <mergeCell ref="A216:D216"/>
    <mergeCell ref="I162:N162"/>
    <mergeCell ref="A214:N214"/>
    <mergeCell ref="I165:N165"/>
    <mergeCell ref="I166:N166"/>
    <mergeCell ref="B165:H165"/>
    <mergeCell ref="I163:N163"/>
    <mergeCell ref="I164:N164"/>
    <mergeCell ref="I160:N160"/>
    <mergeCell ref="I161:N161"/>
    <mergeCell ref="B168:H168"/>
    <mergeCell ref="B169:H169"/>
    <mergeCell ref="B170:H170"/>
    <mergeCell ref="I170:N170"/>
    <mergeCell ref="I168:N169"/>
    <mergeCell ref="A215:D215"/>
    <mergeCell ref="A199:N199"/>
    <mergeCell ref="A202:D202"/>
    <mergeCell ref="E202:N202"/>
    <mergeCell ref="M187:N187"/>
    <mergeCell ref="M188:N188"/>
    <mergeCell ref="B128:H128"/>
    <mergeCell ref="B179:H179"/>
    <mergeCell ref="B175:H175"/>
    <mergeCell ref="B176:H176"/>
    <mergeCell ref="I197:N197"/>
    <mergeCell ref="E203:F203"/>
    <mergeCell ref="A203:D203"/>
    <mergeCell ref="E204:F204"/>
    <mergeCell ref="A204:D204"/>
    <mergeCell ref="A219:D219"/>
    <mergeCell ref="A149:A150"/>
    <mergeCell ref="B151:H151"/>
    <mergeCell ref="I151:N151"/>
    <mergeCell ref="B143:N143"/>
    <mergeCell ref="I149:K149"/>
    <mergeCell ref="B152:H152"/>
    <mergeCell ref="I146:N146"/>
    <mergeCell ref="I150:K150"/>
    <mergeCell ref="I147:N147"/>
    <mergeCell ref="I148:N148"/>
    <mergeCell ref="B144:H144"/>
    <mergeCell ref="I144:N144"/>
    <mergeCell ref="B145:H145"/>
    <mergeCell ref="I145:N145"/>
    <mergeCell ref="L149:N149"/>
    <mergeCell ref="K141:L141"/>
    <mergeCell ref="A133:A134"/>
    <mergeCell ref="B133:H134"/>
    <mergeCell ref="M195:N195"/>
    <mergeCell ref="F195:K195"/>
    <mergeCell ref="B195:E195"/>
    <mergeCell ref="F454:G454"/>
    <mergeCell ref="D454:E454"/>
    <mergeCell ref="F456:G456"/>
    <mergeCell ref="F457:G457"/>
    <mergeCell ref="F458:G458"/>
    <mergeCell ref="D456:E456"/>
    <mergeCell ref="D457:E457"/>
    <mergeCell ref="D458:E458"/>
    <mergeCell ref="A225:D225"/>
    <mergeCell ref="A226:D226"/>
    <mergeCell ref="E225:H225"/>
    <mergeCell ref="E226:H226"/>
    <mergeCell ref="A217:D217"/>
    <mergeCell ref="B164:H164"/>
    <mergeCell ref="I179:N184"/>
    <mergeCell ref="B178:N178"/>
    <mergeCell ref="F186:N186"/>
    <mergeCell ref="B186:E186"/>
    <mergeCell ref="B187:E187"/>
    <mergeCell ref="B188:E188"/>
    <mergeCell ref="F187:K187"/>
    <mergeCell ref="F188:K188"/>
    <mergeCell ref="F189:K189"/>
    <mergeCell ref="F190:N190"/>
    <mergeCell ref="B189:E190"/>
    <mergeCell ref="E200:N200"/>
    <mergeCell ref="A200:D200"/>
    <mergeCell ref="E201:F201"/>
    <mergeCell ref="C201:D201"/>
    <mergeCell ref="L429:M429"/>
    <mergeCell ref="L430:M430"/>
    <mergeCell ref="L431:M431"/>
    <mergeCell ref="B389:B396"/>
    <mergeCell ref="B397:B404"/>
    <mergeCell ref="B405:B412"/>
    <mergeCell ref="B413:B420"/>
    <mergeCell ref="B365:B372"/>
    <mergeCell ref="B373:B380"/>
    <mergeCell ref="B381:B388"/>
    <mergeCell ref="B349:B356"/>
    <mergeCell ref="B341:B348"/>
    <mergeCell ref="B325:B332"/>
    <mergeCell ref="B333:B340"/>
    <mergeCell ref="B317:B324"/>
    <mergeCell ref="B293:B300"/>
    <mergeCell ref="F463:G463"/>
    <mergeCell ref="D461:E461"/>
    <mergeCell ref="D463:E463"/>
    <mergeCell ref="H454:I454"/>
    <mergeCell ref="E360:E362"/>
    <mergeCell ref="K461:L461"/>
    <mergeCell ref="A364:N364"/>
    <mergeCell ref="A454:B454"/>
    <mergeCell ref="A459:B459"/>
    <mergeCell ref="A461:B461"/>
    <mergeCell ref="L393:M393"/>
    <mergeCell ref="L394:M394"/>
    <mergeCell ref="L395:M395"/>
    <mergeCell ref="L396:M396"/>
    <mergeCell ref="L397:M397"/>
    <mergeCell ref="L398:M398"/>
    <mergeCell ref="L304:M304"/>
    <mergeCell ref="L345:M345"/>
    <mergeCell ref="L346:M346"/>
    <mergeCell ref="D462:E462"/>
    <mergeCell ref="F462:G462"/>
    <mergeCell ref="H462:I462"/>
    <mergeCell ref="K462:L462"/>
    <mergeCell ref="M462:N462"/>
    <mergeCell ref="A191:A192"/>
    <mergeCell ref="B191:E192"/>
    <mergeCell ref="F191:K191"/>
    <mergeCell ref="M191:N191"/>
    <mergeCell ref="F192:N192"/>
    <mergeCell ref="A193:A194"/>
    <mergeCell ref="B193:E194"/>
    <mergeCell ref="F193:K193"/>
    <mergeCell ref="M193:N193"/>
    <mergeCell ref="F194:K194"/>
    <mergeCell ref="M194:N194"/>
    <mergeCell ref="B445:B452"/>
    <mergeCell ref="B437:B444"/>
    <mergeCell ref="B429:B436"/>
    <mergeCell ref="B421:B428"/>
    <mergeCell ref="L420:M420"/>
    <mergeCell ref="L421:M421"/>
    <mergeCell ref="L422:M422"/>
    <mergeCell ref="L423:M423"/>
    <mergeCell ref="L424:M424"/>
    <mergeCell ref="L425:M425"/>
    <mergeCell ref="L426:M426"/>
    <mergeCell ref="L427:M427"/>
    <mergeCell ref="L428:M428"/>
    <mergeCell ref="L271:M273"/>
    <mergeCell ref="N271:N273"/>
    <mergeCell ref="P271:P273"/>
    <mergeCell ref="I271:I272"/>
    <mergeCell ref="L291:M291"/>
    <mergeCell ref="L292:M292"/>
    <mergeCell ref="L293:M293"/>
    <mergeCell ref="L294:M294"/>
    <mergeCell ref="L295:M295"/>
    <mergeCell ref="L296:M296"/>
    <mergeCell ref="L297:M297"/>
    <mergeCell ref="L298:M298"/>
    <mergeCell ref="L299:M299"/>
    <mergeCell ref="L300:M300"/>
    <mergeCell ref="L301:M301"/>
    <mergeCell ref="L302:M302"/>
    <mergeCell ref="L303:M303"/>
    <mergeCell ref="L321:M321"/>
    <mergeCell ref="L329:M329"/>
    <mergeCell ref="L330:M330"/>
    <mergeCell ref="L331:M331"/>
    <mergeCell ref="L332:M332"/>
    <mergeCell ref="L333:M333"/>
    <mergeCell ref="L334:M334"/>
    <mergeCell ref="L335:M335"/>
    <mergeCell ref="L336:M336"/>
    <mergeCell ref="L337:M337"/>
    <mergeCell ref="L338:M338"/>
    <mergeCell ref="L339:M339"/>
    <mergeCell ref="L340:M340"/>
    <mergeCell ref="L341:M341"/>
    <mergeCell ref="L342:M342"/>
    <mergeCell ref="L343:M343"/>
    <mergeCell ref="L349:M349"/>
    <mergeCell ref="L322:M322"/>
    <mergeCell ref="L323:M323"/>
    <mergeCell ref="L324:M324"/>
    <mergeCell ref="L325:M325"/>
    <mergeCell ref="L326:M326"/>
    <mergeCell ref="L327:M327"/>
    <mergeCell ref="K271:K273"/>
    <mergeCell ref="L274:M274"/>
    <mergeCell ref="A274:K274"/>
    <mergeCell ref="L277:M277"/>
    <mergeCell ref="L278:M278"/>
    <mergeCell ref="L279:M279"/>
    <mergeCell ref="L280:M280"/>
    <mergeCell ref="L282:M282"/>
    <mergeCell ref="L283:M283"/>
    <mergeCell ref="L284:M284"/>
    <mergeCell ref="L285:M285"/>
    <mergeCell ref="L286:M286"/>
    <mergeCell ref="L287:M287"/>
    <mergeCell ref="L288:M288"/>
    <mergeCell ref="L289:M289"/>
    <mergeCell ref="L290:M290"/>
    <mergeCell ref="L328:M328"/>
    <mergeCell ref="L305:M305"/>
    <mergeCell ref="L306:M306"/>
    <mergeCell ref="L307:M307"/>
    <mergeCell ref="L308:M308"/>
    <mergeCell ref="L309:M309"/>
    <mergeCell ref="L310:M310"/>
    <mergeCell ref="L311:M311"/>
    <mergeCell ref="L312:M312"/>
    <mergeCell ref="L313:M313"/>
    <mergeCell ref="L314:M314"/>
    <mergeCell ref="L315:M315"/>
    <mergeCell ref="L316:M316"/>
    <mergeCell ref="L317:M317"/>
    <mergeCell ref="L319:M319"/>
    <mergeCell ref="L320:M320"/>
    <mergeCell ref="L344:M344"/>
    <mergeCell ref="L356:M356"/>
    <mergeCell ref="K360:K362"/>
    <mergeCell ref="L360:M362"/>
    <mergeCell ref="N360:N362"/>
    <mergeCell ref="A363:K363"/>
    <mergeCell ref="L363:M363"/>
    <mergeCell ref="L365:M365"/>
    <mergeCell ref="L366:M366"/>
    <mergeCell ref="L367:M367"/>
    <mergeCell ref="L368:M368"/>
    <mergeCell ref="L369:M369"/>
    <mergeCell ref="L370:M370"/>
    <mergeCell ref="L371:M371"/>
    <mergeCell ref="L372:M372"/>
    <mergeCell ref="L373:M373"/>
    <mergeCell ref="L374:M374"/>
    <mergeCell ref="L347:M347"/>
    <mergeCell ref="L351:M351"/>
    <mergeCell ref="L352:M352"/>
    <mergeCell ref="L353:M353"/>
    <mergeCell ref="L354:M354"/>
    <mergeCell ref="L355:M355"/>
    <mergeCell ref="L375:M375"/>
    <mergeCell ref="I360:I361"/>
    <mergeCell ref="A360:A362"/>
    <mergeCell ref="B360:B362"/>
    <mergeCell ref="L411:M411"/>
    <mergeCell ref="L412:M412"/>
    <mergeCell ref="L413:M413"/>
    <mergeCell ref="L414:M414"/>
    <mergeCell ref="L415:M415"/>
    <mergeCell ref="L416:M416"/>
    <mergeCell ref="L417:M417"/>
    <mergeCell ref="L418:M418"/>
    <mergeCell ref="L419:M419"/>
    <mergeCell ref="L376:M376"/>
    <mergeCell ref="L377:M377"/>
    <mergeCell ref="L378:M378"/>
    <mergeCell ref="L379:M379"/>
    <mergeCell ref="L380:M380"/>
    <mergeCell ref="L381:M381"/>
    <mergeCell ref="L382:M382"/>
    <mergeCell ref="L383:M383"/>
    <mergeCell ref="L384:M384"/>
    <mergeCell ref="L385:M385"/>
    <mergeCell ref="L386:M386"/>
    <mergeCell ref="L387:M387"/>
    <mergeCell ref="L388:M388"/>
    <mergeCell ref="L389:M389"/>
    <mergeCell ref="L390:M390"/>
    <mergeCell ref="L391:M391"/>
    <mergeCell ref="L392:M392"/>
    <mergeCell ref="L399:M399"/>
    <mergeCell ref="L400:M400"/>
    <mergeCell ref="L449:M449"/>
    <mergeCell ref="L450:M450"/>
    <mergeCell ref="L451:M451"/>
    <mergeCell ref="L452:M452"/>
    <mergeCell ref="E281:N281"/>
    <mergeCell ref="E318:N318"/>
    <mergeCell ref="E350:N350"/>
    <mergeCell ref="L432:M432"/>
    <mergeCell ref="L433:M433"/>
    <mergeCell ref="L434:M434"/>
    <mergeCell ref="L435:M435"/>
    <mergeCell ref="L436:M436"/>
    <mergeCell ref="L437:M437"/>
    <mergeCell ref="L438:M438"/>
    <mergeCell ref="L439:M439"/>
    <mergeCell ref="L440:M440"/>
    <mergeCell ref="L441:M441"/>
    <mergeCell ref="L442:M442"/>
    <mergeCell ref="L443:M443"/>
    <mergeCell ref="L444:M444"/>
    <mergeCell ref="L445:M445"/>
    <mergeCell ref="L446:M446"/>
    <mergeCell ref="L447:M447"/>
    <mergeCell ref="L448:M448"/>
    <mergeCell ref="L403:M403"/>
    <mergeCell ref="L404:M404"/>
    <mergeCell ref="L405:M405"/>
    <mergeCell ref="L406:M406"/>
    <mergeCell ref="L407:M407"/>
    <mergeCell ref="L408:M408"/>
    <mergeCell ref="L409:M409"/>
    <mergeCell ref="L410:M410"/>
  </mergeCells>
  <dataValidations count="16">
    <dataValidation type="list" allowBlank="1" showInputMessage="1" showErrorMessage="1" sqref="I82:N82 I75:N77 I104:N104 I113:N113 I115:N115 I118:N118 I121:N121 I153:N154 I124:N124" xr:uid="{00000000-0002-0000-0000-000000000000}">
      <formula1>"Yes,No"</formula1>
    </dataValidation>
    <dataValidation type="list" allowBlank="1" showInputMessage="1" showErrorMessage="1" sqref="B65" xr:uid="{00000000-0002-0000-0000-000001000000}">
      <formula1>"CTS No,Survey No,Plot No,Gut No,FP No,"</formula1>
    </dataValidation>
    <dataValidation type="list" allowBlank="1" showInputMessage="1" showErrorMessage="1" sqref="I80:N80" xr:uid="{00000000-0002-0000-0000-000002000000}">
      <formula1>"Urban,Semi Urban,Rural"</formula1>
    </dataValidation>
    <dataValidation type="list" allowBlank="1" showInputMessage="1" showErrorMessage="1" sqref="I83:N83" xr:uid="{00000000-0002-0000-0000-000003000000}">
      <formula1>"Yes,NA"</formula1>
    </dataValidation>
    <dataValidation type="list" allowBlank="1" showInputMessage="1" showErrorMessage="1" sqref="I103:N103" xr:uid="{00000000-0002-0000-0000-000004000000}">
      <formula1>"Good,Average,Slow,Very Slow"</formula1>
    </dataValidation>
    <dataValidation type="list" allowBlank="1" showInputMessage="1" showErrorMessage="1" sqref="I109:N109" xr:uid="{00000000-0002-0000-0000-000005000000}">
      <formula1>"Mountains,Valley,Plain,Bodies of Water"</formula1>
    </dataValidation>
    <dataValidation type="list" allowBlank="1" showInputMessage="1" showErrorMessage="1" sqref="I110:N110" xr:uid="{00000000-0002-0000-0000-000006000000}">
      <formula1>"Regular,Irregular"</formula1>
    </dataValidation>
    <dataValidation type="list" allowBlank="1" showInputMessage="1" showErrorMessage="1" sqref="I114:N114" xr:uid="{00000000-0002-0000-0000-000007000000}">
      <formula1>"Corner plot,Intermittent plot"</formula1>
    </dataValidation>
    <dataValidation type="list" allowBlank="1" showInputMessage="1" showErrorMessage="1" sqref="I150:L150" xr:uid="{00000000-0002-0000-0000-000008000000}">
      <formula1>"Excellent,Good,Normal,Poor,N.A. Building Construction Work in process"</formula1>
    </dataValidation>
    <dataValidation type="list" allowBlank="1" showInputMessage="1" showErrorMessage="1" sqref="I145:N145" xr:uid="{00000000-0002-0000-0000-000009000000}">
      <formula1>"Load bearing,RCC,Steel Framed"</formula1>
    </dataValidation>
    <dataValidation type="list" allowBlank="1" showInputMessage="1" showErrorMessage="1" sqref="I170:N170" xr:uid="{00000000-0002-0000-0000-00000A000000}">
      <formula1>"Traditional Technology,Mivan Technology,Precast Technology"</formula1>
    </dataValidation>
    <dataValidation type="list" allowBlank="1" showInputMessage="1" showErrorMessage="1" sqref="I71:N71" xr:uid="{00000000-0002-0000-0000-00000B000000}">
      <formula1>$Q$65:$U$65</formula1>
    </dataValidation>
    <dataValidation type="list" allowBlank="1" showInputMessage="1" showErrorMessage="1" sqref="I70:N70" xr:uid="{00000000-0002-0000-0000-00000C000000}">
      <formula1>OFFSET($Q$65,1,MATCH($I71,$Q$65:$U$65,0)-1,15,1)</formula1>
    </dataValidation>
    <dataValidation type="list" allowBlank="1" showInputMessage="1" showErrorMessage="1" sqref="I81:N81" xr:uid="{00000000-0002-0000-0000-00000D000000}">
      <formula1>OFFSET($Q$81,1,MATCH($I71,$Q$81:$U$81,0)-1,15,1)</formula1>
    </dataValidation>
    <dataValidation type="list" allowBlank="1" showInputMessage="1" showErrorMessage="1" sqref="I116:N116" xr:uid="{00000000-0002-0000-0000-00000E000000}">
      <formula1>"Flexible Pavement,Rigid Pavement"</formula1>
    </dataValidation>
    <dataValidation type="list" allowBlank="1" showInputMessage="1" showErrorMessage="1" sqref="I157:N157" xr:uid="{00000000-0002-0000-0000-00000F000000}">
      <formula1>"Proposed RCC Footing,Raft Foundation, Piling"</formula1>
    </dataValidation>
  </dataValidations>
  <hyperlinks>
    <hyperlink ref="I95" r:id="rId1" xr:uid="{8D3A7CBE-8487-4D44-AE2D-574413859A29}"/>
  </hyperlinks>
  <printOptions horizontalCentered="1"/>
  <pageMargins left="0.19685039370078741" right="0.19685039370078741" top="0.78740157480314965" bottom="0.98425196850393704" header="0.19685039370078741" footer="0.19685039370078741"/>
  <pageSetup scale="87" fitToHeight="0" orientation="portrait" r:id="rId2"/>
  <headerFooter>
    <oddHeader>&amp;C&amp;"Times New Roman,Bold"&amp;20&amp;G</oddHeader>
    <oddFooter>&amp;L&amp;"Times New Roman,Bold"&amp;F&amp;R&amp;"Times New Roman,Bold"&amp;P</oddFooter>
  </headerFooter>
  <rowBreaks count="16" manualBreakCount="16">
    <brk id="44" max="16383" man="1"/>
    <brk id="63" max="13" man="1"/>
    <brk id="358" max="13" man="1"/>
    <brk id="464" max="16383" man="1"/>
    <brk id="503" max="16383" man="1"/>
    <brk id="526" max="16383" man="1"/>
    <brk id="571" max="16383" man="1"/>
    <brk id="617" max="16383" man="1"/>
    <brk id="663" max="16383" man="1"/>
    <brk id="709" max="16383" man="1"/>
    <brk id="755" max="16383" man="1"/>
    <brk id="801" max="16383" man="1"/>
    <brk id="847" max="16383" man="1"/>
    <brk id="873" max="16383" man="1"/>
    <brk id="946" max="16383" man="1"/>
    <brk id="970" max="1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2:N20"/>
  <sheetViews>
    <sheetView workbookViewId="0">
      <selection activeCell="D18" sqref="D18"/>
    </sheetView>
  </sheetViews>
  <sheetFormatPr defaultRowHeight="15" x14ac:dyDescent="0.25"/>
  <cols>
    <col min="2" max="2" width="10.140625" customWidth="1"/>
  </cols>
  <sheetData>
    <row r="2" spans="1:14" x14ac:dyDescent="0.25">
      <c r="A2" t="s">
        <v>14</v>
      </c>
      <c r="B2" s="6" t="s">
        <v>39</v>
      </c>
      <c r="C2" s="6">
        <v>7</v>
      </c>
    </row>
    <row r="3" spans="1:14" x14ac:dyDescent="0.25">
      <c r="B3" t="s">
        <v>15</v>
      </c>
      <c r="C3" t="s">
        <v>16</v>
      </c>
    </row>
    <row r="4" spans="1:14" x14ac:dyDescent="0.25">
      <c r="A4" t="s">
        <v>17</v>
      </c>
      <c r="B4" s="1">
        <v>10</v>
      </c>
      <c r="C4" s="1">
        <v>0</v>
      </c>
    </row>
    <row r="5" spans="1:14" x14ac:dyDescent="0.25">
      <c r="A5" t="s">
        <v>18</v>
      </c>
      <c r="B5" t="s">
        <v>19</v>
      </c>
      <c r="C5" t="s">
        <v>20</v>
      </c>
      <c r="H5" s="1" t="s">
        <v>21</v>
      </c>
      <c r="I5" s="1" t="s">
        <v>22</v>
      </c>
      <c r="J5" s="1" t="s">
        <v>23</v>
      </c>
      <c r="K5" s="1" t="s">
        <v>24</v>
      </c>
      <c r="L5" s="1" t="s">
        <v>25</v>
      </c>
      <c r="M5" s="1" t="s">
        <v>26</v>
      </c>
      <c r="N5" s="1" t="s">
        <v>27</v>
      </c>
    </row>
    <row r="6" spans="1:14" x14ac:dyDescent="0.25">
      <c r="B6" s="1">
        <v>1</v>
      </c>
      <c r="C6" s="1">
        <v>0</v>
      </c>
      <c r="E6" s="7" t="s">
        <v>28</v>
      </c>
      <c r="H6" s="7">
        <f>C4</f>
        <v>0</v>
      </c>
      <c r="I6" s="7">
        <f>40/B6*C6</f>
        <v>0</v>
      </c>
      <c r="J6" s="7">
        <f>15/B8*C8</f>
        <v>0</v>
      </c>
      <c r="K6" s="7">
        <f>10/B10*C10</f>
        <v>0</v>
      </c>
      <c r="L6" s="7">
        <f>10/B12*C12</f>
        <v>0</v>
      </c>
      <c r="M6" s="7">
        <f>5/B14*C14</f>
        <v>0</v>
      </c>
      <c r="N6" s="7">
        <f>5/B16*C16</f>
        <v>0</v>
      </c>
    </row>
    <row r="7" spans="1:14" x14ac:dyDescent="0.25">
      <c r="A7" t="s">
        <v>29</v>
      </c>
      <c r="B7" t="s">
        <v>30</v>
      </c>
      <c r="C7" t="s">
        <v>31</v>
      </c>
      <c r="E7" s="1" t="s">
        <v>32</v>
      </c>
      <c r="F7" s="1"/>
      <c r="G7" s="1"/>
      <c r="H7" s="1">
        <f>H6+20</f>
        <v>20</v>
      </c>
      <c r="I7" s="1">
        <f>30/B6*C6</f>
        <v>0</v>
      </c>
      <c r="J7" s="1">
        <f>15/B8*C8</f>
        <v>0</v>
      </c>
      <c r="K7" s="1">
        <f>10/B10*C10</f>
        <v>0</v>
      </c>
      <c r="L7" s="1">
        <f>5/B12*C12</f>
        <v>0</v>
      </c>
      <c r="M7" s="1">
        <f>5/B14*C14</f>
        <v>0</v>
      </c>
      <c r="N7" s="1">
        <f>5/B16*C16</f>
        <v>0</v>
      </c>
    </row>
    <row r="8" spans="1:14" x14ac:dyDescent="0.25">
      <c r="B8" s="1">
        <f>C2</f>
        <v>7</v>
      </c>
      <c r="C8" s="1">
        <v>0</v>
      </c>
    </row>
    <row r="9" spans="1:14" x14ac:dyDescent="0.25">
      <c r="A9" t="s">
        <v>33</v>
      </c>
      <c r="B9" t="s">
        <v>30</v>
      </c>
      <c r="C9" t="s">
        <v>31</v>
      </c>
    </row>
    <row r="10" spans="1:14" x14ac:dyDescent="0.25">
      <c r="B10" s="1">
        <f>C2</f>
        <v>7</v>
      </c>
      <c r="C10" s="1">
        <v>0</v>
      </c>
    </row>
    <row r="11" spans="1:14" x14ac:dyDescent="0.25">
      <c r="A11" t="s">
        <v>25</v>
      </c>
      <c r="B11" t="s">
        <v>30</v>
      </c>
      <c r="C11" t="s">
        <v>31</v>
      </c>
    </row>
    <row r="12" spans="1:14" x14ac:dyDescent="0.25">
      <c r="B12" s="1">
        <f>C2</f>
        <v>7</v>
      </c>
      <c r="C12" s="1">
        <v>0</v>
      </c>
      <c r="H12" s="1"/>
      <c r="I12" s="1" t="s">
        <v>28</v>
      </c>
      <c r="J12" s="1" t="s">
        <v>34</v>
      </c>
      <c r="K12" t="s">
        <v>35</v>
      </c>
    </row>
    <row r="13" spans="1:14" ht="30" x14ac:dyDescent="0.25">
      <c r="A13" s="8" t="s">
        <v>26</v>
      </c>
      <c r="B13" t="s">
        <v>30</v>
      </c>
      <c r="C13" t="s">
        <v>31</v>
      </c>
      <c r="H13" s="1" t="s">
        <v>36</v>
      </c>
      <c r="I13" s="1">
        <f>H6</f>
        <v>0</v>
      </c>
      <c r="J13" s="1">
        <f>H7</f>
        <v>20</v>
      </c>
      <c r="K13" t="s">
        <v>35</v>
      </c>
    </row>
    <row r="14" spans="1:14" x14ac:dyDescent="0.25">
      <c r="B14" s="1">
        <f>C2</f>
        <v>7</v>
      </c>
      <c r="C14" s="1">
        <v>0</v>
      </c>
      <c r="H14" s="1" t="s">
        <v>37</v>
      </c>
      <c r="I14" s="1">
        <f>I6</f>
        <v>0</v>
      </c>
      <c r="J14" s="1">
        <f>I7</f>
        <v>0</v>
      </c>
    </row>
    <row r="15" spans="1:14" x14ac:dyDescent="0.25">
      <c r="A15" t="s">
        <v>27</v>
      </c>
      <c r="B15" t="s">
        <v>30</v>
      </c>
      <c r="H15" s="1" t="s">
        <v>23</v>
      </c>
      <c r="I15" s="1">
        <f>J6</f>
        <v>0</v>
      </c>
      <c r="J15" s="1">
        <f>J7</f>
        <v>0</v>
      </c>
    </row>
    <row r="16" spans="1:14" x14ac:dyDescent="0.25">
      <c r="B16" s="1">
        <f>C2</f>
        <v>7</v>
      </c>
      <c r="C16" s="1">
        <v>0</v>
      </c>
      <c r="H16" s="1" t="s">
        <v>24</v>
      </c>
      <c r="I16" s="1">
        <f>K6</f>
        <v>0</v>
      </c>
      <c r="J16" s="1">
        <f>K7</f>
        <v>0</v>
      </c>
    </row>
    <row r="17" spans="8:10" x14ac:dyDescent="0.25">
      <c r="H17" s="1" t="s">
        <v>25</v>
      </c>
      <c r="I17" s="1">
        <f>L6</f>
        <v>0</v>
      </c>
      <c r="J17" s="1">
        <f>L7</f>
        <v>0</v>
      </c>
    </row>
    <row r="18" spans="8:10" ht="30" x14ac:dyDescent="0.25">
      <c r="H18" s="9" t="s">
        <v>26</v>
      </c>
      <c r="I18" s="1">
        <f>M6</f>
        <v>0</v>
      </c>
      <c r="J18" s="1">
        <f>M7</f>
        <v>0</v>
      </c>
    </row>
    <row r="19" spans="8:10" x14ac:dyDescent="0.25">
      <c r="H19" s="1" t="s">
        <v>27</v>
      </c>
      <c r="I19" s="1">
        <f>N6</f>
        <v>0</v>
      </c>
      <c r="J19" s="1">
        <f>N7</f>
        <v>0</v>
      </c>
    </row>
    <row r="20" spans="8:10" x14ac:dyDescent="0.25">
      <c r="H20" s="1" t="s">
        <v>38</v>
      </c>
      <c r="I20" s="1">
        <f>I13+I14+I15+I16+I17+I18+I19</f>
        <v>0</v>
      </c>
      <c r="J20" s="1">
        <f>J13+J14+J15+J16+J17+J18+J19</f>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61"/>
  <sheetViews>
    <sheetView workbookViewId="0">
      <selection activeCell="J161" sqref="A1:J161"/>
    </sheetView>
  </sheetViews>
  <sheetFormatPr defaultColWidth="9.140625" defaultRowHeight="15" x14ac:dyDescent="0.25"/>
  <cols>
    <col min="1" max="1" width="9.140625" style="5"/>
    <col min="2" max="2" width="15.140625" style="5" customWidth="1"/>
    <col min="3" max="3" width="12.7109375" style="5" customWidth="1"/>
    <col min="4" max="7" width="15.140625" style="5" customWidth="1"/>
    <col min="8" max="8" width="13.140625" style="5" customWidth="1"/>
    <col min="9" max="16384" width="9.140625" style="5"/>
  </cols>
  <sheetData>
    <row r="1" spans="1:10" ht="39.75" customHeight="1" x14ac:dyDescent="0.25">
      <c r="A1" s="36" t="s">
        <v>67</v>
      </c>
      <c r="B1" s="24" t="s">
        <v>68</v>
      </c>
      <c r="C1" s="24" t="s">
        <v>95</v>
      </c>
      <c r="D1" s="24" t="s">
        <v>69</v>
      </c>
      <c r="E1" s="24" t="s">
        <v>70</v>
      </c>
      <c r="F1" s="24" t="s">
        <v>83</v>
      </c>
      <c r="G1" s="24" t="s">
        <v>91</v>
      </c>
      <c r="H1" s="24" t="s">
        <v>90</v>
      </c>
      <c r="I1" s="24" t="s">
        <v>109</v>
      </c>
      <c r="J1" s="24" t="s">
        <v>113</v>
      </c>
    </row>
    <row r="2" spans="1:10" x14ac:dyDescent="0.25">
      <c r="A2" s="544" t="s">
        <v>93</v>
      </c>
      <c r="B2" s="544"/>
      <c r="C2" s="544"/>
      <c r="D2" s="544"/>
      <c r="E2" s="544"/>
      <c r="F2" s="544"/>
      <c r="G2" s="544"/>
      <c r="H2" s="544"/>
      <c r="I2" s="544"/>
      <c r="J2" s="544"/>
    </row>
    <row r="3" spans="1:10" x14ac:dyDescent="0.25">
      <c r="A3" s="544" t="s">
        <v>81</v>
      </c>
      <c r="B3" s="544"/>
      <c r="C3" s="544"/>
      <c r="D3" s="544"/>
      <c r="E3" s="544"/>
      <c r="F3" s="544"/>
      <c r="G3" s="544"/>
      <c r="H3" s="544"/>
      <c r="I3" s="544"/>
      <c r="J3" s="544"/>
    </row>
    <row r="4" spans="1:10" x14ac:dyDescent="0.25">
      <c r="A4" s="13">
        <v>1</v>
      </c>
      <c r="B4" s="174" t="s">
        <v>82</v>
      </c>
      <c r="C4" s="35" t="s">
        <v>110</v>
      </c>
      <c r="D4" s="13">
        <v>101</v>
      </c>
      <c r="E4" s="13" t="s">
        <v>72</v>
      </c>
      <c r="F4" s="25">
        <f>(30.562+13.425)*10.764</f>
        <v>473.476068</v>
      </c>
      <c r="G4" s="26">
        <v>0</v>
      </c>
      <c r="H4" s="32">
        <v>735</v>
      </c>
      <c r="I4" s="13">
        <v>4800</v>
      </c>
      <c r="J4" s="13">
        <f>H4*I4</f>
        <v>3528000</v>
      </c>
    </row>
    <row r="5" spans="1:10" x14ac:dyDescent="0.25">
      <c r="A5" s="13">
        <v>2</v>
      </c>
      <c r="B5" s="192"/>
      <c r="C5" s="35" t="s">
        <v>110</v>
      </c>
      <c r="D5" s="13">
        <v>102</v>
      </c>
      <c r="E5" s="13" t="s">
        <v>72</v>
      </c>
      <c r="F5" s="25">
        <f>(32.727+6.63)*10.764</f>
        <v>423.63874799999996</v>
      </c>
      <c r="G5" s="25">
        <f>5.063*10.764</f>
        <v>54.498131999999991</v>
      </c>
      <c r="H5" s="32">
        <v>750</v>
      </c>
      <c r="I5" s="13">
        <v>4800</v>
      </c>
      <c r="J5" s="13">
        <f t="shared" ref="J5:J24" si="0">H5*I5</f>
        <v>3600000</v>
      </c>
    </row>
    <row r="6" spans="1:10" x14ac:dyDescent="0.25">
      <c r="A6" s="13">
        <v>3</v>
      </c>
      <c r="B6" s="175"/>
      <c r="C6" s="35" t="s">
        <v>110</v>
      </c>
      <c r="D6" s="13">
        <v>103</v>
      </c>
      <c r="E6" s="13" t="s">
        <v>72</v>
      </c>
      <c r="F6" s="25">
        <f>(32.727+6.435)*10.764</f>
        <v>421.53976799999998</v>
      </c>
      <c r="G6" s="25">
        <f>4.86*10.764</f>
        <v>52.313040000000001</v>
      </c>
      <c r="H6" s="32">
        <v>745</v>
      </c>
      <c r="I6" s="13">
        <v>4800</v>
      </c>
      <c r="J6" s="13">
        <f t="shared" si="0"/>
        <v>3576000</v>
      </c>
    </row>
    <row r="7" spans="1:10" x14ac:dyDescent="0.25">
      <c r="A7" s="13">
        <v>4</v>
      </c>
      <c r="B7" s="174" t="s">
        <v>84</v>
      </c>
      <c r="C7" s="35" t="s">
        <v>110</v>
      </c>
      <c r="D7" s="13">
        <f t="shared" ref="D7:D24" si="1">D4+100</f>
        <v>201</v>
      </c>
      <c r="E7" s="13" t="s">
        <v>72</v>
      </c>
      <c r="F7" s="25">
        <f t="shared" ref="F7:F9" si="2">(30.562+13.425)*10.764</f>
        <v>473.476068</v>
      </c>
      <c r="G7" s="26">
        <v>0</v>
      </c>
      <c r="H7" s="32">
        <v>735</v>
      </c>
      <c r="I7" s="13">
        <v>4800</v>
      </c>
      <c r="J7" s="13">
        <f t="shared" si="0"/>
        <v>3528000</v>
      </c>
    </row>
    <row r="8" spans="1:10" x14ac:dyDescent="0.25">
      <c r="A8" s="13">
        <v>5</v>
      </c>
      <c r="B8" s="192"/>
      <c r="C8" s="35" t="s">
        <v>110</v>
      </c>
      <c r="D8" s="13">
        <f t="shared" si="1"/>
        <v>202</v>
      </c>
      <c r="E8" s="13" t="s">
        <v>72</v>
      </c>
      <c r="F8" s="25">
        <f t="shared" si="2"/>
        <v>473.476068</v>
      </c>
      <c r="G8" s="26">
        <v>0</v>
      </c>
      <c r="H8" s="32">
        <v>670</v>
      </c>
      <c r="I8" s="13">
        <v>4800</v>
      </c>
      <c r="J8" s="13">
        <f t="shared" si="0"/>
        <v>3216000</v>
      </c>
    </row>
    <row r="9" spans="1:10" x14ac:dyDescent="0.25">
      <c r="A9" s="13">
        <v>6</v>
      </c>
      <c r="B9" s="175"/>
      <c r="C9" s="35" t="s">
        <v>110</v>
      </c>
      <c r="D9" s="13">
        <f t="shared" si="1"/>
        <v>203</v>
      </c>
      <c r="E9" s="13" t="s">
        <v>72</v>
      </c>
      <c r="F9" s="25">
        <f t="shared" si="2"/>
        <v>473.476068</v>
      </c>
      <c r="G9" s="26">
        <v>0</v>
      </c>
      <c r="H9" s="32">
        <v>665</v>
      </c>
      <c r="I9" s="13">
        <v>4800</v>
      </c>
      <c r="J9" s="13">
        <f t="shared" si="0"/>
        <v>3192000</v>
      </c>
    </row>
    <row r="10" spans="1:10" x14ac:dyDescent="0.25">
      <c r="A10" s="13">
        <v>7</v>
      </c>
      <c r="B10" s="174" t="s">
        <v>85</v>
      </c>
      <c r="C10" s="35" t="s">
        <v>110</v>
      </c>
      <c r="D10" s="13">
        <f t="shared" si="1"/>
        <v>301</v>
      </c>
      <c r="E10" s="13" t="s">
        <v>72</v>
      </c>
      <c r="F10" s="25">
        <f>(30.562+13.425)*10.764</f>
        <v>473.476068</v>
      </c>
      <c r="G10" s="26">
        <v>0</v>
      </c>
      <c r="H10" s="32">
        <v>735</v>
      </c>
      <c r="I10" s="13">
        <v>4800</v>
      </c>
      <c r="J10" s="13">
        <f t="shared" si="0"/>
        <v>3528000</v>
      </c>
    </row>
    <row r="11" spans="1:10" x14ac:dyDescent="0.25">
      <c r="A11" s="13">
        <v>8</v>
      </c>
      <c r="B11" s="192"/>
      <c r="C11" s="35" t="s">
        <v>110</v>
      </c>
      <c r="D11" s="13">
        <f t="shared" si="1"/>
        <v>302</v>
      </c>
      <c r="E11" s="13" t="s">
        <v>72</v>
      </c>
      <c r="F11" s="25">
        <f>(32.727+6.63)*10.764</f>
        <v>423.63874799999996</v>
      </c>
      <c r="G11" s="25">
        <f>5.063*10.764</f>
        <v>54.498131999999991</v>
      </c>
      <c r="H11" s="32">
        <v>750</v>
      </c>
      <c r="I11" s="13">
        <v>4800</v>
      </c>
      <c r="J11" s="13">
        <f t="shared" si="0"/>
        <v>3600000</v>
      </c>
    </row>
    <row r="12" spans="1:10" x14ac:dyDescent="0.25">
      <c r="A12" s="13">
        <v>9</v>
      </c>
      <c r="B12" s="175"/>
      <c r="C12" s="35" t="s">
        <v>110</v>
      </c>
      <c r="D12" s="13">
        <f t="shared" si="1"/>
        <v>303</v>
      </c>
      <c r="E12" s="13" t="s">
        <v>72</v>
      </c>
      <c r="F12" s="25">
        <f>(32.727+6.435)*10.764</f>
        <v>421.53976799999998</v>
      </c>
      <c r="G12" s="25">
        <f>4.86*10.764</f>
        <v>52.313040000000001</v>
      </c>
      <c r="H12" s="32">
        <v>745</v>
      </c>
      <c r="I12" s="13">
        <v>4800</v>
      </c>
      <c r="J12" s="13">
        <f t="shared" si="0"/>
        <v>3576000</v>
      </c>
    </row>
    <row r="13" spans="1:10" x14ac:dyDescent="0.25">
      <c r="A13" s="13">
        <v>10</v>
      </c>
      <c r="B13" s="174" t="s">
        <v>86</v>
      </c>
      <c r="C13" s="35" t="s">
        <v>110</v>
      </c>
      <c r="D13" s="13">
        <f t="shared" si="1"/>
        <v>401</v>
      </c>
      <c r="E13" s="13" t="s">
        <v>72</v>
      </c>
      <c r="F13" s="25">
        <f t="shared" ref="F13:F15" si="3">(30.562+13.425)*10.764</f>
        <v>473.476068</v>
      </c>
      <c r="G13" s="26">
        <v>0</v>
      </c>
      <c r="H13" s="32">
        <v>735</v>
      </c>
      <c r="I13" s="13">
        <v>4800</v>
      </c>
      <c r="J13" s="13">
        <f t="shared" si="0"/>
        <v>3528000</v>
      </c>
    </row>
    <row r="14" spans="1:10" x14ac:dyDescent="0.25">
      <c r="A14" s="13">
        <v>11</v>
      </c>
      <c r="B14" s="192"/>
      <c r="C14" s="35" t="s">
        <v>110</v>
      </c>
      <c r="D14" s="13">
        <f t="shared" si="1"/>
        <v>402</v>
      </c>
      <c r="E14" s="13" t="s">
        <v>72</v>
      </c>
      <c r="F14" s="25">
        <f t="shared" si="3"/>
        <v>473.476068</v>
      </c>
      <c r="G14" s="26">
        <v>0</v>
      </c>
      <c r="H14" s="32">
        <v>670</v>
      </c>
      <c r="I14" s="13">
        <v>4800</v>
      </c>
      <c r="J14" s="13">
        <f t="shared" si="0"/>
        <v>3216000</v>
      </c>
    </row>
    <row r="15" spans="1:10" x14ac:dyDescent="0.25">
      <c r="A15" s="13">
        <v>12</v>
      </c>
      <c r="B15" s="175"/>
      <c r="C15" s="35" t="s">
        <v>110</v>
      </c>
      <c r="D15" s="13">
        <f t="shared" si="1"/>
        <v>403</v>
      </c>
      <c r="E15" s="13" t="s">
        <v>72</v>
      </c>
      <c r="F15" s="25">
        <f t="shared" si="3"/>
        <v>473.476068</v>
      </c>
      <c r="G15" s="26">
        <v>0</v>
      </c>
      <c r="H15" s="32">
        <v>665</v>
      </c>
      <c r="I15" s="13">
        <v>4800</v>
      </c>
      <c r="J15" s="13">
        <f t="shared" si="0"/>
        <v>3192000</v>
      </c>
    </row>
    <row r="16" spans="1:10" x14ac:dyDescent="0.25">
      <c r="A16" s="13">
        <v>13</v>
      </c>
      <c r="B16" s="174" t="s">
        <v>87</v>
      </c>
      <c r="C16" s="35" t="s">
        <v>110</v>
      </c>
      <c r="D16" s="13">
        <f t="shared" si="1"/>
        <v>501</v>
      </c>
      <c r="E16" s="13" t="s">
        <v>72</v>
      </c>
      <c r="F16" s="25">
        <f>(30.562+13.425)*10.764</f>
        <v>473.476068</v>
      </c>
      <c r="G16" s="26">
        <v>0</v>
      </c>
      <c r="H16" s="32">
        <v>735</v>
      </c>
      <c r="I16" s="13">
        <v>4800</v>
      </c>
      <c r="J16" s="13">
        <f t="shared" si="0"/>
        <v>3528000</v>
      </c>
    </row>
    <row r="17" spans="1:10" x14ac:dyDescent="0.25">
      <c r="A17" s="13">
        <v>14</v>
      </c>
      <c r="B17" s="192"/>
      <c r="C17" s="35" t="s">
        <v>110</v>
      </c>
      <c r="D17" s="13">
        <f t="shared" si="1"/>
        <v>502</v>
      </c>
      <c r="E17" s="13" t="s">
        <v>72</v>
      </c>
      <c r="F17" s="25">
        <f>(32.727+6.63)*10.764</f>
        <v>423.63874799999996</v>
      </c>
      <c r="G17" s="25">
        <f>5.063*10.764</f>
        <v>54.498131999999991</v>
      </c>
      <c r="H17" s="32">
        <v>750</v>
      </c>
      <c r="I17" s="13">
        <v>4800</v>
      </c>
      <c r="J17" s="13">
        <f t="shared" si="0"/>
        <v>3600000</v>
      </c>
    </row>
    <row r="18" spans="1:10" x14ac:dyDescent="0.25">
      <c r="A18" s="13">
        <v>15</v>
      </c>
      <c r="B18" s="175"/>
      <c r="C18" s="35" t="s">
        <v>110</v>
      </c>
      <c r="D18" s="13">
        <f t="shared" si="1"/>
        <v>503</v>
      </c>
      <c r="E18" s="13" t="s">
        <v>72</v>
      </c>
      <c r="F18" s="25">
        <f>(32.727+6.435)*10.764</f>
        <v>421.53976799999998</v>
      </c>
      <c r="G18" s="25">
        <f>4.86*10.764</f>
        <v>52.313040000000001</v>
      </c>
      <c r="H18" s="32">
        <v>745</v>
      </c>
      <c r="I18" s="13">
        <v>4800</v>
      </c>
      <c r="J18" s="13">
        <f t="shared" si="0"/>
        <v>3576000</v>
      </c>
    </row>
    <row r="19" spans="1:10" x14ac:dyDescent="0.25">
      <c r="A19" s="13">
        <v>16</v>
      </c>
      <c r="B19" s="174" t="s">
        <v>88</v>
      </c>
      <c r="C19" s="35" t="s">
        <v>110</v>
      </c>
      <c r="D19" s="13">
        <f t="shared" si="1"/>
        <v>601</v>
      </c>
      <c r="E19" s="13" t="s">
        <v>72</v>
      </c>
      <c r="F19" s="25">
        <f t="shared" ref="F19:F21" si="4">(30.562+13.425)*10.764</f>
        <v>473.476068</v>
      </c>
      <c r="G19" s="26">
        <v>0</v>
      </c>
      <c r="H19" s="32">
        <v>735</v>
      </c>
      <c r="I19" s="13">
        <v>4800</v>
      </c>
      <c r="J19" s="13">
        <f t="shared" si="0"/>
        <v>3528000</v>
      </c>
    </row>
    <row r="20" spans="1:10" x14ac:dyDescent="0.25">
      <c r="A20" s="13">
        <v>17</v>
      </c>
      <c r="B20" s="192"/>
      <c r="C20" s="35" t="s">
        <v>110</v>
      </c>
      <c r="D20" s="13">
        <f t="shared" si="1"/>
        <v>602</v>
      </c>
      <c r="E20" s="13" t="s">
        <v>72</v>
      </c>
      <c r="F20" s="25">
        <f t="shared" si="4"/>
        <v>473.476068</v>
      </c>
      <c r="G20" s="26">
        <v>0</v>
      </c>
      <c r="H20" s="32">
        <v>670</v>
      </c>
      <c r="I20" s="13">
        <v>4800</v>
      </c>
      <c r="J20" s="13">
        <f t="shared" si="0"/>
        <v>3216000</v>
      </c>
    </row>
    <row r="21" spans="1:10" x14ac:dyDescent="0.25">
      <c r="A21" s="13">
        <v>18</v>
      </c>
      <c r="B21" s="175"/>
      <c r="C21" s="35" t="s">
        <v>110</v>
      </c>
      <c r="D21" s="13">
        <f t="shared" si="1"/>
        <v>603</v>
      </c>
      <c r="E21" s="13" t="s">
        <v>72</v>
      </c>
      <c r="F21" s="25">
        <f t="shared" si="4"/>
        <v>473.476068</v>
      </c>
      <c r="G21" s="26">
        <v>0</v>
      </c>
      <c r="H21" s="32">
        <v>665</v>
      </c>
      <c r="I21" s="13">
        <v>4800</v>
      </c>
      <c r="J21" s="13">
        <f t="shared" si="0"/>
        <v>3192000</v>
      </c>
    </row>
    <row r="22" spans="1:10" x14ac:dyDescent="0.25">
      <c r="A22" s="13">
        <v>19</v>
      </c>
      <c r="B22" s="174" t="s">
        <v>89</v>
      </c>
      <c r="C22" s="35" t="s">
        <v>110</v>
      </c>
      <c r="D22" s="13">
        <f t="shared" si="1"/>
        <v>701</v>
      </c>
      <c r="E22" s="13" t="s">
        <v>72</v>
      </c>
      <c r="F22" s="25">
        <f>(30.562+13.425)*10.764</f>
        <v>473.476068</v>
      </c>
      <c r="G22" s="26">
        <v>0</v>
      </c>
      <c r="H22" s="32">
        <v>735</v>
      </c>
      <c r="I22" s="13">
        <v>4800</v>
      </c>
      <c r="J22" s="13">
        <f t="shared" si="0"/>
        <v>3528000</v>
      </c>
    </row>
    <row r="23" spans="1:10" x14ac:dyDescent="0.25">
      <c r="A23" s="13">
        <v>20</v>
      </c>
      <c r="B23" s="192"/>
      <c r="C23" s="35" t="s">
        <v>110</v>
      </c>
      <c r="D23" s="13">
        <f t="shared" si="1"/>
        <v>702</v>
      </c>
      <c r="E23" s="13" t="s">
        <v>72</v>
      </c>
      <c r="F23" s="25">
        <f>(32.727+6.63)*10.764</f>
        <v>423.63874799999996</v>
      </c>
      <c r="G23" s="25">
        <f>5.063*10.764</f>
        <v>54.498131999999991</v>
      </c>
      <c r="H23" s="32">
        <v>750</v>
      </c>
      <c r="I23" s="13">
        <v>4800</v>
      </c>
      <c r="J23" s="13">
        <f t="shared" si="0"/>
        <v>3600000</v>
      </c>
    </row>
    <row r="24" spans="1:10" x14ac:dyDescent="0.25">
      <c r="A24" s="13">
        <v>21</v>
      </c>
      <c r="B24" s="175"/>
      <c r="C24" s="35" t="s">
        <v>110</v>
      </c>
      <c r="D24" s="13">
        <f t="shared" si="1"/>
        <v>703</v>
      </c>
      <c r="E24" s="13" t="s">
        <v>72</v>
      </c>
      <c r="F24" s="25">
        <f>(32.727+6.435)*10.764</f>
        <v>421.53976799999998</v>
      </c>
      <c r="G24" s="25">
        <f>4.86*10.764</f>
        <v>52.313040000000001</v>
      </c>
      <c r="H24" s="32">
        <v>745</v>
      </c>
      <c r="I24" s="13">
        <v>4800</v>
      </c>
      <c r="J24" s="13">
        <f t="shared" si="0"/>
        <v>3576000</v>
      </c>
    </row>
    <row r="25" spans="1:10" x14ac:dyDescent="0.25">
      <c r="A25" s="544" t="s">
        <v>92</v>
      </c>
      <c r="B25" s="544"/>
      <c r="C25" s="544"/>
      <c r="D25" s="544"/>
      <c r="E25" s="544"/>
      <c r="F25" s="544"/>
      <c r="G25" s="544"/>
      <c r="H25" s="544"/>
      <c r="I25" s="544"/>
      <c r="J25" s="544"/>
    </row>
    <row r="26" spans="1:10" x14ac:dyDescent="0.25">
      <c r="A26" s="544" t="s">
        <v>81</v>
      </c>
      <c r="B26" s="544"/>
      <c r="C26" s="544"/>
      <c r="D26" s="544"/>
      <c r="E26" s="544"/>
      <c r="F26" s="544"/>
      <c r="G26" s="544"/>
      <c r="H26" s="544"/>
      <c r="I26" s="544"/>
      <c r="J26" s="544"/>
    </row>
    <row r="27" spans="1:10" x14ac:dyDescent="0.25">
      <c r="A27" s="13">
        <v>1</v>
      </c>
      <c r="B27" s="174" t="s">
        <v>82</v>
      </c>
      <c r="C27" s="35" t="s">
        <v>111</v>
      </c>
      <c r="D27" s="13">
        <v>101</v>
      </c>
      <c r="E27" s="13" t="s">
        <v>72</v>
      </c>
      <c r="F27" s="25">
        <f>34.505*10.764</f>
        <v>371.41181999999998</v>
      </c>
      <c r="G27" s="25">
        <f>4.32*10.764</f>
        <v>46.500480000000003</v>
      </c>
      <c r="H27" s="32">
        <v>655</v>
      </c>
      <c r="I27" s="13">
        <v>4800</v>
      </c>
      <c r="J27" s="13">
        <f t="shared" ref="J27:J89" si="5">H27*I27</f>
        <v>3144000</v>
      </c>
    </row>
    <row r="28" spans="1:10" x14ac:dyDescent="0.25">
      <c r="A28" s="13">
        <v>2</v>
      </c>
      <c r="B28" s="192"/>
      <c r="C28" s="35" t="s">
        <v>111</v>
      </c>
      <c r="D28" s="13">
        <v>102</v>
      </c>
      <c r="E28" s="13" t="s">
        <v>94</v>
      </c>
      <c r="F28" s="25">
        <f>(39.567+11.158)*10.764</f>
        <v>546.00389999999993</v>
      </c>
      <c r="G28" s="25">
        <f>4.95*10.764</f>
        <v>53.281799999999997</v>
      </c>
      <c r="H28" s="32">
        <v>935</v>
      </c>
      <c r="I28" s="13">
        <v>4800</v>
      </c>
      <c r="J28" s="13">
        <f t="shared" si="5"/>
        <v>4488000</v>
      </c>
    </row>
    <row r="29" spans="1:10" x14ac:dyDescent="0.25">
      <c r="A29" s="13">
        <v>3</v>
      </c>
      <c r="B29" s="192"/>
      <c r="C29" s="35" t="s">
        <v>111</v>
      </c>
      <c r="D29" s="13">
        <v>103</v>
      </c>
      <c r="E29" s="13" t="s">
        <v>73</v>
      </c>
      <c r="F29" s="25">
        <f>(20.719+6.275)*10.764</f>
        <v>290.56341599999996</v>
      </c>
      <c r="G29" s="25">
        <v>0</v>
      </c>
      <c r="H29" s="32">
        <v>455</v>
      </c>
      <c r="I29" s="13">
        <v>4800</v>
      </c>
      <c r="J29" s="13">
        <f t="shared" si="5"/>
        <v>2184000</v>
      </c>
    </row>
    <row r="30" spans="1:10" x14ac:dyDescent="0.25">
      <c r="A30" s="13">
        <v>4</v>
      </c>
      <c r="B30" s="192"/>
      <c r="C30" s="35" t="s">
        <v>111</v>
      </c>
      <c r="D30" s="13">
        <v>104</v>
      </c>
      <c r="E30" s="13" t="s">
        <v>72</v>
      </c>
      <c r="F30" s="25">
        <f>(31.447+5.955)*10.764</f>
        <v>402.59512799999999</v>
      </c>
      <c r="G30" s="25">
        <f>5.55*10.764</f>
        <v>59.740199999999994</v>
      </c>
      <c r="H30" s="32">
        <v>715</v>
      </c>
      <c r="I30" s="13">
        <v>4800</v>
      </c>
      <c r="J30" s="13">
        <f t="shared" si="5"/>
        <v>3432000</v>
      </c>
    </row>
    <row r="31" spans="1:10" x14ac:dyDescent="0.25">
      <c r="A31" s="13">
        <v>5</v>
      </c>
      <c r="B31" s="192"/>
      <c r="C31" s="35" t="s">
        <v>111</v>
      </c>
      <c r="D31" s="13">
        <v>105</v>
      </c>
      <c r="E31" s="13" t="s">
        <v>72</v>
      </c>
      <c r="F31" s="25">
        <f>(32.062+6.825)*10.764</f>
        <v>418.57966799999997</v>
      </c>
      <c r="G31" s="25">
        <f>5.55*10.764</f>
        <v>59.740199999999994</v>
      </c>
      <c r="H31" s="32">
        <v>750</v>
      </c>
      <c r="I31" s="13">
        <v>4800</v>
      </c>
      <c r="J31" s="13">
        <f t="shared" si="5"/>
        <v>3600000</v>
      </c>
    </row>
    <row r="32" spans="1:10" x14ac:dyDescent="0.25">
      <c r="A32" s="13">
        <v>6</v>
      </c>
      <c r="B32" s="192"/>
      <c r="C32" s="35" t="s">
        <v>111</v>
      </c>
      <c r="D32" s="13">
        <v>106</v>
      </c>
      <c r="E32" s="13" t="s">
        <v>72</v>
      </c>
      <c r="F32" s="25">
        <f>(30.317+6.025)*10.764</f>
        <v>391.18528799999996</v>
      </c>
      <c r="G32" s="25">
        <f>4.301*10.764</f>
        <v>46.295963999999998</v>
      </c>
      <c r="H32" s="32">
        <v>675</v>
      </c>
      <c r="I32" s="13">
        <v>4800</v>
      </c>
      <c r="J32" s="13">
        <f t="shared" si="5"/>
        <v>3240000</v>
      </c>
    </row>
    <row r="33" spans="1:10" x14ac:dyDescent="0.25">
      <c r="A33" s="13">
        <v>7</v>
      </c>
      <c r="B33" s="192"/>
      <c r="C33" s="35" t="s">
        <v>111</v>
      </c>
      <c r="D33" s="13">
        <v>107</v>
      </c>
      <c r="E33" s="13" t="s">
        <v>72</v>
      </c>
      <c r="F33" s="25">
        <f>(29.392+5.25)*10.764</f>
        <v>372.88648799999993</v>
      </c>
      <c r="G33" s="25">
        <f>4.301*10.764</f>
        <v>46.295963999999998</v>
      </c>
      <c r="H33" s="32">
        <v>645</v>
      </c>
      <c r="I33" s="13">
        <v>4800</v>
      </c>
      <c r="J33" s="13">
        <f t="shared" si="5"/>
        <v>3096000</v>
      </c>
    </row>
    <row r="34" spans="1:10" x14ac:dyDescent="0.25">
      <c r="A34" s="13">
        <v>8</v>
      </c>
      <c r="B34" s="192"/>
      <c r="C34" s="35" t="s">
        <v>111</v>
      </c>
      <c r="D34" s="13">
        <v>108</v>
      </c>
      <c r="E34" s="13" t="s">
        <v>72</v>
      </c>
      <c r="F34" s="25">
        <f>(32.962+6.63)*10.764</f>
        <v>426.16828800000002</v>
      </c>
      <c r="G34" s="25">
        <f>4.185*10.764</f>
        <v>45.047339999999991</v>
      </c>
      <c r="H34" s="32">
        <v>740</v>
      </c>
      <c r="I34" s="13">
        <v>4800</v>
      </c>
      <c r="J34" s="13">
        <f t="shared" si="5"/>
        <v>3552000</v>
      </c>
    </row>
    <row r="35" spans="1:10" x14ac:dyDescent="0.25">
      <c r="A35" s="13">
        <v>9</v>
      </c>
      <c r="B35" s="175"/>
      <c r="C35" s="35" t="s">
        <v>111</v>
      </c>
      <c r="D35" s="13">
        <v>109</v>
      </c>
      <c r="E35" s="13" t="s">
        <v>72</v>
      </c>
      <c r="F35" s="25">
        <f>(35.312+3.624)*10.764</f>
        <v>419.10710399999999</v>
      </c>
      <c r="G35" s="25">
        <f>3.135*10.764</f>
        <v>33.745139999999992</v>
      </c>
      <c r="H35" s="32">
        <v>715</v>
      </c>
      <c r="I35" s="13">
        <v>4800</v>
      </c>
      <c r="J35" s="13">
        <f t="shared" si="5"/>
        <v>3432000</v>
      </c>
    </row>
    <row r="36" spans="1:10" x14ac:dyDescent="0.25">
      <c r="A36" s="13">
        <v>10</v>
      </c>
      <c r="B36" s="174" t="s">
        <v>84</v>
      </c>
      <c r="C36" s="35" t="s">
        <v>111</v>
      </c>
      <c r="D36" s="13">
        <f>D27+100</f>
        <v>201</v>
      </c>
      <c r="E36" s="13" t="s">
        <v>72</v>
      </c>
      <c r="F36" s="25">
        <f>34.505*10.764</f>
        <v>371.41181999999998</v>
      </c>
      <c r="G36" s="25">
        <v>0</v>
      </c>
      <c r="H36" s="32">
        <v>585</v>
      </c>
      <c r="I36" s="13">
        <v>4800</v>
      </c>
      <c r="J36" s="13">
        <f t="shared" si="5"/>
        <v>2808000</v>
      </c>
    </row>
    <row r="37" spans="1:10" x14ac:dyDescent="0.25">
      <c r="A37" s="13">
        <v>11</v>
      </c>
      <c r="B37" s="192"/>
      <c r="C37" s="35" t="s">
        <v>111</v>
      </c>
      <c r="D37" s="13">
        <f>D28+100</f>
        <v>202</v>
      </c>
      <c r="E37" s="13" t="s">
        <v>94</v>
      </c>
      <c r="F37" s="25">
        <f>(39.567+11.158)*10.764</f>
        <v>546.00389999999993</v>
      </c>
      <c r="G37" s="25">
        <v>0</v>
      </c>
      <c r="H37" s="32">
        <v>850</v>
      </c>
      <c r="I37" s="13">
        <v>4800</v>
      </c>
      <c r="J37" s="13">
        <f t="shared" si="5"/>
        <v>4080000</v>
      </c>
    </row>
    <row r="38" spans="1:10" x14ac:dyDescent="0.25">
      <c r="A38" s="13">
        <v>12</v>
      </c>
      <c r="B38" s="192"/>
      <c r="C38" s="35" t="s">
        <v>111</v>
      </c>
      <c r="D38" s="13">
        <f t="shared" ref="D38:D44" si="6">D29+100</f>
        <v>203</v>
      </c>
      <c r="E38" s="13" t="s">
        <v>73</v>
      </c>
      <c r="F38" s="25">
        <f>(20.719+6.275)*10.764</f>
        <v>290.56341599999996</v>
      </c>
      <c r="G38" s="25">
        <v>0</v>
      </c>
      <c r="H38" s="32">
        <v>455</v>
      </c>
      <c r="I38" s="13">
        <v>4800</v>
      </c>
      <c r="J38" s="13">
        <f t="shared" si="5"/>
        <v>2184000</v>
      </c>
    </row>
    <row r="39" spans="1:10" x14ac:dyDescent="0.25">
      <c r="A39" s="13">
        <v>13</v>
      </c>
      <c r="B39" s="192"/>
      <c r="C39" s="35" t="s">
        <v>111</v>
      </c>
      <c r="D39" s="13">
        <f t="shared" si="6"/>
        <v>204</v>
      </c>
      <c r="E39" s="13" t="s">
        <v>72</v>
      </c>
      <c r="F39" s="25">
        <f>(31.447+5.955)*10.764</f>
        <v>402.59512799999999</v>
      </c>
      <c r="G39" s="25">
        <v>0</v>
      </c>
      <c r="H39" s="32">
        <v>625</v>
      </c>
      <c r="I39" s="13">
        <v>4800</v>
      </c>
      <c r="J39" s="13">
        <f t="shared" si="5"/>
        <v>3000000</v>
      </c>
    </row>
    <row r="40" spans="1:10" x14ac:dyDescent="0.25">
      <c r="A40" s="13">
        <v>14</v>
      </c>
      <c r="B40" s="192"/>
      <c r="C40" s="35" t="s">
        <v>111</v>
      </c>
      <c r="D40" s="13">
        <f t="shared" si="6"/>
        <v>205</v>
      </c>
      <c r="E40" s="13" t="s">
        <v>72</v>
      </c>
      <c r="F40" s="25">
        <f>(32.062+6.825)*10.764</f>
        <v>418.57966799999997</v>
      </c>
      <c r="G40" s="25">
        <v>0</v>
      </c>
      <c r="H40" s="32">
        <v>660</v>
      </c>
      <c r="I40" s="13">
        <v>4800</v>
      </c>
      <c r="J40" s="13">
        <f t="shared" si="5"/>
        <v>3168000</v>
      </c>
    </row>
    <row r="41" spans="1:10" x14ac:dyDescent="0.25">
      <c r="A41" s="13">
        <v>15</v>
      </c>
      <c r="B41" s="192"/>
      <c r="C41" s="35" t="s">
        <v>111</v>
      </c>
      <c r="D41" s="13">
        <f t="shared" si="6"/>
        <v>206</v>
      </c>
      <c r="E41" s="13" t="s">
        <v>72</v>
      </c>
      <c r="F41" s="25">
        <f>(30.317+6.025)*10.764</f>
        <v>391.18528799999996</v>
      </c>
      <c r="G41" s="25">
        <v>0</v>
      </c>
      <c r="H41" s="32">
        <v>605</v>
      </c>
      <c r="I41" s="13">
        <v>4800</v>
      </c>
      <c r="J41" s="13">
        <f t="shared" si="5"/>
        <v>2904000</v>
      </c>
    </row>
    <row r="42" spans="1:10" x14ac:dyDescent="0.25">
      <c r="A42" s="13">
        <v>16</v>
      </c>
      <c r="B42" s="192"/>
      <c r="C42" s="35" t="s">
        <v>111</v>
      </c>
      <c r="D42" s="13">
        <f t="shared" si="6"/>
        <v>207</v>
      </c>
      <c r="E42" s="13" t="s">
        <v>72</v>
      </c>
      <c r="F42" s="25">
        <f>(29.392+5.25)*10.764</f>
        <v>372.88648799999993</v>
      </c>
      <c r="G42" s="25">
        <v>0</v>
      </c>
      <c r="H42" s="32">
        <v>570</v>
      </c>
      <c r="I42" s="13">
        <v>4800</v>
      </c>
      <c r="J42" s="13">
        <f t="shared" si="5"/>
        <v>2736000</v>
      </c>
    </row>
    <row r="43" spans="1:10" x14ac:dyDescent="0.25">
      <c r="A43" s="13">
        <v>17</v>
      </c>
      <c r="B43" s="192"/>
      <c r="C43" s="35" t="s">
        <v>111</v>
      </c>
      <c r="D43" s="13">
        <f t="shared" si="6"/>
        <v>208</v>
      </c>
      <c r="E43" s="13" t="s">
        <v>72</v>
      </c>
      <c r="F43" s="25">
        <f>(32.962+6.63)*10.764</f>
        <v>426.16828800000002</v>
      </c>
      <c r="G43" s="25">
        <v>0</v>
      </c>
      <c r="H43" s="32">
        <v>670</v>
      </c>
      <c r="I43" s="13">
        <v>4800</v>
      </c>
      <c r="J43" s="13">
        <f t="shared" si="5"/>
        <v>3216000</v>
      </c>
    </row>
    <row r="44" spans="1:10" x14ac:dyDescent="0.25">
      <c r="A44" s="13">
        <v>18</v>
      </c>
      <c r="B44" s="175"/>
      <c r="C44" s="35" t="s">
        <v>111</v>
      </c>
      <c r="D44" s="13">
        <f t="shared" si="6"/>
        <v>209</v>
      </c>
      <c r="E44" s="13" t="s">
        <v>72</v>
      </c>
      <c r="F44" s="25">
        <f>(35.312+3.624)*10.764</f>
        <v>419.10710399999999</v>
      </c>
      <c r="G44" s="25">
        <f>3.85*10.764</f>
        <v>41.441400000000002</v>
      </c>
      <c r="H44" s="32">
        <v>725</v>
      </c>
      <c r="I44" s="13">
        <v>4800</v>
      </c>
      <c r="J44" s="13">
        <f t="shared" si="5"/>
        <v>3480000</v>
      </c>
    </row>
    <row r="45" spans="1:10" x14ac:dyDescent="0.25">
      <c r="A45" s="13">
        <v>19</v>
      </c>
      <c r="B45" s="174" t="s">
        <v>85</v>
      </c>
      <c r="C45" s="35" t="s">
        <v>111</v>
      </c>
      <c r="D45" s="13">
        <f>D36+100</f>
        <v>301</v>
      </c>
      <c r="E45" s="13" t="s">
        <v>72</v>
      </c>
      <c r="F45" s="25">
        <f>34.505*10.764</f>
        <v>371.41181999999998</v>
      </c>
      <c r="G45" s="25">
        <f>4.32*10.764</f>
        <v>46.500480000000003</v>
      </c>
      <c r="H45" s="32">
        <v>655</v>
      </c>
      <c r="I45" s="13">
        <v>4800</v>
      </c>
      <c r="J45" s="13">
        <f t="shared" si="5"/>
        <v>3144000</v>
      </c>
    </row>
    <row r="46" spans="1:10" x14ac:dyDescent="0.25">
      <c r="A46" s="13">
        <v>20</v>
      </c>
      <c r="B46" s="192"/>
      <c r="C46" s="35" t="s">
        <v>111</v>
      </c>
      <c r="D46" s="13">
        <f>D37+100</f>
        <v>302</v>
      </c>
      <c r="E46" s="13" t="s">
        <v>94</v>
      </c>
      <c r="F46" s="25">
        <f>(39.567+11.158)*10.764</f>
        <v>546.00389999999993</v>
      </c>
      <c r="G46" s="25">
        <f>4.95*10.764</f>
        <v>53.281799999999997</v>
      </c>
      <c r="H46" s="32">
        <v>935</v>
      </c>
      <c r="I46" s="13">
        <v>4800</v>
      </c>
      <c r="J46" s="13">
        <f t="shared" si="5"/>
        <v>4488000</v>
      </c>
    </row>
    <row r="47" spans="1:10" x14ac:dyDescent="0.25">
      <c r="A47" s="13">
        <v>21</v>
      </c>
      <c r="B47" s="192"/>
      <c r="C47" s="35" t="s">
        <v>111</v>
      </c>
      <c r="D47" s="13">
        <f t="shared" ref="D47:D53" si="7">D38+100</f>
        <v>303</v>
      </c>
      <c r="E47" s="13" t="s">
        <v>73</v>
      </c>
      <c r="F47" s="25">
        <f>(20.719+6.275)*10.764</f>
        <v>290.56341599999996</v>
      </c>
      <c r="G47" s="25">
        <v>0</v>
      </c>
      <c r="H47" s="32">
        <v>455</v>
      </c>
      <c r="I47" s="13">
        <v>4800</v>
      </c>
      <c r="J47" s="13">
        <f t="shared" si="5"/>
        <v>2184000</v>
      </c>
    </row>
    <row r="48" spans="1:10" x14ac:dyDescent="0.25">
      <c r="A48" s="13">
        <v>22</v>
      </c>
      <c r="B48" s="192"/>
      <c r="C48" s="35" t="s">
        <v>111</v>
      </c>
      <c r="D48" s="13">
        <f t="shared" si="7"/>
        <v>304</v>
      </c>
      <c r="E48" s="13" t="s">
        <v>72</v>
      </c>
      <c r="F48" s="25">
        <f>(31.447+5.955)*10.764</f>
        <v>402.59512799999999</v>
      </c>
      <c r="G48" s="25">
        <f>5.55*10.764</f>
        <v>59.740199999999994</v>
      </c>
      <c r="H48" s="32">
        <v>715</v>
      </c>
      <c r="I48" s="13">
        <v>4800</v>
      </c>
      <c r="J48" s="13">
        <f t="shared" si="5"/>
        <v>3432000</v>
      </c>
    </row>
    <row r="49" spans="1:10" x14ac:dyDescent="0.25">
      <c r="A49" s="13">
        <v>23</v>
      </c>
      <c r="B49" s="192"/>
      <c r="C49" s="35" t="s">
        <v>111</v>
      </c>
      <c r="D49" s="13">
        <f t="shared" si="7"/>
        <v>305</v>
      </c>
      <c r="E49" s="13" t="s">
        <v>72</v>
      </c>
      <c r="F49" s="25">
        <f>(32.062+6.825)*10.764</f>
        <v>418.57966799999997</v>
      </c>
      <c r="G49" s="25">
        <f>5.55*10.764</f>
        <v>59.740199999999994</v>
      </c>
      <c r="H49" s="32">
        <v>750</v>
      </c>
      <c r="I49" s="13">
        <v>4800</v>
      </c>
      <c r="J49" s="13">
        <f t="shared" si="5"/>
        <v>3600000</v>
      </c>
    </row>
    <row r="50" spans="1:10" x14ac:dyDescent="0.25">
      <c r="A50" s="13">
        <v>24</v>
      </c>
      <c r="B50" s="192"/>
      <c r="C50" s="35" t="s">
        <v>111</v>
      </c>
      <c r="D50" s="13">
        <f t="shared" si="7"/>
        <v>306</v>
      </c>
      <c r="E50" s="13" t="s">
        <v>72</v>
      </c>
      <c r="F50" s="25">
        <f>(30.317+6.025)*10.764</f>
        <v>391.18528799999996</v>
      </c>
      <c r="G50" s="25">
        <f>4.301*10.764</f>
        <v>46.295963999999998</v>
      </c>
      <c r="H50" s="32">
        <v>675</v>
      </c>
      <c r="I50" s="13">
        <v>4800</v>
      </c>
      <c r="J50" s="13">
        <f t="shared" si="5"/>
        <v>3240000</v>
      </c>
    </row>
    <row r="51" spans="1:10" x14ac:dyDescent="0.25">
      <c r="A51" s="13">
        <v>25</v>
      </c>
      <c r="B51" s="192"/>
      <c r="C51" s="35" t="s">
        <v>111</v>
      </c>
      <c r="D51" s="13">
        <f t="shared" si="7"/>
        <v>307</v>
      </c>
      <c r="E51" s="13" t="s">
        <v>72</v>
      </c>
      <c r="F51" s="25">
        <f>(29.392+5.25)*10.764</f>
        <v>372.88648799999993</v>
      </c>
      <c r="G51" s="25">
        <f>4.301*10.764</f>
        <v>46.295963999999998</v>
      </c>
      <c r="H51" s="32">
        <v>645</v>
      </c>
      <c r="I51" s="13">
        <v>4800</v>
      </c>
      <c r="J51" s="13">
        <f t="shared" si="5"/>
        <v>3096000</v>
      </c>
    </row>
    <row r="52" spans="1:10" x14ac:dyDescent="0.25">
      <c r="A52" s="13">
        <v>26</v>
      </c>
      <c r="B52" s="192"/>
      <c r="C52" s="35" t="s">
        <v>111</v>
      </c>
      <c r="D52" s="13">
        <f t="shared" si="7"/>
        <v>308</v>
      </c>
      <c r="E52" s="13" t="s">
        <v>72</v>
      </c>
      <c r="F52" s="25">
        <f>(32.962+6.63)*10.764</f>
        <v>426.16828800000002</v>
      </c>
      <c r="G52" s="25">
        <f>4.185*10.764</f>
        <v>45.047339999999991</v>
      </c>
      <c r="H52" s="32">
        <v>740</v>
      </c>
      <c r="I52" s="13">
        <v>4800</v>
      </c>
      <c r="J52" s="13">
        <f t="shared" si="5"/>
        <v>3552000</v>
      </c>
    </row>
    <row r="53" spans="1:10" x14ac:dyDescent="0.25">
      <c r="A53" s="13">
        <v>27</v>
      </c>
      <c r="B53" s="175"/>
      <c r="C53" s="35" t="s">
        <v>111</v>
      </c>
      <c r="D53" s="13">
        <f t="shared" si="7"/>
        <v>309</v>
      </c>
      <c r="E53" s="13" t="s">
        <v>72</v>
      </c>
      <c r="F53" s="25">
        <f>(35.312+3.624)*10.764</f>
        <v>419.10710399999999</v>
      </c>
      <c r="G53" s="25">
        <f>3.135*10.764</f>
        <v>33.745139999999992</v>
      </c>
      <c r="H53" s="32">
        <v>715</v>
      </c>
      <c r="I53" s="13">
        <v>4800</v>
      </c>
      <c r="J53" s="13">
        <f t="shared" si="5"/>
        <v>3432000</v>
      </c>
    </row>
    <row r="54" spans="1:10" x14ac:dyDescent="0.25">
      <c r="A54" s="13">
        <v>28</v>
      </c>
      <c r="B54" s="174" t="s">
        <v>86</v>
      </c>
      <c r="C54" s="35" t="s">
        <v>111</v>
      </c>
      <c r="D54" s="13">
        <f>D45+100</f>
        <v>401</v>
      </c>
      <c r="E54" s="13" t="s">
        <v>72</v>
      </c>
      <c r="F54" s="25">
        <f>34.505*10.764</f>
        <v>371.41181999999998</v>
      </c>
      <c r="G54" s="25">
        <v>0</v>
      </c>
      <c r="H54" s="32">
        <v>585</v>
      </c>
      <c r="I54" s="13">
        <v>4800</v>
      </c>
      <c r="J54" s="13">
        <f t="shared" si="5"/>
        <v>2808000</v>
      </c>
    </row>
    <row r="55" spans="1:10" x14ac:dyDescent="0.25">
      <c r="A55" s="13">
        <v>29</v>
      </c>
      <c r="B55" s="192"/>
      <c r="C55" s="35" t="s">
        <v>111</v>
      </c>
      <c r="D55" s="13">
        <f>D46+100</f>
        <v>402</v>
      </c>
      <c r="E55" s="13" t="s">
        <v>94</v>
      </c>
      <c r="F55" s="25">
        <f>(39.567+11.158)*10.764</f>
        <v>546.00389999999993</v>
      </c>
      <c r="G55" s="25">
        <v>0</v>
      </c>
      <c r="H55" s="32">
        <v>850</v>
      </c>
      <c r="I55" s="13">
        <v>4800</v>
      </c>
      <c r="J55" s="13">
        <f t="shared" si="5"/>
        <v>4080000</v>
      </c>
    </row>
    <row r="56" spans="1:10" x14ac:dyDescent="0.25">
      <c r="A56" s="13">
        <v>30</v>
      </c>
      <c r="B56" s="192"/>
      <c r="C56" s="35" t="s">
        <v>111</v>
      </c>
      <c r="D56" s="13">
        <f t="shared" ref="D56:D62" si="8">D47+100</f>
        <v>403</v>
      </c>
      <c r="E56" s="13" t="s">
        <v>73</v>
      </c>
      <c r="F56" s="25">
        <f>(20.719+6.275)*10.764</f>
        <v>290.56341599999996</v>
      </c>
      <c r="G56" s="25">
        <v>0</v>
      </c>
      <c r="H56" s="32">
        <v>455</v>
      </c>
      <c r="I56" s="13">
        <v>4800</v>
      </c>
      <c r="J56" s="13">
        <f t="shared" si="5"/>
        <v>2184000</v>
      </c>
    </row>
    <row r="57" spans="1:10" x14ac:dyDescent="0.25">
      <c r="A57" s="13">
        <v>31</v>
      </c>
      <c r="B57" s="192"/>
      <c r="C57" s="35" t="s">
        <v>111</v>
      </c>
      <c r="D57" s="13">
        <f t="shared" si="8"/>
        <v>404</v>
      </c>
      <c r="E57" s="13" t="s">
        <v>72</v>
      </c>
      <c r="F57" s="25">
        <f>(31.447+5.955)*10.764</f>
        <v>402.59512799999999</v>
      </c>
      <c r="G57" s="25">
        <v>0</v>
      </c>
      <c r="H57" s="32">
        <v>625</v>
      </c>
      <c r="I57" s="13">
        <v>4800</v>
      </c>
      <c r="J57" s="13">
        <f t="shared" si="5"/>
        <v>3000000</v>
      </c>
    </row>
    <row r="58" spans="1:10" x14ac:dyDescent="0.25">
      <c r="A58" s="13">
        <v>32</v>
      </c>
      <c r="B58" s="192"/>
      <c r="C58" s="35" t="s">
        <v>111</v>
      </c>
      <c r="D58" s="13">
        <f t="shared" si="8"/>
        <v>405</v>
      </c>
      <c r="E58" s="13" t="s">
        <v>72</v>
      </c>
      <c r="F58" s="25">
        <f>(32.062+6.825)*10.764</f>
        <v>418.57966799999997</v>
      </c>
      <c r="G58" s="25">
        <v>0</v>
      </c>
      <c r="H58" s="32">
        <v>660</v>
      </c>
      <c r="I58" s="13">
        <v>4800</v>
      </c>
      <c r="J58" s="13">
        <f t="shared" si="5"/>
        <v>3168000</v>
      </c>
    </row>
    <row r="59" spans="1:10" x14ac:dyDescent="0.25">
      <c r="A59" s="13">
        <v>33</v>
      </c>
      <c r="B59" s="192"/>
      <c r="C59" s="35" t="s">
        <v>111</v>
      </c>
      <c r="D59" s="13">
        <f t="shared" si="8"/>
        <v>406</v>
      </c>
      <c r="E59" s="13" t="s">
        <v>72</v>
      </c>
      <c r="F59" s="25">
        <f>(30.317+6.025)*10.764</f>
        <v>391.18528799999996</v>
      </c>
      <c r="G59" s="25">
        <v>0</v>
      </c>
      <c r="H59" s="32">
        <v>605</v>
      </c>
      <c r="I59" s="13">
        <v>4800</v>
      </c>
      <c r="J59" s="13">
        <f t="shared" si="5"/>
        <v>2904000</v>
      </c>
    </row>
    <row r="60" spans="1:10" x14ac:dyDescent="0.25">
      <c r="A60" s="13">
        <v>34</v>
      </c>
      <c r="B60" s="192"/>
      <c r="C60" s="35" t="s">
        <v>111</v>
      </c>
      <c r="D60" s="13">
        <f t="shared" si="8"/>
        <v>407</v>
      </c>
      <c r="E60" s="13" t="s">
        <v>72</v>
      </c>
      <c r="F60" s="25">
        <f>(29.392+5.25)*10.764</f>
        <v>372.88648799999993</v>
      </c>
      <c r="G60" s="25">
        <v>0</v>
      </c>
      <c r="H60" s="32">
        <v>570</v>
      </c>
      <c r="I60" s="13">
        <v>4800</v>
      </c>
      <c r="J60" s="13">
        <f t="shared" si="5"/>
        <v>2736000</v>
      </c>
    </row>
    <row r="61" spans="1:10" x14ac:dyDescent="0.25">
      <c r="A61" s="13">
        <v>35</v>
      </c>
      <c r="B61" s="192"/>
      <c r="C61" s="35" t="s">
        <v>111</v>
      </c>
      <c r="D61" s="13">
        <f t="shared" si="8"/>
        <v>408</v>
      </c>
      <c r="E61" s="13" t="s">
        <v>72</v>
      </c>
      <c r="F61" s="25">
        <f>(32.962+6.63)*10.764</f>
        <v>426.16828800000002</v>
      </c>
      <c r="G61" s="25">
        <v>0</v>
      </c>
      <c r="H61" s="32">
        <v>670</v>
      </c>
      <c r="I61" s="13">
        <v>4800</v>
      </c>
      <c r="J61" s="13">
        <f t="shared" si="5"/>
        <v>3216000</v>
      </c>
    </row>
    <row r="62" spans="1:10" x14ac:dyDescent="0.25">
      <c r="A62" s="13">
        <v>36</v>
      </c>
      <c r="B62" s="175"/>
      <c r="C62" s="35" t="s">
        <v>111</v>
      </c>
      <c r="D62" s="13">
        <f t="shared" si="8"/>
        <v>409</v>
      </c>
      <c r="E62" s="13" t="s">
        <v>72</v>
      </c>
      <c r="F62" s="25">
        <f>(35.312+3.624)*10.764</f>
        <v>419.10710399999999</v>
      </c>
      <c r="G62" s="25">
        <f>3.85*10.764</f>
        <v>41.441400000000002</v>
      </c>
      <c r="H62" s="32">
        <v>725</v>
      </c>
      <c r="I62" s="13">
        <v>4800</v>
      </c>
      <c r="J62" s="13">
        <f t="shared" si="5"/>
        <v>3480000</v>
      </c>
    </row>
    <row r="63" spans="1:10" x14ac:dyDescent="0.25">
      <c r="A63" s="13">
        <v>37</v>
      </c>
      <c r="B63" s="174" t="s">
        <v>87</v>
      </c>
      <c r="C63" s="35" t="s">
        <v>111</v>
      </c>
      <c r="D63" s="13">
        <f>D54+100</f>
        <v>501</v>
      </c>
      <c r="E63" s="13" t="s">
        <v>72</v>
      </c>
      <c r="F63" s="25">
        <f>34.505*10.764</f>
        <v>371.41181999999998</v>
      </c>
      <c r="G63" s="25">
        <f>4.32*10.764</f>
        <v>46.500480000000003</v>
      </c>
      <c r="H63" s="32">
        <v>655</v>
      </c>
      <c r="I63" s="13">
        <v>4800</v>
      </c>
      <c r="J63" s="13">
        <f t="shared" si="5"/>
        <v>3144000</v>
      </c>
    </row>
    <row r="64" spans="1:10" x14ac:dyDescent="0.25">
      <c r="A64" s="13">
        <v>38</v>
      </c>
      <c r="B64" s="192"/>
      <c r="C64" s="35" t="s">
        <v>111</v>
      </c>
      <c r="D64" s="13">
        <f>D55+100</f>
        <v>502</v>
      </c>
      <c r="E64" s="13" t="s">
        <v>94</v>
      </c>
      <c r="F64" s="25">
        <f>(39.567+11.158)*10.764</f>
        <v>546.00389999999993</v>
      </c>
      <c r="G64" s="25">
        <f>4.95*10.764</f>
        <v>53.281799999999997</v>
      </c>
      <c r="H64" s="32">
        <v>935</v>
      </c>
      <c r="I64" s="13">
        <v>4800</v>
      </c>
      <c r="J64" s="13">
        <f t="shared" si="5"/>
        <v>4488000</v>
      </c>
    </row>
    <row r="65" spans="1:10" x14ac:dyDescent="0.25">
      <c r="A65" s="13">
        <v>39</v>
      </c>
      <c r="B65" s="192"/>
      <c r="C65" s="35" t="s">
        <v>111</v>
      </c>
      <c r="D65" s="13">
        <f t="shared" ref="D65:D71" si="9">D56+100</f>
        <v>503</v>
      </c>
      <c r="E65" s="13" t="s">
        <v>73</v>
      </c>
      <c r="F65" s="25">
        <f>(20.719+6.275)*10.764</f>
        <v>290.56341599999996</v>
      </c>
      <c r="G65" s="25">
        <v>0</v>
      </c>
      <c r="H65" s="32">
        <v>455</v>
      </c>
      <c r="I65" s="13">
        <v>4800</v>
      </c>
      <c r="J65" s="13">
        <f t="shared" si="5"/>
        <v>2184000</v>
      </c>
    </row>
    <row r="66" spans="1:10" x14ac:dyDescent="0.25">
      <c r="A66" s="13">
        <v>40</v>
      </c>
      <c r="B66" s="192"/>
      <c r="C66" s="35" t="s">
        <v>111</v>
      </c>
      <c r="D66" s="13">
        <f t="shared" si="9"/>
        <v>504</v>
      </c>
      <c r="E66" s="13" t="s">
        <v>72</v>
      </c>
      <c r="F66" s="25">
        <f>(31.447+5.955)*10.764</f>
        <v>402.59512799999999</v>
      </c>
      <c r="G66" s="25">
        <f>5.55*10.764</f>
        <v>59.740199999999994</v>
      </c>
      <c r="H66" s="32">
        <v>715</v>
      </c>
      <c r="I66" s="13">
        <v>4800</v>
      </c>
      <c r="J66" s="13">
        <f t="shared" si="5"/>
        <v>3432000</v>
      </c>
    </row>
    <row r="67" spans="1:10" x14ac:dyDescent="0.25">
      <c r="A67" s="13">
        <v>41</v>
      </c>
      <c r="B67" s="192"/>
      <c r="C67" s="35" t="s">
        <v>111</v>
      </c>
      <c r="D67" s="13">
        <f t="shared" si="9"/>
        <v>505</v>
      </c>
      <c r="E67" s="13" t="s">
        <v>72</v>
      </c>
      <c r="F67" s="25">
        <f>(32.062+6.825)*10.764</f>
        <v>418.57966799999997</v>
      </c>
      <c r="G67" s="25">
        <f>5.55*10.764</f>
        <v>59.740199999999994</v>
      </c>
      <c r="H67" s="32">
        <v>750</v>
      </c>
      <c r="I67" s="13">
        <v>4800</v>
      </c>
      <c r="J67" s="13">
        <f t="shared" si="5"/>
        <v>3600000</v>
      </c>
    </row>
    <row r="68" spans="1:10" x14ac:dyDescent="0.25">
      <c r="A68" s="13">
        <v>42</v>
      </c>
      <c r="B68" s="192"/>
      <c r="C68" s="35" t="s">
        <v>111</v>
      </c>
      <c r="D68" s="13">
        <f t="shared" si="9"/>
        <v>506</v>
      </c>
      <c r="E68" s="13" t="s">
        <v>72</v>
      </c>
      <c r="F68" s="25">
        <f>(30.317+6.025)*10.764</f>
        <v>391.18528799999996</v>
      </c>
      <c r="G68" s="25">
        <f>4.301*10.764</f>
        <v>46.295963999999998</v>
      </c>
      <c r="H68" s="32">
        <v>675</v>
      </c>
      <c r="I68" s="13">
        <v>4800</v>
      </c>
      <c r="J68" s="13">
        <f t="shared" si="5"/>
        <v>3240000</v>
      </c>
    </row>
    <row r="69" spans="1:10" x14ac:dyDescent="0.25">
      <c r="A69" s="13">
        <v>43</v>
      </c>
      <c r="B69" s="192"/>
      <c r="C69" s="35" t="s">
        <v>111</v>
      </c>
      <c r="D69" s="13">
        <f t="shared" si="9"/>
        <v>507</v>
      </c>
      <c r="E69" s="13" t="s">
        <v>72</v>
      </c>
      <c r="F69" s="25">
        <f>(29.392+5.25)*10.764</f>
        <v>372.88648799999993</v>
      </c>
      <c r="G69" s="25">
        <f>4.301*10.764</f>
        <v>46.295963999999998</v>
      </c>
      <c r="H69" s="32">
        <v>645</v>
      </c>
      <c r="I69" s="13">
        <v>4800</v>
      </c>
      <c r="J69" s="13">
        <f t="shared" si="5"/>
        <v>3096000</v>
      </c>
    </row>
    <row r="70" spans="1:10" x14ac:dyDescent="0.25">
      <c r="A70" s="13">
        <v>44</v>
      </c>
      <c r="B70" s="192"/>
      <c r="C70" s="35" t="s">
        <v>111</v>
      </c>
      <c r="D70" s="13">
        <f t="shared" si="9"/>
        <v>508</v>
      </c>
      <c r="E70" s="13" t="s">
        <v>72</v>
      </c>
      <c r="F70" s="25">
        <f>(32.962+6.63)*10.764</f>
        <v>426.16828800000002</v>
      </c>
      <c r="G70" s="25">
        <f>4.185*10.764</f>
        <v>45.047339999999991</v>
      </c>
      <c r="H70" s="32">
        <v>740</v>
      </c>
      <c r="I70" s="13">
        <v>4800</v>
      </c>
      <c r="J70" s="13">
        <f t="shared" si="5"/>
        <v>3552000</v>
      </c>
    </row>
    <row r="71" spans="1:10" x14ac:dyDescent="0.25">
      <c r="A71" s="13">
        <v>45</v>
      </c>
      <c r="B71" s="175"/>
      <c r="C71" s="35" t="s">
        <v>111</v>
      </c>
      <c r="D71" s="13">
        <f t="shared" si="9"/>
        <v>509</v>
      </c>
      <c r="E71" s="13" t="s">
        <v>72</v>
      </c>
      <c r="F71" s="25">
        <f>(35.312+3.624)*10.764</f>
        <v>419.10710399999999</v>
      </c>
      <c r="G71" s="25">
        <f>3.135*10.764</f>
        <v>33.745139999999992</v>
      </c>
      <c r="H71" s="32">
        <v>715</v>
      </c>
      <c r="I71" s="13">
        <v>4800</v>
      </c>
      <c r="J71" s="13">
        <f t="shared" si="5"/>
        <v>3432000</v>
      </c>
    </row>
    <row r="72" spans="1:10" x14ac:dyDescent="0.25">
      <c r="A72" s="13">
        <v>46</v>
      </c>
      <c r="B72" s="174" t="s">
        <v>88</v>
      </c>
      <c r="C72" s="35" t="s">
        <v>111</v>
      </c>
      <c r="D72" s="13">
        <f>D63+100</f>
        <v>601</v>
      </c>
      <c r="E72" s="13" t="s">
        <v>72</v>
      </c>
      <c r="F72" s="25">
        <f>34.505*10.764</f>
        <v>371.41181999999998</v>
      </c>
      <c r="G72" s="25">
        <v>0</v>
      </c>
      <c r="H72" s="32">
        <v>585</v>
      </c>
      <c r="I72" s="13">
        <v>4800</v>
      </c>
      <c r="J72" s="13">
        <f t="shared" si="5"/>
        <v>2808000</v>
      </c>
    </row>
    <row r="73" spans="1:10" x14ac:dyDescent="0.25">
      <c r="A73" s="13">
        <v>47</v>
      </c>
      <c r="B73" s="192"/>
      <c r="C73" s="35" t="s">
        <v>111</v>
      </c>
      <c r="D73" s="13">
        <f>D64+100</f>
        <v>602</v>
      </c>
      <c r="E73" s="13" t="s">
        <v>94</v>
      </c>
      <c r="F73" s="25">
        <f>(39.567+11.158)*10.764</f>
        <v>546.00389999999993</v>
      </c>
      <c r="G73" s="25">
        <v>0</v>
      </c>
      <c r="H73" s="32">
        <v>850</v>
      </c>
      <c r="I73" s="13">
        <v>4800</v>
      </c>
      <c r="J73" s="13">
        <f t="shared" si="5"/>
        <v>4080000</v>
      </c>
    </row>
    <row r="74" spans="1:10" x14ac:dyDescent="0.25">
      <c r="A74" s="13">
        <v>48</v>
      </c>
      <c r="B74" s="192"/>
      <c r="C74" s="35" t="s">
        <v>111</v>
      </c>
      <c r="D74" s="13">
        <f t="shared" ref="D74:D80" si="10">D65+100</f>
        <v>603</v>
      </c>
      <c r="E74" s="13" t="s">
        <v>73</v>
      </c>
      <c r="F74" s="25">
        <f>(20.719+6.275)*10.764</f>
        <v>290.56341599999996</v>
      </c>
      <c r="G74" s="25">
        <v>0</v>
      </c>
      <c r="H74" s="32">
        <v>455</v>
      </c>
      <c r="I74" s="13">
        <v>4800</v>
      </c>
      <c r="J74" s="13">
        <f t="shared" si="5"/>
        <v>2184000</v>
      </c>
    </row>
    <row r="75" spans="1:10" x14ac:dyDescent="0.25">
      <c r="A75" s="13">
        <v>49</v>
      </c>
      <c r="B75" s="192"/>
      <c r="C75" s="35" t="s">
        <v>111</v>
      </c>
      <c r="D75" s="13">
        <f t="shared" si="10"/>
        <v>604</v>
      </c>
      <c r="E75" s="13" t="s">
        <v>72</v>
      </c>
      <c r="F75" s="25">
        <f>(31.447+5.955)*10.764</f>
        <v>402.59512799999999</v>
      </c>
      <c r="G75" s="25">
        <v>0</v>
      </c>
      <c r="H75" s="32">
        <v>625</v>
      </c>
      <c r="I75" s="13">
        <v>4800</v>
      </c>
      <c r="J75" s="13">
        <f t="shared" si="5"/>
        <v>3000000</v>
      </c>
    </row>
    <row r="76" spans="1:10" x14ac:dyDescent="0.25">
      <c r="A76" s="13">
        <v>50</v>
      </c>
      <c r="B76" s="192"/>
      <c r="C76" s="35" t="s">
        <v>111</v>
      </c>
      <c r="D76" s="13">
        <f t="shared" si="10"/>
        <v>605</v>
      </c>
      <c r="E76" s="13" t="s">
        <v>72</v>
      </c>
      <c r="F76" s="25">
        <f>(32.062+6.825)*10.764</f>
        <v>418.57966799999997</v>
      </c>
      <c r="G76" s="25">
        <v>0</v>
      </c>
      <c r="H76" s="32">
        <v>660</v>
      </c>
      <c r="I76" s="13">
        <v>4800</v>
      </c>
      <c r="J76" s="13">
        <f t="shared" si="5"/>
        <v>3168000</v>
      </c>
    </row>
    <row r="77" spans="1:10" x14ac:dyDescent="0.25">
      <c r="A77" s="13">
        <v>51</v>
      </c>
      <c r="B77" s="192"/>
      <c r="C77" s="35" t="s">
        <v>111</v>
      </c>
      <c r="D77" s="13">
        <f t="shared" si="10"/>
        <v>606</v>
      </c>
      <c r="E77" s="13" t="s">
        <v>72</v>
      </c>
      <c r="F77" s="25">
        <f>(30.317+6.025)*10.764</f>
        <v>391.18528799999996</v>
      </c>
      <c r="G77" s="25">
        <v>0</v>
      </c>
      <c r="H77" s="32">
        <v>605</v>
      </c>
      <c r="I77" s="13">
        <v>4800</v>
      </c>
      <c r="J77" s="13">
        <f t="shared" si="5"/>
        <v>2904000</v>
      </c>
    </row>
    <row r="78" spans="1:10" x14ac:dyDescent="0.25">
      <c r="A78" s="13">
        <v>52</v>
      </c>
      <c r="B78" s="192"/>
      <c r="C78" s="35" t="s">
        <v>111</v>
      </c>
      <c r="D78" s="13">
        <f t="shared" si="10"/>
        <v>607</v>
      </c>
      <c r="E78" s="13" t="s">
        <v>72</v>
      </c>
      <c r="F78" s="25">
        <f>(29.392+5.25)*10.764</f>
        <v>372.88648799999993</v>
      </c>
      <c r="G78" s="25">
        <v>0</v>
      </c>
      <c r="H78" s="32">
        <v>570</v>
      </c>
      <c r="I78" s="13">
        <v>4800</v>
      </c>
      <c r="J78" s="13">
        <f t="shared" si="5"/>
        <v>2736000</v>
      </c>
    </row>
    <row r="79" spans="1:10" x14ac:dyDescent="0.25">
      <c r="A79" s="13">
        <v>53</v>
      </c>
      <c r="B79" s="192"/>
      <c r="C79" s="35" t="s">
        <v>111</v>
      </c>
      <c r="D79" s="13">
        <f t="shared" si="10"/>
        <v>608</v>
      </c>
      <c r="E79" s="13" t="s">
        <v>72</v>
      </c>
      <c r="F79" s="25">
        <f>(32.962+6.63)*10.764</f>
        <v>426.16828800000002</v>
      </c>
      <c r="G79" s="25">
        <v>0</v>
      </c>
      <c r="H79" s="32">
        <v>670</v>
      </c>
      <c r="I79" s="13">
        <v>4800</v>
      </c>
      <c r="J79" s="13">
        <f t="shared" si="5"/>
        <v>3216000</v>
      </c>
    </row>
    <row r="80" spans="1:10" x14ac:dyDescent="0.25">
      <c r="A80" s="13">
        <v>54</v>
      </c>
      <c r="B80" s="175"/>
      <c r="C80" s="35" t="s">
        <v>111</v>
      </c>
      <c r="D80" s="13">
        <f t="shared" si="10"/>
        <v>609</v>
      </c>
      <c r="E80" s="13" t="s">
        <v>72</v>
      </c>
      <c r="F80" s="25">
        <f>(35.312+3.624)*10.764</f>
        <v>419.10710399999999</v>
      </c>
      <c r="G80" s="25">
        <f>3.85*10.764</f>
        <v>41.441400000000002</v>
      </c>
      <c r="H80" s="32">
        <v>725</v>
      </c>
      <c r="I80" s="13">
        <v>4800</v>
      </c>
      <c r="J80" s="13">
        <f t="shared" si="5"/>
        <v>3480000</v>
      </c>
    </row>
    <row r="81" spans="1:10" x14ac:dyDescent="0.25">
      <c r="A81" s="13">
        <v>55</v>
      </c>
      <c r="B81" s="174" t="s">
        <v>89</v>
      </c>
      <c r="C81" s="35" t="s">
        <v>111</v>
      </c>
      <c r="D81" s="13">
        <f>D72+100</f>
        <v>701</v>
      </c>
      <c r="E81" s="13" t="s">
        <v>72</v>
      </c>
      <c r="F81" s="25">
        <f>34.505*10.764</f>
        <v>371.41181999999998</v>
      </c>
      <c r="G81" s="25">
        <f>4.32*10.764</f>
        <v>46.500480000000003</v>
      </c>
      <c r="H81" s="32">
        <v>655</v>
      </c>
      <c r="I81" s="13">
        <v>4800</v>
      </c>
      <c r="J81" s="13">
        <f t="shared" si="5"/>
        <v>3144000</v>
      </c>
    </row>
    <row r="82" spans="1:10" x14ac:dyDescent="0.25">
      <c r="A82" s="13">
        <v>56</v>
      </c>
      <c r="B82" s="192"/>
      <c r="C82" s="35" t="s">
        <v>111</v>
      </c>
      <c r="D82" s="13">
        <f>D73+100</f>
        <v>702</v>
      </c>
      <c r="E82" s="13" t="s">
        <v>94</v>
      </c>
      <c r="F82" s="25">
        <f>(39.567+11.158)*10.764</f>
        <v>546.00389999999993</v>
      </c>
      <c r="G82" s="25">
        <f>4.95*10.764</f>
        <v>53.281799999999997</v>
      </c>
      <c r="H82" s="32">
        <v>935</v>
      </c>
      <c r="I82" s="13">
        <v>4800</v>
      </c>
      <c r="J82" s="13">
        <f t="shared" si="5"/>
        <v>4488000</v>
      </c>
    </row>
    <row r="83" spans="1:10" x14ac:dyDescent="0.25">
      <c r="A83" s="13">
        <v>57</v>
      </c>
      <c r="B83" s="192"/>
      <c r="C83" s="35" t="s">
        <v>111</v>
      </c>
      <c r="D83" s="13">
        <f t="shared" ref="D83:D89" si="11">D74+100</f>
        <v>703</v>
      </c>
      <c r="E83" s="13" t="s">
        <v>73</v>
      </c>
      <c r="F83" s="25">
        <f>(20.719+6.275)*10.764</f>
        <v>290.56341599999996</v>
      </c>
      <c r="G83" s="25">
        <v>0</v>
      </c>
      <c r="H83" s="32">
        <v>455</v>
      </c>
      <c r="I83" s="13">
        <v>4800</v>
      </c>
      <c r="J83" s="13">
        <f t="shared" si="5"/>
        <v>2184000</v>
      </c>
    </row>
    <row r="84" spans="1:10" x14ac:dyDescent="0.25">
      <c r="A84" s="13">
        <v>58</v>
      </c>
      <c r="B84" s="192"/>
      <c r="C84" s="35" t="s">
        <v>111</v>
      </c>
      <c r="D84" s="13">
        <f t="shared" si="11"/>
        <v>704</v>
      </c>
      <c r="E84" s="13" t="s">
        <v>72</v>
      </c>
      <c r="F84" s="25">
        <f>(31.447+5.955)*10.764</f>
        <v>402.59512799999999</v>
      </c>
      <c r="G84" s="25">
        <f>5.55*10.764</f>
        <v>59.740199999999994</v>
      </c>
      <c r="H84" s="32">
        <v>715</v>
      </c>
      <c r="I84" s="13">
        <v>4800</v>
      </c>
      <c r="J84" s="13">
        <f t="shared" si="5"/>
        <v>3432000</v>
      </c>
    </row>
    <row r="85" spans="1:10" x14ac:dyDescent="0.25">
      <c r="A85" s="13">
        <v>59</v>
      </c>
      <c r="B85" s="192"/>
      <c r="C85" s="35" t="s">
        <v>111</v>
      </c>
      <c r="D85" s="13">
        <f t="shared" si="11"/>
        <v>705</v>
      </c>
      <c r="E85" s="13" t="s">
        <v>72</v>
      </c>
      <c r="F85" s="25">
        <f>(32.062+6.825)*10.764</f>
        <v>418.57966799999997</v>
      </c>
      <c r="G85" s="25">
        <f>5.55*10.764</f>
        <v>59.740199999999994</v>
      </c>
      <c r="H85" s="32">
        <v>750</v>
      </c>
      <c r="I85" s="13">
        <v>4800</v>
      </c>
      <c r="J85" s="13">
        <f t="shared" si="5"/>
        <v>3600000</v>
      </c>
    </row>
    <row r="86" spans="1:10" x14ac:dyDescent="0.25">
      <c r="A86" s="13">
        <v>60</v>
      </c>
      <c r="B86" s="192"/>
      <c r="C86" s="35" t="s">
        <v>111</v>
      </c>
      <c r="D86" s="13">
        <f t="shared" si="11"/>
        <v>706</v>
      </c>
      <c r="E86" s="13" t="s">
        <v>72</v>
      </c>
      <c r="F86" s="25">
        <f>(30.317+6.025)*10.764</f>
        <v>391.18528799999996</v>
      </c>
      <c r="G86" s="25">
        <f>4.301*10.764</f>
        <v>46.295963999999998</v>
      </c>
      <c r="H86" s="32">
        <v>675</v>
      </c>
      <c r="I86" s="13">
        <v>4800</v>
      </c>
      <c r="J86" s="13">
        <f t="shared" si="5"/>
        <v>3240000</v>
      </c>
    </row>
    <row r="87" spans="1:10" x14ac:dyDescent="0.25">
      <c r="A87" s="13">
        <v>61</v>
      </c>
      <c r="B87" s="192"/>
      <c r="C87" s="35" t="s">
        <v>111</v>
      </c>
      <c r="D87" s="13">
        <f t="shared" si="11"/>
        <v>707</v>
      </c>
      <c r="E87" s="13" t="s">
        <v>72</v>
      </c>
      <c r="F87" s="25">
        <f>(29.392+5.25)*10.764</f>
        <v>372.88648799999993</v>
      </c>
      <c r="G87" s="25">
        <f>4.301*10.764</f>
        <v>46.295963999999998</v>
      </c>
      <c r="H87" s="32">
        <v>645</v>
      </c>
      <c r="I87" s="13">
        <v>4800</v>
      </c>
      <c r="J87" s="13">
        <f t="shared" si="5"/>
        <v>3096000</v>
      </c>
    </row>
    <row r="88" spans="1:10" x14ac:dyDescent="0.25">
      <c r="A88" s="13">
        <v>62</v>
      </c>
      <c r="B88" s="192"/>
      <c r="C88" s="35" t="s">
        <v>111</v>
      </c>
      <c r="D88" s="13">
        <f t="shared" si="11"/>
        <v>708</v>
      </c>
      <c r="E88" s="13" t="s">
        <v>72</v>
      </c>
      <c r="F88" s="25">
        <f>(32.962+6.63)*10.764</f>
        <v>426.16828800000002</v>
      </c>
      <c r="G88" s="25">
        <f>4.185*10.764</f>
        <v>45.047339999999991</v>
      </c>
      <c r="H88" s="32">
        <v>740</v>
      </c>
      <c r="I88" s="13">
        <v>4800</v>
      </c>
      <c r="J88" s="13">
        <f t="shared" si="5"/>
        <v>3552000</v>
      </c>
    </row>
    <row r="89" spans="1:10" x14ac:dyDescent="0.25">
      <c r="A89" s="13">
        <v>63</v>
      </c>
      <c r="B89" s="175"/>
      <c r="C89" s="35" t="s">
        <v>111</v>
      </c>
      <c r="D89" s="13">
        <f t="shared" si="11"/>
        <v>709</v>
      </c>
      <c r="E89" s="13" t="s">
        <v>72</v>
      </c>
      <c r="F89" s="25">
        <f>(35.312+3.624)*10.764</f>
        <v>419.10710399999999</v>
      </c>
      <c r="G89" s="25">
        <f>3.135*10.764</f>
        <v>33.745139999999992</v>
      </c>
      <c r="H89" s="32">
        <v>715</v>
      </c>
      <c r="I89" s="13">
        <v>4800</v>
      </c>
      <c r="J89" s="13">
        <f t="shared" si="5"/>
        <v>3432000</v>
      </c>
    </row>
    <row r="90" spans="1:10" x14ac:dyDescent="0.25">
      <c r="A90" s="544" t="s">
        <v>96</v>
      </c>
      <c r="B90" s="544"/>
      <c r="C90" s="544"/>
      <c r="D90" s="544"/>
      <c r="E90" s="544"/>
      <c r="F90" s="544"/>
      <c r="G90" s="544"/>
      <c r="H90" s="544"/>
      <c r="I90" s="544"/>
      <c r="J90" s="544"/>
    </row>
    <row r="91" spans="1:10" x14ac:dyDescent="0.25">
      <c r="A91" s="544" t="s">
        <v>81</v>
      </c>
      <c r="B91" s="544"/>
      <c r="C91" s="544"/>
      <c r="D91" s="544"/>
      <c r="E91" s="544"/>
      <c r="F91" s="544"/>
      <c r="G91" s="544"/>
      <c r="H91" s="544"/>
      <c r="I91" s="544"/>
      <c r="J91" s="544"/>
    </row>
    <row r="92" spans="1:10" x14ac:dyDescent="0.25">
      <c r="A92" s="13">
        <v>1</v>
      </c>
      <c r="B92" s="174" t="s">
        <v>82</v>
      </c>
      <c r="C92" s="35" t="s">
        <v>112</v>
      </c>
      <c r="D92" s="13">
        <v>101</v>
      </c>
      <c r="E92" s="13" t="s">
        <v>94</v>
      </c>
      <c r="F92" s="25">
        <f>(41.081+11.114)*10.764</f>
        <v>561.82698000000005</v>
      </c>
      <c r="G92" s="25">
        <f>5.896*10.764</f>
        <v>63.464543999999997</v>
      </c>
      <c r="H92" s="32">
        <v>980</v>
      </c>
      <c r="I92" s="13">
        <v>4800</v>
      </c>
      <c r="J92" s="13">
        <f t="shared" ref="J92:J155" si="12">H92*I92</f>
        <v>4704000</v>
      </c>
    </row>
    <row r="93" spans="1:10" x14ac:dyDescent="0.25">
      <c r="A93" s="13">
        <v>2</v>
      </c>
      <c r="B93" s="192"/>
      <c r="C93" s="35" t="s">
        <v>112</v>
      </c>
      <c r="D93" s="13">
        <v>102</v>
      </c>
      <c r="E93" s="13" t="s">
        <v>73</v>
      </c>
      <c r="F93" s="25">
        <f>(18.012+6.59)*10.764</f>
        <v>264.81592799999999</v>
      </c>
      <c r="G93" s="25">
        <v>0</v>
      </c>
      <c r="H93" s="32">
        <v>405</v>
      </c>
      <c r="I93" s="13">
        <v>4800</v>
      </c>
      <c r="J93" s="13">
        <f t="shared" si="12"/>
        <v>1944000</v>
      </c>
    </row>
    <row r="94" spans="1:10" x14ac:dyDescent="0.25">
      <c r="A94" s="13">
        <v>3</v>
      </c>
      <c r="B94" s="192"/>
      <c r="C94" s="35" t="s">
        <v>112</v>
      </c>
      <c r="D94" s="13">
        <v>103</v>
      </c>
      <c r="E94" s="13" t="s">
        <v>72</v>
      </c>
      <c r="F94" s="25">
        <f>(29.805+7.205)*10.764</f>
        <v>398.37563999999998</v>
      </c>
      <c r="G94" s="25">
        <f>5.7*10.764</f>
        <v>61.354799999999997</v>
      </c>
      <c r="H94" s="32">
        <v>720</v>
      </c>
      <c r="I94" s="13">
        <v>4800</v>
      </c>
      <c r="J94" s="13">
        <f t="shared" si="12"/>
        <v>3456000</v>
      </c>
    </row>
    <row r="95" spans="1:10" x14ac:dyDescent="0.25">
      <c r="A95" s="13">
        <v>4</v>
      </c>
      <c r="B95" s="192"/>
      <c r="C95" s="35" t="s">
        <v>112</v>
      </c>
      <c r="D95" s="13">
        <v>104</v>
      </c>
      <c r="E95" s="13" t="s">
        <v>72</v>
      </c>
      <c r="F95" s="25">
        <f>(31.83)*10.764</f>
        <v>342.61811999999998</v>
      </c>
      <c r="G95" s="25">
        <f>6.383*10.764</f>
        <v>68.706611999999993</v>
      </c>
      <c r="H95" s="32">
        <v>650</v>
      </c>
      <c r="I95" s="13">
        <v>4800</v>
      </c>
      <c r="J95" s="13">
        <f t="shared" si="12"/>
        <v>3120000</v>
      </c>
    </row>
    <row r="96" spans="1:10" x14ac:dyDescent="0.25">
      <c r="A96" s="13">
        <v>5</v>
      </c>
      <c r="B96" s="192"/>
      <c r="C96" s="35" t="s">
        <v>112</v>
      </c>
      <c r="D96" s="13">
        <v>105</v>
      </c>
      <c r="E96" s="13" t="s">
        <v>72</v>
      </c>
      <c r="F96" s="25">
        <f>(32.089+6.728)*10.764</f>
        <v>417.826188</v>
      </c>
      <c r="G96" s="25">
        <f>6.383*10.764</f>
        <v>68.706611999999993</v>
      </c>
      <c r="H96" s="32">
        <v>765</v>
      </c>
      <c r="I96" s="13">
        <v>4800</v>
      </c>
      <c r="J96" s="13">
        <f t="shared" si="12"/>
        <v>3672000</v>
      </c>
    </row>
    <row r="97" spans="1:10" x14ac:dyDescent="0.25">
      <c r="A97" s="13">
        <v>6</v>
      </c>
      <c r="B97" s="192"/>
      <c r="C97" s="35" t="s">
        <v>112</v>
      </c>
      <c r="D97" s="13">
        <v>106</v>
      </c>
      <c r="E97" s="13" t="s">
        <v>72</v>
      </c>
      <c r="F97" s="25">
        <f>(31.884+6.728)*10.764</f>
        <v>415.61956800000002</v>
      </c>
      <c r="G97" s="25">
        <f>4.093*10.764</f>
        <v>44.057051999999999</v>
      </c>
      <c r="H97" s="32">
        <v>725</v>
      </c>
      <c r="I97" s="13">
        <v>4800</v>
      </c>
      <c r="J97" s="13">
        <f t="shared" si="12"/>
        <v>3480000</v>
      </c>
    </row>
    <row r="98" spans="1:10" x14ac:dyDescent="0.25">
      <c r="A98" s="13">
        <v>7</v>
      </c>
      <c r="B98" s="192"/>
      <c r="C98" s="35" t="s">
        <v>112</v>
      </c>
      <c r="D98" s="13">
        <v>107</v>
      </c>
      <c r="E98" s="13" t="s">
        <v>72</v>
      </c>
      <c r="F98" s="25">
        <f>(32.144+7.085)*10.764</f>
        <v>422.26095599999996</v>
      </c>
      <c r="G98" s="25">
        <f>4.093*10.764</f>
        <v>44.057051999999999</v>
      </c>
      <c r="H98" s="32">
        <v>735</v>
      </c>
      <c r="I98" s="13">
        <v>4800</v>
      </c>
      <c r="J98" s="13">
        <f t="shared" si="12"/>
        <v>3528000</v>
      </c>
    </row>
    <row r="99" spans="1:10" x14ac:dyDescent="0.25">
      <c r="A99" s="13">
        <v>8</v>
      </c>
      <c r="B99" s="192"/>
      <c r="C99" s="35" t="s">
        <v>112</v>
      </c>
      <c r="D99" s="13">
        <v>108</v>
      </c>
      <c r="E99" s="13" t="s">
        <v>72</v>
      </c>
      <c r="F99" s="25">
        <f>(31.468+6.89)*10.764</f>
        <v>412.88551199999995</v>
      </c>
      <c r="G99" s="25">
        <f>5.059*10.764</f>
        <v>54.455075999999998</v>
      </c>
      <c r="H99" s="32">
        <v>735</v>
      </c>
      <c r="I99" s="13">
        <v>4800</v>
      </c>
      <c r="J99" s="13">
        <f t="shared" si="12"/>
        <v>3528000</v>
      </c>
    </row>
    <row r="100" spans="1:10" x14ac:dyDescent="0.25">
      <c r="A100" s="13">
        <v>9</v>
      </c>
      <c r="B100" s="192"/>
      <c r="C100" s="35" t="s">
        <v>112</v>
      </c>
      <c r="D100" s="13">
        <v>109</v>
      </c>
      <c r="E100" s="13" t="s">
        <v>72</v>
      </c>
      <c r="F100" s="25">
        <f>(28.608+5.955)*10.764</f>
        <v>372.03613200000001</v>
      </c>
      <c r="G100" s="25">
        <f>3.983*10.764</f>
        <v>42.873011999999996</v>
      </c>
      <c r="H100" s="32">
        <v>645</v>
      </c>
      <c r="I100" s="13">
        <v>4800</v>
      </c>
      <c r="J100" s="13">
        <f t="shared" si="12"/>
        <v>3096000</v>
      </c>
    </row>
    <row r="101" spans="1:10" x14ac:dyDescent="0.25">
      <c r="A101" s="13">
        <v>10</v>
      </c>
      <c r="B101" s="175"/>
      <c r="C101" s="35" t="s">
        <v>112</v>
      </c>
      <c r="D101" s="13">
        <v>110</v>
      </c>
      <c r="E101" s="13" t="s">
        <v>72</v>
      </c>
      <c r="F101" s="25">
        <f>(28.608+2.9)*10.764</f>
        <v>339.15211199999999</v>
      </c>
      <c r="G101" s="25">
        <f>3.173*10.764</f>
        <v>34.154171999999996</v>
      </c>
      <c r="H101" s="32">
        <v>580</v>
      </c>
      <c r="I101" s="13">
        <v>4800</v>
      </c>
      <c r="J101" s="13">
        <f t="shared" si="12"/>
        <v>2784000</v>
      </c>
    </row>
    <row r="102" spans="1:10" x14ac:dyDescent="0.25">
      <c r="A102" s="13">
        <v>11</v>
      </c>
      <c r="B102" s="174" t="s">
        <v>84</v>
      </c>
      <c r="C102" s="35" t="s">
        <v>112</v>
      </c>
      <c r="D102" s="13">
        <f>D92+100</f>
        <v>201</v>
      </c>
      <c r="E102" s="13" t="s">
        <v>94</v>
      </c>
      <c r="F102" s="25">
        <f>(41.081+11.114)*10.764</f>
        <v>561.82698000000005</v>
      </c>
      <c r="G102" s="25">
        <v>0</v>
      </c>
      <c r="H102" s="32">
        <v>880</v>
      </c>
      <c r="I102" s="13">
        <v>4800</v>
      </c>
      <c r="J102" s="13">
        <f t="shared" si="12"/>
        <v>4224000</v>
      </c>
    </row>
    <row r="103" spans="1:10" x14ac:dyDescent="0.25">
      <c r="A103" s="13">
        <v>12</v>
      </c>
      <c r="B103" s="192"/>
      <c r="C103" s="35" t="s">
        <v>112</v>
      </c>
      <c r="D103" s="13">
        <f>D93+100</f>
        <v>202</v>
      </c>
      <c r="E103" s="13" t="s">
        <v>73</v>
      </c>
      <c r="F103" s="25">
        <f>(18.012+6.59)*10.764</f>
        <v>264.81592799999999</v>
      </c>
      <c r="G103" s="25">
        <v>0</v>
      </c>
      <c r="H103" s="32">
        <v>405</v>
      </c>
      <c r="I103" s="13">
        <v>4800</v>
      </c>
      <c r="J103" s="13">
        <f t="shared" si="12"/>
        <v>1944000</v>
      </c>
    </row>
    <row r="104" spans="1:10" x14ac:dyDescent="0.25">
      <c r="A104" s="13">
        <v>13</v>
      </c>
      <c r="B104" s="192"/>
      <c r="C104" s="35" t="s">
        <v>112</v>
      </c>
      <c r="D104" s="13">
        <f t="shared" ref="D104:D111" si="13">D94+100</f>
        <v>203</v>
      </c>
      <c r="E104" s="13" t="s">
        <v>72</v>
      </c>
      <c r="F104" s="25">
        <f>(29.805+7.205)*10.764</f>
        <v>398.37563999999998</v>
      </c>
      <c r="G104" s="25">
        <v>0</v>
      </c>
      <c r="H104" s="32">
        <v>625</v>
      </c>
      <c r="I104" s="13">
        <v>4800</v>
      </c>
      <c r="J104" s="13">
        <f t="shared" si="12"/>
        <v>3000000</v>
      </c>
    </row>
    <row r="105" spans="1:10" x14ac:dyDescent="0.25">
      <c r="A105" s="13">
        <v>14</v>
      </c>
      <c r="B105" s="192"/>
      <c r="C105" s="35" t="s">
        <v>112</v>
      </c>
      <c r="D105" s="13">
        <f t="shared" si="13"/>
        <v>204</v>
      </c>
      <c r="E105" s="13" t="s">
        <v>72</v>
      </c>
      <c r="F105" s="25">
        <f>(31.83)*10.764</f>
        <v>342.61811999999998</v>
      </c>
      <c r="G105" s="25">
        <v>0</v>
      </c>
      <c r="H105" s="32">
        <v>545</v>
      </c>
      <c r="I105" s="13">
        <v>4800</v>
      </c>
      <c r="J105" s="13">
        <f t="shared" si="12"/>
        <v>2616000</v>
      </c>
    </row>
    <row r="106" spans="1:10" x14ac:dyDescent="0.25">
      <c r="A106" s="13">
        <v>15</v>
      </c>
      <c r="B106" s="192"/>
      <c r="C106" s="35" t="s">
        <v>112</v>
      </c>
      <c r="D106" s="13">
        <f t="shared" si="13"/>
        <v>205</v>
      </c>
      <c r="E106" s="13" t="s">
        <v>72</v>
      </c>
      <c r="F106" s="25">
        <f>(32.089+6.728)*10.764</f>
        <v>417.826188</v>
      </c>
      <c r="G106" s="25">
        <v>0</v>
      </c>
      <c r="H106" s="32">
        <v>655</v>
      </c>
      <c r="I106" s="13">
        <v>4800</v>
      </c>
      <c r="J106" s="13">
        <f t="shared" si="12"/>
        <v>3144000</v>
      </c>
    </row>
    <row r="107" spans="1:10" x14ac:dyDescent="0.25">
      <c r="A107" s="13">
        <v>16</v>
      </c>
      <c r="B107" s="192"/>
      <c r="C107" s="35" t="s">
        <v>112</v>
      </c>
      <c r="D107" s="13">
        <f t="shared" si="13"/>
        <v>206</v>
      </c>
      <c r="E107" s="13" t="s">
        <v>72</v>
      </c>
      <c r="F107" s="25">
        <f>(31.884+6.728)*10.764</f>
        <v>415.61956800000002</v>
      </c>
      <c r="G107" s="25">
        <v>0</v>
      </c>
      <c r="H107" s="32">
        <v>655</v>
      </c>
      <c r="I107" s="13">
        <v>4800</v>
      </c>
      <c r="J107" s="13">
        <f t="shared" si="12"/>
        <v>3144000</v>
      </c>
    </row>
    <row r="108" spans="1:10" x14ac:dyDescent="0.25">
      <c r="A108" s="13">
        <v>17</v>
      </c>
      <c r="B108" s="192"/>
      <c r="C108" s="35" t="s">
        <v>112</v>
      </c>
      <c r="D108" s="13">
        <f t="shared" si="13"/>
        <v>207</v>
      </c>
      <c r="E108" s="13" t="s">
        <v>72</v>
      </c>
      <c r="F108" s="25">
        <f>(32.144+7.085)*10.764</f>
        <v>422.26095599999996</v>
      </c>
      <c r="G108" s="25">
        <v>0</v>
      </c>
      <c r="H108" s="32">
        <v>780</v>
      </c>
      <c r="I108" s="13">
        <v>4800</v>
      </c>
      <c r="J108" s="13">
        <f t="shared" si="12"/>
        <v>3744000</v>
      </c>
    </row>
    <row r="109" spans="1:10" x14ac:dyDescent="0.25">
      <c r="A109" s="13">
        <v>18</v>
      </c>
      <c r="B109" s="192"/>
      <c r="C109" s="35" t="s">
        <v>112</v>
      </c>
      <c r="D109" s="13">
        <f t="shared" si="13"/>
        <v>208</v>
      </c>
      <c r="E109" s="13" t="s">
        <v>72</v>
      </c>
      <c r="F109" s="25">
        <f>(31.468+6.89)*10.764</f>
        <v>412.88551199999995</v>
      </c>
      <c r="G109" s="25">
        <f>6.97*10.764</f>
        <v>75.025079999999988</v>
      </c>
      <c r="H109" s="32">
        <v>650</v>
      </c>
      <c r="I109" s="13">
        <v>4800</v>
      </c>
      <c r="J109" s="13">
        <f t="shared" si="12"/>
        <v>3120000</v>
      </c>
    </row>
    <row r="110" spans="1:10" x14ac:dyDescent="0.25">
      <c r="A110" s="13">
        <v>19</v>
      </c>
      <c r="B110" s="192"/>
      <c r="C110" s="35" t="s">
        <v>112</v>
      </c>
      <c r="D110" s="13">
        <f t="shared" si="13"/>
        <v>209</v>
      </c>
      <c r="E110" s="13" t="s">
        <v>72</v>
      </c>
      <c r="F110" s="25">
        <f>(28.608+5.955)*10.764</f>
        <v>372.03613200000001</v>
      </c>
      <c r="G110" s="25">
        <f>2.625*10.764</f>
        <v>28.255499999999998</v>
      </c>
      <c r="H110" s="32">
        <v>580</v>
      </c>
      <c r="I110" s="13">
        <v>4800</v>
      </c>
      <c r="J110" s="13">
        <f t="shared" si="12"/>
        <v>2784000</v>
      </c>
    </row>
    <row r="111" spans="1:10" x14ac:dyDescent="0.25">
      <c r="A111" s="13">
        <v>20</v>
      </c>
      <c r="B111" s="175"/>
      <c r="C111" s="35" t="s">
        <v>112</v>
      </c>
      <c r="D111" s="13">
        <f t="shared" si="13"/>
        <v>210</v>
      </c>
      <c r="E111" s="13" t="s">
        <v>72</v>
      </c>
      <c r="F111" s="25">
        <f>(28.608+2.9)*10.764</f>
        <v>339.15211199999999</v>
      </c>
      <c r="G111" s="25">
        <f>2.625*10.764</f>
        <v>28.255499999999998</v>
      </c>
      <c r="H111" s="32">
        <v>525</v>
      </c>
      <c r="I111" s="13">
        <v>4800</v>
      </c>
      <c r="J111" s="13">
        <f t="shared" si="12"/>
        <v>2520000</v>
      </c>
    </row>
    <row r="112" spans="1:10" x14ac:dyDescent="0.25">
      <c r="A112" s="13">
        <v>21</v>
      </c>
      <c r="B112" s="174" t="s">
        <v>85</v>
      </c>
      <c r="C112" s="35" t="s">
        <v>112</v>
      </c>
      <c r="D112" s="13">
        <f>D102+100</f>
        <v>301</v>
      </c>
      <c r="E112" s="13" t="s">
        <v>94</v>
      </c>
      <c r="F112" s="25">
        <f>(41.081+11.114)*10.764</f>
        <v>561.82698000000005</v>
      </c>
      <c r="G112" s="25">
        <f>5.896*10.764</f>
        <v>63.464543999999997</v>
      </c>
      <c r="H112" s="32">
        <v>980</v>
      </c>
      <c r="I112" s="13">
        <v>4800</v>
      </c>
      <c r="J112" s="13">
        <f t="shared" si="12"/>
        <v>4704000</v>
      </c>
    </row>
    <row r="113" spans="1:10" x14ac:dyDescent="0.25">
      <c r="A113" s="13">
        <v>22</v>
      </c>
      <c r="B113" s="192"/>
      <c r="C113" s="35" t="s">
        <v>112</v>
      </c>
      <c r="D113" s="13">
        <f>D103+100</f>
        <v>302</v>
      </c>
      <c r="E113" s="13" t="s">
        <v>73</v>
      </c>
      <c r="F113" s="25">
        <f>(18.012+6.59)*10.764</f>
        <v>264.81592799999999</v>
      </c>
      <c r="G113" s="25">
        <v>0</v>
      </c>
      <c r="H113" s="32">
        <v>405</v>
      </c>
      <c r="I113" s="13">
        <v>4800</v>
      </c>
      <c r="J113" s="13">
        <f t="shared" si="12"/>
        <v>1944000</v>
      </c>
    </row>
    <row r="114" spans="1:10" x14ac:dyDescent="0.25">
      <c r="A114" s="13">
        <v>23</v>
      </c>
      <c r="B114" s="192"/>
      <c r="C114" s="35" t="s">
        <v>112</v>
      </c>
      <c r="D114" s="13">
        <f t="shared" ref="D114:D121" si="14">D104+100</f>
        <v>303</v>
      </c>
      <c r="E114" s="13" t="s">
        <v>72</v>
      </c>
      <c r="F114" s="25">
        <f>(29.805+7.205)*10.764</f>
        <v>398.37563999999998</v>
      </c>
      <c r="G114" s="25">
        <f>5.7*10.764</f>
        <v>61.354799999999997</v>
      </c>
      <c r="H114" s="32">
        <v>720</v>
      </c>
      <c r="I114" s="13">
        <v>4800</v>
      </c>
      <c r="J114" s="13">
        <f t="shared" si="12"/>
        <v>3456000</v>
      </c>
    </row>
    <row r="115" spans="1:10" x14ac:dyDescent="0.25">
      <c r="A115" s="13">
        <v>24</v>
      </c>
      <c r="B115" s="192"/>
      <c r="C115" s="35" t="s">
        <v>112</v>
      </c>
      <c r="D115" s="13">
        <f t="shared" si="14"/>
        <v>304</v>
      </c>
      <c r="E115" s="13" t="s">
        <v>72</v>
      </c>
      <c r="F115" s="25">
        <f>(31.83)*10.764</f>
        <v>342.61811999999998</v>
      </c>
      <c r="G115" s="25">
        <f>6.383*10.764</f>
        <v>68.706611999999993</v>
      </c>
      <c r="H115" s="32">
        <v>650</v>
      </c>
      <c r="I115" s="13">
        <v>4800</v>
      </c>
      <c r="J115" s="13">
        <f t="shared" si="12"/>
        <v>3120000</v>
      </c>
    </row>
    <row r="116" spans="1:10" x14ac:dyDescent="0.25">
      <c r="A116" s="13">
        <v>25</v>
      </c>
      <c r="B116" s="192"/>
      <c r="C116" s="35" t="s">
        <v>112</v>
      </c>
      <c r="D116" s="13">
        <f t="shared" si="14"/>
        <v>305</v>
      </c>
      <c r="E116" s="13" t="s">
        <v>72</v>
      </c>
      <c r="F116" s="25">
        <f>(32.089+6.728)*10.764</f>
        <v>417.826188</v>
      </c>
      <c r="G116" s="25">
        <f>6.383*10.764</f>
        <v>68.706611999999993</v>
      </c>
      <c r="H116" s="32">
        <v>765</v>
      </c>
      <c r="I116" s="13">
        <v>4800</v>
      </c>
      <c r="J116" s="13">
        <f t="shared" si="12"/>
        <v>3672000</v>
      </c>
    </row>
    <row r="117" spans="1:10" x14ac:dyDescent="0.25">
      <c r="A117" s="13">
        <v>26</v>
      </c>
      <c r="B117" s="192"/>
      <c r="C117" s="35" t="s">
        <v>112</v>
      </c>
      <c r="D117" s="13">
        <f t="shared" si="14"/>
        <v>306</v>
      </c>
      <c r="E117" s="13" t="s">
        <v>72</v>
      </c>
      <c r="F117" s="25">
        <f>(31.884+6.728)*10.764</f>
        <v>415.61956800000002</v>
      </c>
      <c r="G117" s="25">
        <f>4.093*10.764</f>
        <v>44.057051999999999</v>
      </c>
      <c r="H117" s="32">
        <v>725</v>
      </c>
      <c r="I117" s="13">
        <v>4800</v>
      </c>
      <c r="J117" s="13">
        <f t="shared" si="12"/>
        <v>3480000</v>
      </c>
    </row>
    <row r="118" spans="1:10" x14ac:dyDescent="0.25">
      <c r="A118" s="13">
        <v>27</v>
      </c>
      <c r="B118" s="192"/>
      <c r="C118" s="35" t="s">
        <v>112</v>
      </c>
      <c r="D118" s="13">
        <f t="shared" si="14"/>
        <v>307</v>
      </c>
      <c r="E118" s="13" t="s">
        <v>72</v>
      </c>
      <c r="F118" s="25">
        <f>(32.144+7.085)*10.764</f>
        <v>422.26095599999996</v>
      </c>
      <c r="G118" s="25">
        <f>4.093*10.764</f>
        <v>44.057051999999999</v>
      </c>
      <c r="H118" s="32">
        <v>735</v>
      </c>
      <c r="I118" s="13">
        <v>4800</v>
      </c>
      <c r="J118" s="13">
        <f t="shared" si="12"/>
        <v>3528000</v>
      </c>
    </row>
    <row r="119" spans="1:10" x14ac:dyDescent="0.25">
      <c r="A119" s="13">
        <v>28</v>
      </c>
      <c r="B119" s="192"/>
      <c r="C119" s="35" t="s">
        <v>112</v>
      </c>
      <c r="D119" s="13">
        <f t="shared" si="14"/>
        <v>308</v>
      </c>
      <c r="E119" s="13" t="s">
        <v>72</v>
      </c>
      <c r="F119" s="25">
        <f>(31.468+6.89)*10.764</f>
        <v>412.88551199999995</v>
      </c>
      <c r="G119" s="25">
        <f>5.059*10.764</f>
        <v>54.455075999999998</v>
      </c>
      <c r="H119" s="32">
        <v>735</v>
      </c>
      <c r="I119" s="13">
        <v>4800</v>
      </c>
      <c r="J119" s="13">
        <f t="shared" si="12"/>
        <v>3528000</v>
      </c>
    </row>
    <row r="120" spans="1:10" x14ac:dyDescent="0.25">
      <c r="A120" s="13">
        <v>29</v>
      </c>
      <c r="B120" s="192"/>
      <c r="C120" s="35" t="s">
        <v>112</v>
      </c>
      <c r="D120" s="13">
        <f t="shared" si="14"/>
        <v>309</v>
      </c>
      <c r="E120" s="13" t="s">
        <v>72</v>
      </c>
      <c r="F120" s="25">
        <f>(28.608+5.955)*10.764</f>
        <v>372.03613200000001</v>
      </c>
      <c r="G120" s="25">
        <f>3.983*10.764</f>
        <v>42.873011999999996</v>
      </c>
      <c r="H120" s="32">
        <v>645</v>
      </c>
      <c r="I120" s="13">
        <v>4800</v>
      </c>
      <c r="J120" s="13">
        <f t="shared" si="12"/>
        <v>3096000</v>
      </c>
    </row>
    <row r="121" spans="1:10" x14ac:dyDescent="0.25">
      <c r="A121" s="13">
        <v>30</v>
      </c>
      <c r="B121" s="175"/>
      <c r="C121" s="35" t="s">
        <v>112</v>
      </c>
      <c r="D121" s="13">
        <f t="shared" si="14"/>
        <v>310</v>
      </c>
      <c r="E121" s="13" t="s">
        <v>72</v>
      </c>
      <c r="F121" s="25">
        <f>(28.608+2.9)*10.764</f>
        <v>339.15211199999999</v>
      </c>
      <c r="G121" s="25">
        <f>3.173*10.764</f>
        <v>34.154171999999996</v>
      </c>
      <c r="H121" s="32">
        <v>580</v>
      </c>
      <c r="I121" s="13">
        <v>4800</v>
      </c>
      <c r="J121" s="13">
        <f t="shared" si="12"/>
        <v>2784000</v>
      </c>
    </row>
    <row r="122" spans="1:10" x14ac:dyDescent="0.25">
      <c r="A122" s="13">
        <v>31</v>
      </c>
      <c r="B122" s="174" t="s">
        <v>86</v>
      </c>
      <c r="C122" s="35" t="s">
        <v>112</v>
      </c>
      <c r="D122" s="13">
        <f>D112+100</f>
        <v>401</v>
      </c>
      <c r="E122" s="13" t="s">
        <v>94</v>
      </c>
      <c r="F122" s="25">
        <f>(41.081+11.114)*10.764</f>
        <v>561.82698000000005</v>
      </c>
      <c r="G122" s="25">
        <v>0</v>
      </c>
      <c r="H122" s="32">
        <v>880</v>
      </c>
      <c r="I122" s="13">
        <v>4800</v>
      </c>
      <c r="J122" s="13">
        <f t="shared" si="12"/>
        <v>4224000</v>
      </c>
    </row>
    <row r="123" spans="1:10" x14ac:dyDescent="0.25">
      <c r="A123" s="13">
        <v>32</v>
      </c>
      <c r="B123" s="192"/>
      <c r="C123" s="35" t="s">
        <v>112</v>
      </c>
      <c r="D123" s="13">
        <f>D113+100</f>
        <v>402</v>
      </c>
      <c r="E123" s="13" t="s">
        <v>73</v>
      </c>
      <c r="F123" s="25">
        <f>(18.012+6.59)*10.764</f>
        <v>264.81592799999999</v>
      </c>
      <c r="G123" s="25">
        <v>0</v>
      </c>
      <c r="H123" s="32">
        <v>405</v>
      </c>
      <c r="I123" s="13">
        <v>4800</v>
      </c>
      <c r="J123" s="13">
        <f t="shared" si="12"/>
        <v>1944000</v>
      </c>
    </row>
    <row r="124" spans="1:10" x14ac:dyDescent="0.25">
      <c r="A124" s="13">
        <v>33</v>
      </c>
      <c r="B124" s="192"/>
      <c r="C124" s="35" t="s">
        <v>112</v>
      </c>
      <c r="D124" s="13">
        <f t="shared" ref="D124:D131" si="15">D114+100</f>
        <v>403</v>
      </c>
      <c r="E124" s="13" t="s">
        <v>72</v>
      </c>
      <c r="F124" s="25">
        <f>(29.805+7.205)*10.764</f>
        <v>398.37563999999998</v>
      </c>
      <c r="G124" s="25">
        <v>0</v>
      </c>
      <c r="H124" s="32">
        <v>625</v>
      </c>
      <c r="I124" s="13">
        <v>4800</v>
      </c>
      <c r="J124" s="13">
        <f t="shared" si="12"/>
        <v>3000000</v>
      </c>
    </row>
    <row r="125" spans="1:10" x14ac:dyDescent="0.25">
      <c r="A125" s="13">
        <v>34</v>
      </c>
      <c r="B125" s="192"/>
      <c r="C125" s="35" t="s">
        <v>112</v>
      </c>
      <c r="D125" s="13">
        <f t="shared" si="15"/>
        <v>404</v>
      </c>
      <c r="E125" s="13" t="s">
        <v>72</v>
      </c>
      <c r="F125" s="25">
        <f>(31.83)*10.764</f>
        <v>342.61811999999998</v>
      </c>
      <c r="G125" s="25">
        <v>0</v>
      </c>
      <c r="H125" s="32">
        <v>545</v>
      </c>
      <c r="I125" s="13">
        <v>4800</v>
      </c>
      <c r="J125" s="13">
        <f t="shared" si="12"/>
        <v>2616000</v>
      </c>
    </row>
    <row r="126" spans="1:10" x14ac:dyDescent="0.25">
      <c r="A126" s="13">
        <v>35</v>
      </c>
      <c r="B126" s="192"/>
      <c r="C126" s="35" t="s">
        <v>112</v>
      </c>
      <c r="D126" s="13">
        <f t="shared" si="15"/>
        <v>405</v>
      </c>
      <c r="E126" s="13" t="s">
        <v>72</v>
      </c>
      <c r="F126" s="25">
        <f>(32.089+6.728)*10.764</f>
        <v>417.826188</v>
      </c>
      <c r="G126" s="25">
        <v>0</v>
      </c>
      <c r="H126" s="32">
        <v>655</v>
      </c>
      <c r="I126" s="13">
        <v>4800</v>
      </c>
      <c r="J126" s="13">
        <f t="shared" si="12"/>
        <v>3144000</v>
      </c>
    </row>
    <row r="127" spans="1:10" x14ac:dyDescent="0.25">
      <c r="A127" s="13">
        <v>36</v>
      </c>
      <c r="B127" s="192"/>
      <c r="C127" s="35" t="s">
        <v>112</v>
      </c>
      <c r="D127" s="13">
        <f t="shared" si="15"/>
        <v>406</v>
      </c>
      <c r="E127" s="13" t="s">
        <v>72</v>
      </c>
      <c r="F127" s="25">
        <f>(31.884+6.728)*10.764</f>
        <v>415.61956800000002</v>
      </c>
      <c r="G127" s="25">
        <v>0</v>
      </c>
      <c r="H127" s="32">
        <v>655</v>
      </c>
      <c r="I127" s="13">
        <v>4800</v>
      </c>
      <c r="J127" s="13">
        <f t="shared" si="12"/>
        <v>3144000</v>
      </c>
    </row>
    <row r="128" spans="1:10" x14ac:dyDescent="0.25">
      <c r="A128" s="13">
        <v>37</v>
      </c>
      <c r="B128" s="192"/>
      <c r="C128" s="35" t="s">
        <v>112</v>
      </c>
      <c r="D128" s="13">
        <f t="shared" si="15"/>
        <v>407</v>
      </c>
      <c r="E128" s="13" t="s">
        <v>72</v>
      </c>
      <c r="F128" s="25">
        <f>(32.144+7.085)*10.764</f>
        <v>422.26095599999996</v>
      </c>
      <c r="G128" s="25">
        <v>0</v>
      </c>
      <c r="H128" s="32">
        <v>780</v>
      </c>
      <c r="I128" s="13">
        <v>4800</v>
      </c>
      <c r="J128" s="13">
        <f t="shared" si="12"/>
        <v>3744000</v>
      </c>
    </row>
    <row r="129" spans="1:10" x14ac:dyDescent="0.25">
      <c r="A129" s="13">
        <v>38</v>
      </c>
      <c r="B129" s="192"/>
      <c r="C129" s="35" t="s">
        <v>112</v>
      </c>
      <c r="D129" s="13">
        <f t="shared" si="15"/>
        <v>408</v>
      </c>
      <c r="E129" s="13" t="s">
        <v>72</v>
      </c>
      <c r="F129" s="25">
        <f>(31.468+6.89)*10.764</f>
        <v>412.88551199999995</v>
      </c>
      <c r="G129" s="25">
        <f>6.97*10.764</f>
        <v>75.025079999999988</v>
      </c>
      <c r="H129" s="32">
        <v>650</v>
      </c>
      <c r="I129" s="13">
        <v>4800</v>
      </c>
      <c r="J129" s="13">
        <f t="shared" si="12"/>
        <v>3120000</v>
      </c>
    </row>
    <row r="130" spans="1:10" x14ac:dyDescent="0.25">
      <c r="A130" s="13">
        <v>39</v>
      </c>
      <c r="B130" s="192"/>
      <c r="C130" s="35" t="s">
        <v>112</v>
      </c>
      <c r="D130" s="13">
        <f t="shared" si="15"/>
        <v>409</v>
      </c>
      <c r="E130" s="13" t="s">
        <v>72</v>
      </c>
      <c r="F130" s="25">
        <f>(28.608+5.955)*10.764</f>
        <v>372.03613200000001</v>
      </c>
      <c r="G130" s="25">
        <f>2.625*10.764</f>
        <v>28.255499999999998</v>
      </c>
      <c r="H130" s="32">
        <v>580</v>
      </c>
      <c r="I130" s="13">
        <v>4800</v>
      </c>
      <c r="J130" s="13">
        <f t="shared" si="12"/>
        <v>2784000</v>
      </c>
    </row>
    <row r="131" spans="1:10" x14ac:dyDescent="0.25">
      <c r="A131" s="13">
        <v>40</v>
      </c>
      <c r="B131" s="175"/>
      <c r="C131" s="35" t="s">
        <v>112</v>
      </c>
      <c r="D131" s="13">
        <f t="shared" si="15"/>
        <v>410</v>
      </c>
      <c r="E131" s="13" t="s">
        <v>72</v>
      </c>
      <c r="F131" s="25">
        <f>(28.608+2.9)*10.764</f>
        <v>339.15211199999999</v>
      </c>
      <c r="G131" s="25">
        <f>2.625*10.764</f>
        <v>28.255499999999998</v>
      </c>
      <c r="H131" s="32">
        <v>525</v>
      </c>
      <c r="I131" s="13">
        <v>4800</v>
      </c>
      <c r="J131" s="13">
        <f t="shared" si="12"/>
        <v>2520000</v>
      </c>
    </row>
    <row r="132" spans="1:10" x14ac:dyDescent="0.25">
      <c r="A132" s="13">
        <v>41</v>
      </c>
      <c r="B132" s="174" t="s">
        <v>87</v>
      </c>
      <c r="C132" s="35" t="s">
        <v>112</v>
      </c>
      <c r="D132" s="13">
        <f>D122+100</f>
        <v>501</v>
      </c>
      <c r="E132" s="13" t="s">
        <v>94</v>
      </c>
      <c r="F132" s="25">
        <f>(41.081+11.114)*10.764</f>
        <v>561.82698000000005</v>
      </c>
      <c r="G132" s="25">
        <f>5.896*10.764</f>
        <v>63.464543999999997</v>
      </c>
      <c r="H132" s="32">
        <v>980</v>
      </c>
      <c r="I132" s="13">
        <v>4800</v>
      </c>
      <c r="J132" s="13">
        <f t="shared" si="12"/>
        <v>4704000</v>
      </c>
    </row>
    <row r="133" spans="1:10" x14ac:dyDescent="0.25">
      <c r="A133" s="13">
        <v>42</v>
      </c>
      <c r="B133" s="192"/>
      <c r="C133" s="35" t="s">
        <v>112</v>
      </c>
      <c r="D133" s="13">
        <f>D123+100</f>
        <v>502</v>
      </c>
      <c r="E133" s="13" t="s">
        <v>73</v>
      </c>
      <c r="F133" s="25">
        <f>(18.012+6.59)*10.764</f>
        <v>264.81592799999999</v>
      </c>
      <c r="G133" s="25">
        <v>0</v>
      </c>
      <c r="H133" s="32">
        <v>405</v>
      </c>
      <c r="I133" s="13">
        <v>4800</v>
      </c>
      <c r="J133" s="13">
        <f t="shared" si="12"/>
        <v>1944000</v>
      </c>
    </row>
    <row r="134" spans="1:10" x14ac:dyDescent="0.25">
      <c r="A134" s="13">
        <v>43</v>
      </c>
      <c r="B134" s="192"/>
      <c r="C134" s="35" t="s">
        <v>112</v>
      </c>
      <c r="D134" s="13">
        <f t="shared" ref="D134:D141" si="16">D124+100</f>
        <v>503</v>
      </c>
      <c r="E134" s="13" t="s">
        <v>72</v>
      </c>
      <c r="F134" s="25">
        <f>(29.805+7.205)*10.764</f>
        <v>398.37563999999998</v>
      </c>
      <c r="G134" s="25">
        <f>5.7*10.764</f>
        <v>61.354799999999997</v>
      </c>
      <c r="H134" s="32">
        <v>720</v>
      </c>
      <c r="I134" s="13">
        <v>4800</v>
      </c>
      <c r="J134" s="13">
        <f t="shared" si="12"/>
        <v>3456000</v>
      </c>
    </row>
    <row r="135" spans="1:10" x14ac:dyDescent="0.25">
      <c r="A135" s="13">
        <v>44</v>
      </c>
      <c r="B135" s="192"/>
      <c r="C135" s="35" t="s">
        <v>112</v>
      </c>
      <c r="D135" s="13">
        <f t="shared" si="16"/>
        <v>504</v>
      </c>
      <c r="E135" s="13" t="s">
        <v>72</v>
      </c>
      <c r="F135" s="25">
        <f>(31.83)*10.764</f>
        <v>342.61811999999998</v>
      </c>
      <c r="G135" s="25">
        <f>6.383*10.764</f>
        <v>68.706611999999993</v>
      </c>
      <c r="H135" s="32">
        <v>650</v>
      </c>
      <c r="I135" s="13">
        <v>4800</v>
      </c>
      <c r="J135" s="13">
        <f t="shared" si="12"/>
        <v>3120000</v>
      </c>
    </row>
    <row r="136" spans="1:10" x14ac:dyDescent="0.25">
      <c r="A136" s="13">
        <v>45</v>
      </c>
      <c r="B136" s="192"/>
      <c r="C136" s="35" t="s">
        <v>112</v>
      </c>
      <c r="D136" s="13">
        <f t="shared" si="16"/>
        <v>505</v>
      </c>
      <c r="E136" s="13" t="s">
        <v>72</v>
      </c>
      <c r="F136" s="25">
        <f>(32.089+6.728)*10.764</f>
        <v>417.826188</v>
      </c>
      <c r="G136" s="25">
        <f>6.383*10.764</f>
        <v>68.706611999999993</v>
      </c>
      <c r="H136" s="32">
        <v>765</v>
      </c>
      <c r="I136" s="13">
        <v>4800</v>
      </c>
      <c r="J136" s="13">
        <f t="shared" si="12"/>
        <v>3672000</v>
      </c>
    </row>
    <row r="137" spans="1:10" x14ac:dyDescent="0.25">
      <c r="A137" s="13">
        <v>46</v>
      </c>
      <c r="B137" s="192"/>
      <c r="C137" s="35" t="s">
        <v>112</v>
      </c>
      <c r="D137" s="13">
        <f t="shared" si="16"/>
        <v>506</v>
      </c>
      <c r="E137" s="13" t="s">
        <v>72</v>
      </c>
      <c r="F137" s="25">
        <f>(31.884+6.728)*10.764</f>
        <v>415.61956800000002</v>
      </c>
      <c r="G137" s="25">
        <f>4.093*10.764</f>
        <v>44.057051999999999</v>
      </c>
      <c r="H137" s="32">
        <v>725</v>
      </c>
      <c r="I137" s="13">
        <v>4800</v>
      </c>
      <c r="J137" s="13">
        <f t="shared" si="12"/>
        <v>3480000</v>
      </c>
    </row>
    <row r="138" spans="1:10" x14ac:dyDescent="0.25">
      <c r="A138" s="13">
        <v>47</v>
      </c>
      <c r="B138" s="192"/>
      <c r="C138" s="35" t="s">
        <v>112</v>
      </c>
      <c r="D138" s="13">
        <f t="shared" si="16"/>
        <v>507</v>
      </c>
      <c r="E138" s="13" t="s">
        <v>72</v>
      </c>
      <c r="F138" s="25">
        <f>(32.144+7.085)*10.764</f>
        <v>422.26095599999996</v>
      </c>
      <c r="G138" s="25">
        <f>4.093*10.764</f>
        <v>44.057051999999999</v>
      </c>
      <c r="H138" s="32">
        <v>735</v>
      </c>
      <c r="I138" s="13">
        <v>4800</v>
      </c>
      <c r="J138" s="13">
        <f t="shared" si="12"/>
        <v>3528000</v>
      </c>
    </row>
    <row r="139" spans="1:10" x14ac:dyDescent="0.25">
      <c r="A139" s="13">
        <v>48</v>
      </c>
      <c r="B139" s="192"/>
      <c r="C139" s="35" t="s">
        <v>112</v>
      </c>
      <c r="D139" s="13">
        <f t="shared" si="16"/>
        <v>508</v>
      </c>
      <c r="E139" s="13" t="s">
        <v>72</v>
      </c>
      <c r="F139" s="25">
        <f>(31.468+6.89)*10.764</f>
        <v>412.88551199999995</v>
      </c>
      <c r="G139" s="25">
        <f>5.059*10.764</f>
        <v>54.455075999999998</v>
      </c>
      <c r="H139" s="32">
        <v>735</v>
      </c>
      <c r="I139" s="13">
        <v>4800</v>
      </c>
      <c r="J139" s="13">
        <f t="shared" si="12"/>
        <v>3528000</v>
      </c>
    </row>
    <row r="140" spans="1:10" x14ac:dyDescent="0.25">
      <c r="A140" s="13">
        <v>49</v>
      </c>
      <c r="B140" s="192"/>
      <c r="C140" s="35" t="s">
        <v>112</v>
      </c>
      <c r="D140" s="13">
        <f t="shared" si="16"/>
        <v>509</v>
      </c>
      <c r="E140" s="13" t="s">
        <v>72</v>
      </c>
      <c r="F140" s="25">
        <f>(28.608+5.955)*10.764</f>
        <v>372.03613200000001</v>
      </c>
      <c r="G140" s="25">
        <f>3.983*10.764</f>
        <v>42.873011999999996</v>
      </c>
      <c r="H140" s="32">
        <v>645</v>
      </c>
      <c r="I140" s="13">
        <v>4800</v>
      </c>
      <c r="J140" s="13">
        <f t="shared" si="12"/>
        <v>3096000</v>
      </c>
    </row>
    <row r="141" spans="1:10" x14ac:dyDescent="0.25">
      <c r="A141" s="13">
        <v>50</v>
      </c>
      <c r="B141" s="175"/>
      <c r="C141" s="35" t="s">
        <v>112</v>
      </c>
      <c r="D141" s="13">
        <f t="shared" si="16"/>
        <v>510</v>
      </c>
      <c r="E141" s="13" t="s">
        <v>72</v>
      </c>
      <c r="F141" s="25">
        <f>(28.608+2.9)*10.764</f>
        <v>339.15211199999999</v>
      </c>
      <c r="G141" s="25">
        <f>3.173*10.764</f>
        <v>34.154171999999996</v>
      </c>
      <c r="H141" s="32">
        <v>580</v>
      </c>
      <c r="I141" s="13">
        <v>4800</v>
      </c>
      <c r="J141" s="13">
        <f t="shared" si="12"/>
        <v>2784000</v>
      </c>
    </row>
    <row r="142" spans="1:10" x14ac:dyDescent="0.25">
      <c r="A142" s="13">
        <v>51</v>
      </c>
      <c r="B142" s="174" t="s">
        <v>88</v>
      </c>
      <c r="C142" s="35" t="s">
        <v>112</v>
      </c>
      <c r="D142" s="13">
        <f>D132+100</f>
        <v>601</v>
      </c>
      <c r="E142" s="13" t="s">
        <v>94</v>
      </c>
      <c r="F142" s="25">
        <f>(41.081+11.114)*10.764</f>
        <v>561.82698000000005</v>
      </c>
      <c r="G142" s="25">
        <v>0</v>
      </c>
      <c r="H142" s="32">
        <v>880</v>
      </c>
      <c r="I142" s="13">
        <v>4800</v>
      </c>
      <c r="J142" s="13">
        <f t="shared" si="12"/>
        <v>4224000</v>
      </c>
    </row>
    <row r="143" spans="1:10" x14ac:dyDescent="0.25">
      <c r="A143" s="13">
        <v>52</v>
      </c>
      <c r="B143" s="192"/>
      <c r="C143" s="35" t="s">
        <v>112</v>
      </c>
      <c r="D143" s="13">
        <f>D133+100</f>
        <v>602</v>
      </c>
      <c r="E143" s="13" t="s">
        <v>73</v>
      </c>
      <c r="F143" s="25">
        <f>(18.012+6.59)*10.764</f>
        <v>264.81592799999999</v>
      </c>
      <c r="G143" s="25">
        <v>0</v>
      </c>
      <c r="H143" s="32">
        <v>405</v>
      </c>
      <c r="I143" s="13">
        <v>4800</v>
      </c>
      <c r="J143" s="13">
        <f t="shared" si="12"/>
        <v>1944000</v>
      </c>
    </row>
    <row r="144" spans="1:10" x14ac:dyDescent="0.25">
      <c r="A144" s="13">
        <v>53</v>
      </c>
      <c r="B144" s="192"/>
      <c r="C144" s="35" t="s">
        <v>112</v>
      </c>
      <c r="D144" s="13">
        <f t="shared" ref="D144:D151" si="17">D134+100</f>
        <v>603</v>
      </c>
      <c r="E144" s="13" t="s">
        <v>72</v>
      </c>
      <c r="F144" s="25">
        <f>(29.805+7.205)*10.764</f>
        <v>398.37563999999998</v>
      </c>
      <c r="G144" s="25">
        <v>0</v>
      </c>
      <c r="H144" s="32">
        <v>625</v>
      </c>
      <c r="I144" s="13">
        <v>4800</v>
      </c>
      <c r="J144" s="13">
        <f t="shared" si="12"/>
        <v>3000000</v>
      </c>
    </row>
    <row r="145" spans="1:10" x14ac:dyDescent="0.25">
      <c r="A145" s="13">
        <v>54</v>
      </c>
      <c r="B145" s="192"/>
      <c r="C145" s="35" t="s">
        <v>112</v>
      </c>
      <c r="D145" s="13">
        <f t="shared" si="17"/>
        <v>604</v>
      </c>
      <c r="E145" s="13" t="s">
        <v>72</v>
      </c>
      <c r="F145" s="25">
        <f>(31.83)*10.764</f>
        <v>342.61811999999998</v>
      </c>
      <c r="G145" s="25">
        <v>0</v>
      </c>
      <c r="H145" s="32">
        <v>545</v>
      </c>
      <c r="I145" s="13">
        <v>4800</v>
      </c>
      <c r="J145" s="13">
        <f t="shared" si="12"/>
        <v>2616000</v>
      </c>
    </row>
    <row r="146" spans="1:10" x14ac:dyDescent="0.25">
      <c r="A146" s="13">
        <v>55</v>
      </c>
      <c r="B146" s="192"/>
      <c r="C146" s="35" t="s">
        <v>112</v>
      </c>
      <c r="D146" s="13">
        <f t="shared" si="17"/>
        <v>605</v>
      </c>
      <c r="E146" s="13" t="s">
        <v>72</v>
      </c>
      <c r="F146" s="25">
        <f>(32.089+6.728)*10.764</f>
        <v>417.826188</v>
      </c>
      <c r="G146" s="25">
        <v>0</v>
      </c>
      <c r="H146" s="32">
        <v>655</v>
      </c>
      <c r="I146" s="13">
        <v>4800</v>
      </c>
      <c r="J146" s="13">
        <f t="shared" si="12"/>
        <v>3144000</v>
      </c>
    </row>
    <row r="147" spans="1:10" x14ac:dyDescent="0.25">
      <c r="A147" s="13">
        <v>56</v>
      </c>
      <c r="B147" s="192"/>
      <c r="C147" s="35" t="s">
        <v>112</v>
      </c>
      <c r="D147" s="13">
        <f t="shared" si="17"/>
        <v>606</v>
      </c>
      <c r="E147" s="13" t="s">
        <v>72</v>
      </c>
      <c r="F147" s="25">
        <f>(31.884+6.728)*10.764</f>
        <v>415.61956800000002</v>
      </c>
      <c r="G147" s="25">
        <v>0</v>
      </c>
      <c r="H147" s="32">
        <v>655</v>
      </c>
      <c r="I147" s="13">
        <v>4800</v>
      </c>
      <c r="J147" s="13">
        <f t="shared" si="12"/>
        <v>3144000</v>
      </c>
    </row>
    <row r="148" spans="1:10" x14ac:dyDescent="0.25">
      <c r="A148" s="13">
        <v>57</v>
      </c>
      <c r="B148" s="192"/>
      <c r="C148" s="35" t="s">
        <v>112</v>
      </c>
      <c r="D148" s="13">
        <f t="shared" si="17"/>
        <v>607</v>
      </c>
      <c r="E148" s="13" t="s">
        <v>72</v>
      </c>
      <c r="F148" s="25">
        <f>(32.144+7.085)*10.764</f>
        <v>422.26095599999996</v>
      </c>
      <c r="G148" s="25">
        <v>0</v>
      </c>
      <c r="H148" s="32">
        <v>780</v>
      </c>
      <c r="I148" s="13">
        <v>4800</v>
      </c>
      <c r="J148" s="13">
        <f t="shared" si="12"/>
        <v>3744000</v>
      </c>
    </row>
    <row r="149" spans="1:10" x14ac:dyDescent="0.25">
      <c r="A149" s="13">
        <v>58</v>
      </c>
      <c r="B149" s="192"/>
      <c r="C149" s="35" t="s">
        <v>112</v>
      </c>
      <c r="D149" s="13">
        <f t="shared" si="17"/>
        <v>608</v>
      </c>
      <c r="E149" s="13" t="s">
        <v>72</v>
      </c>
      <c r="F149" s="25">
        <f>(31.468+6.89)*10.764</f>
        <v>412.88551199999995</v>
      </c>
      <c r="G149" s="25">
        <f>6.97*10.764</f>
        <v>75.025079999999988</v>
      </c>
      <c r="H149" s="32">
        <v>650</v>
      </c>
      <c r="I149" s="13">
        <v>4800</v>
      </c>
      <c r="J149" s="13">
        <f t="shared" si="12"/>
        <v>3120000</v>
      </c>
    </row>
    <row r="150" spans="1:10" x14ac:dyDescent="0.25">
      <c r="A150" s="13">
        <v>59</v>
      </c>
      <c r="B150" s="192"/>
      <c r="C150" s="35" t="s">
        <v>112</v>
      </c>
      <c r="D150" s="13">
        <f t="shared" si="17"/>
        <v>609</v>
      </c>
      <c r="E150" s="13" t="s">
        <v>72</v>
      </c>
      <c r="F150" s="25">
        <f>(28.608+5.955)*10.764</f>
        <v>372.03613200000001</v>
      </c>
      <c r="G150" s="25">
        <f>2.625*10.764</f>
        <v>28.255499999999998</v>
      </c>
      <c r="H150" s="32">
        <v>580</v>
      </c>
      <c r="I150" s="13">
        <v>4800</v>
      </c>
      <c r="J150" s="13">
        <f t="shared" si="12"/>
        <v>2784000</v>
      </c>
    </row>
    <row r="151" spans="1:10" x14ac:dyDescent="0.25">
      <c r="A151" s="13">
        <v>60</v>
      </c>
      <c r="B151" s="175"/>
      <c r="C151" s="35" t="s">
        <v>112</v>
      </c>
      <c r="D151" s="13">
        <f t="shared" si="17"/>
        <v>610</v>
      </c>
      <c r="E151" s="13" t="s">
        <v>72</v>
      </c>
      <c r="F151" s="25">
        <f>(28.608+2.9)*10.764</f>
        <v>339.15211199999999</v>
      </c>
      <c r="G151" s="25">
        <f>2.625*10.764</f>
        <v>28.255499999999998</v>
      </c>
      <c r="H151" s="32">
        <v>525</v>
      </c>
      <c r="I151" s="13">
        <v>4800</v>
      </c>
      <c r="J151" s="13">
        <f t="shared" si="12"/>
        <v>2520000</v>
      </c>
    </row>
    <row r="152" spans="1:10" x14ac:dyDescent="0.25">
      <c r="A152" s="13">
        <v>61</v>
      </c>
      <c r="B152" s="375" t="s">
        <v>89</v>
      </c>
      <c r="C152" s="35" t="s">
        <v>112</v>
      </c>
      <c r="D152" s="13">
        <f>D142+100</f>
        <v>701</v>
      </c>
      <c r="E152" s="13" t="s">
        <v>94</v>
      </c>
      <c r="F152" s="25">
        <f>(41.081+11.114)*10.764</f>
        <v>561.82698000000005</v>
      </c>
      <c r="G152" s="25">
        <f>5.896*10.764</f>
        <v>63.464543999999997</v>
      </c>
      <c r="H152" s="32">
        <v>980</v>
      </c>
      <c r="I152" s="13">
        <v>4800</v>
      </c>
      <c r="J152" s="13">
        <f t="shared" si="12"/>
        <v>4704000</v>
      </c>
    </row>
    <row r="153" spans="1:10" x14ac:dyDescent="0.25">
      <c r="A153" s="13">
        <v>62</v>
      </c>
      <c r="B153" s="375"/>
      <c r="C153" s="35" t="s">
        <v>112</v>
      </c>
      <c r="D153" s="13">
        <f>D143+100</f>
        <v>702</v>
      </c>
      <c r="E153" s="13" t="s">
        <v>73</v>
      </c>
      <c r="F153" s="25">
        <f>(18.012+6.59)*10.764</f>
        <v>264.81592799999999</v>
      </c>
      <c r="G153" s="25">
        <v>0</v>
      </c>
      <c r="H153" s="32">
        <v>405</v>
      </c>
      <c r="I153" s="13">
        <v>4800</v>
      </c>
      <c r="J153" s="13">
        <f t="shared" si="12"/>
        <v>1944000</v>
      </c>
    </row>
    <row r="154" spans="1:10" x14ac:dyDescent="0.25">
      <c r="A154" s="13">
        <v>63</v>
      </c>
      <c r="B154" s="375"/>
      <c r="C154" s="35" t="s">
        <v>112</v>
      </c>
      <c r="D154" s="13">
        <f t="shared" ref="D154:D161" si="18">D144+100</f>
        <v>703</v>
      </c>
      <c r="E154" s="13" t="s">
        <v>72</v>
      </c>
      <c r="F154" s="25">
        <f>(29.805+7.205)*10.764</f>
        <v>398.37563999999998</v>
      </c>
      <c r="G154" s="25">
        <f>5.7*10.764</f>
        <v>61.354799999999997</v>
      </c>
      <c r="H154" s="32">
        <v>720</v>
      </c>
      <c r="I154" s="13">
        <v>4800</v>
      </c>
      <c r="J154" s="13">
        <f t="shared" si="12"/>
        <v>3456000</v>
      </c>
    </row>
    <row r="155" spans="1:10" x14ac:dyDescent="0.25">
      <c r="A155" s="13">
        <v>64</v>
      </c>
      <c r="B155" s="375"/>
      <c r="C155" s="35" t="s">
        <v>112</v>
      </c>
      <c r="D155" s="13">
        <f t="shared" si="18"/>
        <v>704</v>
      </c>
      <c r="E155" s="13" t="s">
        <v>72</v>
      </c>
      <c r="F155" s="25">
        <f>(31.83)*10.764</f>
        <v>342.61811999999998</v>
      </c>
      <c r="G155" s="25">
        <f>6.383*10.764</f>
        <v>68.706611999999993</v>
      </c>
      <c r="H155" s="32">
        <v>650</v>
      </c>
      <c r="I155" s="13">
        <v>4800</v>
      </c>
      <c r="J155" s="13">
        <f t="shared" si="12"/>
        <v>3120000</v>
      </c>
    </row>
    <row r="156" spans="1:10" x14ac:dyDescent="0.25">
      <c r="A156" s="13">
        <v>65</v>
      </c>
      <c r="B156" s="375"/>
      <c r="C156" s="35" t="s">
        <v>112</v>
      </c>
      <c r="D156" s="13">
        <f t="shared" si="18"/>
        <v>705</v>
      </c>
      <c r="E156" s="13" t="s">
        <v>72</v>
      </c>
      <c r="F156" s="25">
        <f>(32.089+6.728)*10.764</f>
        <v>417.826188</v>
      </c>
      <c r="G156" s="25">
        <f>6.383*10.764</f>
        <v>68.706611999999993</v>
      </c>
      <c r="H156" s="32">
        <v>765</v>
      </c>
      <c r="I156" s="13">
        <v>4800</v>
      </c>
      <c r="J156" s="13">
        <f t="shared" ref="J156:J161" si="19">H156*I156</f>
        <v>3672000</v>
      </c>
    </row>
    <row r="157" spans="1:10" x14ac:dyDescent="0.25">
      <c r="A157" s="13">
        <v>66</v>
      </c>
      <c r="B157" s="375"/>
      <c r="C157" s="35" t="s">
        <v>112</v>
      </c>
      <c r="D157" s="13">
        <f t="shared" si="18"/>
        <v>706</v>
      </c>
      <c r="E157" s="13" t="s">
        <v>72</v>
      </c>
      <c r="F157" s="25">
        <f>(31.884+6.728)*10.764</f>
        <v>415.61956800000002</v>
      </c>
      <c r="G157" s="25">
        <f>4.093*10.764</f>
        <v>44.057051999999999</v>
      </c>
      <c r="H157" s="32">
        <v>725</v>
      </c>
      <c r="I157" s="13">
        <v>4800</v>
      </c>
      <c r="J157" s="13">
        <f t="shared" si="19"/>
        <v>3480000</v>
      </c>
    </row>
    <row r="158" spans="1:10" x14ac:dyDescent="0.25">
      <c r="A158" s="13">
        <v>67</v>
      </c>
      <c r="B158" s="375"/>
      <c r="C158" s="35" t="s">
        <v>112</v>
      </c>
      <c r="D158" s="13">
        <f t="shared" si="18"/>
        <v>707</v>
      </c>
      <c r="E158" s="13" t="s">
        <v>72</v>
      </c>
      <c r="F158" s="25">
        <f>(32.144+7.085)*10.764</f>
        <v>422.26095599999996</v>
      </c>
      <c r="G158" s="25">
        <f>4.093*10.764</f>
        <v>44.057051999999999</v>
      </c>
      <c r="H158" s="32">
        <v>735</v>
      </c>
      <c r="I158" s="13">
        <v>4800</v>
      </c>
      <c r="J158" s="13">
        <f t="shared" si="19"/>
        <v>3528000</v>
      </c>
    </row>
    <row r="159" spans="1:10" x14ac:dyDescent="0.25">
      <c r="A159" s="13">
        <v>68</v>
      </c>
      <c r="B159" s="375"/>
      <c r="C159" s="35" t="s">
        <v>112</v>
      </c>
      <c r="D159" s="13">
        <f t="shared" si="18"/>
        <v>708</v>
      </c>
      <c r="E159" s="13" t="s">
        <v>72</v>
      </c>
      <c r="F159" s="25">
        <f>(31.468+6.89)*10.764</f>
        <v>412.88551199999995</v>
      </c>
      <c r="G159" s="25">
        <f>5.059*10.764</f>
        <v>54.455075999999998</v>
      </c>
      <c r="H159" s="32">
        <v>735</v>
      </c>
      <c r="I159" s="13">
        <v>4800</v>
      </c>
      <c r="J159" s="13">
        <f t="shared" si="19"/>
        <v>3528000</v>
      </c>
    </row>
    <row r="160" spans="1:10" x14ac:dyDescent="0.25">
      <c r="A160" s="13">
        <v>69</v>
      </c>
      <c r="B160" s="375"/>
      <c r="C160" s="35" t="s">
        <v>112</v>
      </c>
      <c r="D160" s="13">
        <f t="shared" si="18"/>
        <v>709</v>
      </c>
      <c r="E160" s="13" t="s">
        <v>72</v>
      </c>
      <c r="F160" s="25">
        <f>(28.608+5.955)*10.764</f>
        <v>372.03613200000001</v>
      </c>
      <c r="G160" s="25">
        <f>3.983*10.764</f>
        <v>42.873011999999996</v>
      </c>
      <c r="H160" s="32">
        <v>645</v>
      </c>
      <c r="I160" s="13">
        <v>4800</v>
      </c>
      <c r="J160" s="13">
        <f t="shared" si="19"/>
        <v>3096000</v>
      </c>
    </row>
    <row r="161" spans="1:10" x14ac:dyDescent="0.25">
      <c r="A161" s="13">
        <v>70</v>
      </c>
      <c r="B161" s="375"/>
      <c r="C161" s="35" t="s">
        <v>112</v>
      </c>
      <c r="D161" s="13">
        <f t="shared" si="18"/>
        <v>710</v>
      </c>
      <c r="E161" s="13" t="s">
        <v>72</v>
      </c>
      <c r="F161" s="25">
        <f>(28.608+2.9)*10.764</f>
        <v>339.15211199999999</v>
      </c>
      <c r="G161" s="25">
        <f>3.173*10.764</f>
        <v>34.154171999999996</v>
      </c>
      <c r="H161" s="32">
        <v>580</v>
      </c>
      <c r="I161" s="13">
        <v>4800</v>
      </c>
      <c r="J161" s="13">
        <f t="shared" si="19"/>
        <v>2784000</v>
      </c>
    </row>
  </sheetData>
  <mergeCells count="27">
    <mergeCell ref="A2:J2"/>
    <mergeCell ref="A3:J3"/>
    <mergeCell ref="B81:B89"/>
    <mergeCell ref="B10:B12"/>
    <mergeCell ref="B13:B15"/>
    <mergeCell ref="B36:B44"/>
    <mergeCell ref="B45:B53"/>
    <mergeCell ref="B54:B62"/>
    <mergeCell ref="B63:B71"/>
    <mergeCell ref="B72:B80"/>
    <mergeCell ref="B16:B18"/>
    <mergeCell ref="B19:B21"/>
    <mergeCell ref="B22:B24"/>
    <mergeCell ref="B27:B35"/>
    <mergeCell ref="A25:J25"/>
    <mergeCell ref="A26:J26"/>
    <mergeCell ref="B132:B141"/>
    <mergeCell ref="B142:B151"/>
    <mergeCell ref="B152:B161"/>
    <mergeCell ref="B92:B101"/>
    <mergeCell ref="B4:B6"/>
    <mergeCell ref="B7:B9"/>
    <mergeCell ref="A90:J90"/>
    <mergeCell ref="A91:J91"/>
    <mergeCell ref="B102:B111"/>
    <mergeCell ref="B112:B121"/>
    <mergeCell ref="B122:B1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6"/>
  <sheetViews>
    <sheetView topLeftCell="A112" zoomScale="85" zoomScaleNormal="85" workbookViewId="0">
      <selection activeCell="B3" sqref="B3:K13"/>
    </sheetView>
  </sheetViews>
  <sheetFormatPr defaultColWidth="8.7109375" defaultRowHeight="15" x14ac:dyDescent="0.25"/>
  <cols>
    <col min="1" max="1" width="8.7109375" style="17"/>
    <col min="2" max="3" width="22.140625" style="17" customWidth="1"/>
    <col min="4" max="5" width="12.5703125" style="17" customWidth="1"/>
    <col min="6" max="6" width="11.42578125" style="17" customWidth="1"/>
    <col min="7" max="8" width="8.7109375" style="17"/>
    <col min="9" max="9" width="12.7109375" style="17" customWidth="1"/>
    <col min="10" max="10" width="13.5703125" style="17" customWidth="1"/>
    <col min="11" max="16384" width="8.7109375" style="17"/>
  </cols>
  <sheetData>
    <row r="1" spans="1:11" ht="15" customHeight="1" x14ac:dyDescent="0.25"/>
    <row r="2" spans="1:11" ht="15" customHeight="1" x14ac:dyDescent="0.25">
      <c r="A2"/>
      <c r="B2"/>
      <c r="C2"/>
      <c r="D2"/>
      <c r="E2"/>
      <c r="F2"/>
      <c r="G2"/>
      <c r="H2"/>
      <c r="I2"/>
      <c r="J2"/>
    </row>
    <row r="3" spans="1:11" ht="15.75" customHeight="1" x14ac:dyDescent="0.25">
      <c r="A3"/>
      <c r="B3" s="547" t="s">
        <v>59</v>
      </c>
      <c r="C3" s="548"/>
      <c r="D3" s="548"/>
      <c r="E3" s="548"/>
      <c r="F3" s="548"/>
      <c r="G3" s="548"/>
      <c r="H3" s="548"/>
      <c r="I3" s="548"/>
      <c r="J3" s="548"/>
      <c r="K3" s="549"/>
    </row>
    <row r="4" spans="1:11" ht="45" x14ac:dyDescent="0.25">
      <c r="A4"/>
      <c r="B4" s="545" t="s">
        <v>60</v>
      </c>
      <c r="C4" s="545"/>
      <c r="D4" s="545" t="s">
        <v>79</v>
      </c>
      <c r="E4" s="545"/>
      <c r="F4" s="34" t="s">
        <v>71</v>
      </c>
      <c r="G4" s="34" t="s">
        <v>61</v>
      </c>
      <c r="H4" s="34" t="s">
        <v>98</v>
      </c>
      <c r="I4" s="34" t="s">
        <v>108</v>
      </c>
      <c r="J4" s="545" t="s">
        <v>62</v>
      </c>
      <c r="K4" s="545"/>
    </row>
    <row r="5" spans="1:11" ht="15" customHeight="1" x14ac:dyDescent="0.25">
      <c r="A5"/>
      <c r="B5" s="545" t="s">
        <v>99</v>
      </c>
      <c r="C5" s="545"/>
      <c r="D5" s="545" t="s">
        <v>80</v>
      </c>
      <c r="E5" s="545"/>
      <c r="F5" s="23" t="s">
        <v>100</v>
      </c>
      <c r="G5" s="23">
        <v>476</v>
      </c>
      <c r="H5" s="23">
        <f>G5*1.5</f>
        <v>714</v>
      </c>
      <c r="I5" s="30">
        <f>J5/H5</f>
        <v>4000</v>
      </c>
      <c r="J5" s="545">
        <v>2856000</v>
      </c>
      <c r="K5" s="545"/>
    </row>
    <row r="6" spans="1:11" x14ac:dyDescent="0.25">
      <c r="A6"/>
      <c r="B6" s="545" t="s">
        <v>102</v>
      </c>
      <c r="C6" s="545"/>
      <c r="D6" s="545" t="s">
        <v>80</v>
      </c>
      <c r="E6" s="545"/>
      <c r="F6" s="23" t="s">
        <v>101</v>
      </c>
      <c r="G6" s="23">
        <v>228</v>
      </c>
      <c r="H6" s="23">
        <v>455</v>
      </c>
      <c r="I6" s="30">
        <f>J6/H6</f>
        <v>3006.5934065934066</v>
      </c>
      <c r="J6" s="545">
        <v>1368000</v>
      </c>
      <c r="K6" s="545"/>
    </row>
    <row r="7" spans="1:11" ht="15" customHeight="1" x14ac:dyDescent="0.25">
      <c r="A7"/>
      <c r="B7" s="545" t="s">
        <v>74</v>
      </c>
      <c r="C7" s="545"/>
      <c r="D7" s="545" t="s">
        <v>103</v>
      </c>
      <c r="E7" s="545"/>
      <c r="F7" s="23" t="s">
        <v>100</v>
      </c>
      <c r="G7" s="23">
        <v>475</v>
      </c>
      <c r="H7" s="23">
        <v>705</v>
      </c>
      <c r="I7" s="30">
        <f t="shared" ref="I7:I11" si="0">J7/H7</f>
        <v>5106.3829787234044</v>
      </c>
      <c r="J7" s="545">
        <v>3600000</v>
      </c>
      <c r="K7" s="545"/>
    </row>
    <row r="8" spans="1:11" ht="30" customHeight="1" x14ac:dyDescent="0.25">
      <c r="A8"/>
      <c r="B8" s="545" t="s">
        <v>74</v>
      </c>
      <c r="C8" s="545"/>
      <c r="D8" s="545" t="s">
        <v>105</v>
      </c>
      <c r="E8" s="545"/>
      <c r="F8" s="23" t="s">
        <v>104</v>
      </c>
      <c r="G8" s="30">
        <f>H8/1.45</f>
        <v>689.65517241379314</v>
      </c>
      <c r="H8" s="23">
        <v>1000</v>
      </c>
      <c r="I8" s="30">
        <f t="shared" si="0"/>
        <v>4900</v>
      </c>
      <c r="J8" s="545">
        <v>4900000</v>
      </c>
      <c r="K8" s="545"/>
    </row>
    <row r="9" spans="1:11" ht="15" customHeight="1" x14ac:dyDescent="0.25">
      <c r="A9"/>
      <c r="B9" s="545" t="s">
        <v>74</v>
      </c>
      <c r="C9" s="545"/>
      <c r="D9" s="545" t="s">
        <v>106</v>
      </c>
      <c r="E9" s="545"/>
      <c r="F9" s="23" t="s">
        <v>100</v>
      </c>
      <c r="G9" s="23">
        <v>400</v>
      </c>
      <c r="H9" s="23">
        <v>665</v>
      </c>
      <c r="I9" s="30">
        <f t="shared" si="0"/>
        <v>5413.5338345864666</v>
      </c>
      <c r="J9" s="545">
        <v>3600000</v>
      </c>
      <c r="K9" s="545"/>
    </row>
    <row r="10" spans="1:11" ht="15" customHeight="1" x14ac:dyDescent="0.25">
      <c r="A10"/>
      <c r="B10" s="545" t="s">
        <v>74</v>
      </c>
      <c r="C10" s="545"/>
      <c r="D10" s="545" t="s">
        <v>106</v>
      </c>
      <c r="E10" s="545"/>
      <c r="F10" s="23" t="s">
        <v>104</v>
      </c>
      <c r="G10" s="23">
        <v>485</v>
      </c>
      <c r="H10" s="23">
        <v>745</v>
      </c>
      <c r="I10" s="30">
        <f t="shared" si="0"/>
        <v>5369.1275167785234</v>
      </c>
      <c r="J10" s="545">
        <v>4000000</v>
      </c>
      <c r="K10" s="545"/>
    </row>
    <row r="11" spans="1:11" ht="15" customHeight="1" x14ac:dyDescent="0.25">
      <c r="A11"/>
      <c r="B11" s="545" t="s">
        <v>74</v>
      </c>
      <c r="C11" s="545"/>
      <c r="D11" s="545" t="s">
        <v>107</v>
      </c>
      <c r="E11" s="545"/>
      <c r="F11" s="23" t="s">
        <v>100</v>
      </c>
      <c r="G11" s="30">
        <f>H11/1.45</f>
        <v>438.62068965517244</v>
      </c>
      <c r="H11" s="23">
        <v>636</v>
      </c>
      <c r="I11" s="30">
        <f t="shared" si="0"/>
        <v>3911.949685534591</v>
      </c>
      <c r="J11" s="545">
        <v>2488000</v>
      </c>
      <c r="K11" s="545"/>
    </row>
    <row r="12" spans="1:11" ht="15" customHeight="1" x14ac:dyDescent="0.25">
      <c r="A12"/>
      <c r="B12" s="545" t="s">
        <v>63</v>
      </c>
      <c r="C12" s="545"/>
      <c r="D12" s="545"/>
      <c r="E12" s="545"/>
      <c r="F12" s="23"/>
      <c r="G12" s="23"/>
      <c r="H12" s="23"/>
      <c r="I12" s="31">
        <f>AVERAGE(I5:I11)</f>
        <v>4529.6553460309133</v>
      </c>
      <c r="J12" s="545"/>
      <c r="K12" s="545"/>
    </row>
    <row r="13" spans="1:11" ht="15" customHeight="1" x14ac:dyDescent="0.25">
      <c r="B13" s="546" t="s">
        <v>64</v>
      </c>
      <c r="C13" s="546"/>
      <c r="D13" s="546"/>
      <c r="E13" s="546"/>
      <c r="F13" s="546"/>
      <c r="G13" s="546"/>
      <c r="H13" s="546"/>
      <c r="I13" s="33">
        <v>4800</v>
      </c>
      <c r="J13" s="545"/>
      <c r="K13" s="545"/>
    </row>
    <row r="14" spans="1:11" ht="15" customHeight="1" x14ac:dyDescent="0.25"/>
    <row r="15" spans="1:11" ht="15" customHeight="1" x14ac:dyDescent="0.25"/>
    <row r="16" spans="1:11" ht="15" customHeight="1" x14ac:dyDescent="0.25"/>
  </sheetData>
  <mergeCells count="30">
    <mergeCell ref="J13:K13"/>
    <mergeCell ref="B13:H13"/>
    <mergeCell ref="B3:K3"/>
    <mergeCell ref="B12:C12"/>
    <mergeCell ref="D12:E12"/>
    <mergeCell ref="J5:K5"/>
    <mergeCell ref="J6:K6"/>
    <mergeCell ref="J7:K7"/>
    <mergeCell ref="J8:K8"/>
    <mergeCell ref="J9:K9"/>
    <mergeCell ref="J10:K10"/>
    <mergeCell ref="J11:K11"/>
    <mergeCell ref="J12:K12"/>
    <mergeCell ref="B9:C9"/>
    <mergeCell ref="D9:E9"/>
    <mergeCell ref="B10:C10"/>
    <mergeCell ref="D10:E10"/>
    <mergeCell ref="B11:C11"/>
    <mergeCell ref="D11:E11"/>
    <mergeCell ref="B6:C6"/>
    <mergeCell ref="D6:E6"/>
    <mergeCell ref="B7:C7"/>
    <mergeCell ref="D7:E7"/>
    <mergeCell ref="B8:C8"/>
    <mergeCell ref="D8:E8"/>
    <mergeCell ref="D4:E4"/>
    <mergeCell ref="J4:K4"/>
    <mergeCell ref="B4:C4"/>
    <mergeCell ref="B5:C5"/>
    <mergeCell ref="D5:E5"/>
  </mergeCells>
  <phoneticPr fontId="0" type="noConversion"/>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4:J4"/>
  <sheetViews>
    <sheetView zoomScale="85" zoomScaleNormal="85" workbookViewId="0">
      <selection activeCell="C7" sqref="C7"/>
    </sheetView>
  </sheetViews>
  <sheetFormatPr defaultRowHeight="15" x14ac:dyDescent="0.25"/>
  <cols>
    <col min="1" max="1" width="15.85546875" style="49" customWidth="1"/>
    <col min="2" max="2" width="14.28515625" style="48" customWidth="1"/>
    <col min="3" max="3" width="11.85546875" style="48" customWidth="1"/>
    <col min="4" max="5" width="11.7109375" style="48" customWidth="1"/>
    <col min="6" max="10" width="9.140625" style="48"/>
  </cols>
  <sheetData>
    <row r="4" spans="1:1" x14ac:dyDescent="0.25">
      <c r="A4" s="5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H19"/>
  <sheetViews>
    <sheetView zoomScale="70" zoomScaleNormal="70" workbookViewId="0">
      <selection activeCell="A2" sqref="A2:XFD2"/>
    </sheetView>
  </sheetViews>
  <sheetFormatPr defaultRowHeight="15" x14ac:dyDescent="0.25"/>
  <cols>
    <col min="1" max="1" width="41.85546875" customWidth="1"/>
    <col min="2" max="2" width="18.140625" bestFit="1" customWidth="1"/>
  </cols>
  <sheetData>
    <row r="2" spans="1:8" x14ac:dyDescent="0.25">
      <c r="B2" s="58"/>
    </row>
    <row r="3" spans="1:8" x14ac:dyDescent="0.25">
      <c r="B3" s="58"/>
    </row>
    <row r="4" spans="1:8" ht="15.75" thickBot="1" x14ac:dyDescent="0.3">
      <c r="B4" s="58"/>
    </row>
    <row r="5" spans="1:8" s="78" customFormat="1" ht="12.75" x14ac:dyDescent="0.2">
      <c r="A5" s="550" t="s">
        <v>472</v>
      </c>
      <c r="B5" s="551"/>
      <c r="C5" s="74" t="s">
        <v>199</v>
      </c>
      <c r="D5" s="74" t="s">
        <v>473</v>
      </c>
      <c r="E5" s="74" t="s">
        <v>474</v>
      </c>
      <c r="F5" s="75" t="s">
        <v>475</v>
      </c>
      <c r="G5" s="76" t="str">
        <f ca="1">(IF(E9&gt;99%,"All work completed. Please provide OC.",IF(E9&gt;89.8%,"Plinth, RCC, Brick, Plaster, Flooring, Painting work Completed. Finishing work is in process.",IF(E9&lt;94%,(IF(C9=0,"Work not yet Started.",IF(D9=25%,"Piling work in process",IF(D9=50%,"Excavation work in process",IF(D9=100%,"Excavation work Completed. ","0")))&amp;(IF(C10=0%,"",IF(C10=H11,"Footing work is process",IF(C10=H12,"Footing work Completed",IF(C10=H13,"1st Basement Completed",IF(C10=H14,"1st &amp; 2nd Basement Completed",IF(C10=H15,"1st to 3rd Basement Completed",IF(C10=H16,"1st to 4th Basement Completed",IF(C10=H17,"Plinth work is process",IF(C10=H18,"Plinth work completed","0")))))))))))&amp;(IF(C11=(D6+E6+F6),", RCC Slab",IF(C11&gt;0,", RCC upto "&amp;C11&amp;" Slab",""))&amp;(IF(C12=F6,", Brickwork",IF(C12&gt;0,", Brickwork upto "&amp;C12&amp;" Floor",""))&amp;(IF(C13=F6,", Internal Plaster",IF(C13&gt;0,", Internal Plaster upto "&amp;C13&amp;" Floor",""))&amp;(IF(C14=F6,", External Plaster",IF(C14&gt;0,", External Plaster upto "&amp;C14&amp;" Floor",""))&amp;(IF(C15=F6,", Flooring",IF(C15&gt;0,", Flooring upto "&amp;C15&amp;" Floor",""))&amp;(IF(C16=F6,", Painting",IF(C16&gt;0,", Painting upto "&amp;C16&amp;" Floor",""))&amp;(IF(C17&gt;0,", Finishing upto "&amp;C17&amp;" Floor","")&amp;(IF(C11&gt;0.5," Completed",""))))))))))))))</f>
        <v>Work not yet Started.</v>
      </c>
      <c r="H5" s="77"/>
    </row>
    <row r="6" spans="1:8" s="78" customFormat="1" ht="12.75" x14ac:dyDescent="0.2">
      <c r="A6" s="552"/>
      <c r="B6" s="553"/>
      <c r="C6" s="79">
        <v>0</v>
      </c>
      <c r="D6" s="79">
        <v>1</v>
      </c>
      <c r="E6" s="79">
        <v>0</v>
      </c>
      <c r="F6" s="80">
        <f ca="1">--TRIM(RIGHT(SUBSTITUTE(LEFT(A5,_xlfn.AGGREGATE(16,6,FIND({0,1,2,3,4,5,6,7,8,9},A5,ROW(INDIRECT("1:"&amp;LEN(A5)))),1))," ",REPT(" ",LEN(A5))),LEN(A5)))</f>
        <v>15</v>
      </c>
      <c r="G6" s="81"/>
      <c r="H6" s="82"/>
    </row>
    <row r="7" spans="1:8" s="78" customFormat="1" ht="26.25" customHeight="1" x14ac:dyDescent="0.2">
      <c r="A7" s="83" t="s">
        <v>476</v>
      </c>
      <c r="B7" s="554" t="str">
        <f ca="1">G5</f>
        <v>Work not yet Started.</v>
      </c>
      <c r="C7" s="555"/>
      <c r="D7" s="555"/>
      <c r="E7" s="555"/>
      <c r="F7" s="556"/>
      <c r="G7" s="81" t="s">
        <v>477</v>
      </c>
      <c r="H7" s="82"/>
    </row>
    <row r="8" spans="1:8" s="78" customFormat="1" ht="25.5" x14ac:dyDescent="0.2">
      <c r="A8" s="84" t="s">
        <v>478</v>
      </c>
      <c r="B8" s="85" t="s">
        <v>479</v>
      </c>
      <c r="C8" s="86" t="s">
        <v>480</v>
      </c>
      <c r="D8" s="86" t="s">
        <v>481</v>
      </c>
      <c r="E8" s="557" t="s">
        <v>482</v>
      </c>
      <c r="F8" s="558"/>
      <c r="G8" s="87" t="s">
        <v>483</v>
      </c>
      <c r="H8" s="88">
        <f ca="1">F6*25%</f>
        <v>3.75</v>
      </c>
    </row>
    <row r="9" spans="1:8" s="78" customFormat="1" ht="15" customHeight="1" x14ac:dyDescent="0.2">
      <c r="A9" s="84" t="s">
        <v>484</v>
      </c>
      <c r="B9" s="89">
        <v>0</v>
      </c>
      <c r="C9" s="90">
        <v>0</v>
      </c>
      <c r="D9" s="91">
        <f ca="1">((100/F6)*C9)/100</f>
        <v>0</v>
      </c>
      <c r="E9" s="559">
        <f ca="1">(((C10/F6*10)+(40/(D6+E6+F6)*C11)+(15/(F6)*C12)+(5/(F6)*C13)+(5/F6*C14)+(10/F6*C15)+(5/F6*C16)+(5/F6*C17)+(5/F6*C18))/100)</f>
        <v>0</v>
      </c>
      <c r="F9" s="560"/>
      <c r="G9" s="87" t="s">
        <v>485</v>
      </c>
      <c r="H9" s="92">
        <f ca="1">F6*50%</f>
        <v>7.5</v>
      </c>
    </row>
    <row r="10" spans="1:8" s="78" customFormat="1" ht="15" customHeight="1" x14ac:dyDescent="0.2">
      <c r="A10" s="84" t="s">
        <v>36</v>
      </c>
      <c r="B10" s="89">
        <v>0.1</v>
      </c>
      <c r="C10" s="93">
        <v>0</v>
      </c>
      <c r="D10" s="91">
        <f ca="1">((100/F6)*C10)/100</f>
        <v>0</v>
      </c>
      <c r="E10" s="561"/>
      <c r="F10" s="562"/>
      <c r="G10" s="87" t="s">
        <v>486</v>
      </c>
      <c r="H10" s="92">
        <f ca="1">F6</f>
        <v>15</v>
      </c>
    </row>
    <row r="11" spans="1:8" s="78" customFormat="1" ht="15" customHeight="1" x14ac:dyDescent="0.2">
      <c r="A11" s="84" t="s">
        <v>487</v>
      </c>
      <c r="B11" s="89">
        <v>0.4</v>
      </c>
      <c r="C11" s="93">
        <v>0</v>
      </c>
      <c r="D11" s="91">
        <f ca="1">((100/(D6+E6+F6))*C11)/100</f>
        <v>0</v>
      </c>
      <c r="E11" s="561"/>
      <c r="F11" s="562"/>
      <c r="G11" s="87" t="s">
        <v>488</v>
      </c>
      <c r="H11" s="94">
        <f ca="1">(IF(C6&gt;1,(F6/(C6+2)),F6/4))</f>
        <v>3.75</v>
      </c>
    </row>
    <row r="12" spans="1:8" s="78" customFormat="1" ht="15" customHeight="1" x14ac:dyDescent="0.2">
      <c r="A12" s="84" t="s">
        <v>489</v>
      </c>
      <c r="B12" s="89">
        <v>0.15</v>
      </c>
      <c r="C12" s="90">
        <v>0</v>
      </c>
      <c r="D12" s="91">
        <f ca="1">((100/F6)*C12)/100</f>
        <v>0</v>
      </c>
      <c r="E12" s="561"/>
      <c r="F12" s="562"/>
      <c r="G12" s="87" t="s">
        <v>490</v>
      </c>
      <c r="H12" s="94">
        <f ca="1">(IF(C6&gt;1,(F6/(C6+2)+H11),F6/4+H11))</f>
        <v>7.5</v>
      </c>
    </row>
    <row r="13" spans="1:8" s="78" customFormat="1" ht="15" customHeight="1" x14ac:dyDescent="0.2">
      <c r="A13" s="84" t="s">
        <v>491</v>
      </c>
      <c r="B13" s="89">
        <v>0.05</v>
      </c>
      <c r="C13" s="90">
        <v>0</v>
      </c>
      <c r="D13" s="91">
        <f ca="1">((100/F6)*C13)/100</f>
        <v>0</v>
      </c>
      <c r="E13" s="561"/>
      <c r="F13" s="562"/>
      <c r="G13" s="87" t="s">
        <v>492</v>
      </c>
      <c r="H13" s="94">
        <f>(IF(C6&gt;1,(F6/(C6+2)+H12),0))</f>
        <v>0</v>
      </c>
    </row>
    <row r="14" spans="1:8" s="78" customFormat="1" ht="15" customHeight="1" x14ac:dyDescent="0.2">
      <c r="A14" s="84" t="s">
        <v>493</v>
      </c>
      <c r="B14" s="89">
        <v>0.05</v>
      </c>
      <c r="C14" s="90">
        <v>0</v>
      </c>
      <c r="D14" s="91">
        <f ca="1">((100/(F6))*C14)/100</f>
        <v>0</v>
      </c>
      <c r="E14" s="561"/>
      <c r="F14" s="562"/>
      <c r="G14" s="87" t="s">
        <v>494</v>
      </c>
      <c r="H14" s="94">
        <f>(IF(C6&gt;2,(F6/(C6+2)+H13),0))</f>
        <v>0</v>
      </c>
    </row>
    <row r="15" spans="1:8" s="78" customFormat="1" ht="15" customHeight="1" x14ac:dyDescent="0.2">
      <c r="A15" s="84" t="s">
        <v>495</v>
      </c>
      <c r="B15" s="89">
        <v>0.1</v>
      </c>
      <c r="C15" s="90">
        <v>0</v>
      </c>
      <c r="D15" s="91">
        <f ca="1">((100/F6)*C15)/100</f>
        <v>0</v>
      </c>
      <c r="E15" s="561"/>
      <c r="F15" s="562"/>
      <c r="G15" s="87" t="s">
        <v>496</v>
      </c>
      <c r="H15" s="95">
        <f>(IF(C6&gt;3,(F6/(C6+2)+H14),0))</f>
        <v>0</v>
      </c>
    </row>
    <row r="16" spans="1:8" s="78" customFormat="1" ht="15" customHeight="1" x14ac:dyDescent="0.2">
      <c r="A16" s="84" t="s">
        <v>497</v>
      </c>
      <c r="B16" s="89">
        <v>0.05</v>
      </c>
      <c r="C16" s="90">
        <v>0</v>
      </c>
      <c r="D16" s="91">
        <f ca="1">((100/F6)*C16)/100</f>
        <v>0</v>
      </c>
      <c r="E16" s="561"/>
      <c r="F16" s="562"/>
      <c r="G16" s="87" t="s">
        <v>498</v>
      </c>
      <c r="H16" s="94">
        <f>(IF(C6&gt;4,(F6/(C6+2)+H15),0))</f>
        <v>0</v>
      </c>
    </row>
    <row r="17" spans="1:8" s="78" customFormat="1" ht="15" customHeight="1" x14ac:dyDescent="0.2">
      <c r="A17" s="84" t="s">
        <v>499</v>
      </c>
      <c r="B17" s="89">
        <v>0.05</v>
      </c>
      <c r="C17" s="90">
        <v>0</v>
      </c>
      <c r="D17" s="91">
        <f ca="1">((100/(F6))*C17)/100</f>
        <v>0</v>
      </c>
      <c r="E17" s="561"/>
      <c r="F17" s="562"/>
      <c r="G17" s="87" t="s">
        <v>500</v>
      </c>
      <c r="H17" s="94">
        <f ca="1">(IF(C6=1,(F6/(C6+3)+H12),IF(C6=0,(F6/4+H12),IF(C6&gt;1,0))))</f>
        <v>11.25</v>
      </c>
    </row>
    <row r="18" spans="1:8" s="78" customFormat="1" ht="15.75" customHeight="1" thickBot="1" x14ac:dyDescent="0.25">
      <c r="A18" s="96" t="s">
        <v>501</v>
      </c>
      <c r="B18" s="97">
        <v>0.05</v>
      </c>
      <c r="C18" s="98">
        <v>0</v>
      </c>
      <c r="D18" s="99">
        <f ca="1">((100/(F6))*C18)/100</f>
        <v>0</v>
      </c>
      <c r="E18" s="563"/>
      <c r="F18" s="564"/>
      <c r="G18" s="100" t="s">
        <v>502</v>
      </c>
      <c r="H18" s="101">
        <f ca="1">(IF(C6&gt;1.5,(F6/(C6+2)+H12+MAX(0,H13-H12)+MAX(0,H14-H13)+MAX(0,H15-H14)+MAX(0,H16-H15)+MAX(0,H17-H16)),IF(C6=1,(F6/(C6+3)+H17),IF(C6=0,F6/4+H17))))</f>
        <v>15</v>
      </c>
    </row>
    <row r="19" spans="1:8" x14ac:dyDescent="0.25">
      <c r="B19" s="59"/>
    </row>
  </sheetData>
  <mergeCells count="4">
    <mergeCell ref="A5:B6"/>
    <mergeCell ref="B7:F7"/>
    <mergeCell ref="E8:F8"/>
    <mergeCell ref="E9:F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Const. %</vt:lpstr>
      <vt:lpstr>unsold</vt:lpstr>
      <vt:lpstr>valuation</vt:lpstr>
      <vt:lpstr>Sheet1</vt:lpstr>
      <vt:lpstr>Sheet2</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SACHIN</cp:lastModifiedBy>
  <cp:lastPrinted>2025-09-25T09:40:21Z</cp:lastPrinted>
  <dcterms:created xsi:type="dcterms:W3CDTF">2013-11-23T05:32:33Z</dcterms:created>
  <dcterms:modified xsi:type="dcterms:W3CDTF">2025-09-26T06:36:45Z</dcterms:modified>
</cp:coreProperties>
</file>