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Shruti\Sept 25\Old\"/>
    </mc:Choice>
  </mc:AlternateContent>
  <bookViews>
    <workbookView xWindow="0" yWindow="0" windowWidth="20490" windowHeight="7755"/>
  </bookViews>
  <sheets>
    <sheet name="Sheet1" sheetId="1" r:id="rId1"/>
    <sheet name="Sheet2" sheetId="2" r:id="rId2"/>
  </sheets>
  <definedNames>
    <definedName name="_xlnm._FilterDatabase" localSheetId="0" hidden="1">Sheet1!$A$80:$F$117</definedName>
    <definedName name="_xlnm.Print_Area" localSheetId="0">Sheet1!$A$1:$F$453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38" i="1" l="1"/>
  <c r="H139" i="1"/>
  <c r="H140" i="1"/>
  <c r="H141" i="1"/>
  <c r="F139" i="2" l="1"/>
  <c r="C137" i="1"/>
  <c r="C138" i="1" s="1"/>
  <c r="H226" i="1" l="1"/>
  <c r="C49" i="1" l="1"/>
  <c r="C48" i="1" s="1"/>
  <c r="B453" i="1"/>
  <c r="B310" i="1"/>
  <c r="C50" i="1" l="1"/>
  <c r="C57" i="1"/>
  <c r="C56" i="1"/>
  <c r="C55" i="1" l="1"/>
  <c r="G47" i="1"/>
  <c r="C54" i="1"/>
  <c r="A105" i="1" l="1"/>
  <c r="C256" i="1" l="1"/>
  <c r="F256" i="1" s="1"/>
  <c r="C250" i="1"/>
  <c r="F250" i="1" s="1"/>
  <c r="C244" i="1"/>
  <c r="F244" i="1" s="1"/>
  <c r="C238" i="1"/>
  <c r="D238" i="1" s="1"/>
  <c r="C232" i="1"/>
  <c r="C226" i="1"/>
  <c r="C187" i="1" s="1"/>
  <c r="C243" i="1"/>
  <c r="F243" i="1" s="1"/>
  <c r="C237" i="1"/>
  <c r="G253" i="1"/>
  <c r="G247" i="1"/>
  <c r="G241" i="1"/>
  <c r="G229" i="1"/>
  <c r="C258" i="1"/>
  <c r="C257" i="1"/>
  <c r="F257" i="1" s="1"/>
  <c r="C255" i="1"/>
  <c r="F255" i="1" s="1"/>
  <c r="C254" i="1"/>
  <c r="D254" i="1" s="1"/>
  <c r="C252" i="1"/>
  <c r="D252" i="1" s="1"/>
  <c r="C251" i="1"/>
  <c r="F251" i="1" s="1"/>
  <c r="C249" i="1"/>
  <c r="C248" i="1"/>
  <c r="F248" i="1" s="1"/>
  <c r="C246" i="1"/>
  <c r="C245" i="1"/>
  <c r="C240" i="1"/>
  <c r="D240" i="1" s="1"/>
  <c r="C239" i="1"/>
  <c r="F239" i="1" s="1"/>
  <c r="C234" i="1"/>
  <c r="C233" i="1"/>
  <c r="C231" i="1"/>
  <c r="B187" i="1" s="1"/>
  <c r="C230" i="1"/>
  <c r="C228" i="1"/>
  <c r="C227" i="1"/>
  <c r="F249" i="1"/>
  <c r="A249" i="1"/>
  <c r="A250" i="1" s="1"/>
  <c r="A251" i="1" s="1"/>
  <c r="A252" i="1" s="1"/>
  <c r="F246" i="1"/>
  <c r="F245" i="1"/>
  <c r="A243" i="1"/>
  <c r="A244" i="1" s="1"/>
  <c r="A245" i="1" s="1"/>
  <c r="A246" i="1" s="1"/>
  <c r="F258" i="1"/>
  <c r="A255" i="1"/>
  <c r="A256" i="1" s="1"/>
  <c r="A257" i="1" s="1"/>
  <c r="A258" i="1" s="1"/>
  <c r="D239" i="1"/>
  <c r="A237" i="1"/>
  <c r="A238" i="1" s="1"/>
  <c r="A239" i="1" s="1"/>
  <c r="A240" i="1" s="1"/>
  <c r="F254" i="1" l="1"/>
  <c r="D237" i="1"/>
  <c r="D250" i="1"/>
  <c r="D248" i="1"/>
  <c r="F237" i="1"/>
  <c r="F252" i="1"/>
  <c r="D249" i="1"/>
  <c r="D251" i="1"/>
  <c r="D245" i="1"/>
  <c r="D243" i="1"/>
  <c r="D244" i="1"/>
  <c r="D246" i="1"/>
  <c r="D255" i="1"/>
  <c r="D257" i="1"/>
  <c r="D256" i="1"/>
  <c r="D258" i="1"/>
  <c r="F238" i="1"/>
  <c r="F240" i="1"/>
  <c r="F121" i="1"/>
  <c r="E121" i="1"/>
  <c r="D121" i="1"/>
  <c r="C121" i="1"/>
  <c r="B121" i="1"/>
  <c r="A121" i="1"/>
  <c r="A157" i="1" l="1"/>
  <c r="A144" i="1"/>
  <c r="H167" i="1"/>
  <c r="H166" i="1"/>
  <c r="H165" i="1"/>
  <c r="C161" i="1" s="1"/>
  <c r="H164" i="1"/>
  <c r="H154" i="1"/>
  <c r="H153" i="1"/>
  <c r="H152" i="1"/>
  <c r="C148" i="1" s="1"/>
  <c r="H151" i="1"/>
  <c r="F158" i="1"/>
  <c r="F145" i="1"/>
  <c r="H169" i="1" l="1"/>
  <c r="H163" i="1"/>
  <c r="H168" i="1" s="1"/>
  <c r="D169" i="1"/>
  <c r="D163" i="1"/>
  <c r="D167" i="1"/>
  <c r="D161" i="1"/>
  <c r="D166" i="1"/>
  <c r="H162" i="1"/>
  <c r="D168" i="1"/>
  <c r="D162" i="1"/>
  <c r="D165" i="1"/>
  <c r="D164" i="1"/>
  <c r="E161" i="1"/>
  <c r="G157" i="1" s="1"/>
  <c r="B159" i="1" s="1"/>
  <c r="H156" i="1"/>
  <c r="H150" i="1"/>
  <c r="H155" i="1" s="1"/>
  <c r="D148" i="1"/>
  <c r="D153" i="1"/>
  <c r="D152" i="1"/>
  <c r="D156" i="1"/>
  <c r="D150" i="1"/>
  <c r="H149" i="1"/>
  <c r="D155" i="1"/>
  <c r="D149" i="1"/>
  <c r="D154" i="1"/>
  <c r="D151" i="1"/>
  <c r="E148" i="1"/>
  <c r="G144" i="1" l="1"/>
  <c r="B146" i="1" s="1"/>
  <c r="F278" i="1"/>
  <c r="B82" i="1" l="1"/>
  <c r="B18" i="1"/>
  <c r="A131" i="1" l="1"/>
  <c r="B131" i="2" l="1"/>
  <c r="C36" i="1" l="1"/>
  <c r="A309" i="1" l="1"/>
  <c r="A310" i="1" s="1"/>
  <c r="A311" i="1" s="1"/>
  <c r="A312" i="1" s="1"/>
  <c r="A313" i="1" s="1"/>
  <c r="A275" i="1"/>
  <c r="A276" i="1" s="1"/>
  <c r="A277" i="1" s="1"/>
  <c r="A278" i="1" s="1"/>
  <c r="A279" i="1" s="1"/>
  <c r="A268" i="1"/>
  <c r="A269" i="1" s="1"/>
  <c r="A270" i="1" s="1"/>
  <c r="A271" i="1" s="1"/>
  <c r="A272" i="1" s="1"/>
  <c r="A261" i="1"/>
  <c r="A262" i="1" s="1"/>
  <c r="A263" i="1" s="1"/>
  <c r="A264" i="1" s="1"/>
  <c r="A265" i="1" s="1"/>
  <c r="A231" i="1"/>
  <c r="A232" i="1" s="1"/>
  <c r="A233" i="1" s="1"/>
  <c r="A234" i="1" s="1"/>
  <c r="A225" i="1"/>
  <c r="A226" i="1" s="1"/>
  <c r="A227" i="1" s="1"/>
  <c r="A228" i="1" s="1"/>
  <c r="A315" i="1" l="1"/>
  <c r="A316" i="1" s="1"/>
  <c r="A318" i="1" s="1"/>
  <c r="F216" i="1"/>
  <c r="D216" i="1"/>
  <c r="F215" i="1"/>
  <c r="D215" i="1"/>
  <c r="F214" i="1"/>
  <c r="D214" i="1"/>
  <c r="F213" i="1"/>
  <c r="D213" i="1"/>
  <c r="F212" i="1"/>
  <c r="D212" i="1"/>
  <c r="A212" i="1"/>
  <c r="A213" i="1" s="1"/>
  <c r="A214" i="1" s="1"/>
  <c r="A215" i="1" s="1"/>
  <c r="A216" i="1" s="1"/>
  <c r="F211" i="1"/>
  <c r="D211" i="1"/>
  <c r="A205" i="1"/>
  <c r="A206" i="1" s="1"/>
  <c r="A207" i="1" s="1"/>
  <c r="A208" i="1" s="1"/>
  <c r="A209" i="1" s="1"/>
  <c r="A198" i="1"/>
  <c r="A199" i="1" s="1"/>
  <c r="A200" i="1" s="1"/>
  <c r="A201" i="1" s="1"/>
  <c r="A202" i="1" s="1"/>
  <c r="F197" i="1"/>
  <c r="B189" i="1"/>
  <c r="C189" i="1"/>
  <c r="B184" i="1"/>
  <c r="C184" i="1"/>
  <c r="E184" i="1"/>
  <c r="B179" i="1"/>
  <c r="C179" i="1"/>
  <c r="E179" i="1"/>
  <c r="B190" i="1" l="1"/>
  <c r="C190" i="1"/>
  <c r="C63" i="1" l="1"/>
  <c r="C60" i="1"/>
  <c r="B13" i="1" l="1"/>
  <c r="F279" i="1" l="1"/>
  <c r="D278" i="1"/>
  <c r="F275" i="1"/>
  <c r="D274" i="1"/>
  <c r="D277" i="1"/>
  <c r="F276" i="1"/>
  <c r="F272" i="1"/>
  <c r="D271" i="1"/>
  <c r="F270" i="1"/>
  <c r="D269" i="1"/>
  <c r="F268" i="1"/>
  <c r="D267" i="1"/>
  <c r="F265" i="1"/>
  <c r="D264" i="1"/>
  <c r="F263" i="1"/>
  <c r="F262" i="1"/>
  <c r="F261" i="1"/>
  <c r="D260" i="1"/>
  <c r="F234" i="1"/>
  <c r="D233" i="1"/>
  <c r="F232" i="1"/>
  <c r="F231" i="1"/>
  <c r="F230" i="1"/>
  <c r="F228" i="1"/>
  <c r="F227" i="1"/>
  <c r="D226" i="1"/>
  <c r="F209" i="1"/>
  <c r="D208" i="1"/>
  <c r="F207" i="1"/>
  <c r="F206" i="1"/>
  <c r="F205" i="1"/>
  <c r="F204" i="1"/>
  <c r="D202" i="1"/>
  <c r="D201" i="1"/>
  <c r="D200" i="1"/>
  <c r="D199" i="1"/>
  <c r="D198" i="1"/>
  <c r="F260" i="1" l="1"/>
  <c r="F271" i="1"/>
  <c r="F264" i="1"/>
  <c r="D263" i="1"/>
  <c r="F267" i="1"/>
  <c r="D270" i="1"/>
  <c r="D262" i="1"/>
  <c r="D261" i="1"/>
  <c r="D265" i="1"/>
  <c r="F277" i="1"/>
  <c r="D268" i="1"/>
  <c r="F269" i="1"/>
  <c r="D272" i="1"/>
  <c r="F274" i="1"/>
  <c r="D234" i="1"/>
  <c r="D276" i="1"/>
  <c r="D228" i="1"/>
  <c r="D230" i="1"/>
  <c r="D275" i="1"/>
  <c r="D279" i="1"/>
  <c r="F233" i="1"/>
  <c r="H233" i="1" s="1"/>
  <c r="F226" i="1"/>
  <c r="D232" i="1"/>
  <c r="D227" i="1"/>
  <c r="D231" i="1"/>
  <c r="D205" i="1"/>
  <c r="D206" i="1"/>
  <c r="D209" i="1"/>
  <c r="F199" i="1"/>
  <c r="F201" i="1"/>
  <c r="D204" i="1"/>
  <c r="F202" i="1"/>
  <c r="F200" i="1"/>
  <c r="F198" i="1"/>
  <c r="D207" i="1"/>
  <c r="F208" i="1"/>
  <c r="E187" i="1" l="1"/>
  <c r="E189" i="1" s="1"/>
  <c r="E190" i="1" s="1"/>
  <c r="B124" i="2"/>
  <c r="M67" i="1" l="1"/>
  <c r="C319" i="1" l="1"/>
  <c r="D197" i="1" l="1"/>
  <c r="K116" i="2" l="1"/>
  <c r="K115" i="2"/>
  <c r="K114" i="2"/>
  <c r="K113" i="2"/>
  <c r="D107" i="2"/>
  <c r="F106" i="2"/>
  <c r="E116" i="2" l="1"/>
  <c r="E115" i="2"/>
  <c r="K109" i="2"/>
  <c r="E111" i="2"/>
  <c r="E114" i="2"/>
  <c r="E113" i="2"/>
  <c r="K108" i="2"/>
  <c r="E112" i="2"/>
  <c r="E118" i="2"/>
  <c r="K111" i="2"/>
  <c r="K112" i="2" s="1"/>
  <c r="K117" i="2" s="1"/>
  <c r="K118" i="2" s="1"/>
  <c r="D110" i="2" s="1"/>
  <c r="E117" i="2"/>
  <c r="K110" i="2"/>
  <c r="D109" i="2" s="1"/>
  <c r="H109" i="2" l="1"/>
  <c r="F109" i="2"/>
  <c r="J105" i="2" s="1"/>
  <c r="E110" i="2"/>
  <c r="E109" i="2"/>
  <c r="F132" i="1"/>
  <c r="H143" i="1" l="1"/>
  <c r="C135" i="1" s="1"/>
  <c r="E135" i="1" s="1"/>
  <c r="H136" i="1"/>
  <c r="H137" i="1"/>
  <c r="H142" i="1" s="1"/>
  <c r="D142" i="1"/>
  <c r="D136" i="1"/>
  <c r="D141" i="1"/>
  <c r="D140" i="1"/>
  <c r="D138" i="1"/>
  <c r="D139" i="1"/>
  <c r="D137" i="1"/>
  <c r="D143" i="1"/>
  <c r="G131" i="1" l="1"/>
  <c r="D135" i="1"/>
  <c r="E170" i="1" l="1"/>
  <c r="C38" i="1" s="1"/>
  <c r="B133" i="1"/>
</calcChain>
</file>

<file path=xl/comments1.xml><?xml version="1.0" encoding="utf-8"?>
<comments xmlns="http://schemas.openxmlformats.org/spreadsheetml/2006/main">
  <authors>
    <author>SACHIN</author>
    <author>Sachin</author>
  </authors>
  <commentList>
    <comment ref="D95" authorId="0" shapeId="0">
      <text>
        <r>
          <rPr>
            <b/>
            <sz val="9"/>
            <color indexed="81"/>
            <rFont val="Tahoma"/>
            <family val="2"/>
          </rPr>
          <t>SACHIN:</t>
        </r>
        <r>
          <rPr>
            <sz val="9"/>
            <color indexed="81"/>
            <rFont val="Tahoma"/>
            <family val="2"/>
          </rPr>
          <t xml:space="preserve">
Title certifcate lawyer name</t>
        </r>
      </text>
    </comment>
    <comment ref="C128" authorId="1" shapeId="0">
      <text>
        <r>
          <rPr>
            <b/>
            <sz val="9"/>
            <color indexed="81"/>
            <rFont val="Tahoma"/>
            <family val="2"/>
          </rPr>
          <t>Sachin:</t>
        </r>
        <r>
          <rPr>
            <sz val="9"/>
            <color indexed="81"/>
            <rFont val="Tahoma"/>
            <family val="2"/>
          </rPr>
          <t xml:space="preserve">
Builder"s recent project names 
take from builder documents
</t>
        </r>
      </text>
    </comment>
    <comment ref="C129" authorId="1" shapeId="0">
      <text>
        <r>
          <rPr>
            <b/>
            <sz val="9"/>
            <color indexed="81"/>
            <rFont val="Tahoma"/>
            <family val="2"/>
          </rPr>
          <t>Sachin:</t>
        </r>
        <r>
          <rPr>
            <sz val="9"/>
            <color indexed="81"/>
            <rFont val="Tahoma"/>
            <family val="2"/>
          </rPr>
          <t xml:space="preserve">
Approved by authority name
Positive or negavtive points
Surrounding buildings or mall etc or less distance from stn</t>
        </r>
      </text>
    </comment>
  </commentList>
</comments>
</file>

<file path=xl/sharedStrings.xml><?xml version="1.0" encoding="utf-8"?>
<sst xmlns="http://schemas.openxmlformats.org/spreadsheetml/2006/main" count="607" uniqueCount="392">
  <si>
    <t>PROJECT TECHNICAL REPORT</t>
  </si>
  <si>
    <t>RBL BRANCH NAME</t>
  </si>
  <si>
    <t>TDR FSI</t>
  </si>
  <si>
    <t>QUALITY, SPECS</t>
  </si>
  <si>
    <t>Construction details:</t>
  </si>
  <si>
    <t>Basement</t>
  </si>
  <si>
    <t>Ground</t>
  </si>
  <si>
    <t>Podium</t>
  </si>
  <si>
    <t>Floors</t>
  </si>
  <si>
    <t xml:space="preserve">Stage of construction: </t>
  </si>
  <si>
    <t>All work Completed. OC Received.</t>
  </si>
  <si>
    <t>Type of Work</t>
  </si>
  <si>
    <t>Project Progress %</t>
  </si>
  <si>
    <t>Slab/Floor</t>
  </si>
  <si>
    <t>Complition %</t>
  </si>
  <si>
    <t>Progress %</t>
  </si>
  <si>
    <t>Piling Work in process</t>
  </si>
  <si>
    <t>Excavation</t>
  </si>
  <si>
    <t>Excavation in process</t>
  </si>
  <si>
    <t>Plinth</t>
  </si>
  <si>
    <t>Excavation Completed</t>
  </si>
  <si>
    <t>RCC (Including podiums)</t>
  </si>
  <si>
    <t>Footing in Process</t>
  </si>
  <si>
    <t>Brickwork</t>
  </si>
  <si>
    <t>Footing Completed</t>
  </si>
  <si>
    <t>Internal Plaster</t>
  </si>
  <si>
    <t>Basement 1</t>
  </si>
  <si>
    <t>Ext. Plaster &amp; Plumbing</t>
  </si>
  <si>
    <t>Basement 2</t>
  </si>
  <si>
    <t>Flooring &amp; Fitting</t>
  </si>
  <si>
    <t>Basement 3</t>
  </si>
  <si>
    <t>Painting &amp; Wooden</t>
  </si>
  <si>
    <t>Basement 4</t>
  </si>
  <si>
    <t>Building Common Amenities</t>
  </si>
  <si>
    <t>Plinth in process</t>
  </si>
  <si>
    <t>Possession</t>
  </si>
  <si>
    <t>Plinth completed</t>
  </si>
  <si>
    <t>Completion %</t>
  </si>
  <si>
    <t>Plaster</t>
  </si>
  <si>
    <t>Electrical &amp; Plumbing</t>
  </si>
  <si>
    <t>Finishing</t>
  </si>
  <si>
    <t>Disbursement %</t>
  </si>
  <si>
    <t>Brickwork &amp; Internal Plaster</t>
  </si>
  <si>
    <t>External Plaster &amp; Plumbing</t>
  </si>
  <si>
    <t>g +7</t>
  </si>
  <si>
    <t>BUILDING/TOWERWISE UNIT - AREA DETAILS</t>
  </si>
  <si>
    <t>Building &amp; Wing</t>
  </si>
  <si>
    <t>No. of Units</t>
  </si>
  <si>
    <t>Total Carpet Area</t>
  </si>
  <si>
    <t>Total Saleable Area</t>
  </si>
  <si>
    <t>Wing A</t>
  </si>
  <si>
    <t>Total</t>
  </si>
  <si>
    <t>Building details Floor Wise</t>
  </si>
  <si>
    <t xml:space="preserve">Details of Flats in Building   </t>
  </si>
  <si>
    <t>Description</t>
  </si>
  <si>
    <t>Gross Carpet area</t>
  </si>
  <si>
    <t>Attached Terrace area</t>
  </si>
  <si>
    <t>Ground Floor For Commercial, Entrance Lobby &amp; Garage For Parking</t>
  </si>
  <si>
    <t>Builtup Area</t>
  </si>
  <si>
    <t>Saleable area
Loading:</t>
  </si>
  <si>
    <t xml:space="preserve">Details of Commercial in Building   </t>
  </si>
  <si>
    <t>VALUE PARAMETERS</t>
  </si>
  <si>
    <t>Remarks:</t>
  </si>
  <si>
    <t>Photographs Of Property :</t>
  </si>
  <si>
    <t>Layout Of Property :</t>
  </si>
  <si>
    <t xml:space="preserve">Google Map : </t>
  </si>
  <si>
    <t>Name of Engineer Visited the property</t>
  </si>
  <si>
    <t xml:space="preserve">Authorized Signatory
Name &amp; Seal of the agency
                                               </t>
  </si>
  <si>
    <r>
      <t xml:space="preserve">Shop No.
</t>
    </r>
    <r>
      <rPr>
        <b/>
        <sz val="9"/>
        <color rgb="FF000000"/>
        <rFont val="Garamond"/>
        <family val="1"/>
      </rPr>
      <t>(Approved Plan)</t>
    </r>
  </si>
  <si>
    <t>Project Name</t>
  </si>
  <si>
    <t>Valuer Details</t>
  </si>
  <si>
    <t xml:space="preserve">Name Of Valuer </t>
  </si>
  <si>
    <t>Official Email Id</t>
  </si>
  <si>
    <t>Rvo Name Of Which Valuer Is Member</t>
  </si>
  <si>
    <t>Address Of Valution Agency</t>
  </si>
  <si>
    <t>Contact Person Name  &amp; Number</t>
  </si>
  <si>
    <t>Name Of Valuation Agency/Firm</t>
  </si>
  <si>
    <t>Apf Technical Report Assignment Details</t>
  </si>
  <si>
    <t>Builder Company/Entity Details - Seller Of The Project</t>
  </si>
  <si>
    <t>Name Of Entity Formed For Current Project</t>
  </si>
  <si>
    <t>Project Address Details</t>
  </si>
  <si>
    <t>Plot No.</t>
  </si>
  <si>
    <t>Date of Assignment</t>
  </si>
  <si>
    <t>Date of Visit</t>
  </si>
  <si>
    <t>Date of Valuation</t>
  </si>
  <si>
    <t>Street Name &amp;/No.</t>
  </si>
  <si>
    <t>State</t>
  </si>
  <si>
    <t>Pincode</t>
  </si>
  <si>
    <t>Nearest Rbl Bank Location</t>
  </si>
  <si>
    <t>Landmark</t>
  </si>
  <si>
    <t>District</t>
  </si>
  <si>
    <t>Country</t>
  </si>
  <si>
    <t>Lat, Long</t>
  </si>
  <si>
    <t>Distance From Rbl Bank Location (Kms.)</t>
  </si>
  <si>
    <t>Assigned By</t>
  </si>
  <si>
    <t>Property Visited By (Name)</t>
  </si>
  <si>
    <t>Report Prepared By (Name)</t>
  </si>
  <si>
    <t>North</t>
  </si>
  <si>
    <t>South</t>
  </si>
  <si>
    <t>East</t>
  </si>
  <si>
    <t>West</t>
  </si>
  <si>
    <t>As Per Ownership Docs</t>
  </si>
  <si>
    <t>As Per Site Investigation</t>
  </si>
  <si>
    <t>Project Boundaries Verification</t>
  </si>
  <si>
    <t>General Details</t>
  </si>
  <si>
    <t>Municipal Limit</t>
  </si>
  <si>
    <t>Municipal Authority (Name)</t>
  </si>
  <si>
    <t>Approach Road To Project</t>
  </si>
  <si>
    <t>Location Type*</t>
  </si>
  <si>
    <t>Quality Of Construction*</t>
  </si>
  <si>
    <t>Overall % Completion Of Project</t>
  </si>
  <si>
    <t>Project Falling In Caution Area</t>
  </si>
  <si>
    <t>Reason For Caution</t>
  </si>
  <si>
    <t>Project Architect Name</t>
  </si>
  <si>
    <t>Square Meter</t>
  </si>
  <si>
    <t>Project Area Details ( As Per Approved Plan )</t>
  </si>
  <si>
    <t>Area Type</t>
  </si>
  <si>
    <t>Total Built Up Area</t>
  </si>
  <si>
    <t>Total Residential Built Up Area</t>
  </si>
  <si>
    <t>Total Commercial Built Up Area</t>
  </si>
  <si>
    <t>Area Under Road</t>
  </si>
  <si>
    <t>Area Under D.P. Reservation</t>
  </si>
  <si>
    <t>Area Under R.G./Garden</t>
  </si>
  <si>
    <t>FSI / FAR Details</t>
  </si>
  <si>
    <t>Plot FSI / FAR</t>
  </si>
  <si>
    <t>Premium FSI / FAR</t>
  </si>
  <si>
    <t>Addl .FSI Under any Other Regulation(1)</t>
  </si>
  <si>
    <t>Addl .FSI Under any Other Regulation(2)</t>
  </si>
  <si>
    <t>Total FSI/FAR</t>
  </si>
  <si>
    <t>Overall Remarks on Project Area &amp; FSI /FAR</t>
  </si>
  <si>
    <t>Total No. Of Units/Tenaments</t>
  </si>
  <si>
    <t>Residential /Commercial Ratio</t>
  </si>
  <si>
    <t>Surrounding External Amenities</t>
  </si>
  <si>
    <t>Nearestr Bus Stop</t>
  </si>
  <si>
    <t>Nearest Bank</t>
  </si>
  <si>
    <t>Nearest Hospital</t>
  </si>
  <si>
    <t>Name Of The Premises/Description</t>
  </si>
  <si>
    <t>Approx. Distance From Property (In Kms)</t>
  </si>
  <si>
    <t>Nearest Multiplex / Mall/ Market</t>
  </si>
  <si>
    <t>Nearest School/ College</t>
  </si>
  <si>
    <t>Internal Project Specs - Comment On Availability &amp; Quality</t>
  </si>
  <si>
    <t>Structural Elements &amp; Wall Thickness</t>
  </si>
  <si>
    <t>Plaster &amp; Painting</t>
  </si>
  <si>
    <t>Electrification</t>
  </si>
  <si>
    <t>Plumbing &amp; Bath Fittings</t>
  </si>
  <si>
    <t>Door, Windows</t>
  </si>
  <si>
    <t>Availability (Y/N)</t>
  </si>
  <si>
    <t>Potable Water Connection</t>
  </si>
  <si>
    <t>Sewerage System</t>
  </si>
  <si>
    <t>Lift</t>
  </si>
  <si>
    <t>Power Backup</t>
  </si>
  <si>
    <t>Parking</t>
  </si>
  <si>
    <t>Clubhouse</t>
  </si>
  <si>
    <t>Gym</t>
  </si>
  <si>
    <t>Swimming Pool</t>
  </si>
  <si>
    <t>Garden</t>
  </si>
  <si>
    <t>Community Hall</t>
  </si>
  <si>
    <t>Any Additional Amenities, To Above, Pls Specify</t>
  </si>
  <si>
    <t>Technical Documents Details</t>
  </si>
  <si>
    <t>Document Name</t>
  </si>
  <si>
    <t>Approved Layout Plan</t>
  </si>
  <si>
    <t>Approved Floor Plan</t>
  </si>
  <si>
    <t>Construction  / Building Permission / Commencement Certificate</t>
  </si>
  <si>
    <t>Non Agricultural Permission / Land Conversion / Diversion</t>
  </si>
  <si>
    <t>Building Completion / Occupation Permission / Use Permission</t>
  </si>
  <si>
    <t>Location Sketch/ Certificate</t>
  </si>
  <si>
    <t>Authority Allotment Letter</t>
  </si>
  <si>
    <t>Ownership Doc 1</t>
  </si>
  <si>
    <t>Ownership Doc 2</t>
  </si>
  <si>
    <t>Remarks On Documents Verified</t>
  </si>
  <si>
    <t>Approving Authority Name</t>
  </si>
  <si>
    <t>Applicability &amp; Availability</t>
  </si>
  <si>
    <t>Approving Authority</t>
  </si>
  <si>
    <t>Details Of Approval</t>
  </si>
  <si>
    <t>Rera Details ( If Applicable)</t>
  </si>
  <si>
    <t>Rera Applicable</t>
  </si>
  <si>
    <t>Rera Registration No</t>
  </si>
  <si>
    <t>Project Start Date As Per Rera</t>
  </si>
  <si>
    <t>If Any Litigation Record On Project As Per Rera</t>
  </si>
  <si>
    <t>If Applicable, Rera Registration Status</t>
  </si>
  <si>
    <t>Project Completion Date As Per Rera</t>
  </si>
  <si>
    <t>Critical Parameters</t>
  </si>
  <si>
    <t>Flood Prone Area</t>
  </si>
  <si>
    <t>Coastal Regulatory Zone</t>
  </si>
  <si>
    <t>Falling In Present Or Proposed Road Widening</t>
  </si>
  <si>
    <t>Property Near High/Low Tension (Ht)/(Lt) Lines ?</t>
  </si>
  <si>
    <t>Presence Of Nallah/ Lake / Water Body Nearby</t>
  </si>
  <si>
    <t>Unit Deviation</t>
  </si>
  <si>
    <t>Seismic Zone</t>
  </si>
  <si>
    <t>Zoning As Per Development Plan</t>
  </si>
  <si>
    <t>Falling In Reservation As Per Development Plan</t>
  </si>
  <si>
    <t>Property Within 30 Mtrs From Railway Boundary ?</t>
  </si>
  <si>
    <t>Fsi Deviation</t>
  </si>
  <si>
    <t>Vertical Deviation</t>
  </si>
  <si>
    <t>Habitation In ( % ) Within 1 Kms Around Project</t>
  </si>
  <si>
    <t>Remarks In Case Project Affected By Any Of Critical Parameter</t>
  </si>
  <si>
    <t>Technical Deviations Observed In Project</t>
  </si>
  <si>
    <t>Demolition Risk</t>
  </si>
  <si>
    <t>Detail Of Deviation, If Any</t>
  </si>
  <si>
    <t>Total Phases</t>
  </si>
  <si>
    <t>Total No. Of Buildings</t>
  </si>
  <si>
    <t>Total No. Of Wings</t>
  </si>
  <si>
    <t>Total No. Of Approved Units (A)</t>
  </si>
  <si>
    <t>Total No. Of Unapproved Units (B)</t>
  </si>
  <si>
    <t>Total No. Of (A+B) Units</t>
  </si>
  <si>
    <t>Is The Project Technically Acceptable ?</t>
  </si>
  <si>
    <t>Is The Project Marketable ?</t>
  </si>
  <si>
    <t>Comment On Builder Group Involved In Project Development</t>
  </si>
  <si>
    <t>Overall Comments On Project Acceptability &amp; Marketablity</t>
  </si>
  <si>
    <t>FOUNDATION WIP</t>
  </si>
  <si>
    <t>PLINTH WIP</t>
  </si>
  <si>
    <t>YET TO START</t>
  </si>
  <si>
    <t>Sr.No.</t>
  </si>
  <si>
    <t>Base Rate Psf Rs.</t>
  </si>
  <si>
    <t>Floor Rise
(If Applicable)</t>
  </si>
  <si>
    <t>In Rs. Psf
(If Applicable)</t>
  </si>
  <si>
    <t>In Lumpsum Basis
(If Applicable)</t>
  </si>
  <si>
    <t>Applicable From Floor No.</t>
  </si>
  <si>
    <t>Applicable To Floor No.</t>
  </si>
  <si>
    <t>Applicable To Building /W ing</t>
  </si>
  <si>
    <t xml:space="preserve">Floor Rise 1 </t>
  </si>
  <si>
    <t>Floor Rise 2</t>
  </si>
  <si>
    <t>Floor Rise 3</t>
  </si>
  <si>
    <t>Floor Rise 4</t>
  </si>
  <si>
    <t>Plc Charges
(If Applicable)</t>
  </si>
  <si>
    <t>Details Of Plc/View</t>
  </si>
  <si>
    <t>List Of Unit Nos - Plc Applicable</t>
  </si>
  <si>
    <t>PLC Type 1</t>
  </si>
  <si>
    <t>PLC Type 2</t>
  </si>
  <si>
    <t>PLC Type 3</t>
  </si>
  <si>
    <t>Amenities Details</t>
  </si>
  <si>
    <t>Details Of Amenity Cost - Optional/Compulsory To Buyer, No Of Years, Etc</t>
  </si>
  <si>
    <t>Remarks, If Any</t>
  </si>
  <si>
    <t>Clubhouse &amp; 
Recreational</t>
  </si>
  <si>
    <t>Electricity &amp; Water Con.</t>
  </si>
  <si>
    <t>Infra</t>
  </si>
  <si>
    <t>Development</t>
  </si>
  <si>
    <t>Maintenance</t>
  </si>
  <si>
    <t>Any Other Amenity 1</t>
  </si>
  <si>
    <t>Any Other Amenity 2</t>
  </si>
  <si>
    <t>Any Other Amenity 3</t>
  </si>
  <si>
    <t>Maharashtra</t>
  </si>
  <si>
    <t>India</t>
  </si>
  <si>
    <t>Yes</t>
  </si>
  <si>
    <t>1st Floor for Commercial &amp; Parking</t>
  </si>
  <si>
    <t>2nd Floor for Commercial &amp; Parking</t>
  </si>
  <si>
    <t>6th, 11th, 16th, 21st, 26th Floor for Residential (Part Refuge Area)</t>
  </si>
  <si>
    <t>28th to 30th, 32nd to 35th Floor for Residential</t>
  </si>
  <si>
    <t>31st &amp; 36th Floor for Residential (Part Refuge Area)</t>
  </si>
  <si>
    <t>V.S Jadon &amp; Co.Valuers LLP</t>
  </si>
  <si>
    <t>Mr. Vishwajeet Singh Jadon</t>
  </si>
  <si>
    <t>vsjc.apf@gmail.com</t>
  </si>
  <si>
    <t>Mr. Sachin Sawant - 9820058999</t>
  </si>
  <si>
    <t>NA</t>
  </si>
  <si>
    <t>Taluka</t>
  </si>
  <si>
    <t>City</t>
  </si>
  <si>
    <t>Village</t>
  </si>
  <si>
    <t>As Per Layout Plan</t>
  </si>
  <si>
    <t>Same</t>
  </si>
  <si>
    <t>Location Link</t>
  </si>
  <si>
    <t>Good</t>
  </si>
  <si>
    <t>No</t>
  </si>
  <si>
    <t>Fire Noc &amp; Plans</t>
  </si>
  <si>
    <t>Environmental Clearance</t>
  </si>
  <si>
    <t>Coastal Regulatory Zonex ( Crz ) Noc</t>
  </si>
  <si>
    <t>Registered</t>
  </si>
  <si>
    <t>Zone III</t>
  </si>
  <si>
    <t>Not Appicable</t>
  </si>
  <si>
    <t>Approved no of Floors</t>
  </si>
  <si>
    <t>Proposed no of Floors</t>
  </si>
  <si>
    <t>Commercial Area Details : Shops</t>
  </si>
  <si>
    <t>Ground Floor</t>
  </si>
  <si>
    <t>1st Floor</t>
  </si>
  <si>
    <t>Commercial Area Details : Office</t>
  </si>
  <si>
    <t>2nd Floor</t>
  </si>
  <si>
    <t>Building No.2</t>
  </si>
  <si>
    <t>Grand Total</t>
  </si>
  <si>
    <t>Residential Area Details : Flats</t>
  </si>
  <si>
    <r>
      <t xml:space="preserve">Flat No.
</t>
    </r>
    <r>
      <rPr>
        <b/>
        <sz val="9"/>
        <color rgb="FF000000"/>
        <rFont val="Garamond"/>
        <family val="1"/>
      </rPr>
      <t>(Approved Plan)</t>
    </r>
  </si>
  <si>
    <t>Building /Wing - Name /No</t>
  </si>
  <si>
    <t xml:space="preserve">Base Rate Considered On Area - 
Carpet/ Bua/ Saleale </t>
  </si>
  <si>
    <t>Saleable Area</t>
  </si>
  <si>
    <t>We considered Gross carpet area = Net carpet.</t>
  </si>
  <si>
    <t>We have considered rate by verifying it from market inquire.</t>
  </si>
  <si>
    <t>Car parking is subjected to authentic documentation.</t>
  </si>
  <si>
    <t>Recommended rate should be considered as all inclusive rate if other charges are not mentioned. (Excluding GST &amp; other government Taxes)</t>
  </si>
  <si>
    <t>Documents received on:</t>
  </si>
  <si>
    <t>Yes &amp; 0.15m</t>
  </si>
  <si>
    <t>Excavation in Process</t>
  </si>
  <si>
    <t>Foundation in Process</t>
  </si>
  <si>
    <t>Building No. 1 = Gr. + 1st to 17th Floor</t>
  </si>
  <si>
    <t xml:space="preserve">Labours &amp; Materials were found on site at the time of visit. </t>
  </si>
  <si>
    <t>Saleable area Loading :</t>
  </si>
  <si>
    <t>Office No. 1031, Wing J, Akshar Business Park, Plot No. 03 Sector 25, Near APMC Market, Vashi, Navi Mumbai, Maharashtra 400703 TEL: 022-46090378/79/80</t>
  </si>
  <si>
    <t>Project Location details</t>
  </si>
  <si>
    <t>Locality</t>
  </si>
  <si>
    <t>As the project is redevelopement project but rehab statement or rehab flats is not mentioned approved layout plan &amp; floor plan</t>
  </si>
  <si>
    <t>Res+Comm=total</t>
  </si>
  <si>
    <t>total/res : total:com</t>
  </si>
  <si>
    <t>Airoli</t>
  </si>
  <si>
    <t>Ajay Songare</t>
  </si>
  <si>
    <t>Macrotech Developers Limited</t>
  </si>
  <si>
    <t>Lodha Amara Tower 47</t>
  </si>
  <si>
    <t>Plot C</t>
  </si>
  <si>
    <t>Tower W47</t>
  </si>
  <si>
    <t>Ground Floor For Residential, Entrance Lobby, Meter Room &amp; Parking</t>
  </si>
  <si>
    <t>Entrance Lobby, Meter Room &amp; Parking</t>
  </si>
  <si>
    <t>2.5BHK</t>
  </si>
  <si>
    <t>1BHK</t>
  </si>
  <si>
    <t>2BHK</t>
  </si>
  <si>
    <t>29th to 32nd (30th to 33rd Floor as per Builder),  
34th to 37th (35th to 38th Floor as per Builder) &amp; 
39th (40th Floor as per Builder) Floor For Residential</t>
  </si>
  <si>
    <t>8th Floor (Part Refuge Area)</t>
  </si>
  <si>
    <t>1st to 7th, 9th to 12th For Residential</t>
  </si>
  <si>
    <t>13th, 18th, 23rd, 28th, 33rd &amp; 38th Floor (Part Refuge Area)
(14th, 19th, 24th, 29th, 34th, 39th Floor as per builder)</t>
  </si>
  <si>
    <t>Refuge Area</t>
  </si>
  <si>
    <t>3BHK</t>
  </si>
  <si>
    <t>Flats = 191</t>
  </si>
  <si>
    <t>-</t>
  </si>
  <si>
    <t>19.234690,72.990425</t>
  </si>
  <si>
    <t>https://maps.app.goo.gl/C45swKDWooVWqbSZ8</t>
  </si>
  <si>
    <t>Balkum, Kolshet</t>
  </si>
  <si>
    <t>Kolshet Road</t>
  </si>
  <si>
    <t>Thane</t>
  </si>
  <si>
    <t>Thane West</t>
  </si>
  <si>
    <t>Kolshet</t>
  </si>
  <si>
    <t>Lodha Signet</t>
  </si>
  <si>
    <t>Rbl Bank Ltd
Wonder Mall, Ground Floor, Sklyline Arcade, G.B Road, opp. Cine</t>
  </si>
  <si>
    <t>2.2Km</t>
  </si>
  <si>
    <t>64/2, 65/1 &amp; 52/5</t>
  </si>
  <si>
    <t>Novartis</t>
  </si>
  <si>
    <t>200m</t>
  </si>
  <si>
    <t>Kotak Mahindra Bank</t>
  </si>
  <si>
    <t>300m</t>
  </si>
  <si>
    <t>Blossom English High school</t>
  </si>
  <si>
    <t>800m</t>
  </si>
  <si>
    <t>Atlantis Multi Speciality Hospital</t>
  </si>
  <si>
    <t>Lodha Amara Shopping Complex</t>
  </si>
  <si>
    <t>270m</t>
  </si>
  <si>
    <t>12.00 m. Wide Road</t>
  </si>
  <si>
    <t>Tower W39, W40, W41</t>
  </si>
  <si>
    <t>Tower 46</t>
  </si>
  <si>
    <t>Tower 48</t>
  </si>
  <si>
    <t>Internal Road</t>
  </si>
  <si>
    <t>Under Construction Building</t>
  </si>
  <si>
    <t>Lodha Amara 
Wing 40</t>
  </si>
  <si>
    <t>Lodha Amara 
Wing 46</t>
  </si>
  <si>
    <t>Thane Municipal Corporation (TMC)</t>
  </si>
  <si>
    <t>Pradeep Kamble &amp; Associates</t>
  </si>
  <si>
    <t>100:00</t>
  </si>
  <si>
    <t xml:space="preserve">https://www.lodhagroup.in/projects/campaigns/lodha-amara-thane/#amenitiessection </t>
  </si>
  <si>
    <t xml:space="preserve">Badminton Courts, Jogging Track, Cricket Pitch, Private Theatre, Indoor Games, Tree House, &amp; Barbeque Areas, etc.
</t>
  </si>
  <si>
    <t>Applicable and Received</t>
  </si>
  <si>
    <t>TMC</t>
  </si>
  <si>
    <t>S05/0083/14/TMC/TD-DP/TPS/4442/23
Date : 14/07/2023</t>
  </si>
  <si>
    <t xml:space="preserve">New S05/0083/14/TMC/TDD/4442/23
Date : 14/07/2023
</t>
  </si>
  <si>
    <t>Valid Upto: 
W47= Stilt/ Ground + 1st to 39th Floor</t>
  </si>
  <si>
    <t>Not Applicable</t>
  </si>
  <si>
    <t>Verified By Pradip Garach 
(Adv High Corurt Bombay)</t>
  </si>
  <si>
    <t>P51700020151</t>
  </si>
  <si>
    <t>Litigation Details As Per Rera Website</t>
  </si>
  <si>
    <t>Sr No.</t>
  </si>
  <si>
    <t>Court Name</t>
  </si>
  <si>
    <t>Case Number</t>
  </si>
  <si>
    <t>Case Type</t>
  </si>
  <si>
    <t>Year</t>
  </si>
  <si>
    <t>Present Status</t>
  </si>
  <si>
    <t>Bombay High Court</t>
  </si>
  <si>
    <t xml:space="preserve">Civil </t>
  </si>
  <si>
    <t xml:space="preserve">Pre Admission </t>
  </si>
  <si>
    <t>Lodha Upper Thane, Lodha Casa Viva, Lodha Splendora, 
Lodha Luxuria, Lodha Crown, Etc.</t>
  </si>
  <si>
    <t>Project Name is approved by TMC. Surrounded by Lodha Amara Towers, Under Construction projects, Bus Stop, School, Hospital, Shopping etc within 800m from project.</t>
  </si>
  <si>
    <t>Ancillary FSI</t>
  </si>
  <si>
    <t>SIA/MH/INFRA2/451848/2023
Date : 08/02/2024
Valid For : Plot Area = 345625.00 Sqm
Built Up Area = 1323672.11 Sqm
Plot C Tower W47 = Ground + 39 Floor</t>
  </si>
  <si>
    <t>SEIAA</t>
  </si>
  <si>
    <t>Please provide Fire NOC</t>
  </si>
  <si>
    <t>Construction Work is active at the time of visit (Internal Visit Not allowed).</t>
  </si>
  <si>
    <t>Bike = 05</t>
  </si>
  <si>
    <t>Total No. Of Parking W47</t>
  </si>
  <si>
    <t>Plot c Ttoal Parking Car = 9824, Bike = 5992</t>
  </si>
  <si>
    <t>Net Plot Area For Plot C</t>
  </si>
  <si>
    <t>Total Plot Area For Plot A, B &amp; C</t>
  </si>
  <si>
    <t>Total Plot Area For Plot C</t>
  </si>
  <si>
    <t>we have refered approved layout plan from RERA.</t>
  </si>
  <si>
    <t>we have refered EC from Environment Clearance site.</t>
  </si>
  <si>
    <t>Plot C W47 = Gr. + 1st to 39th Floor</t>
  </si>
  <si>
    <t>Construction details taken from Mr. Rajendra Giri.</t>
  </si>
  <si>
    <t>14th to 17th (15th to 18th Floor as per Builder), 
19th to 22nd (20th to 23rd Floor as per Builder), 
24th to 27th (25th to 28th Floor as per Builder) For Residential</t>
  </si>
  <si>
    <t>TMC 
Fire Brigade Thane</t>
  </si>
  <si>
    <t>TMC/CFO/M/HR/85/84
Date:06/07/2023
Plot C Tower W47 = Ground + 1st to 39th Floor with a height of 118.85 M.</t>
  </si>
  <si>
    <t>Mr. Abhishek Manjrekar</t>
  </si>
  <si>
    <t>construction % table increased As per detailed discussion with Mr. Rajendra Giri</t>
  </si>
  <si>
    <t>Shruti Tathare</t>
  </si>
</sst>
</file>

<file path=xl/styles.xml><?xml version="1.0" encoding="utf-8"?>
<styleSheet xmlns="http://schemas.openxmlformats.org/spreadsheetml/2006/main" xmlns:mc="http://schemas.openxmlformats.org/markup-compatibility/2006" xmlns:x14ac="http://schemas.microsoft.com/office/spreadsheetml/2009/9/ac" mc:Ignorable="x14ac">
  <fonts count="47" x14ac:knownFonts="1">
    <font>
      <sz val="11"/>
      <color theme="1"/>
      <name val="Calibri"/>
      <family val="2"/>
      <scheme val="minor"/>
    </font>
    <font>
      <sz val="11"/>
      <color theme="1"/>
      <name val="Calibri"/>
      <family val="2"/>
      <scheme val="minor"/>
    </font>
    <font>
      <b/>
      <sz val="9"/>
      <color rgb="FF000000"/>
      <name val="Garamond"/>
      <family val="1"/>
    </font>
    <font>
      <sz val="11"/>
      <color theme="1"/>
      <name val="Garamond"/>
      <family val="1"/>
    </font>
    <font>
      <sz val="11"/>
      <color rgb="FF000000"/>
      <name val="Book Antiqua"/>
      <family val="1"/>
    </font>
    <font>
      <sz val="9"/>
      <color rgb="FF000000"/>
      <name val="Garamond"/>
      <family val="1"/>
    </font>
    <font>
      <sz val="10"/>
      <color theme="1"/>
      <name val="Times New Roman"/>
      <family val="1"/>
    </font>
    <font>
      <sz val="10"/>
      <color rgb="FF000000"/>
      <name val="Times New Roman"/>
      <family val="1"/>
    </font>
    <font>
      <b/>
      <sz val="12"/>
      <color theme="1"/>
      <name val="Times New Roman"/>
      <family val="1"/>
    </font>
    <font>
      <sz val="12"/>
      <color theme="1"/>
      <name val="Times New Roman"/>
      <family val="1"/>
    </font>
    <font>
      <sz val="11"/>
      <color theme="1"/>
      <name val="Times New Roman"/>
      <family val="1"/>
    </font>
    <font>
      <sz val="11"/>
      <color theme="1"/>
      <name val="Calibri"/>
      <family val="2"/>
    </font>
    <font>
      <b/>
      <sz val="12"/>
      <color indexed="8"/>
      <name val="Times New Roman"/>
      <family val="1"/>
    </font>
    <font>
      <sz val="12"/>
      <color indexed="8"/>
      <name val="Times New Roman"/>
      <family val="1"/>
    </font>
    <font>
      <sz val="11"/>
      <color indexed="8"/>
      <name val="Calibri"/>
      <family val="2"/>
    </font>
    <font>
      <b/>
      <sz val="11"/>
      <color theme="1"/>
      <name val="Calibri"/>
      <family val="2"/>
      <scheme val="minor"/>
    </font>
    <font>
      <b/>
      <sz val="10"/>
      <color rgb="FF000000"/>
      <name val="Times New Roman"/>
      <family val="1"/>
    </font>
    <font>
      <b/>
      <sz val="10"/>
      <color theme="1"/>
      <name val="Garamond"/>
      <family val="1"/>
    </font>
    <font>
      <b/>
      <sz val="9"/>
      <color theme="1"/>
      <name val="Garamond"/>
      <family val="1"/>
    </font>
    <font>
      <b/>
      <sz val="9"/>
      <color indexed="8"/>
      <name val="Garamond"/>
      <family val="1"/>
    </font>
    <font>
      <u/>
      <sz val="11"/>
      <color theme="10"/>
      <name val="Calibri"/>
      <family val="2"/>
      <scheme val="minor"/>
    </font>
    <font>
      <b/>
      <sz val="10"/>
      <color rgb="FF000000"/>
      <name val="Garamond"/>
      <family val="1"/>
    </font>
    <font>
      <b/>
      <sz val="11"/>
      <color rgb="FF000000"/>
      <name val="Garamond"/>
      <family val="1"/>
    </font>
    <font>
      <sz val="11"/>
      <color rgb="FFFF0000"/>
      <name val="Garamond"/>
      <family val="1"/>
    </font>
    <font>
      <sz val="9"/>
      <color indexed="81"/>
      <name val="Tahoma"/>
      <family val="2"/>
    </font>
    <font>
      <b/>
      <sz val="9"/>
      <color indexed="81"/>
      <name val="Tahoma"/>
      <family val="2"/>
    </font>
    <font>
      <sz val="11"/>
      <color rgb="FF000000"/>
      <name val="Garamond"/>
      <family val="1"/>
    </font>
    <font>
      <b/>
      <sz val="11"/>
      <color theme="1"/>
      <name val="Garamond"/>
      <family val="1"/>
    </font>
    <font>
      <sz val="11"/>
      <color indexed="8"/>
      <name val="Garamond"/>
      <family val="1"/>
    </font>
    <font>
      <b/>
      <sz val="11"/>
      <color indexed="8"/>
      <name val="Garamond"/>
      <family val="1"/>
    </font>
    <font>
      <b/>
      <sz val="10"/>
      <color rgb="FFFF0000"/>
      <name val="Garamond"/>
      <family val="1"/>
    </font>
    <font>
      <sz val="11"/>
      <name val="Garamond"/>
      <family val="1"/>
    </font>
    <font>
      <b/>
      <sz val="9"/>
      <name val="Garamond"/>
      <family val="1"/>
    </font>
    <font>
      <b/>
      <sz val="11"/>
      <name val="Garamond"/>
      <family val="1"/>
    </font>
    <font>
      <b/>
      <sz val="11"/>
      <color rgb="FFFF0000"/>
      <name val="Garamond"/>
      <family val="1"/>
    </font>
    <font>
      <sz val="9"/>
      <name val="Garamond"/>
      <family val="1"/>
    </font>
    <font>
      <b/>
      <sz val="9"/>
      <color theme="1" tint="0.14999847407452621"/>
      <name val="Garamond"/>
      <family val="1"/>
    </font>
    <font>
      <b/>
      <sz val="9"/>
      <color rgb="FF333333"/>
      <name val="Garamond"/>
      <family val="1"/>
    </font>
    <font>
      <sz val="9"/>
      <color theme="1" tint="0.14999847407452621"/>
      <name val="Garamond"/>
      <family val="1"/>
    </font>
    <font>
      <sz val="10"/>
      <name val="Garamond"/>
      <family val="1"/>
    </font>
    <font>
      <sz val="11"/>
      <name val="Calibri"/>
      <family val="2"/>
      <scheme val="minor"/>
    </font>
    <font>
      <b/>
      <sz val="10"/>
      <name val="Garamond"/>
      <family val="1"/>
    </font>
    <font>
      <sz val="10"/>
      <name val="Times New Roman"/>
      <family val="1"/>
    </font>
    <font>
      <b/>
      <sz val="10"/>
      <name val="Times New Roman"/>
      <family val="1"/>
    </font>
    <font>
      <b/>
      <sz val="9"/>
      <color rgb="FFFF0000"/>
      <name val="Garamond"/>
      <family val="1"/>
    </font>
    <font>
      <b/>
      <sz val="10"/>
      <color rgb="FFFF0000"/>
      <name val="Times New Roman"/>
      <family val="1"/>
    </font>
    <font>
      <b/>
      <sz val="12"/>
      <color theme="1"/>
      <name val="Garamond"/>
      <family val="1"/>
    </font>
  </fonts>
  <fills count="10">
    <fill>
      <patternFill patternType="none"/>
    </fill>
    <fill>
      <patternFill patternType="gray125"/>
    </fill>
    <fill>
      <patternFill patternType="solid">
        <fgColor rgb="FFFFFFFF"/>
        <bgColor auto="1"/>
      </patternFill>
    </fill>
    <fill>
      <patternFill patternType="solid">
        <fgColor theme="0"/>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7"/>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FFFFFF"/>
        <bgColor indexed="64"/>
      </patternFill>
    </fill>
  </fills>
  <borders count="38">
    <border>
      <left/>
      <right/>
      <top/>
      <bottom/>
      <diagonal/>
    </border>
    <border>
      <left/>
      <right style="medium">
        <color indexed="64"/>
      </right>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bottom/>
      <diagonal/>
    </border>
    <border>
      <left/>
      <right style="medium">
        <color indexed="64"/>
      </right>
      <top style="thin">
        <color indexed="64"/>
      </top>
      <bottom/>
      <diagonal/>
    </border>
    <border>
      <left style="thin">
        <color indexed="64"/>
      </left>
      <right/>
      <top/>
      <bottom style="medium">
        <color indexed="64"/>
      </bottom>
      <diagonal/>
    </border>
  </borders>
  <cellStyleXfs count="6">
    <xf numFmtId="0" fontId="0" fillId="0" borderId="0"/>
    <xf numFmtId="0" fontId="4" fillId="0" borderId="0"/>
    <xf numFmtId="0" fontId="1" fillId="0" borderId="0"/>
    <xf numFmtId="0" fontId="14" fillId="0" borderId="0"/>
    <xf numFmtId="0" fontId="20" fillId="0" borderId="0" applyNumberFormat="0" applyFill="0" applyBorder="0" applyAlignment="0" applyProtection="0"/>
    <xf numFmtId="9" fontId="1" fillId="0" borderId="0" applyFont="0" applyFill="0" applyBorder="0" applyAlignment="0" applyProtection="0"/>
  </cellStyleXfs>
  <cellXfs count="346">
    <xf numFmtId="0" fontId="0" fillId="0" borderId="0" xfId="0"/>
    <xf numFmtId="0" fontId="6" fillId="0" borderId="0" xfId="0" applyFont="1"/>
    <xf numFmtId="0" fontId="6" fillId="0" borderId="13" xfId="2" applyFont="1" applyBorder="1" applyProtection="1">
      <protection hidden="1"/>
    </xf>
    <xf numFmtId="0" fontId="6" fillId="0" borderId="14" xfId="2" applyFont="1" applyBorder="1" applyProtection="1">
      <protection hidden="1"/>
    </xf>
    <xf numFmtId="0" fontId="6" fillId="0" borderId="0" xfId="2" applyFont="1" applyProtection="1">
      <protection hidden="1"/>
    </xf>
    <xf numFmtId="0" fontId="6" fillId="0" borderId="1" xfId="2" applyFont="1" applyBorder="1" applyProtection="1">
      <protection hidden="1"/>
    </xf>
    <xf numFmtId="0" fontId="7" fillId="0" borderId="0" xfId="0" applyFont="1" applyProtection="1">
      <protection hidden="1"/>
    </xf>
    <xf numFmtId="0" fontId="6" fillId="0" borderId="1" xfId="2" applyFont="1" applyBorder="1"/>
    <xf numFmtId="0" fontId="7" fillId="0" borderId="1" xfId="0" applyFont="1" applyBorder="1" applyProtection="1">
      <protection hidden="1"/>
    </xf>
    <xf numFmtId="1" fontId="6" fillId="0" borderId="1" xfId="0" applyNumberFormat="1" applyFont="1" applyBorder="1"/>
    <xf numFmtId="1" fontId="6" fillId="0" borderId="1" xfId="0" applyNumberFormat="1" applyFont="1" applyBorder="1" applyAlignment="1">
      <alignment horizontal="right"/>
    </xf>
    <xf numFmtId="0" fontId="7" fillId="0" borderId="18" xfId="0" applyFont="1" applyBorder="1" applyProtection="1">
      <protection hidden="1"/>
    </xf>
    <xf numFmtId="1" fontId="6" fillId="0" borderId="17" xfId="0" applyNumberFormat="1" applyFont="1" applyBorder="1"/>
    <xf numFmtId="0" fontId="9" fillId="0" borderId="13" xfId="2" applyFont="1" applyBorder="1" applyProtection="1">
      <protection hidden="1"/>
    </xf>
    <xf numFmtId="0" fontId="9" fillId="0" borderId="14" xfId="2" applyFont="1" applyBorder="1" applyProtection="1">
      <protection hidden="1"/>
    </xf>
    <xf numFmtId="0" fontId="9" fillId="0" borderId="4" xfId="2" applyFont="1" applyBorder="1" applyAlignment="1" applyProtection="1">
      <alignment horizontal="center" vertical="top"/>
      <protection locked="0"/>
    </xf>
    <xf numFmtId="0" fontId="9" fillId="0" borderId="5" xfId="2" applyFont="1" applyBorder="1" applyAlignment="1" applyProtection="1">
      <alignment horizontal="center" vertical="top"/>
      <protection locked="0"/>
    </xf>
    <xf numFmtId="0" fontId="9" fillId="0" borderId="0" xfId="2" applyFont="1" applyProtection="1">
      <protection hidden="1"/>
    </xf>
    <xf numFmtId="0" fontId="9" fillId="0" borderId="1" xfId="2" applyFont="1" applyBorder="1" applyProtection="1">
      <protection hidden="1"/>
    </xf>
    <xf numFmtId="0" fontId="9" fillId="0" borderId="5" xfId="2" applyFont="1" applyBorder="1" applyAlignment="1" applyProtection="1">
      <alignment horizontal="center" vertical="top" wrapText="1"/>
      <protection locked="0"/>
    </xf>
    <xf numFmtId="0" fontId="10" fillId="0" borderId="0" xfId="0" applyFont="1" applyProtection="1">
      <protection hidden="1"/>
    </xf>
    <xf numFmtId="0" fontId="9" fillId="0" borderId="1" xfId="2" applyFont="1" applyBorder="1"/>
    <xf numFmtId="0" fontId="9" fillId="0" borderId="5" xfId="2" applyFont="1" applyBorder="1" applyAlignment="1" applyProtection="1">
      <alignment horizontal="center" wrapText="1"/>
      <protection locked="0"/>
    </xf>
    <xf numFmtId="9" fontId="9" fillId="3" borderId="5" xfId="2" applyNumberFormat="1" applyFont="1" applyFill="1" applyBorder="1" applyAlignment="1" applyProtection="1">
      <alignment horizontal="center" vertical="center" wrapText="1"/>
      <protection hidden="1"/>
    </xf>
    <xf numFmtId="0" fontId="10" fillId="0" borderId="1" xfId="0" applyFont="1" applyBorder="1" applyProtection="1">
      <protection hidden="1"/>
    </xf>
    <xf numFmtId="1" fontId="9" fillId="0" borderId="5" xfId="2" applyNumberFormat="1" applyFont="1" applyBorder="1" applyAlignment="1" applyProtection="1">
      <alignment horizontal="center" wrapText="1"/>
      <protection locked="0"/>
    </xf>
    <xf numFmtId="1" fontId="11" fillId="0" borderId="1" xfId="0" applyNumberFormat="1" applyFont="1" applyBorder="1"/>
    <xf numFmtId="1" fontId="11" fillId="0" borderId="1" xfId="0" applyNumberFormat="1" applyFont="1" applyBorder="1" applyAlignment="1">
      <alignment horizontal="right"/>
    </xf>
    <xf numFmtId="0" fontId="9" fillId="0" borderId="16" xfId="2" applyFont="1" applyBorder="1" applyAlignment="1" applyProtection="1">
      <alignment horizontal="center" wrapText="1"/>
      <protection locked="0"/>
    </xf>
    <xf numFmtId="9" fontId="9" fillId="3" borderId="16" xfId="2" applyNumberFormat="1" applyFont="1" applyFill="1" applyBorder="1" applyAlignment="1" applyProtection="1">
      <alignment horizontal="center" vertical="center" wrapText="1"/>
      <protection hidden="1"/>
    </xf>
    <xf numFmtId="0" fontId="10" fillId="0" borderId="18" xfId="0" applyFont="1" applyBorder="1" applyProtection="1">
      <protection hidden="1"/>
    </xf>
    <xf numFmtId="1" fontId="11" fillId="0" borderId="17" xfId="0" applyNumberFormat="1" applyFont="1" applyBorder="1"/>
    <xf numFmtId="0" fontId="9" fillId="0" borderId="8" xfId="2" applyFont="1" applyBorder="1" applyAlignment="1" applyProtection="1">
      <alignment vertical="top"/>
      <protection locked="0"/>
    </xf>
    <xf numFmtId="0" fontId="9" fillId="0" borderId="3" xfId="2" applyFont="1" applyBorder="1" applyAlignment="1" applyProtection="1">
      <alignment vertical="top"/>
      <protection locked="0"/>
    </xf>
    <xf numFmtId="0" fontId="9" fillId="0" borderId="2" xfId="2" applyFont="1" applyBorder="1" applyAlignment="1" applyProtection="1">
      <alignment vertical="top"/>
      <protection locked="0"/>
    </xf>
    <xf numFmtId="0" fontId="9" fillId="0" borderId="0" xfId="0" applyFont="1" applyAlignment="1">
      <alignment horizontal="center" vertical="center"/>
    </xf>
    <xf numFmtId="1" fontId="9" fillId="0" borderId="0" xfId="0" applyNumberFormat="1" applyFont="1" applyAlignment="1">
      <alignment horizontal="center" vertical="center"/>
    </xf>
    <xf numFmtId="0" fontId="13" fillId="0" borderId="0" xfId="3" applyFont="1"/>
    <xf numFmtId="0" fontId="9" fillId="0" borderId="0" xfId="2" applyFont="1"/>
    <xf numFmtId="0" fontId="9" fillId="0" borderId="0" xfId="2" applyFont="1" applyAlignment="1">
      <alignment horizontal="center" vertical="center"/>
    </xf>
    <xf numFmtId="1" fontId="9" fillId="0" borderId="0" xfId="2" applyNumberFormat="1" applyFont="1" applyAlignment="1">
      <alignment horizontal="center" vertical="center"/>
    </xf>
    <xf numFmtId="1" fontId="12" fillId="0" borderId="0" xfId="0" applyNumberFormat="1" applyFont="1" applyAlignment="1" applyProtection="1">
      <alignment vertical="center" wrapText="1"/>
      <protection locked="0"/>
    </xf>
    <xf numFmtId="0" fontId="12" fillId="0" borderId="0" xfId="2" applyFont="1" applyAlignment="1" applyProtection="1">
      <alignment vertical="top"/>
      <protection locked="0"/>
    </xf>
    <xf numFmtId="1" fontId="12" fillId="0" borderId="0" xfId="2" applyNumberFormat="1" applyFont="1" applyAlignment="1" applyProtection="1">
      <alignment vertical="center" wrapText="1"/>
      <protection locked="0"/>
    </xf>
    <xf numFmtId="2" fontId="9" fillId="0" borderId="0" xfId="2" applyNumberFormat="1" applyFont="1" applyAlignment="1">
      <alignment horizontal="center" vertical="center"/>
    </xf>
    <xf numFmtId="0" fontId="15" fillId="0" borderId="0" xfId="0" applyFont="1"/>
    <xf numFmtId="0" fontId="5" fillId="2" borderId="5" xfId="1" applyFont="1" applyFill="1" applyBorder="1" applyAlignment="1" applyProtection="1">
      <alignment vertical="center" wrapText="1"/>
      <protection locked="0"/>
    </xf>
    <xf numFmtId="0" fontId="2" fillId="4" borderId="5" xfId="0" applyFont="1" applyFill="1" applyBorder="1" applyAlignment="1">
      <alignment horizontal="left" vertical="top" wrapText="1"/>
    </xf>
    <xf numFmtId="0" fontId="2" fillId="4" borderId="5" xfId="1" applyFont="1" applyFill="1" applyBorder="1" applyAlignment="1">
      <alignment vertical="center" wrapText="1"/>
    </xf>
    <xf numFmtId="1" fontId="19" fillId="4" borderId="5" xfId="0" applyNumberFormat="1" applyFont="1" applyFill="1" applyBorder="1" applyAlignment="1" applyProtection="1">
      <alignment horizontal="center" vertical="center" wrapText="1"/>
      <protection locked="0"/>
    </xf>
    <xf numFmtId="0" fontId="2" fillId="4" borderId="5" xfId="0" applyFont="1" applyFill="1" applyBorder="1" applyAlignment="1">
      <alignment horizontal="center" vertical="center" wrapText="1"/>
    </xf>
    <xf numFmtId="0" fontId="15" fillId="0" borderId="0" xfId="0" applyFont="1" applyAlignment="1">
      <alignment horizontal="left"/>
    </xf>
    <xf numFmtId="0" fontId="16" fillId="5" borderId="5" xfId="0" applyFont="1" applyFill="1" applyBorder="1" applyAlignment="1">
      <alignment horizontal="left" vertical="center" wrapText="1"/>
    </xf>
    <xf numFmtId="0" fontId="0" fillId="0" borderId="0" xfId="0" applyAlignment="1">
      <alignment horizontal="left"/>
    </xf>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horizontal="center" vertical="top" wrapText="1"/>
    </xf>
    <xf numFmtId="0" fontId="6" fillId="0" borderId="0" xfId="0" applyFont="1" applyBorder="1"/>
    <xf numFmtId="0" fontId="2" fillId="0" borderId="0" xfId="0" applyFont="1" applyBorder="1" applyAlignment="1">
      <alignment horizontal="center" vertical="top" wrapText="1"/>
    </xf>
    <xf numFmtId="0" fontId="2" fillId="4" borderId="0" xfId="0" applyFont="1" applyFill="1" applyBorder="1" applyAlignment="1">
      <alignment vertical="top" wrapText="1"/>
    </xf>
    <xf numFmtId="1" fontId="9" fillId="0" borderId="0" xfId="2" applyNumberFormat="1" applyFont="1" applyBorder="1" applyAlignment="1">
      <alignment horizontal="center" vertical="center"/>
    </xf>
    <xf numFmtId="2" fontId="9" fillId="0" borderId="0" xfId="2" applyNumberFormat="1" applyFont="1" applyBorder="1" applyAlignment="1">
      <alignment horizontal="center" vertical="center"/>
    </xf>
    <xf numFmtId="0" fontId="0" fillId="0" borderId="0" xfId="0" applyBorder="1"/>
    <xf numFmtId="0" fontId="9" fillId="0" borderId="0" xfId="2" applyFont="1" applyBorder="1" applyAlignment="1">
      <alignment horizontal="center" vertical="center"/>
    </xf>
    <xf numFmtId="0" fontId="13" fillId="0" borderId="0" xfId="3" applyFont="1" applyBorder="1"/>
    <xf numFmtId="0" fontId="9" fillId="0" borderId="0" xfId="2" applyFont="1" applyBorder="1"/>
    <xf numFmtId="0" fontId="2" fillId="0" borderId="0" xfId="0" applyFont="1" applyBorder="1" applyAlignment="1">
      <alignment vertical="top" wrapText="1"/>
    </xf>
    <xf numFmtId="0" fontId="21" fillId="4" borderId="5" xfId="0" applyFont="1" applyFill="1" applyBorder="1" applyAlignment="1">
      <alignment horizontal="left" vertical="top" wrapText="1"/>
    </xf>
    <xf numFmtId="0" fontId="22" fillId="4" borderId="5" xfId="0" applyFont="1" applyFill="1" applyBorder="1" applyAlignment="1">
      <alignment horizontal="left" vertical="top" wrapText="1"/>
    </xf>
    <xf numFmtId="0" fontId="0" fillId="0" borderId="0" xfId="0" applyAlignment="1">
      <alignment horizontal="center" vertical="center"/>
    </xf>
    <xf numFmtId="0" fontId="7" fillId="0" borderId="0" xfId="0" applyFont="1" applyBorder="1" applyAlignment="1" applyProtection="1">
      <alignment horizontal="center" vertical="center"/>
      <protection hidden="1"/>
    </xf>
    <xf numFmtId="1" fontId="6" fillId="0" borderId="0" xfId="0" applyNumberFormat="1"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24" xfId="0" applyFont="1" applyBorder="1" applyAlignment="1">
      <alignment horizontal="center" vertical="center"/>
    </xf>
    <xf numFmtId="1" fontId="19" fillId="4" borderId="4" xfId="0" applyNumberFormat="1" applyFont="1" applyFill="1" applyBorder="1" applyAlignment="1" applyProtection="1">
      <alignment horizontal="center" vertical="center" wrapText="1"/>
      <protection locked="0"/>
    </xf>
    <xf numFmtId="14" fontId="5" fillId="2" borderId="5" xfId="1" applyNumberFormat="1" applyFont="1" applyFill="1" applyBorder="1" applyAlignment="1" applyProtection="1">
      <alignment vertical="center" wrapText="1"/>
      <protection locked="0"/>
    </xf>
    <xf numFmtId="0" fontId="2" fillId="4" borderId="5" xfId="0" applyFont="1" applyFill="1" applyBorder="1" applyAlignment="1">
      <alignment horizontal="left" vertical="center" wrapText="1"/>
    </xf>
    <xf numFmtId="0" fontId="3" fillId="4" borderId="11" xfId="2" applyFont="1" applyFill="1" applyBorder="1" applyAlignment="1" applyProtection="1">
      <alignment horizontal="center" vertical="center"/>
      <protection locked="0"/>
    </xf>
    <xf numFmtId="0" fontId="3" fillId="4" borderId="12" xfId="2" applyFont="1" applyFill="1" applyBorder="1" applyAlignment="1" applyProtection="1">
      <alignment horizontal="center" vertical="center"/>
      <protection locked="0"/>
    </xf>
    <xf numFmtId="0" fontId="3" fillId="4" borderId="5" xfId="2" applyFont="1" applyFill="1" applyBorder="1" applyAlignment="1" applyProtection="1">
      <alignment horizontal="center" vertical="center"/>
      <protection locked="0"/>
    </xf>
    <xf numFmtId="0" fontId="3" fillId="4" borderId="6" xfId="2" applyFont="1" applyFill="1" applyBorder="1" applyAlignment="1" applyProtection="1">
      <alignment horizontal="center" vertical="center"/>
      <protection locked="0"/>
    </xf>
    <xf numFmtId="0" fontId="3" fillId="4" borderId="4" xfId="2" applyFont="1" applyFill="1" applyBorder="1" applyAlignment="1" applyProtection="1">
      <alignment horizontal="left" vertical="top" wrapText="1"/>
      <protection locked="0"/>
    </xf>
    <xf numFmtId="0" fontId="3" fillId="4" borderId="5" xfId="0" applyFont="1" applyFill="1" applyBorder="1" applyAlignment="1">
      <alignment horizontal="center"/>
    </xf>
    <xf numFmtId="0" fontId="3" fillId="4" borderId="5" xfId="2" applyFont="1" applyFill="1" applyBorder="1" applyAlignment="1" applyProtection="1">
      <alignment horizontal="center" vertical="top" wrapText="1"/>
      <protection locked="0"/>
    </xf>
    <xf numFmtId="9" fontId="3" fillId="4" borderId="5" xfId="0" applyNumberFormat="1" applyFont="1" applyFill="1" applyBorder="1" applyAlignment="1">
      <alignment horizontal="center" vertical="center"/>
    </xf>
    <xf numFmtId="0" fontId="3" fillId="4" borderId="5" xfId="2" applyFont="1" applyFill="1" applyBorder="1" applyAlignment="1" applyProtection="1">
      <alignment horizontal="center" wrapText="1"/>
      <protection locked="0"/>
    </xf>
    <xf numFmtId="9" fontId="3" fillId="4" borderId="5" xfId="2" applyNumberFormat="1" applyFont="1" applyFill="1" applyBorder="1" applyAlignment="1" applyProtection="1">
      <alignment horizontal="center" vertical="center" wrapText="1"/>
      <protection hidden="1"/>
    </xf>
    <xf numFmtId="1" fontId="3" fillId="4" borderId="5" xfId="2" applyNumberFormat="1" applyFont="1" applyFill="1" applyBorder="1" applyAlignment="1" applyProtection="1">
      <alignment horizontal="center" wrapText="1"/>
      <protection locked="0"/>
    </xf>
    <xf numFmtId="1" fontId="28" fillId="4" borderId="4" xfId="0" applyNumberFormat="1" applyFont="1" applyFill="1" applyBorder="1" applyAlignment="1" applyProtection="1">
      <alignment horizontal="center" vertical="center" wrapText="1"/>
      <protection locked="0"/>
    </xf>
    <xf numFmtId="1" fontId="28" fillId="0" borderId="5" xfId="0" applyNumberFormat="1" applyFont="1" applyBorder="1" applyAlignment="1" applyProtection="1">
      <alignment horizontal="center" vertical="center" wrapText="1"/>
      <protection locked="0"/>
    </xf>
    <xf numFmtId="1" fontId="29" fillId="4" borderId="15" xfId="0" applyNumberFormat="1" applyFont="1" applyFill="1" applyBorder="1" applyAlignment="1" applyProtection="1">
      <alignment horizontal="center" vertical="center" wrapText="1"/>
      <protection locked="0"/>
    </xf>
    <xf numFmtId="1" fontId="29" fillId="0" borderId="16" xfId="0" applyNumberFormat="1" applyFont="1" applyBorder="1" applyAlignment="1" applyProtection="1">
      <alignment horizontal="center" vertical="center" wrapText="1"/>
      <protection locked="0"/>
    </xf>
    <xf numFmtId="0" fontId="21" fillId="4" borderId="5" xfId="0" applyFont="1" applyFill="1" applyBorder="1" applyAlignment="1">
      <alignment horizontal="center" vertical="center" wrapText="1"/>
    </xf>
    <xf numFmtId="0" fontId="0" fillId="0" borderId="0" xfId="0" applyFill="1" applyBorder="1"/>
    <xf numFmtId="0" fontId="2" fillId="0" borderId="0" xfId="1" applyFont="1" applyFill="1" applyBorder="1" applyAlignment="1">
      <alignment vertical="center" wrapText="1"/>
    </xf>
    <xf numFmtId="0" fontId="2" fillId="0" borderId="0" xfId="0" applyFont="1" applyFill="1" applyBorder="1" applyAlignment="1">
      <alignment horizontal="left" vertical="top" wrapText="1"/>
    </xf>
    <xf numFmtId="0" fontId="2" fillId="0" borderId="0" xfId="0" applyFont="1" applyFill="1" applyBorder="1" applyAlignment="1">
      <alignment vertical="center" wrapText="1"/>
    </xf>
    <xf numFmtId="0" fontId="2" fillId="0" borderId="0" xfId="0" applyFont="1" applyFill="1" applyBorder="1" applyAlignment="1">
      <alignment vertical="top" wrapText="1"/>
    </xf>
    <xf numFmtId="0" fontId="0" fillId="0" borderId="0" xfId="0" applyFill="1"/>
    <xf numFmtId="0" fontId="32" fillId="4" borderId="5" xfId="0" applyFont="1" applyFill="1" applyBorder="1" applyAlignment="1">
      <alignment horizontal="left" vertical="top" wrapText="1"/>
    </xf>
    <xf numFmtId="0" fontId="32" fillId="4" borderId="5" xfId="0" applyFont="1" applyFill="1" applyBorder="1" applyAlignment="1">
      <alignment horizontal="center" vertical="center" wrapText="1"/>
    </xf>
    <xf numFmtId="1" fontId="3" fillId="4" borderId="5" xfId="2" applyNumberFormat="1" applyFont="1" applyFill="1" applyBorder="1" applyAlignment="1" applyProtection="1">
      <alignment horizontal="center" vertical="center" wrapText="1"/>
      <protection locked="0"/>
    </xf>
    <xf numFmtId="0" fontId="18" fillId="0" borderId="5" xfId="0" applyFont="1" applyFill="1" applyBorder="1" applyAlignment="1">
      <alignment horizontal="center" vertical="center"/>
    </xf>
    <xf numFmtId="0" fontId="3" fillId="0" borderId="5" xfId="0" applyFont="1" applyBorder="1" applyAlignment="1">
      <alignment horizontal="left" vertical="top"/>
    </xf>
    <xf numFmtId="0" fontId="3" fillId="0" borderId="5" xfId="0" applyFont="1" applyBorder="1" applyAlignment="1">
      <alignment horizontal="center" vertical="center"/>
    </xf>
    <xf numFmtId="0" fontId="26" fillId="0" borderId="5" xfId="0" applyFont="1" applyBorder="1" applyAlignment="1">
      <alignment horizontal="center" vertical="center" wrapText="1"/>
    </xf>
    <xf numFmtId="0" fontId="3" fillId="0" borderId="0" xfId="0" applyFont="1"/>
    <xf numFmtId="0" fontId="33" fillId="4" borderId="5" xfId="0" applyFont="1" applyFill="1" applyBorder="1" applyAlignment="1">
      <alignment horizontal="center" vertical="center" wrapText="1"/>
    </xf>
    <xf numFmtId="0" fontId="3" fillId="0" borderId="5" xfId="0" applyFont="1" applyBorder="1" applyAlignment="1">
      <alignment horizontal="left" vertical="top" wrapText="1"/>
    </xf>
    <xf numFmtId="0" fontId="31" fillId="0" borderId="5" xfId="0" applyFont="1" applyBorder="1" applyAlignment="1">
      <alignment horizontal="center" vertical="center"/>
    </xf>
    <xf numFmtId="1" fontId="29" fillId="0" borderId="5" xfId="0" applyNumberFormat="1" applyFont="1" applyBorder="1" applyAlignment="1" applyProtection="1">
      <alignment horizontal="center" vertical="center" wrapText="1"/>
      <protection locked="0"/>
    </xf>
    <xf numFmtId="1" fontId="19" fillId="0" borderId="5" xfId="2" applyNumberFormat="1" applyFont="1" applyBorder="1" applyAlignment="1" applyProtection="1">
      <alignment horizontal="center" vertical="center" wrapText="1"/>
      <protection locked="0"/>
    </xf>
    <xf numFmtId="0" fontId="2" fillId="4" borderId="9" xfId="0" applyFont="1" applyFill="1" applyBorder="1" applyAlignment="1">
      <alignment horizontal="left" vertical="center" wrapText="1"/>
    </xf>
    <xf numFmtId="0" fontId="2" fillId="4" borderId="6" xfId="0" applyFont="1" applyFill="1" applyBorder="1" applyAlignment="1">
      <alignment horizontal="center" vertical="center" wrapText="1"/>
    </xf>
    <xf numFmtId="0" fontId="3" fillId="0" borderId="6" xfId="0" applyFont="1" applyBorder="1" applyAlignment="1">
      <alignment horizontal="center" vertical="center"/>
    </xf>
    <xf numFmtId="0" fontId="2" fillId="4" borderId="4" xfId="0" applyFont="1" applyFill="1" applyBorder="1" applyAlignment="1">
      <alignment horizontal="left" vertical="top" wrapText="1"/>
    </xf>
    <xf numFmtId="0" fontId="2" fillId="4" borderId="4" xfId="0" applyFont="1" applyFill="1" applyBorder="1" applyAlignment="1">
      <alignment horizontal="center" vertical="center" wrapText="1"/>
    </xf>
    <xf numFmtId="0" fontId="2" fillId="4" borderId="15" xfId="0" applyFont="1" applyFill="1" applyBorder="1" applyAlignment="1">
      <alignment horizontal="left" vertical="top" wrapText="1"/>
    </xf>
    <xf numFmtId="0" fontId="27" fillId="4" borderId="4" xfId="0" applyFont="1" applyFill="1" applyBorder="1" applyAlignment="1">
      <alignment horizontal="left" vertical="top"/>
    </xf>
    <xf numFmtId="0" fontId="3" fillId="4" borderId="15" xfId="2" applyFont="1" applyFill="1" applyBorder="1" applyAlignment="1" applyProtection="1">
      <alignment horizontal="left" vertical="top" wrapText="1"/>
      <protection locked="0"/>
    </xf>
    <xf numFmtId="9" fontId="3" fillId="4" borderId="16" xfId="0" applyNumberFormat="1" applyFont="1" applyFill="1" applyBorder="1" applyAlignment="1">
      <alignment horizontal="center" vertical="center"/>
    </xf>
    <xf numFmtId="0" fontId="3" fillId="4" borderId="16" xfId="2" applyFont="1" applyFill="1" applyBorder="1" applyAlignment="1" applyProtection="1">
      <alignment horizontal="center" wrapText="1"/>
      <protection locked="0"/>
    </xf>
    <xf numFmtId="9" fontId="3" fillId="4" borderId="16" xfId="2" applyNumberFormat="1" applyFont="1" applyFill="1" applyBorder="1" applyAlignment="1" applyProtection="1">
      <alignment horizontal="center" vertical="center" wrapText="1"/>
      <protection hidden="1"/>
    </xf>
    <xf numFmtId="1" fontId="29" fillId="4" borderId="4" xfId="0" applyNumberFormat="1" applyFont="1" applyFill="1" applyBorder="1" applyAlignment="1" applyProtection="1">
      <alignment horizontal="center" vertical="center" wrapText="1"/>
      <protection locked="0"/>
    </xf>
    <xf numFmtId="0" fontId="21" fillId="4" borderId="6"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1" fillId="4" borderId="16" xfId="0" applyFont="1" applyFill="1" applyBorder="1" applyAlignment="1">
      <alignment horizontal="center" vertical="center" wrapText="1"/>
    </xf>
    <xf numFmtId="0" fontId="21" fillId="4" borderId="24" xfId="0" applyFont="1" applyFill="1" applyBorder="1" applyAlignment="1">
      <alignment horizontal="center" vertical="center" wrapText="1"/>
    </xf>
    <xf numFmtId="1" fontId="28" fillId="0" borderId="5" xfId="2" applyNumberFormat="1" applyFont="1" applyBorder="1" applyAlignment="1" applyProtection="1">
      <alignment horizontal="center" vertical="center" wrapText="1"/>
      <protection locked="0"/>
    </xf>
    <xf numFmtId="1" fontId="3" fillId="0" borderId="5" xfId="2" applyNumberFormat="1" applyFont="1" applyBorder="1" applyAlignment="1">
      <alignment horizontal="center" vertical="center"/>
    </xf>
    <xf numFmtId="1" fontId="28" fillId="0" borderId="9" xfId="2" applyNumberFormat="1" applyFont="1" applyBorder="1" applyAlignment="1" applyProtection="1">
      <alignment horizontal="center" vertical="center" wrapText="1"/>
      <protection locked="0"/>
    </xf>
    <xf numFmtId="1" fontId="3" fillId="0" borderId="9" xfId="2" applyNumberFormat="1" applyFont="1" applyBorder="1" applyAlignment="1">
      <alignment horizontal="center" vertical="center"/>
    </xf>
    <xf numFmtId="1" fontId="19" fillId="0" borderId="9" xfId="2" applyNumberFormat="1" applyFont="1" applyBorder="1" applyAlignment="1" applyProtection="1">
      <alignment horizontal="center" vertical="center" wrapText="1"/>
      <protection locked="0"/>
    </xf>
    <xf numFmtId="9" fontId="3" fillId="4" borderId="5" xfId="2" applyNumberFormat="1" applyFont="1" applyFill="1" applyBorder="1" applyAlignment="1" applyProtection="1">
      <alignment horizontal="center" vertical="center" wrapText="1"/>
      <protection hidden="1"/>
    </xf>
    <xf numFmtId="9" fontId="3" fillId="4" borderId="16" xfId="2" applyNumberFormat="1" applyFont="1" applyFill="1" applyBorder="1" applyAlignment="1" applyProtection="1">
      <alignment horizontal="center" vertical="center" wrapText="1"/>
      <protection hidden="1"/>
    </xf>
    <xf numFmtId="9" fontId="34" fillId="0" borderId="7" xfId="5" applyFont="1" applyFill="1" applyBorder="1" applyAlignment="1" applyProtection="1">
      <alignment horizontal="center" vertical="top" wrapText="1"/>
      <protection locked="0"/>
    </xf>
    <xf numFmtId="0" fontId="0" fillId="0" borderId="0" xfId="0" applyFont="1" applyFill="1" applyBorder="1"/>
    <xf numFmtId="0" fontId="9" fillId="0" borderId="0" xfId="2" applyFont="1" applyBorder="1" applyAlignment="1">
      <alignment horizontal="center" vertical="center"/>
    </xf>
    <xf numFmtId="0" fontId="9" fillId="0" borderId="0" xfId="2" applyFont="1" applyAlignment="1">
      <alignment horizontal="center" vertical="center"/>
    </xf>
    <xf numFmtId="0" fontId="26" fillId="0" borderId="5" xfId="0" applyFont="1" applyBorder="1" applyAlignment="1">
      <alignment horizontal="center" vertical="center" wrapText="1"/>
    </xf>
    <xf numFmtId="14" fontId="5" fillId="2" borderId="5" xfId="1" applyNumberFormat="1" applyFont="1" applyFill="1" applyBorder="1" applyAlignment="1" applyProtection="1">
      <alignment horizontal="left" vertical="center" wrapText="1"/>
      <protection locked="0"/>
    </xf>
    <xf numFmtId="14" fontId="35" fillId="2" borderId="5" xfId="1" applyNumberFormat="1" applyFont="1" applyFill="1" applyBorder="1" applyAlignment="1">
      <alignment horizontal="left" vertical="center"/>
    </xf>
    <xf numFmtId="9" fontId="36" fillId="0" borderId="7" xfId="2" applyNumberFormat="1" applyFont="1" applyBorder="1" applyAlignment="1" applyProtection="1">
      <alignment horizontal="center" vertical="center" wrapText="1"/>
      <protection locked="0"/>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4" xfId="0" applyFont="1" applyBorder="1" applyAlignment="1">
      <alignment horizontal="center" vertical="center" wrapText="1"/>
    </xf>
    <xf numFmtId="0" fontId="31" fillId="0" borderId="5" xfId="0" applyFont="1" applyBorder="1" applyAlignment="1">
      <alignment horizontal="center" vertical="center" wrapText="1"/>
    </xf>
    <xf numFmtId="0" fontId="20" fillId="0" borderId="0" xfId="4" applyFill="1" applyBorder="1" applyAlignment="1">
      <alignment vertical="top" wrapText="1"/>
    </xf>
    <xf numFmtId="0" fontId="31" fillId="0" borderId="5" xfId="0" applyFont="1" applyBorder="1" applyAlignment="1">
      <alignment horizontal="left" vertical="top"/>
    </xf>
    <xf numFmtId="0" fontId="32" fillId="4" borderId="9" xfId="0" applyFont="1" applyFill="1" applyBorder="1" applyAlignment="1">
      <alignment horizontal="left" vertical="top" wrapText="1"/>
    </xf>
    <xf numFmtId="0" fontId="37" fillId="9" borderId="32" xfId="0" applyFont="1" applyFill="1" applyBorder="1" applyAlignment="1">
      <alignment horizontal="center" vertical="center" wrapText="1"/>
    </xf>
    <xf numFmtId="0" fontId="38" fillId="9" borderId="7" xfId="0" applyFont="1" applyFill="1" applyBorder="1" applyAlignment="1">
      <alignment horizontal="center" vertical="center" wrapText="1"/>
    </xf>
    <xf numFmtId="0" fontId="38" fillId="9" borderId="33" xfId="0" applyFont="1" applyFill="1" applyBorder="1" applyAlignment="1">
      <alignment horizontal="center" vertical="center" wrapText="1"/>
    </xf>
    <xf numFmtId="0" fontId="37" fillId="9" borderId="34" xfId="0" applyFont="1" applyFill="1" applyBorder="1" applyAlignment="1">
      <alignment horizontal="center" vertical="center" wrapText="1"/>
    </xf>
    <xf numFmtId="0" fontId="38" fillId="9" borderId="5" xfId="0" applyFont="1" applyFill="1" applyBorder="1" applyAlignment="1">
      <alignment horizontal="center" vertical="center" wrapText="1"/>
    </xf>
    <xf numFmtId="0" fontId="42" fillId="4" borderId="5" xfId="0" applyFont="1" applyFill="1" applyBorder="1" applyAlignment="1">
      <alignment horizontal="center" vertical="center" wrapText="1"/>
    </xf>
    <xf numFmtId="0" fontId="17" fillId="4" borderId="5" xfId="0" applyFont="1" applyFill="1" applyBorder="1" applyAlignment="1">
      <alignment horizontal="center" vertical="center" wrapText="1"/>
    </xf>
    <xf numFmtId="3" fontId="17" fillId="4" borderId="5" xfId="0" applyNumberFormat="1" applyFont="1" applyFill="1" applyBorder="1" applyAlignment="1">
      <alignment horizontal="center" vertical="center" wrapText="1"/>
    </xf>
    <xf numFmtId="0" fontId="2" fillId="4" borderId="4"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45" fillId="0" borderId="0" xfId="0" applyFont="1"/>
    <xf numFmtId="1" fontId="3" fillId="0" borderId="5" xfId="0" applyNumberFormat="1"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1" fontId="9" fillId="0" borderId="0" xfId="0" applyNumberFormat="1" applyFont="1" applyAlignment="1" applyProtection="1">
      <alignment horizontal="center" vertical="top" wrapText="1"/>
      <protection locked="0"/>
    </xf>
    <xf numFmtId="0" fontId="9" fillId="0" borderId="0" xfId="0" applyFont="1" applyAlignment="1" applyProtection="1">
      <alignment horizontal="center" vertical="top" wrapText="1"/>
      <protection locked="0"/>
    </xf>
    <xf numFmtId="1" fontId="27" fillId="0" borderId="5" xfId="0" applyNumberFormat="1" applyFont="1" applyBorder="1" applyAlignment="1" applyProtection="1">
      <alignment horizontal="center" vertical="center" wrapText="1"/>
      <protection locked="0"/>
    </xf>
    <xf numFmtId="0" fontId="27" fillId="0" borderId="6" xfId="0" applyFont="1" applyBorder="1" applyAlignment="1" applyProtection="1">
      <alignment horizontal="center" vertical="center" wrapText="1"/>
      <protection locked="0"/>
    </xf>
    <xf numFmtId="1" fontId="8" fillId="0" borderId="0" xfId="0" applyNumberFormat="1" applyFont="1" applyAlignment="1" applyProtection="1">
      <alignment horizontal="center" vertical="top" wrapText="1"/>
      <protection locked="0"/>
    </xf>
    <xf numFmtId="0" fontId="8" fillId="0" borderId="0" xfId="0" applyFont="1" applyAlignment="1" applyProtection="1">
      <alignment horizontal="center" vertical="top" wrapText="1"/>
      <protection locked="0"/>
    </xf>
    <xf numFmtId="0" fontId="19" fillId="5" borderId="7" xfId="2" applyFont="1" applyFill="1" applyBorder="1" applyAlignment="1" applyProtection="1">
      <alignment horizontal="center" vertical="center"/>
      <protection locked="0"/>
    </xf>
    <xf numFmtId="0" fontId="19" fillId="4" borderId="5" xfId="2" applyFont="1" applyFill="1" applyBorder="1" applyAlignment="1" applyProtection="1">
      <alignment horizontal="center" vertical="center"/>
      <protection locked="0"/>
    </xf>
    <xf numFmtId="0" fontId="18" fillId="4" borderId="5" xfId="0" applyFont="1" applyFill="1" applyBorder="1" applyAlignment="1" applyProtection="1">
      <alignment horizontal="center" vertical="center"/>
      <protection locked="0"/>
    </xf>
    <xf numFmtId="0" fontId="18" fillId="4" borderId="5" xfId="0" applyFont="1" applyFill="1" applyBorder="1" applyAlignment="1" applyProtection="1">
      <alignment horizontal="center" vertical="center" wrapText="1"/>
      <protection locked="0"/>
    </xf>
    <xf numFmtId="0" fontId="18" fillId="4" borderId="6" xfId="0" applyFont="1" applyFill="1" applyBorder="1" applyAlignment="1" applyProtection="1">
      <alignment horizontal="center" vertical="center" wrapText="1"/>
      <protection locked="0"/>
    </xf>
    <xf numFmtId="1" fontId="12" fillId="0" borderId="0" xfId="0" applyNumberFormat="1" applyFont="1" applyAlignment="1" applyProtection="1">
      <alignment horizontal="center" vertical="top" wrapText="1"/>
      <protection locked="0"/>
    </xf>
    <xf numFmtId="0" fontId="21" fillId="4" borderId="5"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9" fillId="4" borderId="5" xfId="2" applyFont="1" applyFill="1" applyBorder="1" applyAlignment="1" applyProtection="1">
      <alignment horizontal="center" vertical="center"/>
      <protection locked="0"/>
    </xf>
    <xf numFmtId="0" fontId="29" fillId="4" borderId="7" xfId="2" applyFont="1" applyFill="1" applyBorder="1" applyAlignment="1" applyProtection="1">
      <alignment horizontal="center" vertical="center"/>
      <protection locked="0"/>
    </xf>
    <xf numFmtId="0" fontId="12" fillId="0" borderId="0" xfId="2" applyFont="1" applyAlignment="1" applyProtection="1">
      <alignment horizontal="center" vertical="top"/>
      <protection locked="0"/>
    </xf>
    <xf numFmtId="1" fontId="28" fillId="0" borderId="25" xfId="2" applyNumberFormat="1" applyFont="1" applyBorder="1" applyAlignment="1" applyProtection="1">
      <alignment horizontal="center" vertical="center" wrapText="1"/>
      <protection locked="0"/>
    </xf>
    <xf numFmtId="1" fontId="28" fillId="0" borderId="26" xfId="2" applyNumberFormat="1" applyFont="1" applyBorder="1" applyAlignment="1" applyProtection="1">
      <alignment horizontal="center" vertical="center" wrapText="1"/>
      <protection locked="0"/>
    </xf>
    <xf numFmtId="1" fontId="28" fillId="0" borderId="27" xfId="2" applyNumberFormat="1" applyFont="1" applyBorder="1" applyAlignment="1" applyProtection="1">
      <alignment horizontal="center" vertical="center" wrapText="1"/>
      <protection locked="0"/>
    </xf>
    <xf numFmtId="1" fontId="28" fillId="0" borderId="28" xfId="2" applyNumberFormat="1" applyFont="1" applyBorder="1" applyAlignment="1" applyProtection="1">
      <alignment horizontal="center" vertical="center" wrapText="1"/>
      <protection locked="0"/>
    </xf>
    <xf numFmtId="1" fontId="28" fillId="0" borderId="29" xfId="2" applyNumberFormat="1" applyFont="1" applyBorder="1" applyAlignment="1" applyProtection="1">
      <alignment horizontal="center" vertical="center" wrapText="1"/>
      <protection locked="0"/>
    </xf>
    <xf numFmtId="1" fontId="28" fillId="0" borderId="30" xfId="2" applyNumberFormat="1" applyFont="1" applyBorder="1" applyAlignment="1" applyProtection="1">
      <alignment horizontal="center" vertical="center" wrapText="1"/>
      <protection locked="0"/>
    </xf>
    <xf numFmtId="1" fontId="29" fillId="0" borderId="5" xfId="2" applyNumberFormat="1" applyFont="1" applyBorder="1" applyAlignment="1" applyProtection="1">
      <alignment horizontal="center" vertical="center" wrapText="1"/>
      <protection locked="0"/>
    </xf>
    <xf numFmtId="1" fontId="13" fillId="0" borderId="0" xfId="2" applyNumberFormat="1" applyFont="1" applyAlignment="1" applyProtection="1">
      <alignment horizontal="center" vertical="center" wrapText="1"/>
      <protection locked="0"/>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0" borderId="0" xfId="0" applyFont="1" applyAlignment="1">
      <alignment horizontal="center" vertical="top" wrapText="1"/>
    </xf>
    <xf numFmtId="1" fontId="12" fillId="0" borderId="0" xfId="2" applyNumberFormat="1" applyFont="1" applyAlignment="1" applyProtection="1">
      <alignment horizontal="center" vertical="top" wrapText="1"/>
      <protection locked="0"/>
    </xf>
    <xf numFmtId="1" fontId="27" fillId="0" borderId="5" xfId="0" applyNumberFormat="1" applyFont="1" applyBorder="1" applyAlignment="1" applyProtection="1">
      <alignment horizontal="center" vertical="center"/>
      <protection locked="0"/>
    </xf>
    <xf numFmtId="0" fontId="27" fillId="0" borderId="5" xfId="0" applyFont="1" applyBorder="1" applyAlignment="1" applyProtection="1">
      <alignment horizontal="center" vertical="center"/>
      <protection locked="0"/>
    </xf>
    <xf numFmtId="0" fontId="9" fillId="0" borderId="0" xfId="0" applyFont="1" applyAlignment="1">
      <alignment horizontal="center" vertical="center" wrapText="1"/>
    </xf>
    <xf numFmtId="0" fontId="9" fillId="0" borderId="0" xfId="2" applyFont="1" applyBorder="1" applyAlignment="1">
      <alignment horizontal="center" vertical="center"/>
    </xf>
    <xf numFmtId="1" fontId="19" fillId="0" borderId="5" xfId="2" applyNumberFormat="1" applyFont="1" applyBorder="1" applyAlignment="1" applyProtection="1">
      <alignment horizontal="center" vertical="center" wrapText="1"/>
      <protection locked="0"/>
    </xf>
    <xf numFmtId="0" fontId="31" fillId="3" borderId="5" xfId="0" applyFont="1" applyFill="1" applyBorder="1" applyAlignment="1">
      <alignment horizontal="center" vertical="top" wrapText="1"/>
    </xf>
    <xf numFmtId="0" fontId="2" fillId="4" borderId="5" xfId="0" applyFont="1" applyFill="1" applyBorder="1" applyAlignment="1">
      <alignment horizontal="center" vertical="top" wrapText="1"/>
    </xf>
    <xf numFmtId="0" fontId="3" fillId="0" borderId="5" xfId="0" applyFont="1" applyBorder="1" applyAlignment="1">
      <alignment horizontal="center" vertical="center"/>
    </xf>
    <xf numFmtId="0" fontId="3" fillId="0" borderId="5" xfId="0" applyFont="1" applyBorder="1" applyAlignment="1">
      <alignment horizontal="center" vertical="top"/>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9" fontId="40" fillId="0" borderId="11" xfId="0" applyNumberFormat="1" applyFont="1" applyBorder="1" applyAlignment="1">
      <alignment horizontal="center" vertical="center"/>
    </xf>
    <xf numFmtId="0" fontId="40" fillId="0" borderId="12" xfId="0" applyFont="1" applyBorder="1" applyAlignment="1">
      <alignment horizontal="center" vertical="center"/>
    </xf>
    <xf numFmtId="0" fontId="40" fillId="0" borderId="16" xfId="0" applyFont="1" applyBorder="1" applyAlignment="1">
      <alignment horizontal="center" vertical="center"/>
    </xf>
    <xf numFmtId="0" fontId="40" fillId="0" borderId="24" xfId="0" applyFont="1" applyBorder="1" applyAlignment="1">
      <alignment horizontal="center" vertical="center"/>
    </xf>
    <xf numFmtId="0" fontId="27" fillId="4" borderId="10" xfId="2" applyFont="1" applyFill="1" applyBorder="1" applyAlignment="1" applyProtection="1">
      <alignment horizontal="left" vertical="top" wrapText="1"/>
      <protection locked="0"/>
    </xf>
    <xf numFmtId="0" fontId="27" fillId="4" borderId="11" xfId="2" applyFont="1" applyFill="1" applyBorder="1" applyAlignment="1" applyProtection="1">
      <alignment horizontal="left" vertical="top" wrapText="1"/>
      <protection locked="0"/>
    </xf>
    <xf numFmtId="0" fontId="27" fillId="4" borderId="4" xfId="2" applyFont="1" applyFill="1" applyBorder="1" applyAlignment="1" applyProtection="1">
      <alignment horizontal="left" vertical="top" wrapText="1"/>
      <protection locked="0"/>
    </xf>
    <xf numFmtId="0" fontId="27" fillId="4" borderId="5" xfId="2" applyFont="1" applyFill="1" applyBorder="1" applyAlignment="1" applyProtection="1">
      <alignment horizontal="left" vertical="top" wrapText="1"/>
      <protection locked="0"/>
    </xf>
    <xf numFmtId="0" fontId="27" fillId="4" borderId="6" xfId="2" applyFont="1" applyFill="1" applyBorder="1" applyAlignment="1" applyProtection="1">
      <alignment horizontal="left" vertical="top" wrapText="1"/>
      <protection locked="0"/>
    </xf>
    <xf numFmtId="0" fontId="3" fillId="4" borderId="5" xfId="2" applyFont="1" applyFill="1" applyBorder="1" applyAlignment="1" applyProtection="1">
      <alignment horizontal="center" vertical="center" wrapText="1"/>
      <protection locked="0"/>
    </xf>
    <xf numFmtId="0" fontId="3" fillId="4" borderId="6" xfId="2" applyFont="1" applyFill="1" applyBorder="1" applyAlignment="1" applyProtection="1">
      <alignment horizontal="center" vertical="center" wrapText="1"/>
      <protection locked="0"/>
    </xf>
    <xf numFmtId="0" fontId="23" fillId="3" borderId="5" xfId="0" applyFont="1" applyFill="1" applyBorder="1" applyAlignment="1">
      <alignment horizontal="center" vertical="top" wrapText="1"/>
    </xf>
    <xf numFmtId="0" fontId="2" fillId="0" borderId="0" xfId="0" applyFont="1" applyFill="1" applyBorder="1" applyAlignment="1">
      <alignment horizontal="center" vertical="top" wrapText="1"/>
    </xf>
    <xf numFmtId="0" fontId="44" fillId="0" borderId="35" xfId="0" applyFont="1" applyFill="1" applyBorder="1" applyAlignment="1">
      <alignment horizontal="center" vertical="top" wrapText="1"/>
    </xf>
    <xf numFmtId="0" fontId="44" fillId="0" borderId="0" xfId="0" applyFont="1" applyFill="1" applyBorder="1" applyAlignment="1">
      <alignment horizontal="center" vertical="top" wrapText="1"/>
    </xf>
    <xf numFmtId="0" fontId="31" fillId="0" borderId="5" xfId="0" applyFont="1" applyBorder="1" applyAlignment="1">
      <alignment horizontal="center" vertical="top"/>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3" fillId="0" borderId="5" xfId="0" applyFont="1" applyFill="1" applyBorder="1" applyAlignment="1">
      <alignment horizontal="center" vertical="top"/>
    </xf>
    <xf numFmtId="2" fontId="3" fillId="0" borderId="5" xfId="0" applyNumberFormat="1" applyFont="1" applyFill="1" applyBorder="1" applyAlignment="1">
      <alignment horizontal="center" vertical="top"/>
    </xf>
    <xf numFmtId="0" fontId="2" fillId="5" borderId="5" xfId="0" applyFont="1" applyFill="1" applyBorder="1" applyAlignment="1">
      <alignment horizontal="center" vertical="top" wrapText="1"/>
    </xf>
    <xf numFmtId="14" fontId="3" fillId="0" borderId="5" xfId="0" applyNumberFormat="1" applyFont="1" applyBorder="1" applyAlignment="1">
      <alignment horizontal="center" vertical="top"/>
    </xf>
    <xf numFmtId="0" fontId="31" fillId="0" borderId="5"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1" fillId="0" borderId="5" xfId="0" applyFont="1" applyBorder="1" applyAlignment="1">
      <alignment horizontal="center" vertical="center" wrapText="1"/>
    </xf>
    <xf numFmtId="0" fontId="31" fillId="0" borderId="6" xfId="0" applyFont="1" applyBorder="1" applyAlignment="1">
      <alignment horizontal="center" vertical="center" wrapText="1"/>
    </xf>
    <xf numFmtId="0" fontId="26" fillId="0" borderId="5" xfId="0" applyFont="1" applyBorder="1" applyAlignment="1">
      <alignment horizontal="center" vertical="top" wrapText="1"/>
    </xf>
    <xf numFmtId="0" fontId="26" fillId="0" borderId="6" xfId="0" applyFont="1" applyBorder="1" applyAlignment="1">
      <alignment horizontal="center" vertical="top" wrapText="1"/>
    </xf>
    <xf numFmtId="0" fontId="2" fillId="5" borderId="5" xfId="0" applyFont="1" applyFill="1" applyBorder="1" applyAlignment="1">
      <alignment horizontal="center" vertical="center"/>
    </xf>
    <xf numFmtId="0" fontId="2" fillId="3" borderId="5" xfId="0" applyFont="1" applyFill="1" applyBorder="1" applyAlignment="1">
      <alignment horizontal="center" vertical="top" wrapText="1"/>
    </xf>
    <xf numFmtId="0" fontId="39" fillId="0" borderId="5" xfId="1" applyFont="1" applyBorder="1" applyAlignment="1" applyProtection="1">
      <alignment horizontal="center" vertical="top"/>
      <protection locked="0"/>
    </xf>
    <xf numFmtId="0" fontId="31" fillId="0" borderId="9" xfId="0" applyFont="1" applyBorder="1" applyAlignment="1">
      <alignment horizontal="left" vertical="top" wrapText="1"/>
    </xf>
    <xf numFmtId="0" fontId="0" fillId="0" borderId="5" xfId="0" applyBorder="1" applyAlignment="1">
      <alignment horizontal="center"/>
    </xf>
    <xf numFmtId="0" fontId="40" fillId="0" borderId="5" xfId="0" applyFont="1" applyBorder="1" applyAlignment="1">
      <alignment horizontal="center"/>
    </xf>
    <xf numFmtId="49" fontId="0" fillId="0" borderId="5" xfId="0" applyNumberFormat="1" applyBorder="1" applyAlignment="1">
      <alignment horizontal="center"/>
    </xf>
    <xf numFmtId="0" fontId="5" fillId="0" borderId="0" xfId="0" applyFont="1" applyFill="1" applyBorder="1" applyAlignment="1">
      <alignment horizontal="center" vertical="top" wrapText="1"/>
    </xf>
    <xf numFmtId="0" fontId="2" fillId="4" borderId="6" xfId="0" applyFont="1" applyFill="1" applyBorder="1" applyAlignment="1">
      <alignment horizontal="center" vertical="top" wrapText="1"/>
    </xf>
    <xf numFmtId="0" fontId="17" fillId="0" borderId="5" xfId="0" applyFont="1" applyFill="1" applyBorder="1" applyAlignment="1">
      <alignment horizontal="left" vertical="center"/>
    </xf>
    <xf numFmtId="0" fontId="30" fillId="0" borderId="5" xfId="0" applyFont="1" applyFill="1" applyBorder="1" applyAlignment="1">
      <alignment horizontal="left" vertical="center" wrapText="1"/>
    </xf>
    <xf numFmtId="1" fontId="27" fillId="0" borderId="16" xfId="0" applyNumberFormat="1" applyFont="1" applyBorder="1" applyAlignment="1" applyProtection="1">
      <alignment horizontal="center" vertical="center"/>
      <protection locked="0"/>
    </xf>
    <xf numFmtId="0" fontId="27" fillId="0" borderId="24" xfId="0" applyFont="1" applyBorder="1" applyAlignment="1" applyProtection="1">
      <alignment horizontal="center" vertical="center"/>
      <protection locked="0"/>
    </xf>
    <xf numFmtId="0" fontId="3" fillId="0" borderId="5" xfId="0" applyFont="1" applyBorder="1" applyAlignment="1">
      <alignment horizontal="center" vertical="center" wrapText="1"/>
    </xf>
    <xf numFmtId="0" fontId="31" fillId="0" borderId="5" xfId="0" applyFont="1" applyBorder="1" applyAlignment="1">
      <alignment horizontal="center" vertical="top" wrapText="1"/>
    </xf>
    <xf numFmtId="1" fontId="19" fillId="0" borderId="8" xfId="2" applyNumberFormat="1" applyFont="1" applyBorder="1" applyAlignment="1" applyProtection="1">
      <alignment horizontal="center" vertical="center" wrapText="1"/>
      <protection locked="0"/>
    </xf>
    <xf numFmtId="0" fontId="32" fillId="4" borderId="5" xfId="0" applyFont="1" applyFill="1" applyBorder="1" applyAlignment="1">
      <alignment horizontal="center" vertical="top" wrapText="1"/>
    </xf>
    <xf numFmtId="0" fontId="3" fillId="0" borderId="16" xfId="0" applyFont="1" applyBorder="1" applyAlignment="1">
      <alignment horizontal="left" vertical="top"/>
    </xf>
    <xf numFmtId="0" fontId="3" fillId="0" borderId="24" xfId="0" applyFont="1" applyBorder="1" applyAlignment="1">
      <alignment horizontal="left" vertical="top"/>
    </xf>
    <xf numFmtId="0" fontId="2" fillId="5" borderId="7" xfId="0" applyFont="1" applyFill="1" applyBorder="1" applyAlignment="1">
      <alignment horizontal="center" vertical="center"/>
    </xf>
    <xf numFmtId="0" fontId="22" fillId="5" borderId="5" xfId="0" applyFont="1" applyFill="1" applyBorder="1" applyAlignment="1">
      <alignment horizontal="center" vertical="center"/>
    </xf>
    <xf numFmtId="0" fontId="31" fillId="0" borderId="8" xfId="0" applyFont="1" applyBorder="1" applyAlignment="1">
      <alignment horizontal="left" vertical="top"/>
    </xf>
    <xf numFmtId="0" fontId="31" fillId="0" borderId="3" xfId="0" applyFont="1" applyBorder="1" applyAlignment="1">
      <alignment horizontal="left" vertical="top"/>
    </xf>
    <xf numFmtId="0" fontId="31" fillId="0" borderId="31" xfId="0" applyFont="1" applyBorder="1" applyAlignment="1">
      <alignment horizontal="left" vertical="top"/>
    </xf>
    <xf numFmtId="0" fontId="15" fillId="0" borderId="0" xfId="0" applyFont="1" applyAlignment="1">
      <alignment horizontal="center"/>
    </xf>
    <xf numFmtId="0" fontId="0" fillId="0" borderId="0" xfId="0" applyAlignment="1">
      <alignment horizontal="center"/>
    </xf>
    <xf numFmtId="0" fontId="17" fillId="0" borderId="5" xfId="0" applyFont="1" applyFill="1" applyBorder="1" applyAlignment="1">
      <alignment horizontal="left" vertical="center" wrapText="1"/>
    </xf>
    <xf numFmtId="9" fontId="3" fillId="4" borderId="5" xfId="2" applyNumberFormat="1" applyFont="1" applyFill="1" applyBorder="1" applyAlignment="1" applyProtection="1">
      <alignment horizontal="center" vertical="center" wrapText="1"/>
      <protection hidden="1"/>
    </xf>
    <xf numFmtId="9" fontId="3" fillId="4" borderId="6" xfId="2" applyNumberFormat="1" applyFont="1" applyFill="1" applyBorder="1" applyAlignment="1" applyProtection="1">
      <alignment horizontal="center" vertical="center" wrapText="1"/>
      <protection hidden="1"/>
    </xf>
    <xf numFmtId="9" fontId="3" fillId="4" borderId="16" xfId="2" applyNumberFormat="1" applyFont="1" applyFill="1" applyBorder="1" applyAlignment="1" applyProtection="1">
      <alignment horizontal="center" vertical="center" wrapText="1"/>
      <protection hidden="1"/>
    </xf>
    <xf numFmtId="9" fontId="3" fillId="4" borderId="24" xfId="2" applyNumberFormat="1" applyFont="1" applyFill="1" applyBorder="1" applyAlignment="1" applyProtection="1">
      <alignment horizontal="center" vertical="center" wrapText="1"/>
      <protection hidden="1"/>
    </xf>
    <xf numFmtId="0" fontId="27" fillId="0" borderId="16" xfId="0" applyFont="1" applyBorder="1" applyAlignment="1" applyProtection="1">
      <alignment horizontal="center" vertical="center"/>
      <protection locked="0"/>
    </xf>
    <xf numFmtId="0" fontId="19" fillId="0" borderId="5" xfId="2" applyFont="1" applyBorder="1" applyAlignment="1" applyProtection="1">
      <alignment horizontal="center" vertical="top"/>
      <protection locked="0"/>
    </xf>
    <xf numFmtId="0" fontId="18" fillId="5" borderId="10" xfId="0" applyFont="1" applyFill="1" applyBorder="1" applyAlignment="1">
      <alignment horizontal="center"/>
    </xf>
    <xf numFmtId="0" fontId="18" fillId="5" borderId="11" xfId="0" applyFont="1" applyFill="1" applyBorder="1" applyAlignment="1">
      <alignment horizontal="center"/>
    </xf>
    <xf numFmtId="0" fontId="18" fillId="5" borderId="12" xfId="0" applyFont="1" applyFill="1" applyBorder="1" applyAlignment="1">
      <alignment horizontal="center"/>
    </xf>
    <xf numFmtId="0" fontId="43" fillId="5" borderId="5"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18" fillId="5" borderId="7" xfId="0" applyFont="1" applyFill="1" applyBorder="1" applyAlignment="1">
      <alignment horizontal="left"/>
    </xf>
    <xf numFmtId="0" fontId="41" fillId="0" borderId="5" xfId="0" applyFont="1" applyFill="1" applyBorder="1" applyAlignment="1">
      <alignment horizontal="left" vertical="center" wrapText="1"/>
    </xf>
    <xf numFmtId="0" fontId="41" fillId="0" borderId="5" xfId="0" applyFont="1" applyFill="1" applyBorder="1" applyAlignment="1">
      <alignment horizontal="left" vertical="center"/>
    </xf>
    <xf numFmtId="0" fontId="19" fillId="4" borderId="9" xfId="2" applyFont="1" applyFill="1" applyBorder="1" applyAlignment="1" applyProtection="1">
      <alignment horizontal="center" vertical="center"/>
      <protection locked="0"/>
    </xf>
    <xf numFmtId="0" fontId="17" fillId="6" borderId="5" xfId="0" applyFont="1" applyFill="1" applyBorder="1" applyAlignment="1">
      <alignment horizontal="center" vertical="center"/>
    </xf>
    <xf numFmtId="0" fontId="2" fillId="5" borderId="5" xfId="1" applyFont="1" applyFill="1" applyBorder="1" applyAlignment="1">
      <alignment horizontal="center" vertical="center"/>
    </xf>
    <xf numFmtId="0" fontId="2" fillId="4" borderId="5" xfId="1" applyFont="1" applyFill="1" applyBorder="1" applyAlignment="1">
      <alignment horizontal="left" vertical="top" wrapText="1"/>
    </xf>
    <xf numFmtId="0" fontId="2" fillId="5" borderId="10" xfId="0" applyFont="1" applyFill="1" applyBorder="1" applyAlignment="1">
      <alignment horizontal="center" vertical="center"/>
    </xf>
    <xf numFmtId="0" fontId="2" fillId="5" borderId="11" xfId="0" applyFont="1" applyFill="1" applyBorder="1" applyAlignment="1">
      <alignment horizontal="center" vertical="center"/>
    </xf>
    <xf numFmtId="0" fontId="2" fillId="5" borderId="12" xfId="0" applyFont="1" applyFill="1" applyBorder="1" applyAlignment="1">
      <alignment horizontal="center" vertical="center"/>
    </xf>
    <xf numFmtId="0" fontId="22" fillId="3" borderId="5" xfId="0" applyFont="1" applyFill="1" applyBorder="1" applyAlignment="1">
      <alignment horizontal="center" vertical="top" wrapText="1"/>
    </xf>
    <xf numFmtId="0" fontId="22" fillId="3" borderId="6" xfId="0" applyFont="1" applyFill="1" applyBorder="1" applyAlignment="1">
      <alignment horizontal="center" vertical="top" wrapText="1"/>
    </xf>
    <xf numFmtId="0" fontId="5" fillId="4" borderId="5" xfId="1" applyFont="1" applyFill="1" applyBorder="1" applyAlignment="1">
      <alignment horizontal="left" vertical="center" wrapText="1"/>
    </xf>
    <xf numFmtId="0" fontId="2" fillId="4" borderId="5" xfId="1" applyFont="1" applyFill="1" applyBorder="1" applyAlignment="1">
      <alignment horizontal="left" vertical="center" wrapText="1"/>
    </xf>
    <xf numFmtId="0" fontId="20" fillId="4" borderId="5" xfId="4" applyFill="1" applyBorder="1" applyAlignment="1">
      <alignment horizontal="left" vertical="center" wrapText="1"/>
    </xf>
    <xf numFmtId="0" fontId="5" fillId="2" borderId="5" xfId="1" applyFont="1" applyFill="1" applyBorder="1" applyAlignment="1" applyProtection="1">
      <alignment horizontal="center" vertical="center" wrapText="1"/>
      <protection locked="0"/>
    </xf>
    <xf numFmtId="0" fontId="26" fillId="3" borderId="5" xfId="0" applyFont="1" applyFill="1" applyBorder="1" applyAlignment="1">
      <alignment horizontal="left" vertical="top" wrapText="1"/>
    </xf>
    <xf numFmtId="0" fontId="3" fillId="0" borderId="5" xfId="0" applyFont="1" applyBorder="1" applyAlignment="1">
      <alignment horizontal="left" vertical="center"/>
    </xf>
    <xf numFmtId="0" fontId="2" fillId="4" borderId="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3" fillId="0" borderId="5" xfId="0" applyFont="1" applyBorder="1" applyAlignment="1">
      <alignment horizontal="left" vertical="center" wrapText="1"/>
    </xf>
    <xf numFmtId="0" fontId="3" fillId="0" borderId="9" xfId="0" applyFont="1" applyBorder="1" applyAlignment="1">
      <alignment horizontal="left" vertical="center" wrapText="1"/>
    </xf>
    <xf numFmtId="0" fontId="3" fillId="0" borderId="9" xfId="0" applyFont="1" applyBorder="1" applyAlignment="1">
      <alignment horizontal="left" vertical="center"/>
    </xf>
    <xf numFmtId="0" fontId="23" fillId="0" borderId="5" xfId="0" applyFont="1" applyFill="1" applyBorder="1" applyAlignment="1">
      <alignment horizontal="center" vertical="top"/>
    </xf>
    <xf numFmtId="0" fontId="2" fillId="0" borderId="0" xfId="1" applyFont="1" applyFill="1" applyBorder="1" applyAlignment="1">
      <alignment horizontal="center" vertical="center" wrapText="1"/>
    </xf>
    <xf numFmtId="0" fontId="2" fillId="4" borderId="0" xfId="0" applyFont="1" applyFill="1" applyBorder="1" applyAlignment="1">
      <alignment horizontal="center" vertical="center" wrapText="1"/>
    </xf>
    <xf numFmtId="1" fontId="19" fillId="5" borderId="4" xfId="0" applyNumberFormat="1" applyFont="1" applyFill="1" applyBorder="1" applyAlignment="1" applyProtection="1">
      <alignment horizontal="center" vertical="center" wrapText="1"/>
      <protection locked="0"/>
    </xf>
    <xf numFmtId="1" fontId="19" fillId="5" borderId="5" xfId="0" applyNumberFormat="1" applyFont="1" applyFill="1" applyBorder="1" applyAlignment="1" applyProtection="1">
      <alignment horizontal="center" vertical="center" wrapText="1"/>
      <protection locked="0"/>
    </xf>
    <xf numFmtId="1" fontId="19" fillId="5" borderId="6" xfId="0" applyNumberFormat="1" applyFont="1" applyFill="1" applyBorder="1" applyAlignment="1" applyProtection="1">
      <alignment horizontal="center" vertical="center" wrapText="1"/>
      <protection locked="0"/>
    </xf>
    <xf numFmtId="0" fontId="2" fillId="4" borderId="5" xfId="0" applyFont="1" applyFill="1" applyBorder="1" applyAlignment="1">
      <alignment horizontal="center" vertical="center"/>
    </xf>
    <xf numFmtId="9" fontId="26" fillId="3" borderId="5" xfId="0" applyNumberFormat="1" applyFont="1" applyFill="1" applyBorder="1" applyAlignment="1">
      <alignment horizontal="left" vertical="top" wrapText="1"/>
    </xf>
    <xf numFmtId="0" fontId="20" fillId="0" borderId="5" xfId="4" applyBorder="1" applyAlignment="1">
      <alignment horizontal="left" vertical="center"/>
    </xf>
    <xf numFmtId="0" fontId="9" fillId="0" borderId="0" xfId="2" applyFont="1" applyAlignment="1">
      <alignment horizontal="center" vertical="center"/>
    </xf>
    <xf numFmtId="1" fontId="28" fillId="0" borderId="8" xfId="2" applyNumberFormat="1" applyFont="1" applyBorder="1" applyAlignment="1" applyProtection="1">
      <alignment horizontal="center" vertical="center" wrapText="1"/>
      <protection locked="0"/>
    </xf>
    <xf numFmtId="1" fontId="28" fillId="0" borderId="3" xfId="2" applyNumberFormat="1" applyFont="1" applyBorder="1" applyAlignment="1" applyProtection="1">
      <alignment horizontal="center" vertical="center" wrapText="1"/>
      <protection locked="0"/>
    </xf>
    <xf numFmtId="1" fontId="28" fillId="0" borderId="31" xfId="2" applyNumberFormat="1" applyFont="1" applyBorder="1" applyAlignment="1" applyProtection="1">
      <alignment horizontal="center" vertical="center" wrapText="1"/>
      <protection locked="0"/>
    </xf>
    <xf numFmtId="0" fontId="2" fillId="8" borderId="9" xfId="0" applyFont="1" applyFill="1" applyBorder="1" applyAlignment="1">
      <alignment horizontal="center" vertical="top" wrapText="1"/>
    </xf>
    <xf numFmtId="9" fontId="3" fillId="4" borderId="25" xfId="2" applyNumberFormat="1" applyFont="1" applyFill="1" applyBorder="1" applyAlignment="1" applyProtection="1">
      <alignment horizontal="center" vertical="center" wrapText="1"/>
      <protection hidden="1"/>
    </xf>
    <xf numFmtId="9" fontId="3" fillId="4" borderId="36" xfId="2" applyNumberFormat="1" applyFont="1" applyFill="1" applyBorder="1" applyAlignment="1" applyProtection="1">
      <alignment horizontal="center" vertical="center" wrapText="1"/>
      <protection hidden="1"/>
    </xf>
    <xf numFmtId="9" fontId="3" fillId="4" borderId="35" xfId="2" applyNumberFormat="1" applyFont="1" applyFill="1" applyBorder="1" applyAlignment="1" applyProtection="1">
      <alignment horizontal="center" vertical="center" wrapText="1"/>
      <protection hidden="1"/>
    </xf>
    <xf numFmtId="9" fontId="3" fillId="4" borderId="1" xfId="2" applyNumberFormat="1" applyFont="1" applyFill="1" applyBorder="1" applyAlignment="1" applyProtection="1">
      <alignment horizontal="center" vertical="center" wrapText="1"/>
      <protection hidden="1"/>
    </xf>
    <xf numFmtId="9" fontId="3" fillId="4" borderId="37" xfId="2" applyNumberFormat="1" applyFont="1" applyFill="1" applyBorder="1" applyAlignment="1" applyProtection="1">
      <alignment horizontal="center" vertical="center" wrapText="1"/>
      <protection hidden="1"/>
    </xf>
    <xf numFmtId="9" fontId="3" fillId="4" borderId="17" xfId="2" applyNumberFormat="1" applyFont="1" applyFill="1" applyBorder="1" applyAlignment="1" applyProtection="1">
      <alignment horizontal="center" vertical="center" wrapText="1"/>
      <protection hidden="1"/>
    </xf>
    <xf numFmtId="1" fontId="19" fillId="7" borderId="10" xfId="0" applyNumberFormat="1" applyFont="1" applyFill="1" applyBorder="1" applyAlignment="1" applyProtection="1">
      <alignment horizontal="center" vertical="center" wrapText="1"/>
      <protection locked="0"/>
    </xf>
    <xf numFmtId="1" fontId="19" fillId="7" borderId="11" xfId="0" applyNumberFormat="1" applyFont="1" applyFill="1" applyBorder="1" applyAlignment="1" applyProtection="1">
      <alignment horizontal="center" vertical="center" wrapText="1"/>
      <protection locked="0"/>
    </xf>
    <xf numFmtId="1" fontId="19" fillId="7" borderId="12" xfId="0" applyNumberFormat="1" applyFont="1" applyFill="1" applyBorder="1" applyAlignment="1" applyProtection="1">
      <alignment horizontal="center" vertical="center" wrapText="1"/>
      <protection locked="0"/>
    </xf>
    <xf numFmtId="1" fontId="19" fillId="5" borderId="10" xfId="0" applyNumberFormat="1" applyFont="1" applyFill="1" applyBorder="1" applyAlignment="1" applyProtection="1">
      <alignment horizontal="center" vertical="center" wrapText="1"/>
      <protection locked="0"/>
    </xf>
    <xf numFmtId="1" fontId="19" fillId="5" borderId="11" xfId="0" applyNumberFormat="1" applyFont="1" applyFill="1" applyBorder="1" applyAlignment="1" applyProtection="1">
      <alignment horizontal="center" vertical="center" wrapText="1"/>
      <protection locked="0"/>
    </xf>
    <xf numFmtId="1" fontId="19" fillId="5" borderId="12" xfId="0" applyNumberFormat="1" applyFont="1" applyFill="1" applyBorder="1" applyAlignment="1" applyProtection="1">
      <alignment horizontal="center" vertical="center" wrapText="1"/>
      <protection locked="0"/>
    </xf>
    <xf numFmtId="0" fontId="21" fillId="4" borderId="16" xfId="0" applyFont="1" applyFill="1" applyBorder="1" applyAlignment="1">
      <alignment horizontal="center" vertical="center" wrapText="1"/>
    </xf>
    <xf numFmtId="0" fontId="9" fillId="0" borderId="4" xfId="2" applyFont="1" applyBorder="1" applyAlignment="1" applyProtection="1">
      <alignment horizontal="center" vertical="top" wrapText="1"/>
      <protection locked="0"/>
    </xf>
    <xf numFmtId="0" fontId="9" fillId="0" borderId="5" xfId="2" applyFont="1" applyBorder="1" applyAlignment="1" applyProtection="1">
      <alignment horizontal="center" vertical="top" wrapText="1"/>
      <protection locked="0"/>
    </xf>
    <xf numFmtId="0" fontId="9" fillId="0" borderId="15" xfId="2" applyFont="1" applyBorder="1" applyAlignment="1" applyProtection="1">
      <alignment horizontal="center" vertical="top" wrapText="1"/>
      <protection locked="0"/>
    </xf>
    <xf numFmtId="0" fontId="9" fillId="0" borderId="16" xfId="2" applyFont="1" applyBorder="1" applyAlignment="1" applyProtection="1">
      <alignment horizontal="center" vertical="top" wrapText="1"/>
      <protection locked="0"/>
    </xf>
    <xf numFmtId="9" fontId="9" fillId="3" borderId="5" xfId="2" applyNumberFormat="1" applyFont="1" applyFill="1" applyBorder="1" applyAlignment="1" applyProtection="1">
      <alignment horizontal="center" vertical="center" wrapText="1"/>
      <protection hidden="1"/>
    </xf>
    <xf numFmtId="9" fontId="9" fillId="3" borderId="16" xfId="2" applyNumberFormat="1" applyFont="1" applyFill="1" applyBorder="1" applyAlignment="1" applyProtection="1">
      <alignment horizontal="center" vertical="center" wrapText="1"/>
      <protection hidden="1"/>
    </xf>
    <xf numFmtId="9" fontId="9" fillId="3" borderId="6" xfId="2" applyNumberFormat="1" applyFont="1" applyFill="1" applyBorder="1" applyAlignment="1" applyProtection="1">
      <alignment horizontal="center" vertical="center" wrapText="1"/>
      <protection hidden="1"/>
    </xf>
    <xf numFmtId="9" fontId="9" fillId="3" borderId="24" xfId="2" applyNumberFormat="1" applyFont="1" applyFill="1" applyBorder="1" applyAlignment="1" applyProtection="1">
      <alignment horizontal="center" vertical="center" wrapText="1"/>
      <protection hidden="1"/>
    </xf>
    <xf numFmtId="0" fontId="9" fillId="0" borderId="4" xfId="2" applyFont="1" applyBorder="1" applyAlignment="1" applyProtection="1">
      <alignment horizontal="center" vertical="top"/>
      <protection locked="0"/>
    </xf>
    <xf numFmtId="0" fontId="9" fillId="0" borderId="5" xfId="2" applyFont="1" applyBorder="1" applyAlignment="1" applyProtection="1">
      <alignment horizontal="center" vertical="top"/>
      <protection locked="0"/>
    </xf>
    <xf numFmtId="0" fontId="8" fillId="0" borderId="19" xfId="2" applyFont="1" applyBorder="1" applyAlignment="1" applyProtection="1">
      <alignment horizontal="left" vertical="top" wrapText="1"/>
      <protection locked="0"/>
    </xf>
    <xf numFmtId="0" fontId="8" fillId="0" borderId="20" xfId="2" applyFont="1" applyBorder="1" applyAlignment="1" applyProtection="1">
      <alignment horizontal="left" vertical="top" wrapText="1"/>
      <protection locked="0"/>
    </xf>
    <xf numFmtId="0" fontId="8" fillId="0" borderId="21" xfId="2" applyFont="1" applyBorder="1" applyAlignment="1" applyProtection="1">
      <alignment horizontal="left" vertical="top" wrapText="1"/>
      <protection locked="0"/>
    </xf>
    <xf numFmtId="0" fontId="8" fillId="0" borderId="22" xfId="2" applyFont="1" applyBorder="1" applyAlignment="1" applyProtection="1">
      <alignment horizontal="left" vertical="top" wrapText="1"/>
      <protection locked="0"/>
    </xf>
    <xf numFmtId="0" fontId="8" fillId="0" borderId="23" xfId="2" applyFont="1" applyBorder="1" applyAlignment="1" applyProtection="1">
      <alignment horizontal="left" vertical="top" wrapText="1"/>
      <protection locked="0"/>
    </xf>
    <xf numFmtId="0" fontId="8" fillId="0" borderId="4" xfId="2" applyFont="1" applyBorder="1" applyAlignment="1" applyProtection="1">
      <alignment horizontal="left" vertical="top"/>
      <protection locked="0"/>
    </xf>
    <xf numFmtId="0" fontId="8" fillId="0" borderId="5" xfId="2" applyFont="1" applyBorder="1" applyAlignment="1" applyProtection="1">
      <alignment horizontal="left" vertical="top"/>
      <protection locked="0"/>
    </xf>
    <xf numFmtId="0" fontId="8" fillId="0" borderId="5" xfId="2" applyFont="1" applyBorder="1" applyAlignment="1" applyProtection="1">
      <alignment horizontal="left" vertical="top" wrapText="1"/>
      <protection locked="0"/>
    </xf>
    <xf numFmtId="0" fontId="8" fillId="0" borderId="6" xfId="2" applyFont="1" applyBorder="1" applyAlignment="1" applyProtection="1">
      <alignment horizontal="left" vertical="top" wrapText="1"/>
      <protection locked="0"/>
    </xf>
    <xf numFmtId="0" fontId="9" fillId="0" borderId="6" xfId="2" applyFont="1" applyBorder="1" applyAlignment="1" applyProtection="1">
      <alignment horizontal="center" vertical="top" wrapText="1"/>
      <protection locked="0"/>
    </xf>
    <xf numFmtId="0" fontId="46" fillId="0" borderId="5" xfId="0" applyFont="1" applyBorder="1" applyAlignment="1">
      <alignment horizontal="left" vertical="top"/>
    </xf>
  </cellXfs>
  <cellStyles count="6">
    <cellStyle name="Excel Built-in Normal" xfId="3"/>
    <cellStyle name="Hyperlink" xfId="4" builtinId="8"/>
    <cellStyle name="Normal" xfId="0" builtinId="0"/>
    <cellStyle name="Normal 2" xfId="1"/>
    <cellStyle name="Normal 3" xfId="2"/>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pn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6.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6</xdr:col>
      <xdr:colOff>228088</xdr:colOff>
      <xdr:row>17</xdr:row>
      <xdr:rowOff>315696</xdr:rowOff>
    </xdr:from>
    <xdr:to>
      <xdr:col>9</xdr:col>
      <xdr:colOff>420915</xdr:colOff>
      <xdr:row>25</xdr:row>
      <xdr:rowOff>260392</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756376" y="4308869"/>
          <a:ext cx="2984385" cy="1801593"/>
        </a:xfrm>
        <a:prstGeom prst="rect">
          <a:avLst/>
        </a:prstGeom>
      </xdr:spPr>
    </xdr:pic>
    <xdr:clientData/>
  </xdr:twoCellAnchor>
  <xdr:twoCellAnchor>
    <xdr:from>
      <xdr:col>0</xdr:col>
      <xdr:colOff>463826</xdr:colOff>
      <xdr:row>366</xdr:row>
      <xdr:rowOff>41414</xdr:rowOff>
    </xdr:from>
    <xdr:to>
      <xdr:col>5</xdr:col>
      <xdr:colOff>786848</xdr:colOff>
      <xdr:row>407</xdr:row>
      <xdr:rowOff>165652</xdr:rowOff>
    </xdr:to>
    <xdr:grpSp>
      <xdr:nvGrpSpPr>
        <xdr:cNvPr id="4" name="Group 3">
          <a:extLst>
            <a:ext uri="{FF2B5EF4-FFF2-40B4-BE49-F238E27FC236}">
              <a16:creationId xmlns="" xmlns:a16="http://schemas.microsoft.com/office/drawing/2014/main" id="{00000000-0008-0000-0000-000004000000}"/>
            </a:ext>
          </a:extLst>
        </xdr:cNvPr>
        <xdr:cNvGrpSpPr/>
      </xdr:nvGrpSpPr>
      <xdr:grpSpPr>
        <a:xfrm>
          <a:off x="463826" y="63992264"/>
          <a:ext cx="5609397" cy="7934738"/>
          <a:chOff x="574822" y="195559"/>
          <a:chExt cx="5760000" cy="8257195"/>
        </a:xfrm>
      </xdr:grpSpPr>
      <xdr:grpSp>
        <xdr:nvGrpSpPr>
          <xdr:cNvPr id="5" name="Group 4">
            <a:extLst>
              <a:ext uri="{FF2B5EF4-FFF2-40B4-BE49-F238E27FC236}">
                <a16:creationId xmlns="" xmlns:a16="http://schemas.microsoft.com/office/drawing/2014/main" id="{00000000-0008-0000-0000-000005000000}"/>
              </a:ext>
            </a:extLst>
          </xdr:cNvPr>
          <xdr:cNvGrpSpPr/>
        </xdr:nvGrpSpPr>
        <xdr:grpSpPr>
          <a:xfrm>
            <a:off x="574822" y="195559"/>
            <a:ext cx="5760000" cy="4127803"/>
            <a:chOff x="574822" y="195559"/>
            <a:chExt cx="5760000" cy="4127803"/>
          </a:xfrm>
        </xdr:grpSpPr>
        <xdr:pic>
          <xdr:nvPicPr>
            <xdr:cNvPr id="9" name="Picture 8">
              <a:extLst>
                <a:ext uri="{FF2B5EF4-FFF2-40B4-BE49-F238E27FC236}">
                  <a16:creationId xmlns="" xmlns:a16="http://schemas.microsoft.com/office/drawing/2014/main" id="{00000000-0008-0000-0000-000009000000}"/>
                </a:ext>
              </a:extLst>
            </xdr:cNvPr>
            <xdr:cNvPicPr>
              <a:picLocks noChangeAspect="1"/>
            </xdr:cNvPicPr>
          </xdr:nvPicPr>
          <xdr:blipFill>
            <a:blip xmlns:r="http://schemas.openxmlformats.org/officeDocument/2006/relationships" r:embed="rId2"/>
            <a:stretch>
              <a:fillRect/>
            </a:stretch>
          </xdr:blipFill>
          <xdr:spPr>
            <a:xfrm>
              <a:off x="574822" y="195559"/>
              <a:ext cx="5760000" cy="4127803"/>
            </a:xfrm>
            <a:prstGeom prst="rect">
              <a:avLst/>
            </a:prstGeom>
            <a:ln>
              <a:solidFill>
                <a:schemeClr val="tx1"/>
              </a:solidFill>
            </a:ln>
          </xdr:spPr>
        </xdr:pic>
        <xdr:sp macro="" textlink="">
          <xdr:nvSpPr>
            <xdr:cNvPr id="10" name="Rectangle 9">
              <a:extLst>
                <a:ext uri="{FF2B5EF4-FFF2-40B4-BE49-F238E27FC236}">
                  <a16:creationId xmlns="" xmlns:a16="http://schemas.microsoft.com/office/drawing/2014/main" id="{00000000-0008-0000-0000-00000A000000}"/>
                </a:ext>
              </a:extLst>
            </xdr:cNvPr>
            <xdr:cNvSpPr/>
          </xdr:nvSpPr>
          <xdr:spPr>
            <a:xfrm rot="19843031">
              <a:off x="2900362" y="1562101"/>
              <a:ext cx="895350" cy="76676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grpSp>
        <xdr:nvGrpSpPr>
          <xdr:cNvPr id="6" name="Group 5">
            <a:extLst>
              <a:ext uri="{FF2B5EF4-FFF2-40B4-BE49-F238E27FC236}">
                <a16:creationId xmlns="" xmlns:a16="http://schemas.microsoft.com/office/drawing/2014/main" id="{00000000-0008-0000-0000-000006000000}"/>
              </a:ext>
            </a:extLst>
          </xdr:cNvPr>
          <xdr:cNvGrpSpPr/>
        </xdr:nvGrpSpPr>
        <xdr:grpSpPr>
          <a:xfrm>
            <a:off x="934822" y="4478636"/>
            <a:ext cx="5040000" cy="3974118"/>
            <a:chOff x="934822" y="4478636"/>
            <a:chExt cx="5040000" cy="3974118"/>
          </a:xfrm>
        </xdr:grpSpPr>
        <xdr:pic>
          <xdr:nvPicPr>
            <xdr:cNvPr id="7" name="Picture 6">
              <a:extLst>
                <a:ext uri="{FF2B5EF4-FFF2-40B4-BE49-F238E27FC236}">
                  <a16:creationId xmlns="" xmlns:a16="http://schemas.microsoft.com/office/drawing/2014/main" id="{00000000-0008-0000-0000-000007000000}"/>
                </a:ext>
              </a:extLst>
            </xdr:cNvPr>
            <xdr:cNvPicPr>
              <a:picLocks noChangeAspect="1"/>
            </xdr:cNvPicPr>
          </xdr:nvPicPr>
          <xdr:blipFill>
            <a:blip xmlns:r="http://schemas.openxmlformats.org/officeDocument/2006/relationships" r:embed="rId3"/>
            <a:stretch>
              <a:fillRect/>
            </a:stretch>
          </xdr:blipFill>
          <xdr:spPr>
            <a:xfrm>
              <a:off x="934822" y="4478636"/>
              <a:ext cx="5040000" cy="3974118"/>
            </a:xfrm>
            <a:prstGeom prst="rect">
              <a:avLst/>
            </a:prstGeom>
            <a:ln>
              <a:solidFill>
                <a:schemeClr val="tx1"/>
              </a:solidFill>
            </a:ln>
          </xdr:spPr>
        </xdr:pic>
        <xdr:sp macro="" textlink="">
          <xdr:nvSpPr>
            <xdr:cNvPr id="8" name="Rectangle 7">
              <a:extLst>
                <a:ext uri="{FF2B5EF4-FFF2-40B4-BE49-F238E27FC236}">
                  <a16:creationId xmlns="" xmlns:a16="http://schemas.microsoft.com/office/drawing/2014/main" id="{00000000-0008-0000-0000-000008000000}"/>
                </a:ext>
              </a:extLst>
            </xdr:cNvPr>
            <xdr:cNvSpPr/>
          </xdr:nvSpPr>
          <xdr:spPr>
            <a:xfrm rot="19783990">
              <a:off x="3389161" y="5982042"/>
              <a:ext cx="217790" cy="22208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grpSp>
    <xdr:clientData/>
  </xdr:twoCellAnchor>
  <xdr:twoCellAnchor editAs="oneCell">
    <xdr:from>
      <xdr:col>0</xdr:col>
      <xdr:colOff>670890</xdr:colOff>
      <xdr:row>412</xdr:row>
      <xdr:rowOff>9633</xdr:rowOff>
    </xdr:from>
    <xdr:to>
      <xdr:col>5</xdr:col>
      <xdr:colOff>571500</xdr:colOff>
      <xdr:row>451</xdr:row>
      <xdr:rowOff>26959</xdr:rowOff>
    </xdr:to>
    <xdr:pic>
      <xdr:nvPicPr>
        <xdr:cNvPr id="11" name="Picture 10">
          <a:extLst>
            <a:ext uri="{FF2B5EF4-FFF2-40B4-BE49-F238E27FC236}">
              <a16:creationId xmlns="" xmlns:a16="http://schemas.microsoft.com/office/drawing/2014/main" id="{00000000-0008-0000-0000-00000B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670890" y="77799894"/>
          <a:ext cx="5184914" cy="7446826"/>
        </a:xfrm>
        <a:prstGeom prst="rect">
          <a:avLst/>
        </a:prstGeom>
      </xdr:spPr>
    </xdr:pic>
    <xdr:clientData/>
  </xdr:twoCellAnchor>
  <xdr:twoCellAnchor editAs="oneCell">
    <xdr:from>
      <xdr:col>6</xdr:col>
      <xdr:colOff>347870</xdr:colOff>
      <xdr:row>59</xdr:row>
      <xdr:rowOff>8283</xdr:rowOff>
    </xdr:from>
    <xdr:to>
      <xdr:col>15</xdr:col>
      <xdr:colOff>442299</xdr:colOff>
      <xdr:row>62</xdr:row>
      <xdr:rowOff>112973</xdr:rowOff>
    </xdr:to>
    <xdr:pic>
      <xdr:nvPicPr>
        <xdr:cNvPr id="12" name="Picture 11">
          <a:extLst>
            <a:ext uri="{FF2B5EF4-FFF2-40B4-BE49-F238E27FC236}">
              <a16:creationId xmlns="" xmlns:a16="http://schemas.microsoft.com/office/drawing/2014/main" id="{00000000-0008-0000-0000-00000C000000}"/>
            </a:ext>
          </a:extLst>
        </xdr:cNvPr>
        <xdr:cNvPicPr>
          <a:picLocks noChangeAspect="1"/>
        </xdr:cNvPicPr>
      </xdr:nvPicPr>
      <xdr:blipFill>
        <a:blip xmlns:r="http://schemas.openxmlformats.org/officeDocument/2006/relationships" r:embed="rId5"/>
        <a:stretch>
          <a:fillRect/>
        </a:stretch>
      </xdr:blipFill>
      <xdr:spPr>
        <a:xfrm>
          <a:off x="6882848" y="12962283"/>
          <a:ext cx="6571429" cy="676190"/>
        </a:xfrm>
        <a:prstGeom prst="rect">
          <a:avLst/>
        </a:prstGeom>
      </xdr:spPr>
    </xdr:pic>
    <xdr:clientData/>
  </xdr:twoCellAnchor>
  <xdr:twoCellAnchor>
    <xdr:from>
      <xdr:col>7</xdr:col>
      <xdr:colOff>222997</xdr:colOff>
      <xdr:row>319</xdr:row>
      <xdr:rowOff>154641</xdr:rowOff>
    </xdr:from>
    <xdr:to>
      <xdr:col>16</xdr:col>
      <xdr:colOff>166071</xdr:colOff>
      <xdr:row>353</xdr:row>
      <xdr:rowOff>115069</xdr:rowOff>
    </xdr:to>
    <xdr:grpSp>
      <xdr:nvGrpSpPr>
        <xdr:cNvPr id="18" name="Group 17">
          <a:extLst>
            <a:ext uri="{FF2B5EF4-FFF2-40B4-BE49-F238E27FC236}">
              <a16:creationId xmlns="" xmlns:a16="http://schemas.microsoft.com/office/drawing/2014/main" id="{4BBA2EBA-2089-479E-AAA1-DCDF8B23D79E}"/>
            </a:ext>
          </a:extLst>
        </xdr:cNvPr>
        <xdr:cNvGrpSpPr/>
      </xdr:nvGrpSpPr>
      <xdr:grpSpPr>
        <a:xfrm>
          <a:off x="7366747" y="55151991"/>
          <a:ext cx="6391499" cy="6437428"/>
          <a:chOff x="197224" y="294572"/>
          <a:chExt cx="6391499" cy="6437428"/>
        </a:xfrm>
      </xdr:grpSpPr>
      <xdr:pic>
        <xdr:nvPicPr>
          <xdr:cNvPr id="19" name="Picture 18">
            <a:extLst>
              <a:ext uri="{FF2B5EF4-FFF2-40B4-BE49-F238E27FC236}">
                <a16:creationId xmlns="" xmlns:a16="http://schemas.microsoft.com/office/drawing/2014/main" id="{061553B8-C135-4764-97B3-1005CFE7C973}"/>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699244" y="294572"/>
            <a:ext cx="5400000" cy="4053754"/>
          </a:xfrm>
          <a:prstGeom prst="rect">
            <a:avLst/>
          </a:prstGeom>
          <a:ln>
            <a:solidFill>
              <a:schemeClr val="tx1"/>
            </a:solidFill>
          </a:ln>
        </xdr:spPr>
      </xdr:pic>
      <xdr:pic>
        <xdr:nvPicPr>
          <xdr:cNvPr id="20" name="Picture 19">
            <a:extLst>
              <a:ext uri="{FF2B5EF4-FFF2-40B4-BE49-F238E27FC236}">
                <a16:creationId xmlns="" xmlns:a16="http://schemas.microsoft.com/office/drawing/2014/main" id="{459EBB7D-7F9F-4062-B733-172911F7086A}"/>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97224" y="4572000"/>
            <a:ext cx="1618312" cy="2160000"/>
          </a:xfrm>
          <a:prstGeom prst="rect">
            <a:avLst/>
          </a:prstGeom>
          <a:ln>
            <a:solidFill>
              <a:schemeClr val="tx1"/>
            </a:solidFill>
          </a:ln>
        </xdr:spPr>
      </xdr:pic>
      <xdr:pic>
        <xdr:nvPicPr>
          <xdr:cNvPr id="21" name="Picture 20">
            <a:extLst>
              <a:ext uri="{FF2B5EF4-FFF2-40B4-BE49-F238E27FC236}">
                <a16:creationId xmlns="" xmlns:a16="http://schemas.microsoft.com/office/drawing/2014/main" id="{FBF3730E-8174-45E7-8A4F-A629E2ABD378}"/>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1954307" y="4572000"/>
            <a:ext cx="2877333" cy="2160000"/>
          </a:xfrm>
          <a:prstGeom prst="rect">
            <a:avLst/>
          </a:prstGeom>
          <a:ln>
            <a:solidFill>
              <a:schemeClr val="tx1"/>
            </a:solidFill>
          </a:ln>
        </xdr:spPr>
      </xdr:pic>
      <xdr:pic>
        <xdr:nvPicPr>
          <xdr:cNvPr id="22" name="Picture 21">
            <a:extLst>
              <a:ext uri="{FF2B5EF4-FFF2-40B4-BE49-F238E27FC236}">
                <a16:creationId xmlns="" xmlns:a16="http://schemas.microsoft.com/office/drawing/2014/main" id="{6D5D9533-C8AA-476D-8312-8000C53F2692}"/>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4970411" y="4572000"/>
            <a:ext cx="1618312" cy="2160000"/>
          </a:xfrm>
          <a:prstGeom prst="rect">
            <a:avLst/>
          </a:prstGeom>
          <a:ln>
            <a:solidFill>
              <a:schemeClr val="tx1"/>
            </a:solidFill>
          </a:ln>
        </xdr:spPr>
      </xdr:pic>
    </xdr:grpSp>
    <xdr:clientData/>
  </xdr:twoCellAnchor>
  <xdr:twoCellAnchor>
    <xdr:from>
      <xdr:col>0</xdr:col>
      <xdr:colOff>112059</xdr:colOff>
      <xdr:row>321</xdr:row>
      <xdr:rowOff>186017</xdr:rowOff>
    </xdr:from>
    <xdr:to>
      <xdr:col>5</xdr:col>
      <xdr:colOff>1154206</xdr:colOff>
      <xdr:row>349</xdr:row>
      <xdr:rowOff>122769</xdr:rowOff>
    </xdr:to>
    <xdr:grpSp>
      <xdr:nvGrpSpPr>
        <xdr:cNvPr id="28" name="Group 27"/>
        <xdr:cNvGrpSpPr/>
      </xdr:nvGrpSpPr>
      <xdr:grpSpPr>
        <a:xfrm>
          <a:off x="112059" y="55564367"/>
          <a:ext cx="6328522" cy="5270752"/>
          <a:chOff x="112059" y="55643929"/>
          <a:chExt cx="6331323" cy="5270752"/>
        </a:xfrm>
      </xdr:grpSpPr>
      <xdr:pic>
        <xdr:nvPicPr>
          <xdr:cNvPr id="23" name="Picture 22" descr="https://vsjcllp.vsjadon.com/upload/insp-248938-1525.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4807326" y="5875244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4" name="Picture 23" descr="https://vsjcllp.vsjadon.com/upload/insp-248938-843.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4202206" y="55643929"/>
            <a:ext cx="2241176" cy="29913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5" name="Picture 24" descr="https://vsjcllp.vsjadon.com/upload/insp-248938-849.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123266" y="58737591"/>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6" name="Picture 25" descr="https://vsjcllp.vsjadon.com/upload/insp-248938-1512.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3095067" y="58754681"/>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7" name="Picture 26" descr="https://vsjcllp.vsjadon.com/upload/insp-248938-851.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112059" y="55651491"/>
            <a:ext cx="3984772" cy="29913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523875</xdr:colOff>
      <xdr:row>122</xdr:row>
      <xdr:rowOff>123825</xdr:rowOff>
    </xdr:from>
    <xdr:to>
      <xdr:col>32</xdr:col>
      <xdr:colOff>123825</xdr:colOff>
      <xdr:row>161</xdr:row>
      <xdr:rowOff>9525</xdr:rowOff>
    </xdr:to>
    <xdr:pic>
      <xdr:nvPicPr>
        <xdr:cNvPr id="2" name="Picture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6619875" y="23717250"/>
          <a:ext cx="13011150" cy="7315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lodhagroup.in/projects/campaigns/lodha-amara-thane/" TargetMode="External"/><Relationship Id="rId7" Type="http://schemas.openxmlformats.org/officeDocument/2006/relationships/vmlDrawing" Target="../drawings/vmlDrawing2.vml"/><Relationship Id="rId2" Type="http://schemas.openxmlformats.org/officeDocument/2006/relationships/hyperlink" Target="https://maps.app.goo.gl/C45swKDWooVWqbSZ8" TargetMode="External"/><Relationship Id="rId1" Type="http://schemas.openxmlformats.org/officeDocument/2006/relationships/hyperlink" Target="mailto:vsjc.apf@gmail.com"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453"/>
  <sheetViews>
    <sheetView tabSelected="1" showWhiteSpace="0" view="pageBreakPreview" zoomScaleNormal="100" zoomScaleSheetLayoutView="100" zoomScalePageLayoutView="85" workbookViewId="0">
      <selection activeCell="H15" sqref="H15"/>
    </sheetView>
  </sheetViews>
  <sheetFormatPr defaultRowHeight="15" x14ac:dyDescent="0.25"/>
  <cols>
    <col min="1" max="1" width="18.28515625" style="53" customWidth="1"/>
    <col min="2" max="2" width="16.28515625" customWidth="1"/>
    <col min="3" max="3" width="13.140625" style="107" customWidth="1"/>
    <col min="4" max="4" width="17.28515625" customWidth="1"/>
    <col min="5" max="5" width="14.28515625" customWidth="1"/>
    <col min="6" max="6" width="18.7109375" customWidth="1"/>
    <col min="9" max="9" width="23.5703125" customWidth="1"/>
  </cols>
  <sheetData>
    <row r="1" spans="1:12" x14ac:dyDescent="0.25">
      <c r="A1" s="278" t="s">
        <v>0</v>
      </c>
      <c r="B1" s="278"/>
      <c r="C1" s="278"/>
      <c r="D1" s="278"/>
      <c r="E1" s="278"/>
      <c r="F1" s="278"/>
      <c r="G1" s="62"/>
      <c r="H1" s="62"/>
      <c r="I1" s="62"/>
      <c r="J1" s="62"/>
      <c r="K1" s="62"/>
      <c r="L1" s="62"/>
    </row>
    <row r="2" spans="1:12" ht="26.25" customHeight="1" x14ac:dyDescent="0.25">
      <c r="A2" s="68" t="s">
        <v>69</v>
      </c>
      <c r="B2" s="345" t="s">
        <v>302</v>
      </c>
      <c r="C2" s="345"/>
      <c r="D2" s="345"/>
      <c r="E2" s="67" t="s">
        <v>1</v>
      </c>
      <c r="F2" s="109" t="s">
        <v>299</v>
      </c>
      <c r="G2" s="62"/>
      <c r="H2" s="62"/>
      <c r="I2" s="62"/>
      <c r="J2" s="62"/>
      <c r="K2" s="62"/>
      <c r="L2" s="62"/>
    </row>
    <row r="3" spans="1:12" x14ac:dyDescent="0.25">
      <c r="A3" s="279" t="s">
        <v>70</v>
      </c>
      <c r="B3" s="279"/>
      <c r="C3" s="279"/>
      <c r="D3" s="279"/>
      <c r="E3" s="279"/>
      <c r="F3" s="279"/>
      <c r="G3" s="62"/>
      <c r="H3" s="62"/>
      <c r="I3" s="62"/>
      <c r="J3" s="62"/>
      <c r="K3" s="62"/>
      <c r="L3" s="62"/>
    </row>
    <row r="4" spans="1:12" ht="15" customHeight="1" x14ac:dyDescent="0.25">
      <c r="A4" s="280" t="s">
        <v>76</v>
      </c>
      <c r="B4" s="280"/>
      <c r="C4" s="286" t="s">
        <v>249</v>
      </c>
      <c r="D4" s="286"/>
      <c r="E4" s="286"/>
      <c r="F4" s="286"/>
      <c r="G4" s="62"/>
      <c r="H4" s="62"/>
      <c r="I4" s="62"/>
      <c r="J4" s="62"/>
      <c r="K4" s="62"/>
      <c r="L4" s="62"/>
    </row>
    <row r="5" spans="1:12" ht="15" customHeight="1" x14ac:dyDescent="0.25">
      <c r="A5" s="287" t="s">
        <v>71</v>
      </c>
      <c r="B5" s="287"/>
      <c r="C5" s="286" t="s">
        <v>250</v>
      </c>
      <c r="D5" s="286"/>
      <c r="E5" s="286"/>
      <c r="F5" s="286"/>
      <c r="G5" s="62"/>
      <c r="H5" s="62"/>
      <c r="I5" s="62"/>
      <c r="J5" s="62"/>
      <c r="K5" s="62"/>
      <c r="L5" s="62"/>
    </row>
    <row r="6" spans="1:12" ht="15" customHeight="1" x14ac:dyDescent="0.25">
      <c r="A6" s="287" t="s">
        <v>72</v>
      </c>
      <c r="B6" s="287"/>
      <c r="C6" s="288" t="s">
        <v>251</v>
      </c>
      <c r="D6" s="288"/>
      <c r="E6" s="288"/>
      <c r="F6" s="288"/>
      <c r="G6" s="62"/>
      <c r="H6" s="62"/>
      <c r="I6" s="62"/>
      <c r="J6" s="62"/>
      <c r="K6" s="62"/>
      <c r="L6" s="62"/>
    </row>
    <row r="7" spans="1:12" ht="15" customHeight="1" x14ac:dyDescent="0.25">
      <c r="A7" s="287" t="s">
        <v>75</v>
      </c>
      <c r="B7" s="287"/>
      <c r="C7" s="286" t="s">
        <v>252</v>
      </c>
      <c r="D7" s="286"/>
      <c r="E7" s="286"/>
      <c r="F7" s="286"/>
      <c r="G7" s="62"/>
      <c r="H7" s="62"/>
      <c r="I7" s="62"/>
      <c r="J7" s="62"/>
      <c r="K7" s="62"/>
      <c r="L7" s="62"/>
    </row>
    <row r="8" spans="1:12" ht="15" customHeight="1" x14ac:dyDescent="0.25">
      <c r="A8" s="287" t="s">
        <v>73</v>
      </c>
      <c r="B8" s="287"/>
      <c r="C8" s="286"/>
      <c r="D8" s="286"/>
      <c r="E8" s="286"/>
      <c r="F8" s="286"/>
      <c r="G8" s="62"/>
      <c r="H8" s="62"/>
      <c r="I8" s="62"/>
      <c r="J8" s="62"/>
      <c r="K8" s="62"/>
      <c r="L8" s="62"/>
    </row>
    <row r="9" spans="1:12" ht="33" customHeight="1" x14ac:dyDescent="0.25">
      <c r="A9" s="287" t="s">
        <v>74</v>
      </c>
      <c r="B9" s="287"/>
      <c r="C9" s="286" t="s">
        <v>293</v>
      </c>
      <c r="D9" s="286"/>
      <c r="E9" s="286"/>
      <c r="F9" s="286"/>
      <c r="G9" s="62"/>
      <c r="H9" s="62"/>
      <c r="I9" s="94"/>
      <c r="J9" s="94"/>
      <c r="K9" s="94"/>
      <c r="L9" s="94"/>
    </row>
    <row r="10" spans="1:12" x14ac:dyDescent="0.25">
      <c r="A10" s="279" t="s">
        <v>77</v>
      </c>
      <c r="B10" s="279"/>
      <c r="C10" s="279"/>
      <c r="D10" s="279"/>
      <c r="E10" s="279"/>
      <c r="F10" s="279"/>
      <c r="G10" s="62"/>
      <c r="H10" s="62"/>
      <c r="I10" s="94"/>
      <c r="J10" s="94"/>
      <c r="K10" s="94"/>
      <c r="L10" s="94"/>
    </row>
    <row r="11" spans="1:12" ht="24" x14ac:dyDescent="0.25">
      <c r="A11" s="48" t="s">
        <v>82</v>
      </c>
      <c r="B11" s="141">
        <v>45922</v>
      </c>
      <c r="C11" s="48" t="s">
        <v>94</v>
      </c>
      <c r="D11" s="46" t="s">
        <v>389</v>
      </c>
      <c r="E11" s="48" t="s">
        <v>286</v>
      </c>
      <c r="F11" s="142">
        <v>45457</v>
      </c>
      <c r="G11" s="62"/>
      <c r="H11" s="62"/>
      <c r="I11" s="95"/>
      <c r="J11" s="95"/>
      <c r="K11" s="95"/>
      <c r="L11" s="95"/>
    </row>
    <row r="12" spans="1:12" x14ac:dyDescent="0.25">
      <c r="A12" s="48" t="s">
        <v>83</v>
      </c>
      <c r="B12" s="141">
        <v>45923</v>
      </c>
      <c r="C12" s="280" t="s">
        <v>95</v>
      </c>
      <c r="D12" s="280"/>
      <c r="E12" s="289" t="s">
        <v>300</v>
      </c>
      <c r="F12" s="289"/>
      <c r="G12" s="62"/>
      <c r="H12" s="62"/>
      <c r="I12" s="299"/>
      <c r="J12" s="299"/>
      <c r="K12" s="95"/>
      <c r="L12" s="95"/>
    </row>
    <row r="13" spans="1:12" x14ac:dyDescent="0.25">
      <c r="A13" s="48" t="s">
        <v>84</v>
      </c>
      <c r="B13" s="76" t="str">
        <f ca="1">TEXT(TODAY(),"DD/MM/YYYY")</f>
        <v>24/09/2025</v>
      </c>
      <c r="C13" s="280" t="s">
        <v>96</v>
      </c>
      <c r="D13" s="280"/>
      <c r="E13" s="289" t="s">
        <v>391</v>
      </c>
      <c r="F13" s="289"/>
      <c r="G13" s="62"/>
      <c r="H13" s="62"/>
      <c r="I13" s="299"/>
      <c r="J13" s="299"/>
      <c r="K13" s="95"/>
      <c r="L13" s="95"/>
    </row>
    <row r="14" spans="1:12" x14ac:dyDescent="0.25">
      <c r="A14" s="236" t="s">
        <v>78</v>
      </c>
      <c r="B14" s="236"/>
      <c r="C14" s="236"/>
      <c r="D14" s="236"/>
      <c r="E14" s="236"/>
      <c r="F14" s="236"/>
      <c r="G14" s="62"/>
      <c r="H14" s="62"/>
      <c r="I14" s="94"/>
      <c r="J14" s="94"/>
      <c r="K14" s="94"/>
      <c r="L14" s="94"/>
    </row>
    <row r="15" spans="1:12" ht="21.75" customHeight="1" x14ac:dyDescent="0.25">
      <c r="A15" s="201" t="s">
        <v>79</v>
      </c>
      <c r="B15" s="201"/>
      <c r="C15" s="203" t="s">
        <v>301</v>
      </c>
      <c r="D15" s="203"/>
      <c r="E15" s="203"/>
      <c r="F15" s="203"/>
      <c r="G15" s="62"/>
      <c r="H15" s="62"/>
      <c r="I15" s="94"/>
      <c r="J15" s="94"/>
      <c r="K15" s="94"/>
      <c r="L15" s="94"/>
    </row>
    <row r="16" spans="1:12" x14ac:dyDescent="0.25">
      <c r="A16" s="236" t="s">
        <v>80</v>
      </c>
      <c r="B16" s="236"/>
      <c r="C16" s="236"/>
      <c r="D16" s="236"/>
      <c r="E16" s="236"/>
      <c r="F16" s="236"/>
      <c r="G16" s="62"/>
      <c r="H16" s="62"/>
      <c r="I16" s="94"/>
      <c r="J16" s="94"/>
      <c r="K16" s="94"/>
      <c r="L16" s="94"/>
    </row>
    <row r="17" spans="1:12" x14ac:dyDescent="0.25">
      <c r="A17" s="77" t="s">
        <v>69</v>
      </c>
      <c r="B17" s="291" t="s">
        <v>302</v>
      </c>
      <c r="C17" s="291"/>
      <c r="D17" s="291"/>
      <c r="E17" s="291"/>
      <c r="F17" s="291"/>
      <c r="G17" s="62"/>
      <c r="H17" s="62"/>
      <c r="I17" s="94"/>
      <c r="J17" s="94"/>
      <c r="K17" s="94"/>
      <c r="L17" s="94"/>
    </row>
    <row r="18" spans="1:12" ht="41.25" customHeight="1" x14ac:dyDescent="0.25">
      <c r="A18" s="77" t="s">
        <v>294</v>
      </c>
      <c r="B18" s="295" t="str">
        <f>CONCATENATE((IF(OR(B2="",B2="NA"),"",B2)),", ",(IF(OR(A19="",A19="NA"),"",A19)),".",(IF(OR(B19="",B19="NA"),"",B19)),", near ",(IF(OR(E21="",E21="NA"),"",E21)),", ",(IF(OR(B20="",B20="NA"),"",B20)),", ",(IF(OR(B21="",B21="NA"),"",B21)),", ",(IF(OR(E19="",E19="NA"),"",E19)),", ",(IF(OR(E20="",E20="NA"),"",E20)),", ",(IF(OR(B22="",B22="NA"),"",B22)),", ",(IF(OR(E22="",E22="NA"),"",E22))," - ",(IF(OR(B24="",B24="NA"),"",B24)),".")</f>
        <v>Lodha Amara Tower 47, Plot No..64/2, 65/1 &amp; 52/5, near Lodha Signet, Kolshet Road, Balkum, Kolshet, Kolshet, Thane West, Thane, Thane - 400607.</v>
      </c>
      <c r="C18" s="295"/>
      <c r="D18" s="295"/>
      <c r="E18" s="295"/>
      <c r="F18" s="295"/>
      <c r="G18" s="62"/>
      <c r="H18" s="62"/>
      <c r="I18" s="94"/>
      <c r="J18" s="96"/>
      <c r="K18" s="94"/>
      <c r="L18" s="94"/>
    </row>
    <row r="19" spans="1:12" x14ac:dyDescent="0.25">
      <c r="A19" s="77" t="s">
        <v>81</v>
      </c>
      <c r="B19" s="295" t="s">
        <v>328</v>
      </c>
      <c r="C19" s="295"/>
      <c r="D19" s="77" t="s">
        <v>295</v>
      </c>
      <c r="E19" s="291" t="s">
        <v>324</v>
      </c>
      <c r="F19" s="291"/>
      <c r="G19" s="62"/>
      <c r="H19" s="62"/>
      <c r="I19" s="94"/>
      <c r="J19" s="96"/>
      <c r="K19" s="94"/>
      <c r="L19" s="94"/>
    </row>
    <row r="20" spans="1:12" x14ac:dyDescent="0.25">
      <c r="A20" s="77" t="s">
        <v>85</v>
      </c>
      <c r="B20" s="291" t="s">
        <v>321</v>
      </c>
      <c r="C20" s="291"/>
      <c r="D20" s="77" t="s">
        <v>255</v>
      </c>
      <c r="E20" s="291" t="s">
        <v>323</v>
      </c>
      <c r="F20" s="291"/>
      <c r="G20" s="62"/>
      <c r="H20" s="62"/>
      <c r="I20" s="94"/>
      <c r="J20" s="96"/>
      <c r="K20" s="94"/>
      <c r="L20" s="94"/>
    </row>
    <row r="21" spans="1:12" x14ac:dyDescent="0.25">
      <c r="A21" s="77" t="s">
        <v>256</v>
      </c>
      <c r="B21" s="291" t="s">
        <v>320</v>
      </c>
      <c r="C21" s="291"/>
      <c r="D21" s="77" t="s">
        <v>89</v>
      </c>
      <c r="E21" s="291" t="s">
        <v>325</v>
      </c>
      <c r="F21" s="291"/>
      <c r="G21" s="62"/>
      <c r="H21" s="62"/>
      <c r="I21" s="94"/>
      <c r="J21" s="96"/>
      <c r="K21" s="94"/>
      <c r="L21" s="62"/>
    </row>
    <row r="22" spans="1:12" x14ac:dyDescent="0.25">
      <c r="A22" s="77" t="s">
        <v>254</v>
      </c>
      <c r="B22" s="291" t="s">
        <v>322</v>
      </c>
      <c r="C22" s="291"/>
      <c r="D22" s="77" t="s">
        <v>90</v>
      </c>
      <c r="E22" s="291" t="s">
        <v>322</v>
      </c>
      <c r="F22" s="291"/>
      <c r="G22" s="62"/>
      <c r="H22" s="62"/>
      <c r="I22" s="94"/>
      <c r="J22" s="96"/>
      <c r="K22" s="94"/>
      <c r="L22" s="62"/>
    </row>
    <row r="23" spans="1:12" x14ac:dyDescent="0.25">
      <c r="A23" s="77" t="s">
        <v>86</v>
      </c>
      <c r="B23" s="291" t="s">
        <v>241</v>
      </c>
      <c r="C23" s="291"/>
      <c r="D23" s="77" t="s">
        <v>91</v>
      </c>
      <c r="E23" s="291" t="s">
        <v>242</v>
      </c>
      <c r="F23" s="291"/>
      <c r="G23" s="62"/>
      <c r="H23" s="62"/>
      <c r="I23" s="94"/>
      <c r="J23" s="96"/>
      <c r="K23" s="94"/>
      <c r="L23" s="62"/>
    </row>
    <row r="24" spans="1:12" x14ac:dyDescent="0.25">
      <c r="A24" s="77" t="s">
        <v>87</v>
      </c>
      <c r="B24" s="291">
        <v>400607</v>
      </c>
      <c r="C24" s="291"/>
      <c r="D24" s="77" t="s">
        <v>92</v>
      </c>
      <c r="E24" s="291" t="s">
        <v>318</v>
      </c>
      <c r="F24" s="291"/>
      <c r="G24" s="62"/>
      <c r="H24" s="62"/>
      <c r="I24" s="94"/>
      <c r="J24" s="96"/>
      <c r="K24" s="94"/>
      <c r="L24" s="62"/>
    </row>
    <row r="25" spans="1:12" x14ac:dyDescent="0.25">
      <c r="A25" s="77" t="s">
        <v>259</v>
      </c>
      <c r="B25" s="306" t="s">
        <v>319</v>
      </c>
      <c r="C25" s="291"/>
      <c r="D25" s="291"/>
      <c r="E25" s="291"/>
      <c r="F25" s="291"/>
      <c r="G25" s="62"/>
      <c r="H25" s="62"/>
      <c r="I25" s="94"/>
      <c r="J25" s="96"/>
      <c r="K25" s="94"/>
      <c r="L25" s="62"/>
    </row>
    <row r="26" spans="1:12" ht="66" customHeight="1" thickBot="1" x14ac:dyDescent="0.3">
      <c r="A26" s="113" t="s">
        <v>88</v>
      </c>
      <c r="B26" s="296" t="s">
        <v>326</v>
      </c>
      <c r="C26" s="297"/>
      <c r="D26" s="113" t="s">
        <v>93</v>
      </c>
      <c r="E26" s="297" t="s">
        <v>327</v>
      </c>
      <c r="F26" s="297"/>
      <c r="G26" s="62"/>
      <c r="H26" s="62"/>
      <c r="I26" s="94"/>
      <c r="J26" s="96"/>
      <c r="K26" s="94"/>
      <c r="L26" s="62"/>
    </row>
    <row r="27" spans="1:12" x14ac:dyDescent="0.25">
      <c r="A27" s="281" t="s">
        <v>103</v>
      </c>
      <c r="B27" s="282"/>
      <c r="C27" s="282"/>
      <c r="D27" s="282"/>
      <c r="E27" s="282"/>
      <c r="F27" s="283"/>
      <c r="G27" s="62"/>
      <c r="H27" s="62"/>
      <c r="I27" s="94"/>
      <c r="J27" s="94"/>
      <c r="K27" s="94"/>
      <c r="L27" s="62"/>
    </row>
    <row r="28" spans="1:12" x14ac:dyDescent="0.25">
      <c r="A28" s="292"/>
      <c r="B28" s="191"/>
      <c r="C28" s="50" t="s">
        <v>97</v>
      </c>
      <c r="D28" s="50" t="s">
        <v>98</v>
      </c>
      <c r="E28" s="50" t="s">
        <v>99</v>
      </c>
      <c r="F28" s="114" t="s">
        <v>100</v>
      </c>
      <c r="G28" s="62"/>
      <c r="H28" s="62"/>
      <c r="I28" s="94"/>
      <c r="J28" s="94"/>
      <c r="K28" s="94"/>
      <c r="L28" s="62"/>
    </row>
    <row r="29" spans="1:12" ht="30" customHeight="1" x14ac:dyDescent="0.25">
      <c r="A29" s="292" t="s">
        <v>101</v>
      </c>
      <c r="B29" s="191"/>
      <c r="C29" s="105" t="s">
        <v>253</v>
      </c>
      <c r="D29" s="105" t="s">
        <v>253</v>
      </c>
      <c r="E29" s="105" t="s">
        <v>253</v>
      </c>
      <c r="F29" s="115" t="s">
        <v>253</v>
      </c>
      <c r="G29" s="220"/>
      <c r="H29" s="220"/>
      <c r="I29" s="94"/>
      <c r="J29" s="94"/>
      <c r="K29" s="94"/>
      <c r="L29" s="62"/>
    </row>
    <row r="30" spans="1:12" ht="32.25" customHeight="1" x14ac:dyDescent="0.25">
      <c r="A30" s="292" t="s">
        <v>257</v>
      </c>
      <c r="B30" s="191"/>
      <c r="C30" s="144" t="s">
        <v>338</v>
      </c>
      <c r="D30" s="144" t="s">
        <v>339</v>
      </c>
      <c r="E30" s="144" t="s">
        <v>340</v>
      </c>
      <c r="F30" s="145" t="s">
        <v>341</v>
      </c>
      <c r="G30" s="220"/>
      <c r="H30" s="220"/>
      <c r="I30" s="94"/>
      <c r="J30" s="62"/>
      <c r="K30" s="62"/>
      <c r="L30" s="62"/>
    </row>
    <row r="31" spans="1:12" ht="47.25" customHeight="1" thickBot="1" x14ac:dyDescent="0.3">
      <c r="A31" s="293" t="s">
        <v>102</v>
      </c>
      <c r="B31" s="294"/>
      <c r="C31" s="146" t="s">
        <v>342</v>
      </c>
      <c r="D31" s="146" t="s">
        <v>344</v>
      </c>
      <c r="E31" s="146" t="s">
        <v>343</v>
      </c>
      <c r="F31" s="147" t="s">
        <v>345</v>
      </c>
      <c r="G31" s="220"/>
      <c r="H31" s="220"/>
      <c r="I31" s="94"/>
      <c r="J31" s="62"/>
      <c r="K31" s="62"/>
      <c r="L31" s="62"/>
    </row>
    <row r="32" spans="1:12" x14ac:dyDescent="0.25">
      <c r="A32" s="255" t="s">
        <v>104</v>
      </c>
      <c r="B32" s="255"/>
      <c r="C32" s="255"/>
      <c r="D32" s="255"/>
      <c r="E32" s="255"/>
      <c r="F32" s="255"/>
      <c r="G32" s="220"/>
      <c r="H32" s="220"/>
      <c r="I32" s="94"/>
      <c r="J32" s="62"/>
      <c r="K32" s="62"/>
      <c r="L32" s="62"/>
    </row>
    <row r="33" spans="1:12" x14ac:dyDescent="0.25">
      <c r="A33" s="201" t="s">
        <v>105</v>
      </c>
      <c r="B33" s="201"/>
      <c r="C33" s="290" t="s">
        <v>346</v>
      </c>
      <c r="D33" s="290"/>
      <c r="E33" s="290"/>
      <c r="F33" s="290"/>
      <c r="G33" s="300" t="s">
        <v>258</v>
      </c>
      <c r="H33" s="300"/>
      <c r="I33" s="62"/>
      <c r="J33" s="62"/>
      <c r="K33" s="62"/>
      <c r="L33" s="62"/>
    </row>
    <row r="34" spans="1:12" ht="15" customHeight="1" x14ac:dyDescent="0.25">
      <c r="A34" s="201" t="s">
        <v>106</v>
      </c>
      <c r="B34" s="201"/>
      <c r="C34" s="290" t="s">
        <v>346</v>
      </c>
      <c r="D34" s="290"/>
      <c r="E34" s="290"/>
      <c r="F34" s="290"/>
      <c r="G34" s="300"/>
      <c r="H34" s="300"/>
      <c r="I34" s="62"/>
      <c r="J34" s="62"/>
      <c r="K34" s="62"/>
      <c r="L34" s="62"/>
    </row>
    <row r="35" spans="1:12" ht="15" customHeight="1" x14ac:dyDescent="0.25">
      <c r="A35" s="201" t="s">
        <v>107</v>
      </c>
      <c r="B35" s="201"/>
      <c r="C35" s="290" t="s">
        <v>321</v>
      </c>
      <c r="D35" s="290"/>
      <c r="E35" s="290"/>
      <c r="F35" s="290"/>
      <c r="G35" s="220"/>
      <c r="H35" s="220"/>
      <c r="I35" s="62"/>
      <c r="J35" s="62"/>
      <c r="K35" s="62"/>
      <c r="L35" s="62"/>
    </row>
    <row r="36" spans="1:12" x14ac:dyDescent="0.25">
      <c r="A36" s="201" t="s">
        <v>108</v>
      </c>
      <c r="B36" s="201"/>
      <c r="C36" s="290" t="str">
        <f>IF(AND(E22="Mumbai"),"Developed","Developing")</f>
        <v>Developing</v>
      </c>
      <c r="D36" s="290"/>
      <c r="E36" s="290"/>
      <c r="F36" s="290"/>
      <c r="G36" s="220"/>
      <c r="H36" s="220"/>
      <c r="I36" s="62"/>
      <c r="J36" s="62"/>
      <c r="K36" s="62"/>
      <c r="L36" s="62"/>
    </row>
    <row r="37" spans="1:12" ht="15" customHeight="1" x14ac:dyDescent="0.25">
      <c r="A37" s="201" t="s">
        <v>109</v>
      </c>
      <c r="B37" s="201"/>
      <c r="C37" s="290" t="s">
        <v>260</v>
      </c>
      <c r="D37" s="290"/>
      <c r="E37" s="290"/>
      <c r="F37" s="290"/>
      <c r="G37" s="220"/>
      <c r="H37" s="220"/>
      <c r="I37" s="62"/>
      <c r="J37" s="62"/>
      <c r="K37" s="62"/>
      <c r="L37" s="62"/>
    </row>
    <row r="38" spans="1:12" x14ac:dyDescent="0.25">
      <c r="A38" s="201" t="s">
        <v>110</v>
      </c>
      <c r="B38" s="201"/>
      <c r="C38" s="305">
        <f ca="1">E170</f>
        <v>0.61673076923076919</v>
      </c>
      <c r="D38" s="290"/>
      <c r="E38" s="290"/>
      <c r="F38" s="290"/>
      <c r="G38" s="220"/>
      <c r="H38" s="220"/>
      <c r="I38" s="62"/>
      <c r="J38" s="62"/>
      <c r="K38" s="62"/>
      <c r="L38" s="62"/>
    </row>
    <row r="39" spans="1:12" ht="15" customHeight="1" x14ac:dyDescent="0.25">
      <c r="A39" s="201" t="s">
        <v>111</v>
      </c>
      <c r="B39" s="201"/>
      <c r="C39" s="290" t="s">
        <v>261</v>
      </c>
      <c r="D39" s="290"/>
      <c r="E39" s="290"/>
      <c r="F39" s="290"/>
      <c r="G39" s="220"/>
      <c r="H39" s="220"/>
      <c r="I39" s="62"/>
      <c r="J39" s="62"/>
      <c r="K39" s="62"/>
      <c r="L39" s="62"/>
    </row>
    <row r="40" spans="1:12" x14ac:dyDescent="0.25">
      <c r="A40" s="201" t="s">
        <v>112</v>
      </c>
      <c r="B40" s="201"/>
      <c r="C40" s="290" t="s">
        <v>261</v>
      </c>
      <c r="D40" s="290"/>
      <c r="E40" s="290"/>
      <c r="F40" s="290"/>
      <c r="G40" s="220"/>
      <c r="H40" s="220"/>
      <c r="I40" s="62"/>
      <c r="J40" s="62"/>
      <c r="K40" s="62"/>
      <c r="L40" s="62"/>
    </row>
    <row r="41" spans="1:12" x14ac:dyDescent="0.25">
      <c r="A41" s="201" t="s">
        <v>113</v>
      </c>
      <c r="B41" s="201"/>
      <c r="C41" s="290" t="s">
        <v>347</v>
      </c>
      <c r="D41" s="290"/>
      <c r="E41" s="290"/>
      <c r="F41" s="290"/>
      <c r="G41" s="220"/>
      <c r="H41" s="220"/>
      <c r="I41" s="62"/>
      <c r="J41" s="62"/>
      <c r="K41" s="62"/>
      <c r="L41" s="62"/>
    </row>
    <row r="42" spans="1:12" x14ac:dyDescent="0.25">
      <c r="A42" s="236" t="s">
        <v>115</v>
      </c>
      <c r="B42" s="236"/>
      <c r="C42" s="236"/>
      <c r="D42" s="236"/>
      <c r="E42" s="236"/>
      <c r="F42" s="236"/>
      <c r="G42" s="220"/>
      <c r="H42" s="220"/>
      <c r="I42" s="62"/>
      <c r="J42" s="62"/>
      <c r="K42" s="62"/>
      <c r="L42" s="62"/>
    </row>
    <row r="43" spans="1:12" x14ac:dyDescent="0.25">
      <c r="A43" s="201" t="s">
        <v>116</v>
      </c>
      <c r="B43" s="201"/>
      <c r="C43" s="201" t="s">
        <v>114</v>
      </c>
      <c r="D43" s="201"/>
      <c r="E43" s="201"/>
      <c r="F43" s="201"/>
      <c r="G43" s="220"/>
      <c r="H43" s="220"/>
      <c r="I43" s="62"/>
      <c r="J43" s="62"/>
      <c r="K43" s="62"/>
      <c r="L43" s="62"/>
    </row>
    <row r="44" spans="1:12" x14ac:dyDescent="0.25">
      <c r="A44" s="201" t="s">
        <v>380</v>
      </c>
      <c r="B44" s="201"/>
      <c r="C44" s="226">
        <v>345608.62</v>
      </c>
      <c r="D44" s="226"/>
      <c r="E44" s="226"/>
      <c r="F44" s="226"/>
      <c r="G44" s="220"/>
      <c r="H44" s="220"/>
      <c r="I44" s="62"/>
      <c r="J44" s="62"/>
      <c r="K44" s="62"/>
      <c r="L44" s="62"/>
    </row>
    <row r="45" spans="1:12" hidden="1" x14ac:dyDescent="0.25">
      <c r="A45" s="201" t="s">
        <v>381</v>
      </c>
      <c r="B45" s="201"/>
      <c r="C45" s="226">
        <v>167589.35</v>
      </c>
      <c r="D45" s="226"/>
      <c r="E45" s="226"/>
      <c r="F45" s="226"/>
      <c r="G45" s="220"/>
      <c r="H45" s="220"/>
      <c r="I45" s="62"/>
      <c r="J45" s="62"/>
      <c r="K45" s="62"/>
      <c r="L45" s="62"/>
    </row>
    <row r="46" spans="1:12" x14ac:dyDescent="0.25">
      <c r="A46" s="201" t="s">
        <v>379</v>
      </c>
      <c r="B46" s="201"/>
      <c r="C46" s="226">
        <v>167589.35</v>
      </c>
      <c r="D46" s="226"/>
      <c r="E46" s="226"/>
      <c r="F46" s="226"/>
      <c r="G46" s="220"/>
      <c r="H46" s="220"/>
      <c r="I46" s="62"/>
      <c r="J46" s="62"/>
      <c r="K46" s="62"/>
      <c r="L46" s="62"/>
    </row>
    <row r="47" spans="1:12" x14ac:dyDescent="0.25">
      <c r="A47" s="201" t="s">
        <v>117</v>
      </c>
      <c r="B47" s="201"/>
      <c r="C47" s="226">
        <v>556202.18000000005</v>
      </c>
      <c r="D47" s="226"/>
      <c r="E47" s="226"/>
      <c r="F47" s="226"/>
      <c r="G47" s="220">
        <f>C47/C45</f>
        <v>3.3188396518036498</v>
      </c>
      <c r="H47" s="220"/>
      <c r="I47" s="62"/>
      <c r="J47" s="62"/>
      <c r="K47" s="62"/>
      <c r="L47" s="62"/>
    </row>
    <row r="48" spans="1:12" hidden="1" x14ac:dyDescent="0.25">
      <c r="A48" s="201" t="s">
        <v>118</v>
      </c>
      <c r="B48" s="201"/>
      <c r="C48" s="298">
        <f>C47-C49</f>
        <v>518993.33000000007</v>
      </c>
      <c r="D48" s="298"/>
      <c r="E48" s="298"/>
      <c r="F48" s="298"/>
      <c r="G48" s="220"/>
      <c r="H48" s="220"/>
      <c r="I48" s="62"/>
      <c r="J48" s="62"/>
      <c r="K48" s="62"/>
      <c r="L48" s="62"/>
    </row>
    <row r="49" spans="1:14" hidden="1" x14ac:dyDescent="0.25">
      <c r="A49" s="201" t="s">
        <v>119</v>
      </c>
      <c r="B49" s="201"/>
      <c r="C49" s="298">
        <f>10612.65+26596.2</f>
        <v>37208.85</v>
      </c>
      <c r="D49" s="298"/>
      <c r="E49" s="298"/>
      <c r="F49" s="298"/>
      <c r="G49" s="220"/>
      <c r="H49" s="220"/>
      <c r="I49" s="62"/>
      <c r="J49" s="62"/>
      <c r="K49" s="62"/>
      <c r="L49" s="62"/>
    </row>
    <row r="50" spans="1:14" x14ac:dyDescent="0.25">
      <c r="A50" s="201" t="s">
        <v>120</v>
      </c>
      <c r="B50" s="201"/>
      <c r="C50" s="226">
        <f>11190.65</f>
        <v>11190.65</v>
      </c>
      <c r="D50" s="226"/>
      <c r="E50" s="226"/>
      <c r="F50" s="226"/>
      <c r="G50" s="220"/>
      <c r="H50" s="220"/>
      <c r="I50" s="62"/>
      <c r="J50" s="62"/>
      <c r="K50" s="62"/>
      <c r="L50" s="62"/>
    </row>
    <row r="51" spans="1:14" x14ac:dyDescent="0.25">
      <c r="A51" s="201" t="s">
        <v>121</v>
      </c>
      <c r="B51" s="201"/>
      <c r="C51" s="226" t="s">
        <v>317</v>
      </c>
      <c r="D51" s="226"/>
      <c r="E51" s="226"/>
      <c r="F51" s="226"/>
      <c r="G51" s="220"/>
      <c r="H51" s="220"/>
      <c r="I51" s="62"/>
      <c r="J51" s="62"/>
      <c r="K51" s="62"/>
      <c r="L51" s="62"/>
    </row>
    <row r="52" spans="1:14" x14ac:dyDescent="0.25">
      <c r="A52" s="201" t="s">
        <v>122</v>
      </c>
      <c r="B52" s="201"/>
      <c r="C52" s="226">
        <v>42112.04</v>
      </c>
      <c r="D52" s="226"/>
      <c r="E52" s="226"/>
      <c r="F52" s="226"/>
      <c r="G52" s="220"/>
      <c r="H52" s="220"/>
      <c r="I52" s="62"/>
      <c r="J52" s="62"/>
      <c r="K52" s="62"/>
      <c r="L52" s="62"/>
    </row>
    <row r="53" spans="1:14" x14ac:dyDescent="0.25">
      <c r="A53" s="228" t="s">
        <v>123</v>
      </c>
      <c r="B53" s="228"/>
      <c r="C53" s="228"/>
      <c r="D53" s="228"/>
      <c r="E53" s="228"/>
      <c r="F53" s="228"/>
      <c r="G53" s="220"/>
      <c r="H53" s="220"/>
      <c r="I53" s="62"/>
      <c r="J53" s="62"/>
      <c r="K53" s="62"/>
      <c r="L53" s="62"/>
    </row>
    <row r="54" spans="1:14" x14ac:dyDescent="0.25">
      <c r="A54" s="201" t="s">
        <v>124</v>
      </c>
      <c r="B54" s="201"/>
      <c r="C54" s="227">
        <f>184348.29/C45</f>
        <v>1.1000000298348314</v>
      </c>
      <c r="D54" s="227"/>
      <c r="E54" s="227"/>
      <c r="F54" s="227"/>
      <c r="G54" s="220"/>
      <c r="H54" s="220"/>
      <c r="I54" s="62"/>
      <c r="J54" s="62"/>
      <c r="K54" s="62"/>
      <c r="L54" s="62"/>
    </row>
    <row r="55" spans="1:14" x14ac:dyDescent="0.25">
      <c r="A55" s="201" t="s">
        <v>125</v>
      </c>
      <c r="B55" s="201"/>
      <c r="C55" s="227">
        <f>89390/C45</f>
        <v>0.53338711558938556</v>
      </c>
      <c r="D55" s="227"/>
      <c r="E55" s="227"/>
      <c r="F55" s="227"/>
      <c r="G55" s="220"/>
      <c r="H55" s="220"/>
      <c r="I55" s="62"/>
      <c r="J55" s="62"/>
      <c r="K55" s="62"/>
      <c r="L55" s="62"/>
    </row>
    <row r="56" spans="1:14" x14ac:dyDescent="0.25">
      <c r="A56" s="201" t="s">
        <v>2</v>
      </c>
      <c r="B56" s="201"/>
      <c r="C56" s="227">
        <f>179791.02/C45</f>
        <v>1.072806953425143</v>
      </c>
      <c r="D56" s="227"/>
      <c r="E56" s="227"/>
      <c r="F56" s="227"/>
      <c r="G56" s="220"/>
      <c r="H56" s="220"/>
      <c r="I56" s="62"/>
      <c r="J56" s="62"/>
      <c r="K56" s="62"/>
      <c r="L56" s="62"/>
    </row>
    <row r="57" spans="1:14" x14ac:dyDescent="0.25">
      <c r="A57" s="201" t="s">
        <v>371</v>
      </c>
      <c r="B57" s="201"/>
      <c r="C57" s="227">
        <f>102721.21/C45</f>
        <v>0.61293399610416777</v>
      </c>
      <c r="D57" s="227"/>
      <c r="E57" s="227"/>
      <c r="F57" s="227"/>
      <c r="G57" s="220"/>
      <c r="H57" s="220"/>
      <c r="I57" s="62"/>
      <c r="J57" s="62"/>
      <c r="K57" s="62"/>
      <c r="L57" s="62"/>
    </row>
    <row r="58" spans="1:14" ht="24" customHeight="1" x14ac:dyDescent="0.25">
      <c r="A58" s="201" t="s">
        <v>126</v>
      </c>
      <c r="B58" s="201"/>
      <c r="C58" s="226" t="s">
        <v>317</v>
      </c>
      <c r="D58" s="226"/>
      <c r="E58" s="226"/>
      <c r="F58" s="226"/>
      <c r="G58" s="220"/>
      <c r="H58" s="220"/>
      <c r="I58" s="62"/>
      <c r="J58" s="62"/>
      <c r="K58" s="62"/>
      <c r="L58" s="62"/>
    </row>
    <row r="59" spans="1:14" ht="21" hidden="1" customHeight="1" x14ac:dyDescent="0.25">
      <c r="A59" s="201" t="s">
        <v>127</v>
      </c>
      <c r="B59" s="201"/>
      <c r="C59" s="226"/>
      <c r="D59" s="226"/>
      <c r="E59" s="226"/>
      <c r="F59" s="226"/>
      <c r="G59" s="220"/>
      <c r="H59" s="220"/>
      <c r="I59" s="62"/>
      <c r="J59" s="62"/>
      <c r="K59" s="62"/>
      <c r="L59" s="62"/>
    </row>
    <row r="60" spans="1:14" x14ac:dyDescent="0.25">
      <c r="A60" s="201" t="s">
        <v>128</v>
      </c>
      <c r="B60" s="201"/>
      <c r="C60" s="227">
        <f>SUM(C54:F59)</f>
        <v>3.3191280949535278</v>
      </c>
      <c r="D60" s="227"/>
      <c r="E60" s="227"/>
      <c r="F60" s="227"/>
      <c r="G60" s="220"/>
      <c r="H60" s="220"/>
      <c r="I60" s="62"/>
      <c r="J60" s="62"/>
      <c r="K60" s="62"/>
      <c r="L60" s="62"/>
    </row>
    <row r="61" spans="1:14" x14ac:dyDescent="0.25">
      <c r="A61" s="201" t="s">
        <v>129</v>
      </c>
      <c r="B61" s="201"/>
      <c r="C61" s="226"/>
      <c r="D61" s="226"/>
      <c r="E61" s="226"/>
      <c r="F61" s="226"/>
      <c r="G61" s="220"/>
      <c r="H61" s="220"/>
      <c r="I61" s="62"/>
      <c r="J61" s="62"/>
      <c r="K61" s="62"/>
      <c r="L61" s="62"/>
    </row>
    <row r="62" spans="1:14" x14ac:dyDescent="0.25">
      <c r="A62" s="237"/>
      <c r="B62" s="237"/>
      <c r="C62" s="237"/>
      <c r="D62" s="237"/>
      <c r="E62" s="237"/>
      <c r="F62" s="237"/>
      <c r="G62" s="62"/>
      <c r="H62" s="62"/>
      <c r="I62" s="62"/>
      <c r="J62" s="62"/>
      <c r="K62" s="62"/>
      <c r="L62" s="62"/>
      <c r="M62" s="62"/>
      <c r="N62" s="62"/>
    </row>
    <row r="63" spans="1:14" x14ac:dyDescent="0.25">
      <c r="A63" s="201" t="s">
        <v>130</v>
      </c>
      <c r="B63" s="201"/>
      <c r="C63" s="240" t="str">
        <f>D121</f>
        <v>Flats = 191</v>
      </c>
      <c r="D63" s="240"/>
      <c r="E63" s="240"/>
      <c r="F63" s="240"/>
      <c r="G63" s="220"/>
      <c r="H63" s="220"/>
      <c r="I63" s="97"/>
      <c r="J63" s="97"/>
      <c r="K63" s="94"/>
      <c r="L63" s="94"/>
      <c r="M63" s="62"/>
      <c r="N63" s="62"/>
    </row>
    <row r="64" spans="1:14" ht="15" customHeight="1" x14ac:dyDescent="0.25">
      <c r="A64" s="201" t="s">
        <v>377</v>
      </c>
      <c r="B64" s="201"/>
      <c r="C64" s="241" t="s">
        <v>376</v>
      </c>
      <c r="D64" s="241"/>
      <c r="E64" s="241"/>
      <c r="F64" s="241"/>
      <c r="G64" s="221" t="s">
        <v>378</v>
      </c>
      <c r="H64" s="222"/>
      <c r="I64" s="222"/>
      <c r="J64" s="94"/>
      <c r="K64" s="94"/>
      <c r="L64" s="94"/>
      <c r="M64" s="62"/>
      <c r="N64" s="62"/>
    </row>
    <row r="65" spans="1:14" x14ac:dyDescent="0.25">
      <c r="A65" s="201" t="s">
        <v>131</v>
      </c>
      <c r="B65" s="201"/>
      <c r="C65" s="242" t="s">
        <v>348</v>
      </c>
      <c r="D65" s="242"/>
      <c r="E65" s="242"/>
      <c r="F65" s="242"/>
      <c r="G65" s="243" t="s">
        <v>297</v>
      </c>
      <c r="H65" s="243"/>
      <c r="I65" s="137" t="s">
        <v>298</v>
      </c>
      <c r="J65" s="94"/>
      <c r="K65" s="94"/>
      <c r="L65" s="94"/>
      <c r="M65" s="62"/>
      <c r="N65" s="62"/>
    </row>
    <row r="66" spans="1:14" x14ac:dyDescent="0.25">
      <c r="A66" s="236" t="s">
        <v>132</v>
      </c>
      <c r="B66" s="236"/>
      <c r="C66" s="236"/>
      <c r="D66" s="236"/>
      <c r="E66" s="236"/>
      <c r="F66" s="236"/>
      <c r="G66" s="220"/>
      <c r="H66" s="220"/>
      <c r="I66" s="94"/>
      <c r="J66" s="94"/>
      <c r="K66" s="94"/>
      <c r="L66" s="94"/>
      <c r="M66" s="62"/>
      <c r="N66" s="62"/>
    </row>
    <row r="67" spans="1:14" ht="39" customHeight="1" x14ac:dyDescent="0.25">
      <c r="A67" s="105"/>
      <c r="B67" s="50" t="s">
        <v>133</v>
      </c>
      <c r="C67" s="50" t="s">
        <v>134</v>
      </c>
      <c r="D67" s="50" t="s">
        <v>139</v>
      </c>
      <c r="E67" s="50" t="s">
        <v>135</v>
      </c>
      <c r="F67" s="50" t="s">
        <v>138</v>
      </c>
      <c r="G67" s="98"/>
      <c r="H67" s="98"/>
      <c r="I67" s="98"/>
      <c r="J67" s="98"/>
      <c r="K67" s="98"/>
      <c r="L67" s="98"/>
      <c r="M67" s="98" t="str">
        <f t="shared" ref="M67" si="0">PROPER(G67)</f>
        <v/>
      </c>
      <c r="N67" s="62"/>
    </row>
    <row r="68" spans="1:14" ht="49.5" customHeight="1" x14ac:dyDescent="0.25">
      <c r="A68" s="50" t="s">
        <v>136</v>
      </c>
      <c r="B68" s="144" t="s">
        <v>329</v>
      </c>
      <c r="C68" s="144" t="s">
        <v>331</v>
      </c>
      <c r="D68" s="144" t="s">
        <v>333</v>
      </c>
      <c r="E68" s="144" t="s">
        <v>335</v>
      </c>
      <c r="F68" s="144" t="s">
        <v>336</v>
      </c>
      <c r="G68" s="98"/>
      <c r="H68" s="94"/>
      <c r="I68" s="94"/>
      <c r="J68" s="94"/>
      <c r="K68" s="94"/>
      <c r="L68" s="94"/>
      <c r="M68" s="94"/>
      <c r="N68" s="62"/>
    </row>
    <row r="69" spans="1:14" ht="57.75" customHeight="1" x14ac:dyDescent="0.25">
      <c r="A69" s="50" t="s">
        <v>137</v>
      </c>
      <c r="B69" s="144" t="s">
        <v>330</v>
      </c>
      <c r="C69" s="144" t="s">
        <v>332</v>
      </c>
      <c r="D69" s="144" t="s">
        <v>334</v>
      </c>
      <c r="E69" s="144" t="s">
        <v>332</v>
      </c>
      <c r="F69" s="144" t="s">
        <v>337</v>
      </c>
      <c r="G69" s="98"/>
      <c r="H69" s="94"/>
      <c r="I69" s="94"/>
      <c r="J69" s="94"/>
      <c r="K69" s="94"/>
      <c r="L69" s="94"/>
      <c r="M69" s="99"/>
    </row>
    <row r="70" spans="1:14" x14ac:dyDescent="0.25">
      <c r="A70" s="236" t="s">
        <v>140</v>
      </c>
      <c r="B70" s="236"/>
      <c r="C70" s="236"/>
      <c r="D70" s="236"/>
      <c r="E70" s="236"/>
      <c r="F70" s="236"/>
      <c r="G70" s="98"/>
      <c r="H70" s="94"/>
      <c r="I70" s="94"/>
      <c r="J70" s="94"/>
      <c r="K70" s="94"/>
      <c r="L70" s="94"/>
      <c r="M70" s="99"/>
    </row>
    <row r="71" spans="1:14" ht="47.25" customHeight="1" x14ac:dyDescent="0.25">
      <c r="A71" s="105"/>
      <c r="B71" s="50" t="s">
        <v>141</v>
      </c>
      <c r="C71" s="50" t="s">
        <v>142</v>
      </c>
      <c r="D71" s="50" t="s">
        <v>143</v>
      </c>
      <c r="E71" s="50" t="s">
        <v>144</v>
      </c>
      <c r="F71" s="50" t="s">
        <v>145</v>
      </c>
      <c r="G71" s="98"/>
      <c r="H71" s="98"/>
      <c r="I71" s="98"/>
      <c r="J71" s="98"/>
      <c r="K71" s="98"/>
      <c r="L71" s="98"/>
      <c r="M71" s="99"/>
    </row>
    <row r="72" spans="1:14" ht="25.5" customHeight="1" x14ac:dyDescent="0.25">
      <c r="A72" s="50" t="s">
        <v>146</v>
      </c>
      <c r="B72" s="148" t="s">
        <v>287</v>
      </c>
      <c r="C72" s="148" t="s">
        <v>243</v>
      </c>
      <c r="D72" s="148" t="s">
        <v>243</v>
      </c>
      <c r="E72" s="148" t="s">
        <v>243</v>
      </c>
      <c r="F72" s="148" t="s">
        <v>243</v>
      </c>
      <c r="G72" s="98"/>
      <c r="H72" s="98"/>
      <c r="I72" s="98"/>
      <c r="J72" s="98"/>
      <c r="K72" s="98"/>
      <c r="L72" s="98"/>
      <c r="M72" s="99"/>
    </row>
    <row r="73" spans="1:14" ht="42.75" customHeight="1" x14ac:dyDescent="0.25">
      <c r="A73" s="105"/>
      <c r="B73" s="101" t="s">
        <v>147</v>
      </c>
      <c r="C73" s="101" t="s">
        <v>148</v>
      </c>
      <c r="D73" s="101" t="s">
        <v>149</v>
      </c>
      <c r="E73" s="101" t="s">
        <v>150</v>
      </c>
      <c r="F73" s="101" t="s">
        <v>151</v>
      </c>
      <c r="G73" s="98"/>
      <c r="H73" s="98"/>
      <c r="I73" s="98"/>
      <c r="J73" s="98"/>
      <c r="K73" s="98"/>
      <c r="L73" s="98"/>
      <c r="M73" s="99"/>
    </row>
    <row r="74" spans="1:14" x14ac:dyDescent="0.25">
      <c r="A74" s="50" t="s">
        <v>146</v>
      </c>
      <c r="B74" s="148" t="s">
        <v>243</v>
      </c>
      <c r="C74" s="148" t="s">
        <v>243</v>
      </c>
      <c r="D74" s="148" t="s">
        <v>243</v>
      </c>
      <c r="E74" s="148" t="s">
        <v>243</v>
      </c>
      <c r="F74" s="148" t="s">
        <v>243</v>
      </c>
      <c r="G74" s="98"/>
      <c r="H74" s="98"/>
      <c r="J74" s="98"/>
      <c r="K74" s="98"/>
      <c r="L74" s="98"/>
      <c r="M74" s="99"/>
    </row>
    <row r="75" spans="1:14" hidden="1" x14ac:dyDescent="0.25">
      <c r="A75" s="47" t="s">
        <v>3</v>
      </c>
      <c r="B75" s="104"/>
      <c r="C75" s="104"/>
      <c r="D75" s="104"/>
      <c r="E75" s="104"/>
      <c r="F75" s="104"/>
      <c r="G75" s="98"/>
      <c r="H75" s="98"/>
      <c r="I75" s="98"/>
      <c r="J75" s="98"/>
      <c r="K75" s="98"/>
      <c r="L75" s="98"/>
      <c r="M75" s="99"/>
    </row>
    <row r="76" spans="1:14" x14ac:dyDescent="0.25">
      <c r="A76" s="110"/>
      <c r="B76" s="101" t="s">
        <v>152</v>
      </c>
      <c r="C76" s="101" t="s">
        <v>153</v>
      </c>
      <c r="D76" s="101" t="s">
        <v>154</v>
      </c>
      <c r="E76" s="101" t="s">
        <v>155</v>
      </c>
      <c r="F76" s="101" t="s">
        <v>156</v>
      </c>
      <c r="G76" s="98"/>
      <c r="H76" s="98"/>
      <c r="I76" s="98"/>
      <c r="J76" s="98"/>
      <c r="K76" s="98"/>
      <c r="L76" s="98"/>
      <c r="M76" s="99"/>
    </row>
    <row r="77" spans="1:14" x14ac:dyDescent="0.25">
      <c r="A77" s="101" t="s">
        <v>146</v>
      </c>
      <c r="B77" s="148" t="s">
        <v>243</v>
      </c>
      <c r="C77" s="148" t="s">
        <v>243</v>
      </c>
      <c r="D77" s="148" t="s">
        <v>243</v>
      </c>
      <c r="E77" s="148" t="s">
        <v>243</v>
      </c>
      <c r="F77" s="148" t="s">
        <v>243</v>
      </c>
      <c r="G77" s="98"/>
      <c r="H77" s="98"/>
      <c r="I77" s="98"/>
      <c r="J77" s="98"/>
      <c r="K77" s="98"/>
      <c r="L77" s="98"/>
      <c r="M77" s="99"/>
    </row>
    <row r="78" spans="1:14" hidden="1" x14ac:dyDescent="0.25">
      <c r="A78" s="100" t="s">
        <v>3</v>
      </c>
      <c r="B78" s="150"/>
      <c r="C78" s="150"/>
      <c r="D78" s="150"/>
      <c r="E78" s="150"/>
      <c r="F78" s="150"/>
      <c r="G78" s="98"/>
      <c r="H78" s="94"/>
      <c r="I78" s="94"/>
      <c r="J78" s="94"/>
      <c r="K78" s="94"/>
      <c r="L78" s="94"/>
      <c r="M78" s="99"/>
    </row>
    <row r="79" spans="1:14" x14ac:dyDescent="0.25">
      <c r="A79" s="223"/>
      <c r="B79" s="223"/>
      <c r="C79" s="223"/>
      <c r="D79" s="223"/>
      <c r="E79" s="223"/>
      <c r="F79" s="223"/>
      <c r="G79" s="98"/>
      <c r="H79" s="94"/>
      <c r="I79" s="94"/>
      <c r="J79" s="94"/>
      <c r="K79" s="94"/>
      <c r="L79" s="94"/>
      <c r="M79" s="99"/>
    </row>
    <row r="80" spans="1:14" ht="37.5" customHeight="1" thickBot="1" x14ac:dyDescent="0.3">
      <c r="A80" s="151" t="s">
        <v>157</v>
      </c>
      <c r="B80" s="239" t="s">
        <v>350</v>
      </c>
      <c r="C80" s="239"/>
      <c r="D80" s="239"/>
      <c r="E80" s="239"/>
      <c r="F80" s="239"/>
      <c r="G80" s="98"/>
      <c r="H80" s="94"/>
      <c r="I80" s="149" t="s">
        <v>349</v>
      </c>
      <c r="J80" s="94"/>
      <c r="K80" s="94"/>
      <c r="L80" s="94"/>
      <c r="M80" s="99"/>
    </row>
    <row r="81" spans="1:12" x14ac:dyDescent="0.25">
      <c r="A81" s="281" t="s">
        <v>158</v>
      </c>
      <c r="B81" s="282"/>
      <c r="C81" s="282"/>
      <c r="D81" s="282"/>
      <c r="E81" s="282"/>
      <c r="F81" s="283"/>
      <c r="G81" s="98"/>
      <c r="H81" s="62"/>
      <c r="I81" s="62"/>
      <c r="J81" s="62"/>
      <c r="K81" s="62"/>
      <c r="L81" s="62"/>
    </row>
    <row r="82" spans="1:12" ht="36.75" customHeight="1" x14ac:dyDescent="0.25">
      <c r="A82" s="116" t="s">
        <v>170</v>
      </c>
      <c r="B82" s="284" t="str">
        <f>C33</f>
        <v>Thane Municipal Corporation (TMC)</v>
      </c>
      <c r="C82" s="284"/>
      <c r="D82" s="284"/>
      <c r="E82" s="284"/>
      <c r="F82" s="285"/>
      <c r="G82" s="98"/>
      <c r="H82" s="94"/>
      <c r="I82" s="94"/>
      <c r="J82" s="94"/>
      <c r="K82" s="94"/>
      <c r="L82" s="94"/>
    </row>
    <row r="83" spans="1:12" ht="31.5" customHeight="1" x14ac:dyDescent="0.25">
      <c r="A83" s="117" t="s">
        <v>159</v>
      </c>
      <c r="B83" s="50" t="s">
        <v>171</v>
      </c>
      <c r="C83" s="50" t="s">
        <v>172</v>
      </c>
      <c r="D83" s="201" t="s">
        <v>173</v>
      </c>
      <c r="E83" s="201"/>
      <c r="F83" s="244"/>
      <c r="G83" s="98"/>
      <c r="H83" s="98"/>
      <c r="I83" s="98"/>
      <c r="J83" s="220"/>
      <c r="K83" s="220"/>
      <c r="L83" s="220"/>
    </row>
    <row r="84" spans="1:12" ht="31.5" customHeight="1" x14ac:dyDescent="0.25">
      <c r="A84" s="117" t="s">
        <v>160</v>
      </c>
      <c r="B84" s="106" t="s">
        <v>351</v>
      </c>
      <c r="C84" s="106" t="s">
        <v>352</v>
      </c>
      <c r="D84" s="234" t="s">
        <v>353</v>
      </c>
      <c r="E84" s="234"/>
      <c r="F84" s="235"/>
      <c r="G84" s="98"/>
      <c r="H84" s="94"/>
      <c r="I84" s="94"/>
      <c r="J84" s="94"/>
      <c r="K84" s="94"/>
      <c r="L84" s="94"/>
    </row>
    <row r="85" spans="1:12" ht="31.5" customHeight="1" x14ac:dyDescent="0.25">
      <c r="A85" s="117" t="s">
        <v>161</v>
      </c>
      <c r="B85" s="106" t="s">
        <v>351</v>
      </c>
      <c r="C85" s="106" t="s">
        <v>352</v>
      </c>
      <c r="D85" s="234" t="s">
        <v>353</v>
      </c>
      <c r="E85" s="234"/>
      <c r="F85" s="235"/>
      <c r="G85" s="98"/>
      <c r="H85" s="94"/>
      <c r="I85" s="94"/>
      <c r="J85" s="94"/>
      <c r="K85" s="94"/>
      <c r="L85" s="94"/>
    </row>
    <row r="86" spans="1:12" ht="29.1" customHeight="1" x14ac:dyDescent="0.25">
      <c r="A86" s="292" t="s">
        <v>162</v>
      </c>
      <c r="B86" s="224" t="s">
        <v>351</v>
      </c>
      <c r="C86" s="224" t="s">
        <v>352</v>
      </c>
      <c r="D86" s="234" t="s">
        <v>354</v>
      </c>
      <c r="E86" s="234"/>
      <c r="F86" s="235"/>
      <c r="G86" s="98"/>
      <c r="H86" s="94"/>
      <c r="I86" s="94"/>
      <c r="J86" s="94"/>
      <c r="K86" s="94"/>
      <c r="L86" s="94"/>
    </row>
    <row r="87" spans="1:12" ht="32.25" customHeight="1" x14ac:dyDescent="0.25">
      <c r="A87" s="292"/>
      <c r="B87" s="224"/>
      <c r="C87" s="224"/>
      <c r="D87" s="234" t="s">
        <v>355</v>
      </c>
      <c r="E87" s="234"/>
      <c r="F87" s="235"/>
      <c r="G87" s="98"/>
      <c r="H87" s="94"/>
      <c r="I87" s="94"/>
      <c r="J87" s="94"/>
      <c r="K87" s="94"/>
      <c r="L87" s="94"/>
    </row>
    <row r="88" spans="1:12" ht="54" customHeight="1" x14ac:dyDescent="0.25">
      <c r="A88" s="117" t="s">
        <v>163</v>
      </c>
      <c r="B88" s="106" t="s">
        <v>356</v>
      </c>
      <c r="C88" s="106" t="s">
        <v>253</v>
      </c>
      <c r="D88" s="224" t="s">
        <v>253</v>
      </c>
      <c r="E88" s="224"/>
      <c r="F88" s="225"/>
      <c r="G88" s="98"/>
      <c r="H88" s="94"/>
      <c r="I88" s="94"/>
      <c r="J88" s="94"/>
      <c r="K88" s="94"/>
      <c r="L88" s="62"/>
    </row>
    <row r="89" spans="1:12" ht="35.450000000000003" customHeight="1" x14ac:dyDescent="0.25">
      <c r="A89" s="117" t="s">
        <v>164</v>
      </c>
      <c r="B89" s="140" t="s">
        <v>356</v>
      </c>
      <c r="C89" s="140" t="s">
        <v>253</v>
      </c>
      <c r="D89" s="224" t="s">
        <v>253</v>
      </c>
      <c r="E89" s="224"/>
      <c r="F89" s="225"/>
      <c r="G89" s="98"/>
      <c r="H89" s="94"/>
      <c r="I89" s="94"/>
      <c r="J89" s="94"/>
      <c r="K89" s="94"/>
      <c r="L89" s="62"/>
    </row>
    <row r="90" spans="1:12" ht="29.1" customHeight="1" x14ac:dyDescent="0.25">
      <c r="A90" s="117" t="s">
        <v>165</v>
      </c>
      <c r="B90" s="140" t="s">
        <v>356</v>
      </c>
      <c r="C90" s="140" t="s">
        <v>253</v>
      </c>
      <c r="D90" s="224" t="s">
        <v>253</v>
      </c>
      <c r="E90" s="224"/>
      <c r="F90" s="225"/>
      <c r="G90" s="98"/>
      <c r="H90" s="94"/>
      <c r="I90" s="94"/>
      <c r="J90" s="94"/>
      <c r="K90" s="94"/>
      <c r="L90" s="62"/>
    </row>
    <row r="91" spans="1:12" ht="29.45" customHeight="1" x14ac:dyDescent="0.25">
      <c r="A91" s="117" t="s">
        <v>166</v>
      </c>
      <c r="B91" s="140" t="s">
        <v>356</v>
      </c>
      <c r="C91" s="140" t="s">
        <v>253</v>
      </c>
      <c r="D91" s="224" t="s">
        <v>253</v>
      </c>
      <c r="E91" s="224"/>
      <c r="F91" s="225"/>
      <c r="G91" s="98"/>
      <c r="H91" s="94"/>
      <c r="I91" s="94"/>
      <c r="J91" s="94"/>
      <c r="K91" s="94"/>
      <c r="L91" s="62"/>
    </row>
    <row r="92" spans="1:12" s="99" customFormat="1" ht="72.75" customHeight="1" x14ac:dyDescent="0.25">
      <c r="A92" s="160" t="s">
        <v>262</v>
      </c>
      <c r="B92" s="161" t="s">
        <v>351</v>
      </c>
      <c r="C92" s="161" t="s">
        <v>387</v>
      </c>
      <c r="D92" s="230" t="s">
        <v>388</v>
      </c>
      <c r="E92" s="230"/>
      <c r="F92" s="231"/>
      <c r="G92" s="98"/>
      <c r="H92" s="94"/>
      <c r="I92" s="94"/>
      <c r="J92" s="94"/>
      <c r="K92" s="94"/>
      <c r="L92" s="94"/>
    </row>
    <row r="93" spans="1:12" ht="85.5" customHeight="1" x14ac:dyDescent="0.25">
      <c r="A93" s="117" t="s">
        <v>263</v>
      </c>
      <c r="B93" s="148" t="s">
        <v>351</v>
      </c>
      <c r="C93" s="148" t="s">
        <v>373</v>
      </c>
      <c r="D93" s="232" t="s">
        <v>372</v>
      </c>
      <c r="E93" s="232"/>
      <c r="F93" s="233"/>
      <c r="G93" s="98"/>
      <c r="H93" s="94"/>
      <c r="I93" s="94"/>
      <c r="J93" s="94"/>
      <c r="K93" s="94"/>
      <c r="L93" s="62"/>
    </row>
    <row r="94" spans="1:12" ht="40.5" customHeight="1" x14ac:dyDescent="0.25">
      <c r="A94" s="117" t="s">
        <v>264</v>
      </c>
      <c r="B94" s="140" t="s">
        <v>356</v>
      </c>
      <c r="C94" s="140" t="s">
        <v>253</v>
      </c>
      <c r="D94" s="224" t="s">
        <v>253</v>
      </c>
      <c r="E94" s="224"/>
      <c r="F94" s="225"/>
      <c r="G94" s="98"/>
      <c r="H94" s="94"/>
      <c r="I94" s="94"/>
      <c r="J94" s="94"/>
      <c r="K94" s="94"/>
      <c r="L94" s="62"/>
    </row>
    <row r="95" spans="1:12" ht="31.5" customHeight="1" x14ac:dyDescent="0.25">
      <c r="A95" s="117" t="s">
        <v>167</v>
      </c>
      <c r="B95" s="106" t="s">
        <v>351</v>
      </c>
      <c r="C95" s="140" t="s">
        <v>253</v>
      </c>
      <c r="D95" s="234" t="s">
        <v>357</v>
      </c>
      <c r="E95" s="234"/>
      <c r="F95" s="235"/>
      <c r="G95" s="98"/>
      <c r="H95" s="94"/>
      <c r="I95" s="94"/>
      <c r="J95" s="94"/>
      <c r="K95" s="94"/>
      <c r="L95" s="62"/>
    </row>
    <row r="96" spans="1:12" ht="36" hidden="1" customHeight="1" x14ac:dyDescent="0.25">
      <c r="A96" s="117" t="s">
        <v>168</v>
      </c>
      <c r="B96" s="106"/>
      <c r="C96" s="106"/>
      <c r="D96" s="234"/>
      <c r="E96" s="234"/>
      <c r="F96" s="235"/>
      <c r="G96" s="98"/>
      <c r="H96" s="94"/>
      <c r="I96" s="94"/>
      <c r="J96" s="94"/>
      <c r="K96" s="94"/>
      <c r="L96" s="62"/>
    </row>
    <row r="97" spans="1:12" ht="24.75" thickBot="1" x14ac:dyDescent="0.3">
      <c r="A97" s="118" t="s">
        <v>169</v>
      </c>
      <c r="B97" s="253" t="s">
        <v>374</v>
      </c>
      <c r="C97" s="253"/>
      <c r="D97" s="253"/>
      <c r="E97" s="253"/>
      <c r="F97" s="254"/>
      <c r="G97" s="98"/>
      <c r="H97" s="94"/>
      <c r="I97" s="94"/>
      <c r="J97" s="94"/>
      <c r="K97" s="94"/>
      <c r="L97" s="62"/>
    </row>
    <row r="98" spans="1:12" x14ac:dyDescent="0.25">
      <c r="A98" s="255" t="s">
        <v>174</v>
      </c>
      <c r="B98" s="255"/>
      <c r="C98" s="255"/>
      <c r="D98" s="255"/>
      <c r="E98" s="255"/>
      <c r="F98" s="255"/>
      <c r="G98" s="98"/>
      <c r="H98" s="94"/>
      <c r="I98" s="98"/>
      <c r="J98" s="94"/>
      <c r="K98" s="94"/>
      <c r="L98" s="62"/>
    </row>
    <row r="99" spans="1:12" ht="48" x14ac:dyDescent="0.25">
      <c r="A99" s="50" t="s">
        <v>175</v>
      </c>
      <c r="B99" s="110" t="s">
        <v>243</v>
      </c>
      <c r="C99" s="101" t="s">
        <v>179</v>
      </c>
      <c r="D99" s="110" t="s">
        <v>265</v>
      </c>
      <c r="E99" s="108" t="s">
        <v>176</v>
      </c>
      <c r="F99" s="110" t="s">
        <v>358</v>
      </c>
      <c r="G99" s="98"/>
      <c r="H99" s="94"/>
      <c r="I99" s="94"/>
      <c r="J99" s="98"/>
      <c r="K99" s="94"/>
      <c r="L99" s="62"/>
    </row>
    <row r="100" spans="1:12" ht="24" x14ac:dyDescent="0.25">
      <c r="A100" s="47" t="s">
        <v>177</v>
      </c>
      <c r="B100" s="229">
        <v>43553</v>
      </c>
      <c r="C100" s="203"/>
      <c r="D100" s="47" t="s">
        <v>180</v>
      </c>
      <c r="E100" s="229">
        <v>47299</v>
      </c>
      <c r="F100" s="203"/>
      <c r="G100" s="98"/>
      <c r="H100" s="94"/>
      <c r="I100" s="94"/>
      <c r="J100" s="98"/>
      <c r="K100" s="94"/>
      <c r="L100" s="62"/>
    </row>
    <row r="101" spans="1:12" ht="26.25" customHeight="1" x14ac:dyDescent="0.25">
      <c r="A101" s="47" t="s">
        <v>178</v>
      </c>
      <c r="B101" s="257" t="s">
        <v>243</v>
      </c>
      <c r="C101" s="258"/>
      <c r="D101" s="258"/>
      <c r="E101" s="258"/>
      <c r="F101" s="259"/>
      <c r="G101" s="98"/>
      <c r="H101" s="94"/>
      <c r="I101" s="94"/>
      <c r="J101" s="98"/>
      <c r="K101" s="94"/>
      <c r="L101" s="62"/>
    </row>
    <row r="102" spans="1:12" x14ac:dyDescent="0.25">
      <c r="A102" s="256" t="s">
        <v>359</v>
      </c>
      <c r="B102" s="256"/>
      <c r="C102" s="256"/>
      <c r="D102" s="256"/>
      <c r="E102" s="256"/>
      <c r="F102" s="256"/>
      <c r="G102" s="54"/>
      <c r="H102" s="53"/>
      <c r="I102" s="54"/>
    </row>
    <row r="103" spans="1:12" s="107" customFormat="1" ht="30" x14ac:dyDescent="0.25">
      <c r="A103" s="108" t="s">
        <v>360</v>
      </c>
      <c r="B103" s="108" t="s">
        <v>361</v>
      </c>
      <c r="C103" s="108" t="s">
        <v>362</v>
      </c>
      <c r="D103" s="108" t="s">
        <v>363</v>
      </c>
      <c r="E103" s="108" t="s">
        <v>364</v>
      </c>
      <c r="F103" s="108" t="s">
        <v>365</v>
      </c>
    </row>
    <row r="104" spans="1:12" s="107" customFormat="1" x14ac:dyDescent="0.25">
      <c r="A104" s="152">
        <v>1</v>
      </c>
      <c r="B104" s="153" t="s">
        <v>366</v>
      </c>
      <c r="C104" s="153">
        <v>290</v>
      </c>
      <c r="D104" s="153" t="s">
        <v>367</v>
      </c>
      <c r="E104" s="153">
        <v>2016</v>
      </c>
      <c r="F104" s="154" t="s">
        <v>368</v>
      </c>
    </row>
    <row r="105" spans="1:12" s="107" customFormat="1" x14ac:dyDescent="0.25">
      <c r="A105" s="155">
        <f>A104+1</f>
        <v>2</v>
      </c>
      <c r="B105" s="153" t="s">
        <v>366</v>
      </c>
      <c r="C105" s="156">
        <v>1737</v>
      </c>
      <c r="D105" s="153" t="s">
        <v>367</v>
      </c>
      <c r="E105" s="156">
        <v>2016</v>
      </c>
      <c r="F105" s="154" t="s">
        <v>368</v>
      </c>
    </row>
    <row r="106" spans="1:12" x14ac:dyDescent="0.25">
      <c r="A106" s="236" t="s">
        <v>181</v>
      </c>
      <c r="B106" s="236"/>
      <c r="C106" s="236"/>
      <c r="D106" s="236"/>
      <c r="E106" s="236"/>
      <c r="F106" s="236"/>
      <c r="G106" s="98"/>
      <c r="H106" s="94"/>
      <c r="I106" s="98"/>
      <c r="J106" s="94"/>
      <c r="K106" s="94"/>
      <c r="L106" s="62"/>
    </row>
    <row r="107" spans="1:12" x14ac:dyDescent="0.25">
      <c r="A107" s="100" t="s">
        <v>188</v>
      </c>
      <c r="B107" s="238" t="s">
        <v>266</v>
      </c>
      <c r="C107" s="238"/>
      <c r="D107" s="100" t="s">
        <v>182</v>
      </c>
      <c r="E107" s="223" t="s">
        <v>261</v>
      </c>
      <c r="F107" s="223"/>
      <c r="G107" s="98"/>
      <c r="H107" s="94"/>
      <c r="I107" s="94"/>
      <c r="J107" s="98"/>
      <c r="K107" s="94"/>
      <c r="L107" s="62"/>
    </row>
    <row r="108" spans="1:12" ht="24" x14ac:dyDescent="0.25">
      <c r="A108" s="100" t="s">
        <v>189</v>
      </c>
      <c r="B108" s="223" t="s">
        <v>243</v>
      </c>
      <c r="C108" s="223"/>
      <c r="D108" s="100" t="s">
        <v>183</v>
      </c>
      <c r="E108" s="238" t="s">
        <v>267</v>
      </c>
      <c r="F108" s="238"/>
      <c r="G108" s="98"/>
      <c r="H108" s="94"/>
      <c r="I108" s="94"/>
      <c r="J108" s="98"/>
      <c r="K108" s="94"/>
      <c r="L108" s="62"/>
    </row>
    <row r="109" spans="1:12" ht="36" x14ac:dyDescent="0.25">
      <c r="A109" s="100" t="s">
        <v>190</v>
      </c>
      <c r="B109" s="223" t="s">
        <v>261</v>
      </c>
      <c r="C109" s="223"/>
      <c r="D109" s="100" t="s">
        <v>184</v>
      </c>
      <c r="E109" s="223" t="s">
        <v>261</v>
      </c>
      <c r="F109" s="223"/>
      <c r="G109" s="98"/>
      <c r="H109" s="94"/>
      <c r="I109" s="94"/>
      <c r="J109" s="98"/>
      <c r="K109" s="94"/>
      <c r="L109" s="62"/>
    </row>
    <row r="110" spans="1:12" ht="24" customHeight="1" x14ac:dyDescent="0.25">
      <c r="A110" s="100" t="s">
        <v>191</v>
      </c>
      <c r="B110" s="223" t="s">
        <v>261</v>
      </c>
      <c r="C110" s="223"/>
      <c r="D110" s="100" t="s">
        <v>185</v>
      </c>
      <c r="E110" s="223" t="s">
        <v>261</v>
      </c>
      <c r="F110" s="223"/>
      <c r="G110" s="98"/>
      <c r="H110" s="94"/>
      <c r="I110" s="94"/>
      <c r="J110" s="98"/>
      <c r="K110" s="94"/>
      <c r="L110" s="62"/>
    </row>
    <row r="111" spans="1:12" ht="36" x14ac:dyDescent="0.25">
      <c r="A111" s="100" t="s">
        <v>192</v>
      </c>
      <c r="B111" s="223" t="s">
        <v>261</v>
      </c>
      <c r="C111" s="223"/>
      <c r="D111" s="100" t="s">
        <v>186</v>
      </c>
      <c r="E111" s="223" t="s">
        <v>261</v>
      </c>
      <c r="F111" s="223"/>
      <c r="G111" s="98"/>
      <c r="H111" s="94"/>
      <c r="I111" s="94"/>
      <c r="J111" s="98"/>
      <c r="K111" s="94"/>
      <c r="L111" s="62"/>
    </row>
    <row r="112" spans="1:12" x14ac:dyDescent="0.25">
      <c r="A112" s="100" t="s">
        <v>193</v>
      </c>
      <c r="B112" s="223" t="s">
        <v>261</v>
      </c>
      <c r="C112" s="223"/>
      <c r="D112" s="100" t="s">
        <v>187</v>
      </c>
      <c r="E112" s="223" t="s">
        <v>261</v>
      </c>
      <c r="F112" s="223"/>
      <c r="G112" s="98"/>
      <c r="H112" s="94"/>
      <c r="I112" s="94"/>
      <c r="J112" s="98"/>
      <c r="K112" s="94"/>
      <c r="L112" s="62"/>
    </row>
    <row r="113" spans="1:12" x14ac:dyDescent="0.25">
      <c r="A113" s="252" t="s">
        <v>194</v>
      </c>
      <c r="B113" s="252"/>
      <c r="C113" s="200" t="s">
        <v>243</v>
      </c>
      <c r="D113" s="200"/>
      <c r="E113" s="200"/>
      <c r="F113" s="200"/>
      <c r="G113" s="220"/>
      <c r="H113" s="220"/>
      <c r="I113" s="94"/>
      <c r="J113" s="94"/>
      <c r="K113" s="94"/>
      <c r="L113" s="62"/>
    </row>
    <row r="114" spans="1:12" ht="30" customHeight="1" x14ac:dyDescent="0.25">
      <c r="A114" s="201" t="s">
        <v>195</v>
      </c>
      <c r="B114" s="201"/>
      <c r="C114" s="200" t="s">
        <v>261</v>
      </c>
      <c r="D114" s="200"/>
      <c r="E114" s="200"/>
      <c r="F114" s="200"/>
      <c r="G114" s="220"/>
      <c r="H114" s="220"/>
      <c r="I114" s="94"/>
      <c r="J114" s="94"/>
      <c r="K114" s="94"/>
      <c r="L114" s="62"/>
    </row>
    <row r="115" spans="1:12" x14ac:dyDescent="0.25">
      <c r="A115" s="236" t="s">
        <v>196</v>
      </c>
      <c r="B115" s="236"/>
      <c r="C115" s="236"/>
      <c r="D115" s="236"/>
      <c r="E115" s="236"/>
      <c r="F115" s="236"/>
      <c r="G115" s="98"/>
      <c r="H115" s="94"/>
      <c r="I115" s="94"/>
      <c r="J115" s="94"/>
      <c r="K115" s="94"/>
      <c r="L115" s="62"/>
    </row>
    <row r="116" spans="1:12" ht="36" customHeight="1" x14ac:dyDescent="0.25">
      <c r="A116" s="304" t="s">
        <v>198</v>
      </c>
      <c r="B116" s="304"/>
      <c r="C116" s="304"/>
      <c r="D116" s="304"/>
      <c r="E116" s="304" t="s">
        <v>197</v>
      </c>
      <c r="F116" s="304"/>
      <c r="G116" s="98"/>
      <c r="H116" s="98"/>
      <c r="I116" s="98"/>
      <c r="J116" s="98"/>
      <c r="K116" s="98"/>
      <c r="L116" s="66"/>
    </row>
    <row r="117" spans="1:12" x14ac:dyDescent="0.25">
      <c r="A117" s="202" t="s">
        <v>253</v>
      </c>
      <c r="B117" s="202"/>
      <c r="C117" s="202"/>
      <c r="D117" s="202"/>
      <c r="E117" s="223" t="s">
        <v>261</v>
      </c>
      <c r="F117" s="223"/>
      <c r="G117" s="94"/>
      <c r="H117" s="94"/>
      <c r="I117" s="94"/>
      <c r="J117" s="94"/>
      <c r="K117" s="94"/>
      <c r="L117" s="62"/>
    </row>
    <row r="118" spans="1:12" hidden="1" x14ac:dyDescent="0.25">
      <c r="A118" s="202"/>
      <c r="B118" s="202"/>
      <c r="C118" s="202"/>
      <c r="D118" s="202"/>
      <c r="E118" s="202"/>
      <c r="F118" s="202"/>
      <c r="G118" s="62"/>
      <c r="H118" s="62"/>
      <c r="I118" s="62"/>
      <c r="J118" s="62"/>
      <c r="K118" s="62"/>
      <c r="L118" s="62"/>
    </row>
    <row r="119" spans="1:12" x14ac:dyDescent="0.25">
      <c r="A119" s="203"/>
      <c r="B119" s="203"/>
      <c r="C119" s="203"/>
      <c r="D119" s="203"/>
      <c r="E119" s="203"/>
      <c r="F119" s="203"/>
      <c r="G119" s="62"/>
      <c r="H119" s="62"/>
      <c r="I119" s="62"/>
      <c r="J119" s="62"/>
      <c r="K119" s="62"/>
      <c r="L119" s="62"/>
    </row>
    <row r="120" spans="1:12" ht="36" x14ac:dyDescent="0.25">
      <c r="A120" s="50" t="s">
        <v>199</v>
      </c>
      <c r="B120" s="50" t="s">
        <v>200</v>
      </c>
      <c r="C120" s="50" t="s">
        <v>201</v>
      </c>
      <c r="D120" s="50" t="s">
        <v>202</v>
      </c>
      <c r="E120" s="50" t="s">
        <v>203</v>
      </c>
      <c r="F120" s="50" t="s">
        <v>204</v>
      </c>
      <c r="G120" s="98"/>
      <c r="H120" s="98"/>
      <c r="I120" s="66"/>
      <c r="J120" s="66"/>
      <c r="K120" s="66"/>
      <c r="L120" s="66"/>
    </row>
    <row r="121" spans="1:12" ht="45.75" customHeight="1" x14ac:dyDescent="0.25">
      <c r="A121" s="105">
        <f t="shared" ref="A121:F121" si="1">A174</f>
        <v>1</v>
      </c>
      <c r="B121" s="105">
        <f t="shared" si="1"/>
        <v>1</v>
      </c>
      <c r="C121" s="105">
        <f t="shared" si="1"/>
        <v>0</v>
      </c>
      <c r="D121" s="105" t="str">
        <f t="shared" si="1"/>
        <v>Flats = 191</v>
      </c>
      <c r="E121" s="105" t="str">
        <f t="shared" si="1"/>
        <v>-</v>
      </c>
      <c r="F121" s="105">
        <f t="shared" si="1"/>
        <v>191</v>
      </c>
      <c r="G121" s="99"/>
      <c r="H121" s="99"/>
    </row>
    <row r="122" spans="1:12" x14ac:dyDescent="0.25">
      <c r="A122" s="201" t="s">
        <v>268</v>
      </c>
      <c r="B122" s="201"/>
      <c r="C122" s="200" t="s">
        <v>384</v>
      </c>
      <c r="D122" s="200"/>
      <c r="E122" s="200"/>
      <c r="F122" s="200"/>
      <c r="G122" s="220"/>
      <c r="H122" s="220"/>
    </row>
    <row r="123" spans="1:12" x14ac:dyDescent="0.25">
      <c r="A123" s="201" t="s">
        <v>269</v>
      </c>
      <c r="B123" s="201"/>
      <c r="C123" s="200" t="s">
        <v>384</v>
      </c>
      <c r="D123" s="200"/>
      <c r="E123" s="200"/>
      <c r="F123" s="200"/>
      <c r="G123" s="220"/>
      <c r="H123" s="220"/>
    </row>
    <row r="124" spans="1:12" hidden="1" x14ac:dyDescent="0.25">
      <c r="A124" s="201"/>
      <c r="B124" s="201"/>
      <c r="C124" s="219" t="s">
        <v>290</v>
      </c>
      <c r="D124" s="219"/>
      <c r="E124" s="219"/>
      <c r="F124" s="219"/>
      <c r="G124" s="220"/>
      <c r="H124" s="220"/>
    </row>
    <row r="125" spans="1:12" hidden="1" x14ac:dyDescent="0.25">
      <c r="A125" s="201"/>
      <c r="B125" s="201"/>
      <c r="C125" s="219"/>
      <c r="D125" s="219"/>
      <c r="E125" s="219"/>
      <c r="F125" s="219"/>
      <c r="G125" s="220"/>
      <c r="H125" s="220"/>
    </row>
    <row r="126" spans="1:12" x14ac:dyDescent="0.25">
      <c r="A126" s="201" t="s">
        <v>205</v>
      </c>
      <c r="B126" s="201"/>
      <c r="C126" s="200" t="s">
        <v>243</v>
      </c>
      <c r="D126" s="200"/>
      <c r="E126" s="200"/>
      <c r="F126" s="200"/>
      <c r="G126" s="220"/>
      <c r="H126" s="220"/>
    </row>
    <row r="127" spans="1:12" x14ac:dyDescent="0.25">
      <c r="A127" s="201" t="s">
        <v>206</v>
      </c>
      <c r="B127" s="201"/>
      <c r="C127" s="200" t="s">
        <v>243</v>
      </c>
      <c r="D127" s="200"/>
      <c r="E127" s="200"/>
      <c r="F127" s="200"/>
      <c r="G127" s="220"/>
      <c r="H127" s="220"/>
    </row>
    <row r="128" spans="1:12" ht="30" customHeight="1" x14ac:dyDescent="0.25">
      <c r="A128" s="201" t="s">
        <v>207</v>
      </c>
      <c r="B128" s="201"/>
      <c r="C128" s="249" t="s">
        <v>369</v>
      </c>
      <c r="D128" s="202"/>
      <c r="E128" s="202"/>
      <c r="F128" s="202"/>
      <c r="G128" s="220"/>
      <c r="H128" s="220"/>
    </row>
    <row r="129" spans="1:12" ht="45.75" customHeight="1" x14ac:dyDescent="0.25">
      <c r="A129" s="201" t="s">
        <v>208</v>
      </c>
      <c r="B129" s="201"/>
      <c r="C129" s="250" t="s">
        <v>370</v>
      </c>
      <c r="D129" s="250"/>
      <c r="E129" s="250"/>
      <c r="F129" s="250"/>
      <c r="G129" s="220"/>
      <c r="H129" s="220"/>
    </row>
    <row r="130" spans="1:12" ht="15.75" thickBot="1" x14ac:dyDescent="0.3">
      <c r="A130" s="311" t="s">
        <v>4</v>
      </c>
      <c r="B130" s="311"/>
      <c r="C130" s="311"/>
      <c r="D130" s="311"/>
      <c r="E130" s="311"/>
      <c r="F130" s="311"/>
      <c r="G130" s="162" t="s">
        <v>390</v>
      </c>
      <c r="H130" s="1"/>
    </row>
    <row r="131" spans="1:12" x14ac:dyDescent="0.25">
      <c r="A131" s="212" t="str">
        <f>C123</f>
        <v>Plot C W47 = Gr. + 1st to 39th Floor</v>
      </c>
      <c r="B131" s="213"/>
      <c r="C131" s="78" t="s">
        <v>5</v>
      </c>
      <c r="D131" s="78" t="s">
        <v>6</v>
      </c>
      <c r="E131" s="78" t="s">
        <v>7</v>
      </c>
      <c r="F131" s="79" t="s">
        <v>8</v>
      </c>
      <c r="G131" s="2" t="str">
        <f ca="1">(IF(E135&gt;99%,"All work completed. Please provide OC.",IF(E135&gt;89.8%,"Plinth, RCC, Brick, Plaster, Flooring, Painting work Completed. Finishing work is in process.",IF(E135&lt;94%,(IF(C135=0,"Work not yet Started.",IF(C135=H136,"Excavation Work in process",IF(C135=H137,"Foudation Work in process",IF(C135=H138,"1st Basement Completed",IF(C135=H139,"1st &amp; 2nd Basement Completed",IF(C135=H140,"1st to 3rd Basement Completed",IF(C135=H141,"1st to 4th Basement Completed",IF(C135=H142,"Plinth work is process",IF(C135=H143,"Plinth work completed","0"))))))))))))&amp;(IF(C136=(D132+E132+F132),", RCC Slab",IF(C136&gt;0,", RCC upto "&amp;C136&amp;" Slab",""))&amp;(IF(C137=F132,", Brickwork",IF(C137&gt;0,", Brickwork upto "&amp;C137&amp;" Floor",""))&amp;(IF(C138=F132,", Plaster",IF(C138&gt;0,", Plaster upto "&amp;C138&amp;" Floor",""))&amp;(IF(C139=F132,", Flooring",IF(C139&gt;0,", Flooring upto "&amp;C139&amp;" Floor",""))&amp;(IF(C140=F132,", Flooring",IF(C140&gt;0,", Flooring upto "&amp;C140&amp;" Floor",""))&amp;(IF(C141=F132,", Painting",IF(C141&gt;0,", Painting upto "&amp;C141&amp;" Floor",""))&amp;(IF(C142&gt;0,", Finishing upto "&amp;C142&amp;" Floor","")&amp;(IF(C136&gt;0.5," Completed","")))))))))))</f>
        <v>Plinth work completed, RCC upto 24 Slab, Brickwork upto 23 Floor, Plaster upto 17.25 Floor, Flooring upto 4 Floor Completed</v>
      </c>
      <c r="H131" s="3"/>
    </row>
    <row r="132" spans="1:12" x14ac:dyDescent="0.25">
      <c r="A132" s="214"/>
      <c r="B132" s="215"/>
      <c r="C132" s="80">
        <v>0</v>
      </c>
      <c r="D132" s="80">
        <v>1</v>
      </c>
      <c r="E132" s="80">
        <v>0</v>
      </c>
      <c r="F132" s="81">
        <f ca="1">--TRIM(RIGHT(SUBSTITUTE(LEFT(A131,_xlfn.AGGREGATE(16,6,FIND({0,1,2,3,4,5,6,7,8,9},A131,ROW(INDIRECT("1:"&amp;LEN(A131)))),1))," ",REPT(" ",LEN(A131))),LEN(A131)))</f>
        <v>39</v>
      </c>
      <c r="G132" s="4"/>
      <c r="H132" s="5"/>
      <c r="L132" t="s">
        <v>211</v>
      </c>
    </row>
    <row r="133" spans="1:12" ht="30" customHeight="1" x14ac:dyDescent="0.25">
      <c r="A133" s="119" t="s">
        <v>9</v>
      </c>
      <c r="B133" s="215" t="str">
        <f ca="1">G131</f>
        <v>Plinth work completed, RCC upto 24 Slab, Brickwork upto 23 Floor, Plaster upto 17.25 Floor, Flooring upto 4 Floor Completed</v>
      </c>
      <c r="C133" s="215"/>
      <c r="D133" s="215"/>
      <c r="E133" s="215"/>
      <c r="F133" s="216"/>
      <c r="G133" s="4" t="s">
        <v>10</v>
      </c>
      <c r="H133" s="5"/>
      <c r="L133" t="s">
        <v>209</v>
      </c>
    </row>
    <row r="134" spans="1:12" x14ac:dyDescent="0.25">
      <c r="A134" s="82" t="s">
        <v>11</v>
      </c>
      <c r="B134" s="83" t="s">
        <v>12</v>
      </c>
      <c r="C134" s="84" t="s">
        <v>13</v>
      </c>
      <c r="D134" s="84" t="s">
        <v>14</v>
      </c>
      <c r="E134" s="217" t="s">
        <v>37</v>
      </c>
      <c r="F134" s="218"/>
      <c r="G134" s="6"/>
      <c r="H134" s="7"/>
      <c r="L134" t="s">
        <v>210</v>
      </c>
    </row>
    <row r="135" spans="1:12" x14ac:dyDescent="0.25">
      <c r="A135" s="82" t="s">
        <v>19</v>
      </c>
      <c r="B135" s="85">
        <v>0.35</v>
      </c>
      <c r="C135" s="88">
        <f ca="1">H143</f>
        <v>39</v>
      </c>
      <c r="D135" s="87">
        <f ca="1">((100/F132)*C135)/100</f>
        <v>1.0000000000000002</v>
      </c>
      <c r="E135" s="312">
        <f ca="1">((((C135/F132)*35)+(35/(F132+E132+D132)*C136)+(5/F132*C137)+(5/F132*C138)+(5/F132*C139)+(5/F132*C140)+(5/F132*C141)+(2.5/F132*C142)+(2.5/F132*C143))/100)</f>
        <v>0.61673076923076919</v>
      </c>
      <c r="F135" s="313"/>
      <c r="G135" s="6"/>
      <c r="H135" s="8"/>
    </row>
    <row r="136" spans="1:12" ht="30" x14ac:dyDescent="0.25">
      <c r="A136" s="82" t="s">
        <v>21</v>
      </c>
      <c r="B136" s="85">
        <v>0.35</v>
      </c>
      <c r="C136" s="102">
        <v>24</v>
      </c>
      <c r="D136" s="87">
        <f ca="1">((100/(D132+E132+F132))*C136)/100</f>
        <v>0.6</v>
      </c>
      <c r="E136" s="314"/>
      <c r="F136" s="315"/>
      <c r="G136" s="6" t="s">
        <v>288</v>
      </c>
      <c r="H136" s="9">
        <f ca="1">F132/7</f>
        <v>5.5714285714285712</v>
      </c>
    </row>
    <row r="137" spans="1:12" x14ac:dyDescent="0.25">
      <c r="A137" s="82" t="s">
        <v>23</v>
      </c>
      <c r="B137" s="85">
        <v>0.05</v>
      </c>
      <c r="C137" s="88">
        <f>C136-D132</f>
        <v>23</v>
      </c>
      <c r="D137" s="87">
        <f ca="1">((100/F132)*C137)/100</f>
        <v>0.58974358974358976</v>
      </c>
      <c r="E137" s="314"/>
      <c r="F137" s="315"/>
      <c r="G137" s="6" t="s">
        <v>289</v>
      </c>
      <c r="H137" s="9">
        <f ca="1">(IF(C132&gt;1,(F132/(C132+2)),F132/3.5))</f>
        <v>11.142857142857142</v>
      </c>
    </row>
    <row r="138" spans="1:12" x14ac:dyDescent="0.25">
      <c r="A138" s="82" t="s">
        <v>38</v>
      </c>
      <c r="B138" s="85">
        <v>0.05</v>
      </c>
      <c r="C138" s="88">
        <f>C137*0.75</f>
        <v>17.25</v>
      </c>
      <c r="D138" s="87">
        <f ca="1">((100/F132)*C138)/100</f>
        <v>0.44230769230769235</v>
      </c>
      <c r="E138" s="314"/>
      <c r="F138" s="315"/>
      <c r="G138" s="6" t="s">
        <v>26</v>
      </c>
      <c r="H138" s="9">
        <f>(IF(C132&gt;1,(F132/(C132+2)+H137),0))</f>
        <v>0</v>
      </c>
    </row>
    <row r="139" spans="1:12" x14ac:dyDescent="0.25">
      <c r="A139" s="82" t="s">
        <v>29</v>
      </c>
      <c r="B139" s="85">
        <v>0.05</v>
      </c>
      <c r="C139" s="88">
        <v>4</v>
      </c>
      <c r="D139" s="87">
        <f ca="1">((100/(F132))*C139)/100</f>
        <v>0.10256410256410257</v>
      </c>
      <c r="E139" s="314"/>
      <c r="F139" s="315"/>
      <c r="G139" s="6" t="s">
        <v>28</v>
      </c>
      <c r="H139" s="9">
        <f>(IF(C132&gt;2,(F132/(C132+2)+H138),0))</f>
        <v>0</v>
      </c>
    </row>
    <row r="140" spans="1:12" ht="14.25" customHeight="1" x14ac:dyDescent="0.25">
      <c r="A140" s="82" t="s">
        <v>39</v>
      </c>
      <c r="B140" s="85">
        <v>0.05</v>
      </c>
      <c r="C140" s="86">
        <v>0</v>
      </c>
      <c r="D140" s="87">
        <f ca="1">((100/F132)*C140)/100</f>
        <v>0</v>
      </c>
      <c r="E140" s="314"/>
      <c r="F140" s="315"/>
      <c r="G140" s="6" t="s">
        <v>30</v>
      </c>
      <c r="H140" s="10">
        <f>(IF(C132&gt;3,(F132/(C132+2)+H139),0))</f>
        <v>0</v>
      </c>
    </row>
    <row r="141" spans="1:12" x14ac:dyDescent="0.25">
      <c r="A141" s="82" t="s">
        <v>31</v>
      </c>
      <c r="B141" s="85">
        <v>0.05</v>
      </c>
      <c r="C141" s="86">
        <v>0</v>
      </c>
      <c r="D141" s="87">
        <f ca="1">((100/F132)*C141)/100</f>
        <v>0</v>
      </c>
      <c r="E141" s="314"/>
      <c r="F141" s="315"/>
      <c r="G141" s="6" t="s">
        <v>32</v>
      </c>
      <c r="H141" s="9">
        <f>(IF(C132&gt;4,(F132/(C132+2)+H140),0))</f>
        <v>0</v>
      </c>
    </row>
    <row r="142" spans="1:12" x14ac:dyDescent="0.25">
      <c r="A142" s="82" t="s">
        <v>40</v>
      </c>
      <c r="B142" s="85">
        <v>2.5000000000000001E-2</v>
      </c>
      <c r="C142" s="86">
        <v>0</v>
      </c>
      <c r="D142" s="87">
        <f ca="1">((100/(F132))*C142)/100</f>
        <v>0</v>
      </c>
      <c r="E142" s="314"/>
      <c r="F142" s="315"/>
      <c r="G142" s="6" t="s">
        <v>34</v>
      </c>
      <c r="H142" s="9">
        <f ca="1">(IF(C132=1,(F132/(C132+3)+H137),IF(C132=0,(F132*2/7+H137),IF(C132&gt;1,0))))</f>
        <v>22.285714285714285</v>
      </c>
    </row>
    <row r="143" spans="1:12" ht="15.75" thickBot="1" x14ac:dyDescent="0.3">
      <c r="A143" s="120" t="s">
        <v>35</v>
      </c>
      <c r="B143" s="121">
        <v>2.5000000000000001E-2</v>
      </c>
      <c r="C143" s="122">
        <v>0</v>
      </c>
      <c r="D143" s="123">
        <f ca="1">((100/(F132))*C143)/100</f>
        <v>0</v>
      </c>
      <c r="E143" s="316"/>
      <c r="F143" s="317"/>
      <c r="G143" s="11" t="s">
        <v>36</v>
      </c>
      <c r="H143" s="12">
        <f ca="1">F132</f>
        <v>39</v>
      </c>
    </row>
    <row r="144" spans="1:12" ht="15" hidden="1" customHeight="1" x14ac:dyDescent="0.3">
      <c r="A144" s="212" t="str">
        <f>C124</f>
        <v>Building No. 1 = Gr. + 1st to 17th Floor</v>
      </c>
      <c r="B144" s="213"/>
      <c r="C144" s="78" t="s">
        <v>5</v>
      </c>
      <c r="D144" s="78" t="s">
        <v>6</v>
      </c>
      <c r="E144" s="78" t="s">
        <v>7</v>
      </c>
      <c r="F144" s="79" t="s">
        <v>8</v>
      </c>
      <c r="G144" s="2" t="str">
        <f ca="1">(IF(E148&gt;99%,"All work completed. Please provide OC.",IF(E148&gt;89.8%,"Plinth, RCC, Brick, Plaster, Flooring, Painting work Completed. Finishing work is in process.",IF(E148&lt;94%,(IF(C148=0,"Work not yet Started.",IF(C148=H149,"Excavation Work in process",IF(C148=H150,"Foudation Work in process",IF(C148=H151,"1st Basement Completed",IF(C148=H152,"1st &amp; 2nd Basement Completed",IF(C148=H153,"1st to 3rd Basement Completed",IF(C148=H154,"1st to 4th Basement Completed",IF(C148=H155,"Plinth work is process",IF(C148=H156,"Plinth work completed","0"))))))))))))&amp;(IF(C149=(D145+E145+F145),", RCC Slab",IF(C149&gt;0,", RCC upto "&amp;C149&amp;" Slab",""))&amp;(IF(C150=F145,", Brickwork",IF(C150&gt;0,", Brickwork upto "&amp;C150&amp;" Floor",""))&amp;(IF(C151=F145,", Internal Plaster",IF(C151&gt;0,", Internal Plaster upto "&amp;C151&amp;" Floor",""))&amp;(IF(C152=F145,", External Plaster",IF(C152&gt;0,", External Plaster upto "&amp;C152&amp;" Floor",""))&amp;(IF(C153=F145,", Flooring",IF(C153&gt;0,", Flooring upto "&amp;C153&amp;" Floor",""))&amp;(IF(C154=F145,", Painting",IF(C154&gt;0,", Painting upto "&amp;C154&amp;" Floor",""))&amp;(IF(C155&gt;0,", Finishing upto "&amp;C155&amp;" Floor","")&amp;(IF(C149&gt;0.5," Completed","")))))))))))</f>
        <v>Work not yet Started.</v>
      </c>
      <c r="H144" s="3"/>
    </row>
    <row r="145" spans="1:12" hidden="1" x14ac:dyDescent="0.25">
      <c r="A145" s="214"/>
      <c r="B145" s="215"/>
      <c r="C145" s="80">
        <v>0</v>
      </c>
      <c r="D145" s="80">
        <v>1</v>
      </c>
      <c r="E145" s="80">
        <v>0</v>
      </c>
      <c r="F145" s="81">
        <f ca="1">--TRIM(RIGHT(SUBSTITUTE(LEFT(A144,_xlfn.AGGREGATE(16,6,FIND({0,1,2,3,4,5,6,7,8,9},A144,ROW(INDIRECT("1:"&amp;LEN(A144)))),1))," ",REPT(" ",LEN(A144))),LEN(A144)))</f>
        <v>17</v>
      </c>
      <c r="G145" s="4"/>
      <c r="H145" s="5"/>
      <c r="L145" t="s">
        <v>211</v>
      </c>
    </row>
    <row r="146" spans="1:12" ht="15" hidden="1" customHeight="1" x14ac:dyDescent="0.25">
      <c r="A146" s="119" t="s">
        <v>9</v>
      </c>
      <c r="B146" s="215" t="str">
        <f ca="1">G144</f>
        <v>Work not yet Started.</v>
      </c>
      <c r="C146" s="215"/>
      <c r="D146" s="215"/>
      <c r="E146" s="215"/>
      <c r="F146" s="216"/>
      <c r="G146" s="4" t="s">
        <v>10</v>
      </c>
      <c r="H146" s="5"/>
      <c r="L146" t="s">
        <v>209</v>
      </c>
    </row>
    <row r="147" spans="1:12" hidden="1" x14ac:dyDescent="0.25">
      <c r="A147" s="82" t="s">
        <v>11</v>
      </c>
      <c r="B147" s="83" t="s">
        <v>12</v>
      </c>
      <c r="C147" s="84" t="s">
        <v>13</v>
      </c>
      <c r="D147" s="84" t="s">
        <v>14</v>
      </c>
      <c r="E147" s="217" t="s">
        <v>37</v>
      </c>
      <c r="F147" s="218"/>
      <c r="G147" s="6"/>
      <c r="H147" s="7"/>
      <c r="L147" t="s">
        <v>210</v>
      </c>
    </row>
    <row r="148" spans="1:12" hidden="1" x14ac:dyDescent="0.25">
      <c r="A148" s="82" t="s">
        <v>19</v>
      </c>
      <c r="B148" s="85">
        <v>0.35</v>
      </c>
      <c r="C148" s="88">
        <f>H152</f>
        <v>0</v>
      </c>
      <c r="D148" s="134">
        <f ca="1">((100/F145)*C148)/100</f>
        <v>0</v>
      </c>
      <c r="E148" s="263">
        <f ca="1">((((C148/F145)*35)+(35/(F145+E145+D145)*C149)+(5/F145*C150)+(5/F145*C151)+(5/F145*C152)+(5/F145*C153)+(5/F145*C154)+(2.5/F145*C155)+(2.5/F145*C156))/100)</f>
        <v>0</v>
      </c>
      <c r="F148" s="264"/>
      <c r="G148" s="6"/>
      <c r="H148" s="8"/>
    </row>
    <row r="149" spans="1:12" ht="30" hidden="1" x14ac:dyDescent="0.25">
      <c r="A149" s="82" t="s">
        <v>21</v>
      </c>
      <c r="B149" s="85">
        <v>0.35</v>
      </c>
      <c r="C149" s="102">
        <v>0</v>
      </c>
      <c r="D149" s="134">
        <f ca="1">((100/(D145+E145+F145))*C149)/100</f>
        <v>0</v>
      </c>
      <c r="E149" s="263"/>
      <c r="F149" s="264"/>
      <c r="G149" s="6" t="s">
        <v>288</v>
      </c>
      <c r="H149" s="9">
        <f ca="1">F145/7</f>
        <v>2.4285714285714284</v>
      </c>
    </row>
    <row r="150" spans="1:12" hidden="1" x14ac:dyDescent="0.25">
      <c r="A150" s="82" t="s">
        <v>23</v>
      </c>
      <c r="B150" s="85">
        <v>0.05</v>
      </c>
      <c r="C150" s="86">
        <v>0</v>
      </c>
      <c r="D150" s="134">
        <f ca="1">((100/F145)*C150)/100</f>
        <v>0</v>
      </c>
      <c r="E150" s="263"/>
      <c r="F150" s="264"/>
      <c r="G150" s="6" t="s">
        <v>289</v>
      </c>
      <c r="H150" s="9">
        <f ca="1">(IF(C145&gt;1,(F145/(C145+2)),F145/3.5))</f>
        <v>4.8571428571428568</v>
      </c>
    </row>
    <row r="151" spans="1:12" hidden="1" x14ac:dyDescent="0.25">
      <c r="A151" s="82" t="s">
        <v>38</v>
      </c>
      <c r="B151" s="85">
        <v>0.05</v>
      </c>
      <c r="C151" s="86">
        <v>0</v>
      </c>
      <c r="D151" s="134">
        <f ca="1">((100/F145)*C151)/100</f>
        <v>0</v>
      </c>
      <c r="E151" s="263"/>
      <c r="F151" s="264"/>
      <c r="G151" s="6" t="s">
        <v>26</v>
      </c>
      <c r="H151" s="9">
        <f>(IF(C145&gt;1,(F145/(C145+2)+H150),0))</f>
        <v>0</v>
      </c>
    </row>
    <row r="152" spans="1:12" hidden="1" x14ac:dyDescent="0.25">
      <c r="A152" s="82" t="s">
        <v>29</v>
      </c>
      <c r="B152" s="85">
        <v>0.05</v>
      </c>
      <c r="C152" s="86">
        <v>0</v>
      </c>
      <c r="D152" s="134">
        <f ca="1">((100/(F145))*C152)/100</f>
        <v>0</v>
      </c>
      <c r="E152" s="263"/>
      <c r="F152" s="264"/>
      <c r="G152" s="6" t="s">
        <v>28</v>
      </c>
      <c r="H152" s="9">
        <f>(IF(C145&gt;2,(F145/(C145+2)+H151),0))</f>
        <v>0</v>
      </c>
    </row>
    <row r="153" spans="1:12" ht="30" hidden="1" x14ac:dyDescent="0.25">
      <c r="A153" s="82" t="s">
        <v>39</v>
      </c>
      <c r="B153" s="85">
        <v>0.05</v>
      </c>
      <c r="C153" s="86">
        <v>0</v>
      </c>
      <c r="D153" s="134">
        <f ca="1">((100/F145)*C153)/100</f>
        <v>0</v>
      </c>
      <c r="E153" s="263"/>
      <c r="F153" s="264"/>
      <c r="G153" s="6" t="s">
        <v>30</v>
      </c>
      <c r="H153" s="10">
        <f>(IF(C145&gt;3,(F145/(C145+2)+H152),0))</f>
        <v>0</v>
      </c>
    </row>
    <row r="154" spans="1:12" hidden="1" x14ac:dyDescent="0.25">
      <c r="A154" s="82" t="s">
        <v>31</v>
      </c>
      <c r="B154" s="85">
        <v>0.05</v>
      </c>
      <c r="C154" s="86">
        <v>0</v>
      </c>
      <c r="D154" s="134">
        <f ca="1">((100/F145)*C154)/100</f>
        <v>0</v>
      </c>
      <c r="E154" s="263"/>
      <c r="F154" s="264"/>
      <c r="G154" s="6" t="s">
        <v>32</v>
      </c>
      <c r="H154" s="9">
        <f>(IF(C145&gt;4,(F145/(C145+2)+H153),0))</f>
        <v>0</v>
      </c>
    </row>
    <row r="155" spans="1:12" hidden="1" x14ac:dyDescent="0.25">
      <c r="A155" s="82" t="s">
        <v>40</v>
      </c>
      <c r="B155" s="85">
        <v>2.5000000000000001E-2</v>
      </c>
      <c r="C155" s="86">
        <v>0</v>
      </c>
      <c r="D155" s="134">
        <f ca="1">((100/(F145))*C155)/100</f>
        <v>0</v>
      </c>
      <c r="E155" s="263"/>
      <c r="F155" s="264"/>
      <c r="G155" s="6" t="s">
        <v>34</v>
      </c>
      <c r="H155" s="9">
        <f ca="1">(IF(C145=1,(F145/(C145+3)+H150),IF(C145=0,(F145*2/7+H150),IF(C145&gt;1,0))))</f>
        <v>9.7142857142857135</v>
      </c>
    </row>
    <row r="156" spans="1:12" ht="15.75" hidden="1" thickBot="1" x14ac:dyDescent="0.3">
      <c r="A156" s="120" t="s">
        <v>35</v>
      </c>
      <c r="B156" s="121">
        <v>2.5000000000000001E-2</v>
      </c>
      <c r="C156" s="122">
        <v>0</v>
      </c>
      <c r="D156" s="135">
        <f ca="1">((100/(F145))*C156)/100</f>
        <v>0</v>
      </c>
      <c r="E156" s="265"/>
      <c r="F156" s="266"/>
      <c r="G156" s="11" t="s">
        <v>36</v>
      </c>
      <c r="H156" s="12">
        <f ca="1">F145</f>
        <v>17</v>
      </c>
    </row>
    <row r="157" spans="1:12" hidden="1" x14ac:dyDescent="0.25">
      <c r="A157" s="212">
        <f>C125</f>
        <v>0</v>
      </c>
      <c r="B157" s="213"/>
      <c r="C157" s="78" t="s">
        <v>5</v>
      </c>
      <c r="D157" s="78" t="s">
        <v>6</v>
      </c>
      <c r="E157" s="78" t="s">
        <v>7</v>
      </c>
      <c r="F157" s="79" t="s">
        <v>8</v>
      </c>
      <c r="G157" s="2" t="e">
        <f ca="1">(IF(E161&gt;99%,"All work completed. Please provide OC.",IF(E161&gt;89.8%,"Plinth, RCC, Brick, Plaster, Flooring, Painting work Completed. Finishing work is in process.",IF(E161&lt;94%,(IF(C161=0,"Work not yet Started.",IF(C161=H162,"Excavation Work in process",IF(C161=H163,"Foudation Work in process",IF(C161=H164,"1st Basement Completed",IF(C161=H165,"1st &amp; 2nd Basement Completed",IF(C161=H166,"1st to 3rd Basement Completed",IF(C161=H167,"1st to 4th Basement Completed",IF(C161=H168,"Plinth work is process",IF(C161=H169,"Plinth work completed","0"))))))))))))&amp;(IF(C162=(D158+E158+F158),", RCC Slab",IF(C162&gt;0,", RCC upto "&amp;C162&amp;" Slab",""))&amp;(IF(C163=F158,", Brickwork",IF(C163&gt;0,", Brickwork upto "&amp;C163&amp;" Floor",""))&amp;(IF(C164=F158,", Internal Plaster",IF(C164&gt;0,", Internal Plaster upto "&amp;C164&amp;" Floor",""))&amp;(IF(C165=F158,", External Plaster",IF(C165&gt;0,", External Plaster upto "&amp;C165&amp;" Floor",""))&amp;(IF(C166=F158,", Flooring",IF(C166&gt;0,", Flooring upto "&amp;C166&amp;" Floor",""))&amp;(IF(C167=F158,", Painting",IF(C167&gt;0,", Painting upto "&amp;C167&amp;" Floor",""))&amp;(IF(C168&gt;0,", Finishing upto "&amp;C168&amp;" Floor","")&amp;(IF(C162&gt;0.5," Completed","")))))))))))</f>
        <v>#DIV/0!</v>
      </c>
      <c r="H157" s="3"/>
    </row>
    <row r="158" spans="1:12" hidden="1" x14ac:dyDescent="0.25">
      <c r="A158" s="214"/>
      <c r="B158" s="215"/>
      <c r="C158" s="80">
        <v>0</v>
      </c>
      <c r="D158" s="80">
        <v>1</v>
      </c>
      <c r="E158" s="80">
        <v>0</v>
      </c>
      <c r="F158" s="81">
        <f ca="1">--TRIM(RIGHT(SUBSTITUTE(LEFT(A157,_xlfn.AGGREGATE(16,6,FIND({0,1,2,3,4,5,6,7,8,9},A157,ROW(INDIRECT("1:"&amp;LEN(A157)))),1))," ",REPT(" ",LEN(A157))),LEN(A157)))</f>
        <v>0</v>
      </c>
      <c r="G158" s="4"/>
      <c r="H158" s="5"/>
      <c r="L158" t="s">
        <v>211</v>
      </c>
    </row>
    <row r="159" spans="1:12" hidden="1" x14ac:dyDescent="0.25">
      <c r="A159" s="119" t="s">
        <v>9</v>
      </c>
      <c r="B159" s="215" t="e">
        <f ca="1">G157</f>
        <v>#DIV/0!</v>
      </c>
      <c r="C159" s="215"/>
      <c r="D159" s="215"/>
      <c r="E159" s="215"/>
      <c r="F159" s="216"/>
      <c r="G159" s="4" t="s">
        <v>10</v>
      </c>
      <c r="H159" s="5"/>
      <c r="L159" t="s">
        <v>209</v>
      </c>
    </row>
    <row r="160" spans="1:12" hidden="1" x14ac:dyDescent="0.25">
      <c r="A160" s="82" t="s">
        <v>11</v>
      </c>
      <c r="B160" s="83" t="s">
        <v>12</v>
      </c>
      <c r="C160" s="84" t="s">
        <v>13</v>
      </c>
      <c r="D160" s="84" t="s">
        <v>14</v>
      </c>
      <c r="E160" s="217" t="s">
        <v>37</v>
      </c>
      <c r="F160" s="218"/>
      <c r="G160" s="6"/>
      <c r="H160" s="7"/>
      <c r="L160" t="s">
        <v>210</v>
      </c>
    </row>
    <row r="161" spans="1:13" hidden="1" x14ac:dyDescent="0.25">
      <c r="A161" s="82" t="s">
        <v>19</v>
      </c>
      <c r="B161" s="85">
        <v>0.35</v>
      </c>
      <c r="C161" s="88">
        <f>H165</f>
        <v>0</v>
      </c>
      <c r="D161" s="134" t="e">
        <f ca="1">((100/F158)*C161)/100</f>
        <v>#DIV/0!</v>
      </c>
      <c r="E161" s="263" t="e">
        <f ca="1">((((C161/F158)*35)+(35/(F158+E158+D158)*C162)+(5/F158*C163)+(5/F158*C164)+(5/F158*C165)+(5/F158*C166)+(5/F158*C167)+(2.5/F158*C168)+(2.5/F158*C169))/100)</f>
        <v>#DIV/0!</v>
      </c>
      <c r="F161" s="264"/>
      <c r="G161" s="6"/>
      <c r="H161" s="8"/>
    </row>
    <row r="162" spans="1:13" ht="30" hidden="1" x14ac:dyDescent="0.25">
      <c r="A162" s="82" t="s">
        <v>21</v>
      </c>
      <c r="B162" s="85">
        <v>0.35</v>
      </c>
      <c r="C162" s="102">
        <v>0</v>
      </c>
      <c r="D162" s="134">
        <f ca="1">((100/(D158+E158+F158))*C162)/100</f>
        <v>0</v>
      </c>
      <c r="E162" s="263"/>
      <c r="F162" s="264"/>
      <c r="G162" s="6" t="s">
        <v>288</v>
      </c>
      <c r="H162" s="9">
        <f ca="1">F158/7</f>
        <v>0</v>
      </c>
    </row>
    <row r="163" spans="1:13" hidden="1" x14ac:dyDescent="0.25">
      <c r="A163" s="82" t="s">
        <v>23</v>
      </c>
      <c r="B163" s="85">
        <v>0.05</v>
      </c>
      <c r="C163" s="86">
        <v>0</v>
      </c>
      <c r="D163" s="134" t="e">
        <f ca="1">((100/F158)*C163)/100</f>
        <v>#DIV/0!</v>
      </c>
      <c r="E163" s="263"/>
      <c r="F163" s="264"/>
      <c r="G163" s="6" t="s">
        <v>289</v>
      </c>
      <c r="H163" s="9">
        <f ca="1">(IF(C158&gt;1,(F158/(C158+2)),F158/3.5))</f>
        <v>0</v>
      </c>
    </row>
    <row r="164" spans="1:13" hidden="1" x14ac:dyDescent="0.25">
      <c r="A164" s="82" t="s">
        <v>38</v>
      </c>
      <c r="B164" s="85">
        <v>0.05</v>
      </c>
      <c r="C164" s="86">
        <v>0</v>
      </c>
      <c r="D164" s="134" t="e">
        <f ca="1">((100/F158)*C164)/100</f>
        <v>#DIV/0!</v>
      </c>
      <c r="E164" s="263"/>
      <c r="F164" s="264"/>
      <c r="G164" s="6" t="s">
        <v>26</v>
      </c>
      <c r="H164" s="9">
        <f>(IF(C158&gt;1,(F158/(C158+2)+H163),0))</f>
        <v>0</v>
      </c>
    </row>
    <row r="165" spans="1:13" hidden="1" x14ac:dyDescent="0.25">
      <c r="A165" s="82" t="s">
        <v>29</v>
      </c>
      <c r="B165" s="85">
        <v>0.05</v>
      </c>
      <c r="C165" s="86">
        <v>0</v>
      </c>
      <c r="D165" s="134" t="e">
        <f ca="1">((100/(F158))*C165)/100</f>
        <v>#DIV/0!</v>
      </c>
      <c r="E165" s="263"/>
      <c r="F165" s="264"/>
      <c r="G165" s="6" t="s">
        <v>28</v>
      </c>
      <c r="H165" s="9">
        <f>(IF(C158&gt;2,(F158/(C158+2)+H164),0))</f>
        <v>0</v>
      </c>
    </row>
    <row r="166" spans="1:13" ht="30" hidden="1" x14ac:dyDescent="0.25">
      <c r="A166" s="82" t="s">
        <v>39</v>
      </c>
      <c r="B166" s="85">
        <v>0.05</v>
      </c>
      <c r="C166" s="86">
        <v>0</v>
      </c>
      <c r="D166" s="134" t="e">
        <f ca="1">((100/F158)*C166)/100</f>
        <v>#DIV/0!</v>
      </c>
      <c r="E166" s="263"/>
      <c r="F166" s="264"/>
      <c r="G166" s="6" t="s">
        <v>30</v>
      </c>
      <c r="H166" s="10">
        <f>(IF(C158&gt;3,(F158/(C158+2)+H165),0))</f>
        <v>0</v>
      </c>
    </row>
    <row r="167" spans="1:13" hidden="1" x14ac:dyDescent="0.25">
      <c r="A167" s="82" t="s">
        <v>31</v>
      </c>
      <c r="B167" s="85">
        <v>0.05</v>
      </c>
      <c r="C167" s="86">
        <v>0</v>
      </c>
      <c r="D167" s="134" t="e">
        <f ca="1">((100/F158)*C167)/100</f>
        <v>#DIV/0!</v>
      </c>
      <c r="E167" s="263"/>
      <c r="F167" s="264"/>
      <c r="G167" s="6" t="s">
        <v>32</v>
      </c>
      <c r="H167" s="9">
        <f>(IF(C158&gt;4,(F158/(C158+2)+H166),0))</f>
        <v>0</v>
      </c>
    </row>
    <row r="168" spans="1:13" hidden="1" x14ac:dyDescent="0.25">
      <c r="A168" s="82" t="s">
        <v>40</v>
      </c>
      <c r="B168" s="85">
        <v>2.5000000000000001E-2</v>
      </c>
      <c r="C168" s="86">
        <v>0</v>
      </c>
      <c r="D168" s="134" t="e">
        <f ca="1">((100/(F158))*C168)/100</f>
        <v>#DIV/0!</v>
      </c>
      <c r="E168" s="263"/>
      <c r="F168" s="264"/>
      <c r="G168" s="6" t="s">
        <v>34</v>
      </c>
      <c r="H168" s="9">
        <f ca="1">(IF(C158=1,(F158/(C158+3)+H163),IF(C158=0,(F158*2/7+H163),IF(C158&gt;1,0))))</f>
        <v>0</v>
      </c>
    </row>
    <row r="169" spans="1:13" ht="15.75" hidden="1" thickBot="1" x14ac:dyDescent="0.3">
      <c r="A169" s="120" t="s">
        <v>35</v>
      </c>
      <c r="B169" s="121">
        <v>2.5000000000000001E-2</v>
      </c>
      <c r="C169" s="122">
        <v>0</v>
      </c>
      <c r="D169" s="135" t="e">
        <f ca="1">((100/(F158))*C169)/100</f>
        <v>#DIV/0!</v>
      </c>
      <c r="E169" s="265"/>
      <c r="F169" s="266"/>
      <c r="G169" s="11" t="s">
        <v>36</v>
      </c>
      <c r="H169" s="12">
        <f ca="1">F158</f>
        <v>0</v>
      </c>
    </row>
    <row r="170" spans="1:13" s="69" customFormat="1" x14ac:dyDescent="0.25">
      <c r="A170" s="204" t="s">
        <v>110</v>
      </c>
      <c r="B170" s="205"/>
      <c r="C170" s="205"/>
      <c r="D170" s="205"/>
      <c r="E170" s="208">
        <f ca="1">AVERAGE(E135)</f>
        <v>0.61673076923076919</v>
      </c>
      <c r="F170" s="209"/>
    </row>
    <row r="171" spans="1:13" s="69" customFormat="1" ht="15.75" thickBot="1" x14ac:dyDescent="0.3">
      <c r="A171" s="206"/>
      <c r="B171" s="207"/>
      <c r="C171" s="207"/>
      <c r="D171" s="207"/>
      <c r="E171" s="210"/>
      <c r="F171" s="211"/>
      <c r="G171" s="70"/>
      <c r="H171" s="71"/>
    </row>
    <row r="172" spans="1:13" x14ac:dyDescent="0.25">
      <c r="A172" s="318" t="s">
        <v>45</v>
      </c>
      <c r="B172" s="319"/>
      <c r="C172" s="319"/>
      <c r="D172" s="319"/>
      <c r="E172" s="319"/>
      <c r="F172" s="320"/>
    </row>
    <row r="173" spans="1:13" ht="36" x14ac:dyDescent="0.25">
      <c r="A173" s="117" t="s">
        <v>199</v>
      </c>
      <c r="B173" s="50" t="s">
        <v>200</v>
      </c>
      <c r="C173" s="50" t="s">
        <v>201</v>
      </c>
      <c r="D173" s="50" t="s">
        <v>202</v>
      </c>
      <c r="E173" s="50" t="s">
        <v>203</v>
      </c>
      <c r="F173" s="114" t="s">
        <v>204</v>
      </c>
    </row>
    <row r="174" spans="1:13" ht="49.5" customHeight="1" thickBot="1" x14ac:dyDescent="0.3">
      <c r="A174" s="72">
        <v>1</v>
      </c>
      <c r="B174" s="73">
        <v>1</v>
      </c>
      <c r="C174" s="73">
        <v>0</v>
      </c>
      <c r="D174" s="73" t="s">
        <v>316</v>
      </c>
      <c r="E174" s="73" t="s">
        <v>317</v>
      </c>
      <c r="F174" s="74">
        <v>191</v>
      </c>
    </row>
    <row r="175" spans="1:13" s="35" customFormat="1" ht="15.75" hidden="1" customHeight="1" x14ac:dyDescent="0.25">
      <c r="A175" s="321" t="s">
        <v>270</v>
      </c>
      <c r="B175" s="322"/>
      <c r="C175" s="322"/>
      <c r="D175" s="322"/>
      <c r="E175" s="322"/>
      <c r="F175" s="323"/>
      <c r="G175" s="41"/>
      <c r="H175" s="41"/>
      <c r="I175"/>
      <c r="J175"/>
      <c r="K175"/>
      <c r="L175"/>
      <c r="M175"/>
    </row>
    <row r="176" spans="1:13" s="35" customFormat="1" ht="15.75" hidden="1" customHeight="1" x14ac:dyDescent="0.25">
      <c r="A176" s="75" t="s">
        <v>46</v>
      </c>
      <c r="B176" s="49" t="s">
        <v>47</v>
      </c>
      <c r="C176" s="174" t="s">
        <v>48</v>
      </c>
      <c r="D176" s="174"/>
      <c r="E176" s="175" t="s">
        <v>49</v>
      </c>
      <c r="F176" s="176"/>
      <c r="G176" s="177"/>
      <c r="H176" s="177"/>
      <c r="I176" s="197"/>
      <c r="J176" s="197"/>
      <c r="K176" s="197"/>
      <c r="L176" s="197"/>
    </row>
    <row r="177" spans="1:13" s="35" customFormat="1" ht="15.75" hidden="1" x14ac:dyDescent="0.25">
      <c r="A177" s="89" t="s">
        <v>271</v>
      </c>
      <c r="B177" s="90"/>
      <c r="C177" s="163"/>
      <c r="D177" s="164"/>
      <c r="E177" s="163"/>
      <c r="F177" s="165"/>
      <c r="G177" s="166"/>
      <c r="H177" s="167"/>
      <c r="I177" s="197"/>
      <c r="J177" s="197"/>
      <c r="K177" s="197"/>
      <c r="L177" s="197"/>
    </row>
    <row r="178" spans="1:13" s="35" customFormat="1" ht="15.75" hidden="1" customHeight="1" x14ac:dyDescent="0.25">
      <c r="A178" s="89" t="s">
        <v>272</v>
      </c>
      <c r="B178" s="90"/>
      <c r="C178" s="163"/>
      <c r="D178" s="164"/>
      <c r="E178" s="163"/>
      <c r="F178" s="165"/>
      <c r="G178" s="166"/>
      <c r="H178" s="167"/>
    </row>
    <row r="179" spans="1:13" s="35" customFormat="1" ht="15.75" hidden="1" x14ac:dyDescent="0.25">
      <c r="A179" s="124" t="s">
        <v>51</v>
      </c>
      <c r="B179" s="111">
        <f>SUM(B177:B178)</f>
        <v>0</v>
      </c>
      <c r="C179" s="195">
        <f>SUM(C177:C178)</f>
        <v>0</v>
      </c>
      <c r="D179" s="196"/>
      <c r="E179" s="168">
        <f>SUM(E177:E178)</f>
        <v>0</v>
      </c>
      <c r="F179" s="169"/>
      <c r="G179" s="170"/>
      <c r="H179" s="171"/>
      <c r="J179" s="36"/>
    </row>
    <row r="180" spans="1:13" s="35" customFormat="1" ht="15.75" hidden="1" customHeight="1" x14ac:dyDescent="0.25">
      <c r="A180" s="301" t="s">
        <v>273</v>
      </c>
      <c r="B180" s="302"/>
      <c r="C180" s="302"/>
      <c r="D180" s="302"/>
      <c r="E180" s="302"/>
      <c r="F180" s="303"/>
      <c r="G180" s="41"/>
      <c r="H180" s="41"/>
      <c r="I180"/>
      <c r="J180"/>
      <c r="K180"/>
      <c r="L180"/>
      <c r="M180"/>
    </row>
    <row r="181" spans="1:13" s="35" customFormat="1" ht="15.75" hidden="1" customHeight="1" x14ac:dyDescent="0.25">
      <c r="A181" s="75" t="s">
        <v>46</v>
      </c>
      <c r="B181" s="49" t="s">
        <v>47</v>
      </c>
      <c r="C181" s="174" t="s">
        <v>48</v>
      </c>
      <c r="D181" s="174"/>
      <c r="E181" s="175" t="s">
        <v>49</v>
      </c>
      <c r="F181" s="176"/>
      <c r="G181" s="177"/>
      <c r="H181" s="177"/>
      <c r="I181" s="197"/>
      <c r="J181" s="197"/>
      <c r="K181" s="197"/>
      <c r="L181" s="197"/>
    </row>
    <row r="182" spans="1:13" s="35" customFormat="1" ht="15.75" hidden="1" x14ac:dyDescent="0.25">
      <c r="A182" s="89" t="s">
        <v>272</v>
      </c>
      <c r="B182" s="90"/>
      <c r="C182" s="163"/>
      <c r="D182" s="164"/>
      <c r="E182" s="163"/>
      <c r="F182" s="165"/>
      <c r="G182" s="166"/>
      <c r="H182" s="167"/>
      <c r="I182" s="197"/>
      <c r="J182" s="197"/>
      <c r="K182" s="197"/>
      <c r="L182" s="197"/>
    </row>
    <row r="183" spans="1:13" s="35" customFormat="1" ht="15.75" hidden="1" customHeight="1" x14ac:dyDescent="0.25">
      <c r="A183" s="89" t="s">
        <v>274</v>
      </c>
      <c r="B183" s="90"/>
      <c r="C183" s="163"/>
      <c r="D183" s="164"/>
      <c r="E183" s="163"/>
      <c r="F183" s="165"/>
      <c r="G183" s="166"/>
      <c r="H183" s="167"/>
    </row>
    <row r="184" spans="1:13" s="35" customFormat="1" ht="15.75" hidden="1" x14ac:dyDescent="0.25">
      <c r="A184" s="124" t="s">
        <v>51</v>
      </c>
      <c r="B184" s="111">
        <f>SUM(B182:B183)</f>
        <v>0</v>
      </c>
      <c r="C184" s="195">
        <f>SUM(C182:C183)</f>
        <v>0</v>
      </c>
      <c r="D184" s="196"/>
      <c r="E184" s="168">
        <f>SUM(E182:E183)</f>
        <v>0</v>
      </c>
      <c r="F184" s="169"/>
      <c r="G184" s="170"/>
      <c r="H184" s="171"/>
      <c r="J184" s="36"/>
    </row>
    <row r="185" spans="1:13" s="35" customFormat="1" ht="15.75" customHeight="1" x14ac:dyDescent="0.25">
      <c r="A185" s="301" t="s">
        <v>277</v>
      </c>
      <c r="B185" s="302"/>
      <c r="C185" s="302"/>
      <c r="D185" s="302"/>
      <c r="E185" s="302"/>
      <c r="F185" s="303"/>
      <c r="G185" s="41"/>
      <c r="H185" s="41"/>
    </row>
    <row r="186" spans="1:13" s="35" customFormat="1" ht="15.75" customHeight="1" x14ac:dyDescent="0.25">
      <c r="A186" s="75" t="s">
        <v>46</v>
      </c>
      <c r="B186" s="49" t="s">
        <v>47</v>
      </c>
      <c r="C186" s="174" t="s">
        <v>48</v>
      </c>
      <c r="D186" s="174"/>
      <c r="E186" s="175" t="s">
        <v>49</v>
      </c>
      <c r="F186" s="176"/>
      <c r="G186" s="177"/>
      <c r="H186" s="177"/>
    </row>
    <row r="187" spans="1:13" s="35" customFormat="1" ht="29.25" customHeight="1" x14ac:dyDescent="0.25">
      <c r="A187" s="89" t="s">
        <v>304</v>
      </c>
      <c r="B187" s="90">
        <f>COUNT(C226:C228)+COUNT(C230:C234)*11+COUNT(C237:C240)+COUNT(C243:C246)*6+COUNT(C248:C252)*12+COUNT(C254:C258)*9</f>
        <v>191</v>
      </c>
      <c r="C187" s="163">
        <f>SUM(C226:C228)+SUM(C230:C234)*11+SUM(C237:C240)+SUM(C243:C246)*6+SUM(C248:C252)*12+SUM(C254:C258)*9</f>
        <v>114515.39736</v>
      </c>
      <c r="D187" s="164"/>
      <c r="E187" s="163">
        <f>SUM(F226:F228)+SUM(F230:F234)*11+SUM(F237:F240)+SUM(F243:F246)*6+SUM(F248:F252)*12+SUM(F254:F258)*9</f>
        <v>171773.09603999997</v>
      </c>
      <c r="F187" s="164"/>
      <c r="G187" s="166"/>
      <c r="H187" s="166"/>
    </row>
    <row r="188" spans="1:13" s="35" customFormat="1" ht="29.25" hidden="1" customHeight="1" x14ac:dyDescent="0.25">
      <c r="A188" s="89" t="s">
        <v>275</v>
      </c>
      <c r="B188" s="90"/>
      <c r="C188" s="163"/>
      <c r="D188" s="164"/>
      <c r="E188" s="163"/>
      <c r="F188" s="165"/>
      <c r="G188" s="166"/>
      <c r="H188" s="166"/>
    </row>
    <row r="189" spans="1:13" s="35" customFormat="1" ht="15.75" hidden="1" x14ac:dyDescent="0.25">
      <c r="A189" s="124" t="s">
        <v>51</v>
      </c>
      <c r="B189" s="111">
        <f>SUM(B187:B188)</f>
        <v>191</v>
      </c>
      <c r="C189" s="195">
        <f>SUM(C187:C188)</f>
        <v>114515.39736</v>
      </c>
      <c r="D189" s="196"/>
      <c r="E189" s="168">
        <f>SUM(E187:E188)</f>
        <v>171773.09603999997</v>
      </c>
      <c r="F189" s="169"/>
      <c r="G189" s="170"/>
      <c r="H189" s="171"/>
    </row>
    <row r="190" spans="1:13" s="35" customFormat="1" ht="16.5" hidden="1" thickBot="1" x14ac:dyDescent="0.3">
      <c r="A190" s="91" t="s">
        <v>276</v>
      </c>
      <c r="B190" s="92">
        <f>SUM(B179,B184,B189)</f>
        <v>191</v>
      </c>
      <c r="C190" s="247">
        <f>SUM(C179,C184,C189)</f>
        <v>114515.39736</v>
      </c>
      <c r="D190" s="267"/>
      <c r="E190" s="247">
        <f>SUM(E179,E184,E189)</f>
        <v>171773.09603999997</v>
      </c>
      <c r="F190" s="248"/>
      <c r="G190" s="170"/>
      <c r="H190" s="171"/>
    </row>
    <row r="191" spans="1:13" s="37" customFormat="1" ht="15.75" x14ac:dyDescent="0.25">
      <c r="A191" s="172" t="s">
        <v>52</v>
      </c>
      <c r="B191" s="172"/>
      <c r="C191" s="172"/>
      <c r="D191" s="172"/>
      <c r="E191" s="172"/>
      <c r="F191" s="172"/>
      <c r="G191" s="42"/>
      <c r="H191" s="42"/>
    </row>
    <row r="192" spans="1:13" s="38" customFormat="1" ht="15.75" hidden="1" x14ac:dyDescent="0.25">
      <c r="A192" s="173" t="s">
        <v>60</v>
      </c>
      <c r="B192" s="173"/>
      <c r="C192" s="173"/>
      <c r="D192" s="173"/>
      <c r="E192" s="173"/>
      <c r="F192" s="173"/>
      <c r="G192" s="42"/>
      <c r="H192" s="42"/>
    </row>
    <row r="193" spans="1:14" s="38" customFormat="1" ht="26.45" hidden="1" customHeight="1" x14ac:dyDescent="0.25">
      <c r="A193" s="199" t="s">
        <v>68</v>
      </c>
      <c r="B193" s="199" t="s">
        <v>54</v>
      </c>
      <c r="C193" s="199" t="s">
        <v>55</v>
      </c>
      <c r="D193" s="199" t="s">
        <v>58</v>
      </c>
      <c r="E193" s="199" t="s">
        <v>56</v>
      </c>
      <c r="F193" s="112" t="s">
        <v>59</v>
      </c>
      <c r="G193" s="194"/>
      <c r="H193" s="194"/>
    </row>
    <row r="194" spans="1:14" s="38" customFormat="1" ht="15.75" hidden="1" x14ac:dyDescent="0.25">
      <c r="A194" s="199"/>
      <c r="B194" s="199"/>
      <c r="C194" s="199"/>
      <c r="D194" s="199"/>
      <c r="E194" s="199"/>
      <c r="F194" s="136">
        <v>0.5</v>
      </c>
      <c r="G194" s="194"/>
      <c r="H194" s="194"/>
      <c r="J194" s="65"/>
      <c r="K194" s="65"/>
      <c r="L194" s="65"/>
      <c r="M194" s="65"/>
    </row>
    <row r="195" spans="1:14" s="37" customFormat="1" ht="15.75" hidden="1" x14ac:dyDescent="0.25">
      <c r="A195" s="180" t="s">
        <v>50</v>
      </c>
      <c r="B195" s="180"/>
      <c r="C195" s="180"/>
      <c r="D195" s="180"/>
      <c r="E195" s="180"/>
      <c r="F195" s="180"/>
      <c r="G195" s="42"/>
      <c r="H195" s="42"/>
      <c r="J195" s="64"/>
      <c r="K195" s="64"/>
      <c r="L195" s="64"/>
      <c r="M195" s="64"/>
    </row>
    <row r="196" spans="1:14" s="39" customFormat="1" ht="15.75" hidden="1" customHeight="1" x14ac:dyDescent="0.25">
      <c r="A196" s="189" t="s">
        <v>57</v>
      </c>
      <c r="B196" s="189"/>
      <c r="C196" s="189"/>
      <c r="D196" s="189"/>
      <c r="E196" s="189"/>
      <c r="F196" s="189"/>
      <c r="G196" s="43"/>
      <c r="H196" s="43"/>
      <c r="J196" s="63"/>
      <c r="K196" s="60"/>
      <c r="L196" s="63"/>
      <c r="M196" s="63"/>
    </row>
    <row r="197" spans="1:14" s="39" customFormat="1" ht="15.75" hidden="1" x14ac:dyDescent="0.25">
      <c r="A197" s="129">
        <v>1</v>
      </c>
      <c r="B197" s="129"/>
      <c r="C197" s="129"/>
      <c r="D197" s="130">
        <f>C197*1.2</f>
        <v>0</v>
      </c>
      <c r="E197" s="129">
        <v>0</v>
      </c>
      <c r="F197" s="129">
        <f>(C197+E197)*(($F$194)+1)</f>
        <v>0</v>
      </c>
      <c r="G197" s="190"/>
      <c r="H197" s="190"/>
      <c r="I197" s="40"/>
      <c r="J197" s="61"/>
      <c r="K197" s="63"/>
      <c r="L197" s="198"/>
      <c r="M197" s="198"/>
      <c r="N197" s="40"/>
    </row>
    <row r="198" spans="1:14" hidden="1" x14ac:dyDescent="0.25">
      <c r="A198" s="129">
        <f>A197+1</f>
        <v>2</v>
      </c>
      <c r="B198" s="129"/>
      <c r="C198" s="129"/>
      <c r="D198" s="130">
        <f t="shared" ref="D198:D202" si="2">C198*1.2</f>
        <v>0</v>
      </c>
      <c r="E198" s="129">
        <v>0</v>
      </c>
      <c r="F198" s="129">
        <f t="shared" ref="F198:F202" si="3">(C198+E198)*(($F$194)+1)</f>
        <v>0</v>
      </c>
      <c r="J198" s="62"/>
      <c r="K198" s="62"/>
      <c r="L198" s="62"/>
      <c r="M198" s="62"/>
    </row>
    <row r="199" spans="1:14" hidden="1" x14ac:dyDescent="0.25">
      <c r="A199" s="129">
        <f t="shared" ref="A199:A202" si="4">A198+1</f>
        <v>3</v>
      </c>
      <c r="B199" s="129"/>
      <c r="C199" s="129"/>
      <c r="D199" s="130">
        <f t="shared" si="2"/>
        <v>0</v>
      </c>
      <c r="E199" s="129">
        <v>0</v>
      </c>
      <c r="F199" s="129">
        <f t="shared" si="3"/>
        <v>0</v>
      </c>
    </row>
    <row r="200" spans="1:14" hidden="1" x14ac:dyDescent="0.25">
      <c r="A200" s="129">
        <f t="shared" si="4"/>
        <v>4</v>
      </c>
      <c r="B200" s="129"/>
      <c r="C200" s="129"/>
      <c r="D200" s="130">
        <f t="shared" si="2"/>
        <v>0</v>
      </c>
      <c r="E200" s="129">
        <v>0</v>
      </c>
      <c r="F200" s="129">
        <f t="shared" si="3"/>
        <v>0</v>
      </c>
    </row>
    <row r="201" spans="1:14" hidden="1" x14ac:dyDescent="0.25">
      <c r="A201" s="129">
        <f t="shared" si="4"/>
        <v>5</v>
      </c>
      <c r="B201" s="129"/>
      <c r="C201" s="129"/>
      <c r="D201" s="130">
        <f t="shared" si="2"/>
        <v>0</v>
      </c>
      <c r="E201" s="129">
        <v>0</v>
      </c>
      <c r="F201" s="129">
        <f t="shared" si="3"/>
        <v>0</v>
      </c>
    </row>
    <row r="202" spans="1:14" hidden="1" x14ac:dyDescent="0.25">
      <c r="A202" s="129">
        <f t="shared" si="4"/>
        <v>6</v>
      </c>
      <c r="B202" s="129"/>
      <c r="C202" s="129"/>
      <c r="D202" s="130">
        <f t="shared" si="2"/>
        <v>0</v>
      </c>
      <c r="E202" s="129">
        <v>0</v>
      </c>
      <c r="F202" s="129">
        <f t="shared" si="3"/>
        <v>0</v>
      </c>
    </row>
    <row r="203" spans="1:14" s="39" customFormat="1" ht="15.75" hidden="1" customHeight="1" x14ac:dyDescent="0.25">
      <c r="A203" s="189" t="s">
        <v>244</v>
      </c>
      <c r="B203" s="189"/>
      <c r="C203" s="189"/>
      <c r="D203" s="189"/>
      <c r="E203" s="189"/>
      <c r="F203" s="189"/>
      <c r="G203" s="43"/>
      <c r="H203" s="43"/>
      <c r="J203" s="63"/>
      <c r="K203" s="60"/>
      <c r="L203" s="63"/>
      <c r="M203" s="63"/>
    </row>
    <row r="204" spans="1:14" s="39" customFormat="1" ht="15.75" hidden="1" x14ac:dyDescent="0.25">
      <c r="A204" s="129">
        <v>1</v>
      </c>
      <c r="B204" s="129"/>
      <c r="C204" s="129"/>
      <c r="D204" s="130">
        <f>C204*1.2</f>
        <v>0</v>
      </c>
      <c r="E204" s="129">
        <v>0</v>
      </c>
      <c r="F204" s="129">
        <f>(C204+E204)*(($F$194)+1)</f>
        <v>0</v>
      </c>
      <c r="G204" s="190"/>
      <c r="H204" s="190"/>
      <c r="I204" s="40"/>
      <c r="J204" s="61"/>
      <c r="K204" s="63"/>
      <c r="L204" s="198"/>
      <c r="M204" s="198"/>
      <c r="N204" s="40"/>
    </row>
    <row r="205" spans="1:14" hidden="1" x14ac:dyDescent="0.25">
      <c r="A205" s="129">
        <f>A204+1</f>
        <v>2</v>
      </c>
      <c r="B205" s="129"/>
      <c r="C205" s="129"/>
      <c r="D205" s="130">
        <f t="shared" ref="D205:D209" si="5">C205*1.2</f>
        <v>0</v>
      </c>
      <c r="E205" s="129">
        <v>0</v>
      </c>
      <c r="F205" s="129">
        <f t="shared" ref="F205:F209" si="6">(C205+E205)*(($F$194)+1)</f>
        <v>0</v>
      </c>
      <c r="J205" s="62"/>
      <c r="K205" s="62"/>
      <c r="L205" s="62"/>
      <c r="M205" s="62"/>
    </row>
    <row r="206" spans="1:14" hidden="1" x14ac:dyDescent="0.25">
      <c r="A206" s="129">
        <f t="shared" ref="A206:A209" si="7">A205+1</f>
        <v>3</v>
      </c>
      <c r="B206" s="129"/>
      <c r="C206" s="129"/>
      <c r="D206" s="130">
        <f t="shared" si="5"/>
        <v>0</v>
      </c>
      <c r="E206" s="129">
        <v>0</v>
      </c>
      <c r="F206" s="129">
        <f t="shared" si="6"/>
        <v>0</v>
      </c>
      <c r="J206" s="62"/>
      <c r="K206" s="62"/>
      <c r="L206" s="62"/>
      <c r="M206" s="62"/>
    </row>
    <row r="207" spans="1:14" hidden="1" x14ac:dyDescent="0.25">
      <c r="A207" s="129">
        <f t="shared" si="7"/>
        <v>4</v>
      </c>
      <c r="B207" s="129"/>
      <c r="C207" s="129"/>
      <c r="D207" s="130">
        <f t="shared" si="5"/>
        <v>0</v>
      </c>
      <c r="E207" s="129">
        <v>0</v>
      </c>
      <c r="F207" s="129">
        <f t="shared" si="6"/>
        <v>0</v>
      </c>
      <c r="J207" s="62"/>
      <c r="K207" s="62"/>
      <c r="L207" s="62"/>
      <c r="M207" s="62"/>
    </row>
    <row r="208" spans="1:14" hidden="1" x14ac:dyDescent="0.25">
      <c r="A208" s="129">
        <f t="shared" si="7"/>
        <v>5</v>
      </c>
      <c r="B208" s="129"/>
      <c r="C208" s="129"/>
      <c r="D208" s="130">
        <f t="shared" si="5"/>
        <v>0</v>
      </c>
      <c r="E208" s="129">
        <v>0</v>
      </c>
      <c r="F208" s="129">
        <f t="shared" si="6"/>
        <v>0</v>
      </c>
    </row>
    <row r="209" spans="1:14" hidden="1" x14ac:dyDescent="0.25">
      <c r="A209" s="129">
        <f t="shared" si="7"/>
        <v>6</v>
      </c>
      <c r="B209" s="129"/>
      <c r="C209" s="129"/>
      <c r="D209" s="130">
        <f t="shared" si="5"/>
        <v>0</v>
      </c>
      <c r="E209" s="129">
        <v>0</v>
      </c>
      <c r="F209" s="129">
        <f t="shared" si="6"/>
        <v>0</v>
      </c>
    </row>
    <row r="210" spans="1:14" s="39" customFormat="1" ht="15.75" hidden="1" customHeight="1" x14ac:dyDescent="0.25">
      <c r="A210" s="189" t="s">
        <v>245</v>
      </c>
      <c r="B210" s="189"/>
      <c r="C210" s="189"/>
      <c r="D210" s="189"/>
      <c r="E210" s="189"/>
      <c r="F210" s="189"/>
      <c r="G210" s="43"/>
      <c r="H210" s="43"/>
      <c r="J210" s="63"/>
      <c r="K210" s="60"/>
      <c r="L210" s="63"/>
      <c r="M210" s="63"/>
    </row>
    <row r="211" spans="1:14" s="39" customFormat="1" ht="15.75" hidden="1" x14ac:dyDescent="0.25">
      <c r="A211" s="129">
        <v>1</v>
      </c>
      <c r="B211" s="129"/>
      <c r="C211" s="129"/>
      <c r="D211" s="130">
        <f>C211*1.2</f>
        <v>0</v>
      </c>
      <c r="E211" s="129">
        <v>0</v>
      </c>
      <c r="F211" s="129">
        <f>(C211+E211)*(($F$194)+1)</f>
        <v>0</v>
      </c>
      <c r="G211" s="190"/>
      <c r="H211" s="190"/>
      <c r="I211" s="40"/>
      <c r="J211" s="61"/>
      <c r="K211" s="63"/>
      <c r="L211" s="198"/>
      <c r="M211" s="198"/>
      <c r="N211" s="40"/>
    </row>
    <row r="212" spans="1:14" hidden="1" x14ac:dyDescent="0.25">
      <c r="A212" s="129">
        <f>A211+1</f>
        <v>2</v>
      </c>
      <c r="B212" s="129"/>
      <c r="C212" s="129"/>
      <c r="D212" s="130">
        <f t="shared" ref="D212:D216" si="8">C212*1.2</f>
        <v>0</v>
      </c>
      <c r="E212" s="129">
        <v>0</v>
      </c>
      <c r="F212" s="129">
        <f t="shared" ref="F212:F216" si="9">(C212+E212)*(($F$194)+1)</f>
        <v>0</v>
      </c>
      <c r="J212" s="62"/>
      <c r="K212" s="62"/>
      <c r="L212" s="62"/>
      <c r="M212" s="62"/>
    </row>
    <row r="213" spans="1:14" hidden="1" x14ac:dyDescent="0.25">
      <c r="A213" s="129">
        <f t="shared" ref="A213:A216" si="10">A212+1</f>
        <v>3</v>
      </c>
      <c r="B213" s="129"/>
      <c r="C213" s="129"/>
      <c r="D213" s="130">
        <f t="shared" si="8"/>
        <v>0</v>
      </c>
      <c r="E213" s="129">
        <v>0</v>
      </c>
      <c r="F213" s="129">
        <f t="shared" si="9"/>
        <v>0</v>
      </c>
      <c r="J213" s="62"/>
      <c r="K213" s="62"/>
      <c r="L213" s="62"/>
      <c r="M213" s="62"/>
    </row>
    <row r="214" spans="1:14" hidden="1" x14ac:dyDescent="0.25">
      <c r="A214" s="129">
        <f t="shared" si="10"/>
        <v>4</v>
      </c>
      <c r="B214" s="129"/>
      <c r="C214" s="129"/>
      <c r="D214" s="130">
        <f t="shared" si="8"/>
        <v>0</v>
      </c>
      <c r="E214" s="129">
        <v>0</v>
      </c>
      <c r="F214" s="129">
        <f t="shared" si="9"/>
        <v>0</v>
      </c>
    </row>
    <row r="215" spans="1:14" hidden="1" x14ac:dyDescent="0.25">
      <c r="A215" s="129">
        <f t="shared" si="10"/>
        <v>5</v>
      </c>
      <c r="B215" s="129"/>
      <c r="C215" s="129"/>
      <c r="D215" s="130">
        <f t="shared" si="8"/>
        <v>0</v>
      </c>
      <c r="E215" s="129">
        <v>0</v>
      </c>
      <c r="F215" s="129">
        <f t="shared" si="9"/>
        <v>0</v>
      </c>
    </row>
    <row r="216" spans="1:14" hidden="1" x14ac:dyDescent="0.25">
      <c r="A216" s="129">
        <f t="shared" si="10"/>
        <v>6</v>
      </c>
      <c r="B216" s="129"/>
      <c r="C216" s="129"/>
      <c r="D216" s="130">
        <f t="shared" si="8"/>
        <v>0</v>
      </c>
      <c r="E216" s="129">
        <v>0</v>
      </c>
      <c r="F216" s="129">
        <f t="shared" si="9"/>
        <v>0</v>
      </c>
    </row>
    <row r="217" spans="1:14" s="38" customFormat="1" ht="15.75" hidden="1" x14ac:dyDescent="0.25">
      <c r="A217" s="268"/>
      <c r="B217" s="268"/>
      <c r="C217" s="268"/>
      <c r="D217" s="268"/>
      <c r="E217" s="268"/>
      <c r="F217" s="268"/>
      <c r="G217" s="42"/>
      <c r="H217" s="42"/>
    </row>
    <row r="218" spans="1:14" s="38" customFormat="1" ht="15.75" x14ac:dyDescent="0.25">
      <c r="A218" s="173" t="s">
        <v>53</v>
      </c>
      <c r="B218" s="173"/>
      <c r="C218" s="173"/>
      <c r="D218" s="173"/>
      <c r="E218" s="173"/>
      <c r="F218" s="277"/>
      <c r="G218" s="42"/>
      <c r="H218" s="42"/>
    </row>
    <row r="219" spans="1:14" s="38" customFormat="1" ht="27.6" customHeight="1" x14ac:dyDescent="0.25">
      <c r="A219" s="199" t="s">
        <v>278</v>
      </c>
      <c r="B219" s="199" t="s">
        <v>54</v>
      </c>
      <c r="C219" s="199" t="s">
        <v>55</v>
      </c>
      <c r="D219" s="199" t="s">
        <v>58</v>
      </c>
      <c r="E219" s="251" t="s">
        <v>56</v>
      </c>
      <c r="F219" s="133" t="s">
        <v>292</v>
      </c>
      <c r="G219" s="194"/>
      <c r="H219" s="194"/>
      <c r="I219" s="194"/>
      <c r="J219" s="194"/>
      <c r="K219" s="194"/>
    </row>
    <row r="220" spans="1:14" s="38" customFormat="1" ht="15.75" x14ac:dyDescent="0.25">
      <c r="A220" s="199"/>
      <c r="B220" s="199"/>
      <c r="C220" s="199"/>
      <c r="D220" s="199"/>
      <c r="E220" s="251"/>
      <c r="F220" s="143">
        <v>0.5</v>
      </c>
      <c r="G220" s="194"/>
      <c r="H220" s="194"/>
      <c r="I220" s="65"/>
      <c r="J220" s="65"/>
      <c r="K220" s="62"/>
    </row>
    <row r="221" spans="1:14" s="37" customFormat="1" ht="15.75" x14ac:dyDescent="0.25">
      <c r="A221" s="180" t="s">
        <v>303</v>
      </c>
      <c r="B221" s="180"/>
      <c r="C221" s="180"/>
      <c r="D221" s="180"/>
      <c r="E221" s="180"/>
      <c r="F221" s="181"/>
      <c r="G221" s="182"/>
      <c r="H221" s="182"/>
      <c r="I221" s="182"/>
      <c r="J221" s="182"/>
      <c r="K221" s="182"/>
    </row>
    <row r="222" spans="1:14" s="37" customFormat="1" ht="15.75" x14ac:dyDescent="0.25">
      <c r="A222" s="180" t="s">
        <v>304</v>
      </c>
      <c r="B222" s="180"/>
      <c r="C222" s="180"/>
      <c r="D222" s="180"/>
      <c r="E222" s="180"/>
      <c r="F222" s="181"/>
      <c r="G222" s="182"/>
      <c r="H222" s="182"/>
      <c r="I222" s="182"/>
      <c r="J222" s="182"/>
      <c r="K222" s="182"/>
    </row>
    <row r="223" spans="1:14" s="39" customFormat="1" ht="15.75" customHeight="1" x14ac:dyDescent="0.25">
      <c r="A223" s="189" t="s">
        <v>305</v>
      </c>
      <c r="B223" s="189"/>
      <c r="C223" s="189"/>
      <c r="D223" s="189"/>
      <c r="E223" s="189"/>
      <c r="F223" s="189"/>
      <c r="G223" s="43"/>
      <c r="H223" s="43"/>
      <c r="I223" s="63"/>
      <c r="J223" s="63"/>
      <c r="K223" s="62"/>
      <c r="L223" s="63"/>
      <c r="M223" s="63"/>
    </row>
    <row r="224" spans="1:14" s="39" customFormat="1" ht="15.75" x14ac:dyDescent="0.25">
      <c r="A224" s="129">
        <v>1</v>
      </c>
      <c r="B224" s="183" t="s">
        <v>306</v>
      </c>
      <c r="C224" s="184"/>
      <c r="D224" s="184"/>
      <c r="E224" s="184"/>
      <c r="F224" s="185"/>
      <c r="G224" s="190"/>
      <c r="H224" s="190"/>
      <c r="I224" s="60"/>
      <c r="J224" s="129">
        <v>10.763999999999999</v>
      </c>
      <c r="K224" s="62"/>
      <c r="L224" s="198"/>
      <c r="M224" s="198"/>
      <c r="N224" s="40"/>
    </row>
    <row r="225" spans="1:14" x14ac:dyDescent="0.25">
      <c r="A225" s="129">
        <f>A224+1</f>
        <v>2</v>
      </c>
      <c r="B225" s="186"/>
      <c r="C225" s="187"/>
      <c r="D225" s="187"/>
      <c r="E225" s="187"/>
      <c r="F225" s="188"/>
      <c r="I225" s="62"/>
      <c r="J225" s="62"/>
      <c r="K225" s="62"/>
      <c r="L225" s="62"/>
      <c r="M225" s="62"/>
    </row>
    <row r="226" spans="1:14" x14ac:dyDescent="0.25">
      <c r="A226" s="129">
        <f t="shared" ref="A226:A228" si="11">A225+1</f>
        <v>3</v>
      </c>
      <c r="B226" s="129" t="s">
        <v>307</v>
      </c>
      <c r="C226" s="129">
        <f>(74.4)*10.764</f>
        <v>800.84159999999997</v>
      </c>
      <c r="D226" s="130">
        <f t="shared" ref="D226:D228" si="12">C226*1.2</f>
        <v>961.00991999999997</v>
      </c>
      <c r="E226" s="129">
        <v>0</v>
      </c>
      <c r="F226" s="129">
        <f t="shared" ref="F226:F228" si="13">C226*(($F$220)+1)+(IF(E226&lt;101,E226,IF(E226&lt;201,E226/2,IF(E226&lt;=301,E226/3,E226/4))))</f>
        <v>1201.2624000000001</v>
      </c>
      <c r="H226">
        <f>3.05*4.35+0.7*2.38+2.13*2.65+3*3.65+3.49*1.38+0.98*0.9+2.08*0.93</f>
        <v>39.160600000000002</v>
      </c>
      <c r="I226" s="62"/>
      <c r="J226" s="62"/>
      <c r="K226" s="62"/>
      <c r="L226" s="62"/>
      <c r="M226" s="62"/>
    </row>
    <row r="227" spans="1:14" ht="15.75" x14ac:dyDescent="0.25">
      <c r="A227" s="129">
        <f t="shared" si="11"/>
        <v>4</v>
      </c>
      <c r="B227" s="129" t="s">
        <v>308</v>
      </c>
      <c r="C227" s="129">
        <f>(41.25)*10.764</f>
        <v>444.01499999999999</v>
      </c>
      <c r="D227" s="130">
        <f t="shared" si="12"/>
        <v>532.81799999999998</v>
      </c>
      <c r="E227" s="129">
        <v>0</v>
      </c>
      <c r="F227" s="129">
        <f t="shared" si="13"/>
        <v>666.02250000000004</v>
      </c>
      <c r="I227" s="62"/>
      <c r="J227" s="62"/>
      <c r="K227" s="60"/>
      <c r="L227" s="62"/>
      <c r="M227" s="62"/>
    </row>
    <row r="228" spans="1:14" ht="15.75" x14ac:dyDescent="0.25">
      <c r="A228" s="129">
        <f t="shared" si="11"/>
        <v>5</v>
      </c>
      <c r="B228" s="129" t="s">
        <v>309</v>
      </c>
      <c r="C228" s="129">
        <f>(57.51)*10.764</f>
        <v>619.0376399999999</v>
      </c>
      <c r="D228" s="130">
        <f t="shared" si="12"/>
        <v>742.84516799999983</v>
      </c>
      <c r="E228" s="129">
        <v>0</v>
      </c>
      <c r="F228" s="129">
        <f t="shared" si="13"/>
        <v>928.55645999999979</v>
      </c>
      <c r="I228" s="62"/>
      <c r="J228" s="62"/>
      <c r="K228" s="63"/>
      <c r="L228" s="62"/>
      <c r="M228" s="62"/>
    </row>
    <row r="229" spans="1:14" s="39" customFormat="1" ht="15.75" x14ac:dyDescent="0.25">
      <c r="A229" s="189" t="s">
        <v>312</v>
      </c>
      <c r="B229" s="189"/>
      <c r="C229" s="189"/>
      <c r="D229" s="189"/>
      <c r="E229" s="189"/>
      <c r="F229" s="189"/>
      <c r="G229" s="43">
        <f>7+4</f>
        <v>11</v>
      </c>
      <c r="H229" s="43"/>
      <c r="I229" s="63"/>
      <c r="J229" s="63"/>
      <c r="K229" s="62"/>
      <c r="L229" s="63"/>
      <c r="M229" s="63"/>
    </row>
    <row r="230" spans="1:14" s="39" customFormat="1" ht="15.75" x14ac:dyDescent="0.25">
      <c r="A230" s="129">
        <v>1</v>
      </c>
      <c r="B230" s="129" t="s">
        <v>309</v>
      </c>
      <c r="C230" s="129">
        <f>(57.51)*10.764</f>
        <v>619.0376399999999</v>
      </c>
      <c r="D230" s="130">
        <f>C230*1.2</f>
        <v>742.84516799999983</v>
      </c>
      <c r="E230" s="129">
        <v>0</v>
      </c>
      <c r="F230" s="129">
        <f>C230*(($F$220)+1)+(IF(E230&lt;101,E230,IF(E230&lt;201,E230/2,IF(E230&lt;=301,E230/3,E230/4))))</f>
        <v>928.55645999999979</v>
      </c>
      <c r="G230" s="190"/>
      <c r="H230" s="190"/>
      <c r="I230" s="60"/>
      <c r="J230" s="61"/>
      <c r="K230" s="62"/>
      <c r="L230" s="198"/>
      <c r="M230" s="198"/>
      <c r="N230" s="40"/>
    </row>
    <row r="231" spans="1:14" x14ac:dyDescent="0.25">
      <c r="A231" s="129">
        <f>A230+1</f>
        <v>2</v>
      </c>
      <c r="B231" s="129" t="s">
        <v>308</v>
      </c>
      <c r="C231" s="129">
        <f>(41.25)*10.764</f>
        <v>444.01499999999999</v>
      </c>
      <c r="D231" s="130">
        <f t="shared" ref="D231:D234" si="14">C231*1.2</f>
        <v>532.81799999999998</v>
      </c>
      <c r="E231" s="129">
        <v>0</v>
      </c>
      <c r="F231" s="129">
        <f t="shared" ref="F231:F234" si="15">C231*(($F$220)+1)+(IF(E231&lt;101,E231,IF(E231&lt;201,E231/2,IF(E231&lt;=301,E231/3,E231/4))))</f>
        <v>666.02250000000004</v>
      </c>
      <c r="I231" s="62"/>
      <c r="J231" s="62"/>
      <c r="K231" s="62"/>
      <c r="L231" s="62"/>
      <c r="M231" s="62"/>
    </row>
    <row r="232" spans="1:14" x14ac:dyDescent="0.25">
      <c r="A232" s="129">
        <f t="shared" ref="A232:A234" si="16">A231+1</f>
        <v>3</v>
      </c>
      <c r="B232" s="129" t="s">
        <v>307</v>
      </c>
      <c r="C232" s="129">
        <f>(74.4)*10.764</f>
        <v>800.84159999999997</v>
      </c>
      <c r="D232" s="130">
        <f t="shared" si="14"/>
        <v>961.00991999999997</v>
      </c>
      <c r="E232" s="129">
        <v>0</v>
      </c>
      <c r="F232" s="129">
        <f t="shared" si="15"/>
        <v>1201.2624000000001</v>
      </c>
      <c r="I232" s="62"/>
      <c r="J232" s="62"/>
      <c r="K232" s="62"/>
      <c r="L232" s="62"/>
      <c r="M232" s="62"/>
    </row>
    <row r="233" spans="1:14" ht="15.75" x14ac:dyDescent="0.25">
      <c r="A233" s="129">
        <f t="shared" si="16"/>
        <v>4</v>
      </c>
      <c r="B233" s="129" t="s">
        <v>308</v>
      </c>
      <c r="C233" s="129">
        <f>(41.25)*10.764</f>
        <v>444.01499999999999</v>
      </c>
      <c r="D233" s="130">
        <f t="shared" si="14"/>
        <v>532.81799999999998</v>
      </c>
      <c r="E233" s="129">
        <v>0</v>
      </c>
      <c r="F233" s="129">
        <f t="shared" si="15"/>
        <v>666.02250000000004</v>
      </c>
      <c r="H233">
        <f>77900000/F233</f>
        <v>116963.01551374015</v>
      </c>
      <c r="I233" s="62"/>
      <c r="J233" s="62"/>
      <c r="K233" s="60"/>
      <c r="L233" s="62"/>
      <c r="M233" s="62"/>
    </row>
    <row r="234" spans="1:14" ht="15.75" x14ac:dyDescent="0.25">
      <c r="A234" s="129">
        <f t="shared" si="16"/>
        <v>5</v>
      </c>
      <c r="B234" s="129" t="s">
        <v>309</v>
      </c>
      <c r="C234" s="129">
        <f>(57.51)*10.764</f>
        <v>619.0376399999999</v>
      </c>
      <c r="D234" s="130">
        <f t="shared" si="14"/>
        <v>742.84516799999983</v>
      </c>
      <c r="E234" s="129">
        <v>0</v>
      </c>
      <c r="F234" s="129">
        <f t="shared" si="15"/>
        <v>928.55645999999979</v>
      </c>
      <c r="I234" s="62"/>
      <c r="J234" s="62"/>
      <c r="K234" s="63"/>
      <c r="L234" s="62"/>
      <c r="M234" s="62"/>
    </row>
    <row r="235" spans="1:14" s="139" customFormat="1" ht="15.75" x14ac:dyDescent="0.25">
      <c r="A235" s="189" t="s">
        <v>311</v>
      </c>
      <c r="B235" s="189"/>
      <c r="C235" s="189"/>
      <c r="D235" s="189"/>
      <c r="E235" s="189"/>
      <c r="F235" s="189"/>
      <c r="G235" s="43">
        <v>1</v>
      </c>
      <c r="H235" s="43"/>
      <c r="I235" s="138"/>
      <c r="J235" s="138"/>
      <c r="K235" s="62"/>
      <c r="L235" s="138"/>
      <c r="M235" s="138"/>
    </row>
    <row r="236" spans="1:14" s="139" customFormat="1" ht="15.75" x14ac:dyDescent="0.25">
      <c r="A236" s="129">
        <v>1</v>
      </c>
      <c r="B236" s="308" t="s">
        <v>314</v>
      </c>
      <c r="C236" s="309"/>
      <c r="D236" s="309"/>
      <c r="E236" s="309"/>
      <c r="F236" s="310"/>
      <c r="G236" s="190"/>
      <c r="H236" s="190"/>
      <c r="I236" s="60"/>
      <c r="J236" s="61"/>
      <c r="K236" s="62"/>
      <c r="L236" s="198"/>
      <c r="M236" s="198"/>
      <c r="N236" s="40"/>
    </row>
    <row r="237" spans="1:14" x14ac:dyDescent="0.25">
      <c r="A237" s="129">
        <f>A236+1</f>
        <v>2</v>
      </c>
      <c r="B237" s="129" t="s">
        <v>315</v>
      </c>
      <c r="C237" s="129">
        <f>(78.86)*10.764</f>
        <v>848.84903999999995</v>
      </c>
      <c r="D237" s="130">
        <f t="shared" ref="D237:D240" si="17">C237*1.2</f>
        <v>1018.6188479999998</v>
      </c>
      <c r="E237" s="129">
        <v>0</v>
      </c>
      <c r="F237" s="129">
        <f t="shared" ref="F237:F240" si="18">C237*(($F$220)+1)+(IF(E237&lt;101,E237,IF(E237&lt;201,E237/2,IF(E237&lt;=301,E237/3,E237/4))))</f>
        <v>1273.2735599999999</v>
      </c>
      <c r="I237" s="62"/>
      <c r="J237" s="62"/>
      <c r="K237" s="62"/>
      <c r="L237" s="62"/>
      <c r="M237" s="62"/>
    </row>
    <row r="238" spans="1:14" x14ac:dyDescent="0.25">
      <c r="A238" s="129">
        <f t="shared" ref="A238:A240" si="19">A237+1</f>
        <v>3</v>
      </c>
      <c r="B238" s="129" t="s">
        <v>307</v>
      </c>
      <c r="C238" s="129">
        <f>(74.4)*10.764</f>
        <v>800.84159999999997</v>
      </c>
      <c r="D238" s="130">
        <f t="shared" si="17"/>
        <v>961.00991999999997</v>
      </c>
      <c r="E238" s="129">
        <v>0</v>
      </c>
      <c r="F238" s="129">
        <f t="shared" si="18"/>
        <v>1201.2624000000001</v>
      </c>
      <c r="I238" s="62"/>
      <c r="J238" s="62"/>
      <c r="K238" s="62"/>
      <c r="L238" s="62"/>
      <c r="M238" s="62"/>
    </row>
    <row r="239" spans="1:14" ht="15.75" x14ac:dyDescent="0.25">
      <c r="A239" s="129">
        <f t="shared" si="19"/>
        <v>4</v>
      </c>
      <c r="B239" s="129" t="s">
        <v>308</v>
      </c>
      <c r="C239" s="129">
        <f>(41.25)*10.764</f>
        <v>444.01499999999999</v>
      </c>
      <c r="D239" s="130">
        <f t="shared" si="17"/>
        <v>532.81799999999998</v>
      </c>
      <c r="E239" s="129">
        <v>0</v>
      </c>
      <c r="F239" s="129">
        <f t="shared" si="18"/>
        <v>666.02250000000004</v>
      </c>
      <c r="I239" s="62"/>
      <c r="J239" s="62"/>
      <c r="K239" s="60"/>
      <c r="L239" s="62"/>
      <c r="M239" s="62"/>
    </row>
    <row r="240" spans="1:14" ht="15.75" x14ac:dyDescent="0.25">
      <c r="A240" s="129">
        <f t="shared" si="19"/>
        <v>5</v>
      </c>
      <c r="B240" s="129" t="s">
        <v>309</v>
      </c>
      <c r="C240" s="129">
        <f>(57.51)*10.764</f>
        <v>619.0376399999999</v>
      </c>
      <c r="D240" s="130">
        <f t="shared" si="17"/>
        <v>742.84516799999983</v>
      </c>
      <c r="E240" s="129">
        <v>0</v>
      </c>
      <c r="F240" s="129">
        <f t="shared" si="18"/>
        <v>928.55645999999979</v>
      </c>
      <c r="I240" s="62"/>
      <c r="J240" s="62"/>
      <c r="K240" s="138"/>
      <c r="L240" s="62"/>
      <c r="M240" s="62"/>
    </row>
    <row r="241" spans="1:14" s="139" customFormat="1" ht="36.75" customHeight="1" x14ac:dyDescent="0.25">
      <c r="A241" s="189" t="s">
        <v>313</v>
      </c>
      <c r="B241" s="189"/>
      <c r="C241" s="189"/>
      <c r="D241" s="189"/>
      <c r="E241" s="189"/>
      <c r="F241" s="189"/>
      <c r="G241" s="43">
        <f>6</f>
        <v>6</v>
      </c>
      <c r="H241" s="43"/>
      <c r="I241" s="138"/>
      <c r="J241" s="138"/>
      <c r="K241" s="62"/>
      <c r="L241" s="138"/>
      <c r="M241" s="138"/>
    </row>
    <row r="242" spans="1:14" s="139" customFormat="1" ht="15.75" x14ac:dyDescent="0.25">
      <c r="A242" s="129">
        <v>1</v>
      </c>
      <c r="B242" s="308" t="s">
        <v>314</v>
      </c>
      <c r="C242" s="309"/>
      <c r="D242" s="309"/>
      <c r="E242" s="309"/>
      <c r="F242" s="310"/>
      <c r="G242" s="190"/>
      <c r="H242" s="190"/>
      <c r="I242" s="60"/>
      <c r="J242" s="61"/>
      <c r="K242" s="62"/>
      <c r="L242" s="198"/>
      <c r="M242" s="198"/>
      <c r="N242" s="40"/>
    </row>
    <row r="243" spans="1:14" x14ac:dyDescent="0.25">
      <c r="A243" s="129">
        <f>A242+1</f>
        <v>2</v>
      </c>
      <c r="B243" s="129" t="s">
        <v>315</v>
      </c>
      <c r="C243" s="129">
        <f>(78.86)*10.764</f>
        <v>848.84903999999995</v>
      </c>
      <c r="D243" s="130">
        <f t="shared" ref="D243:D246" si="20">C243*1.2</f>
        <v>1018.6188479999998</v>
      </c>
      <c r="E243" s="129">
        <v>0</v>
      </c>
      <c r="F243" s="129">
        <f t="shared" ref="F243:F246" si="21">C243*(($F$220)+1)+(IF(E243&lt;101,E243,IF(E243&lt;201,E243/2,IF(E243&lt;=301,E243/3,E243/4))))</f>
        <v>1273.2735599999999</v>
      </c>
      <c r="I243" s="62"/>
      <c r="J243" s="62"/>
      <c r="K243" s="62"/>
      <c r="L243" s="62"/>
      <c r="M243" s="62"/>
    </row>
    <row r="244" spans="1:14" x14ac:dyDescent="0.25">
      <c r="A244" s="129">
        <f t="shared" ref="A244:A246" si="22">A243+1</f>
        <v>3</v>
      </c>
      <c r="B244" s="129" t="s">
        <v>307</v>
      </c>
      <c r="C244" s="129">
        <f>(74.4)*10.764</f>
        <v>800.84159999999997</v>
      </c>
      <c r="D244" s="130">
        <f t="shared" si="20"/>
        <v>961.00991999999997</v>
      </c>
      <c r="E244" s="129">
        <v>0</v>
      </c>
      <c r="F244" s="129">
        <f t="shared" si="21"/>
        <v>1201.2624000000001</v>
      </c>
      <c r="I244" s="62"/>
      <c r="J244" s="62"/>
      <c r="K244" s="62"/>
      <c r="L244" s="62"/>
      <c r="M244" s="62"/>
    </row>
    <row r="245" spans="1:14" ht="15.75" x14ac:dyDescent="0.25">
      <c r="A245" s="129">
        <f t="shared" si="22"/>
        <v>4</v>
      </c>
      <c r="B245" s="129" t="s">
        <v>308</v>
      </c>
      <c r="C245" s="129">
        <f>(41.25)*10.764</f>
        <v>444.01499999999999</v>
      </c>
      <c r="D245" s="130">
        <f t="shared" si="20"/>
        <v>532.81799999999998</v>
      </c>
      <c r="E245" s="129">
        <v>0</v>
      </c>
      <c r="F245" s="129">
        <f t="shared" si="21"/>
        <v>666.02250000000004</v>
      </c>
      <c r="I245" s="62"/>
      <c r="J245" s="62"/>
      <c r="K245" s="60"/>
      <c r="L245" s="62"/>
      <c r="M245" s="62"/>
    </row>
    <row r="246" spans="1:14" ht="15.75" x14ac:dyDescent="0.25">
      <c r="A246" s="129">
        <f t="shared" si="22"/>
        <v>5</v>
      </c>
      <c r="B246" s="129" t="s">
        <v>309</v>
      </c>
      <c r="C246" s="129">
        <f>(57.51)*10.764</f>
        <v>619.0376399999999</v>
      </c>
      <c r="D246" s="130">
        <f t="shared" si="20"/>
        <v>742.84516799999983</v>
      </c>
      <c r="E246" s="129">
        <v>0</v>
      </c>
      <c r="F246" s="129">
        <f t="shared" si="21"/>
        <v>928.55645999999979</v>
      </c>
      <c r="I246" s="62"/>
      <c r="J246" s="62"/>
      <c r="K246" s="138"/>
      <c r="L246" s="62"/>
      <c r="M246" s="62"/>
    </row>
    <row r="247" spans="1:14" s="139" customFormat="1" ht="54" customHeight="1" x14ac:dyDescent="0.25">
      <c r="A247" s="189" t="s">
        <v>386</v>
      </c>
      <c r="B247" s="189"/>
      <c r="C247" s="189"/>
      <c r="D247" s="189"/>
      <c r="E247" s="189"/>
      <c r="F247" s="189"/>
      <c r="G247" s="43">
        <f>4+4+4</f>
        <v>12</v>
      </c>
      <c r="H247" s="43"/>
      <c r="I247" s="138"/>
      <c r="J247" s="138"/>
      <c r="K247" s="62"/>
      <c r="L247" s="138"/>
      <c r="M247" s="138"/>
    </row>
    <row r="248" spans="1:14" s="139" customFormat="1" ht="15.75" x14ac:dyDescent="0.25">
      <c r="A248" s="129">
        <v>1</v>
      </c>
      <c r="B248" s="129" t="s">
        <v>309</v>
      </c>
      <c r="C248" s="129">
        <f>(57.51)*10.764</f>
        <v>619.0376399999999</v>
      </c>
      <c r="D248" s="130">
        <f>C248*1.2</f>
        <v>742.84516799999983</v>
      </c>
      <c r="E248" s="129">
        <v>0</v>
      </c>
      <c r="F248" s="129">
        <f>C248*(($F$220)+1)+(IF(E248&lt;101,E248,IF(E248&lt;201,E248/2,IF(E248&lt;=301,E248/3,E248/4))))</f>
        <v>928.55645999999979</v>
      </c>
      <c r="G248" s="190"/>
      <c r="H248" s="190"/>
      <c r="I248" s="60"/>
      <c r="J248" s="61"/>
      <c r="K248" s="62"/>
      <c r="L248" s="198"/>
      <c r="M248" s="198"/>
      <c r="N248" s="40"/>
    </row>
    <row r="249" spans="1:14" x14ac:dyDescent="0.25">
      <c r="A249" s="129">
        <f>A248+1</f>
        <v>2</v>
      </c>
      <c r="B249" s="129" t="s">
        <v>308</v>
      </c>
      <c r="C249" s="129">
        <f>(41.25)*10.764</f>
        <v>444.01499999999999</v>
      </c>
      <c r="D249" s="130">
        <f t="shared" ref="D249:D252" si="23">C249*1.2</f>
        <v>532.81799999999998</v>
      </c>
      <c r="E249" s="129">
        <v>0</v>
      </c>
      <c r="F249" s="129">
        <f t="shared" ref="F249:F252" si="24">C249*(($F$220)+1)+(IF(E249&lt;101,E249,IF(E249&lt;201,E249/2,IF(E249&lt;=301,E249/3,E249/4))))</f>
        <v>666.02250000000004</v>
      </c>
      <c r="I249" s="62"/>
      <c r="J249" s="62"/>
      <c r="K249" s="62"/>
      <c r="L249" s="62"/>
      <c r="M249" s="62"/>
    </row>
    <row r="250" spans="1:14" x14ac:dyDescent="0.25">
      <c r="A250" s="129">
        <f t="shared" ref="A250:A252" si="25">A249+1</f>
        <v>3</v>
      </c>
      <c r="B250" s="129" t="s">
        <v>307</v>
      </c>
      <c r="C250" s="129">
        <f>(74.4)*10.764</f>
        <v>800.84159999999997</v>
      </c>
      <c r="D250" s="130">
        <f t="shared" si="23"/>
        <v>961.00991999999997</v>
      </c>
      <c r="E250" s="129">
        <v>0</v>
      </c>
      <c r="F250" s="129">
        <f t="shared" si="24"/>
        <v>1201.2624000000001</v>
      </c>
      <c r="I250" s="62"/>
      <c r="J250" s="62"/>
      <c r="K250" s="62"/>
      <c r="L250" s="62"/>
      <c r="M250" s="62"/>
    </row>
    <row r="251" spans="1:14" ht="15.75" x14ac:dyDescent="0.25">
      <c r="A251" s="129">
        <f t="shared" si="25"/>
        <v>4</v>
      </c>
      <c r="B251" s="129" t="s">
        <v>308</v>
      </c>
      <c r="C251" s="129">
        <f>(41.25)*10.764</f>
        <v>444.01499999999999</v>
      </c>
      <c r="D251" s="130">
        <f t="shared" si="23"/>
        <v>532.81799999999998</v>
      </c>
      <c r="E251" s="129">
        <v>0</v>
      </c>
      <c r="F251" s="129">
        <f t="shared" si="24"/>
        <v>666.02250000000004</v>
      </c>
      <c r="I251" s="62"/>
      <c r="J251" s="62"/>
      <c r="K251" s="60"/>
      <c r="L251" s="62"/>
      <c r="M251" s="62"/>
    </row>
    <row r="252" spans="1:14" ht="15.75" x14ac:dyDescent="0.25">
      <c r="A252" s="129">
        <f t="shared" si="25"/>
        <v>5</v>
      </c>
      <c r="B252" s="129" t="s">
        <v>309</v>
      </c>
      <c r="C252" s="129">
        <f>(57.51)*10.764</f>
        <v>619.0376399999999</v>
      </c>
      <c r="D252" s="130">
        <f t="shared" si="23"/>
        <v>742.84516799999983</v>
      </c>
      <c r="E252" s="129">
        <v>0</v>
      </c>
      <c r="F252" s="129">
        <f t="shared" si="24"/>
        <v>928.55645999999979</v>
      </c>
      <c r="I252" s="62"/>
      <c r="J252" s="62"/>
      <c r="K252" s="138"/>
      <c r="L252" s="62"/>
      <c r="M252" s="62"/>
    </row>
    <row r="253" spans="1:14" s="139" customFormat="1" ht="53.25" customHeight="1" x14ac:dyDescent="0.25">
      <c r="A253" s="189" t="s">
        <v>310</v>
      </c>
      <c r="B253" s="189"/>
      <c r="C253" s="189"/>
      <c r="D253" s="189"/>
      <c r="E253" s="189"/>
      <c r="F253" s="189"/>
      <c r="G253" s="43">
        <f>4+4+1</f>
        <v>9</v>
      </c>
      <c r="H253" s="43"/>
      <c r="I253" s="138"/>
      <c r="J253" s="138"/>
      <c r="K253" s="62"/>
      <c r="L253" s="138"/>
      <c r="M253" s="138"/>
    </row>
    <row r="254" spans="1:14" s="139" customFormat="1" ht="15.75" x14ac:dyDescent="0.25">
      <c r="A254" s="129">
        <v>1</v>
      </c>
      <c r="B254" s="129" t="s">
        <v>309</v>
      </c>
      <c r="C254" s="129">
        <f>(57.51)*10.764</f>
        <v>619.0376399999999</v>
      </c>
      <c r="D254" s="130">
        <f>C254*1.2</f>
        <v>742.84516799999983</v>
      </c>
      <c r="E254" s="129">
        <v>0</v>
      </c>
      <c r="F254" s="129">
        <f>C254*(($F$220)+1)+(IF(E254&lt;101,E254,IF(E254&lt;201,E254/2,IF(E254&lt;=301,E254/3,E254/4))))</f>
        <v>928.55645999999979</v>
      </c>
      <c r="G254" s="190"/>
      <c r="H254" s="190"/>
      <c r="I254" s="60"/>
      <c r="J254" s="61"/>
      <c r="K254" s="62"/>
      <c r="L254" s="198"/>
      <c r="M254" s="198"/>
      <c r="N254" s="40"/>
    </row>
    <row r="255" spans="1:14" x14ac:dyDescent="0.25">
      <c r="A255" s="129">
        <f>A254+1</f>
        <v>2</v>
      </c>
      <c r="B255" s="129" t="s">
        <v>308</v>
      </c>
      <c r="C255" s="129">
        <f>(41.25)*10.764</f>
        <v>444.01499999999999</v>
      </c>
      <c r="D255" s="130">
        <f t="shared" ref="D255:D258" si="26">C255*1.2</f>
        <v>532.81799999999998</v>
      </c>
      <c r="E255" s="129">
        <v>0</v>
      </c>
      <c r="F255" s="129">
        <f t="shared" ref="F255:F258" si="27">C255*(($F$220)+1)+(IF(E255&lt;101,E255,IF(E255&lt;201,E255/2,IF(E255&lt;=301,E255/3,E255/4))))</f>
        <v>666.02250000000004</v>
      </c>
      <c r="I255" s="62"/>
      <c r="J255" s="62"/>
      <c r="K255" s="62"/>
      <c r="L255" s="62"/>
      <c r="M255" s="62"/>
    </row>
    <row r="256" spans="1:14" x14ac:dyDescent="0.25">
      <c r="A256" s="129">
        <f t="shared" ref="A256:A258" si="28">A255+1</f>
        <v>3</v>
      </c>
      <c r="B256" s="129" t="s">
        <v>307</v>
      </c>
      <c r="C256" s="129">
        <f>(74.4)*10.764</f>
        <v>800.84159999999997</v>
      </c>
      <c r="D256" s="130">
        <f t="shared" si="26"/>
        <v>961.00991999999997</v>
      </c>
      <c r="E256" s="129">
        <v>0</v>
      </c>
      <c r="F256" s="129">
        <f t="shared" si="27"/>
        <v>1201.2624000000001</v>
      </c>
      <c r="I256" s="62"/>
      <c r="J256" s="62"/>
      <c r="K256" s="62"/>
      <c r="L256" s="62"/>
      <c r="M256" s="62"/>
    </row>
    <row r="257" spans="1:14" ht="15.75" x14ac:dyDescent="0.25">
      <c r="A257" s="129">
        <f t="shared" si="28"/>
        <v>4</v>
      </c>
      <c r="B257" s="129" t="s">
        <v>308</v>
      </c>
      <c r="C257" s="129">
        <f>(41.25)*10.764</f>
        <v>444.01499999999999</v>
      </c>
      <c r="D257" s="130">
        <f t="shared" si="26"/>
        <v>532.81799999999998</v>
      </c>
      <c r="E257" s="129">
        <v>0</v>
      </c>
      <c r="F257" s="129">
        <f t="shared" si="27"/>
        <v>666.02250000000004</v>
      </c>
      <c r="I257" s="62"/>
      <c r="J257" s="62"/>
      <c r="K257" s="60"/>
      <c r="L257" s="62"/>
      <c r="M257" s="62"/>
    </row>
    <row r="258" spans="1:14" ht="16.5" thickBot="1" x14ac:dyDescent="0.3">
      <c r="A258" s="129">
        <f t="shared" si="28"/>
        <v>5</v>
      </c>
      <c r="B258" s="129" t="s">
        <v>309</v>
      </c>
      <c r="C258" s="129">
        <f>(57.51)*10.764</f>
        <v>619.0376399999999</v>
      </c>
      <c r="D258" s="130">
        <f t="shared" si="26"/>
        <v>742.84516799999983</v>
      </c>
      <c r="E258" s="129">
        <v>0</v>
      </c>
      <c r="F258" s="129">
        <f t="shared" si="27"/>
        <v>928.55645999999979</v>
      </c>
      <c r="I258" s="62"/>
      <c r="J258" s="62"/>
      <c r="K258" s="138"/>
      <c r="L258" s="62"/>
      <c r="M258" s="62"/>
    </row>
    <row r="259" spans="1:14" s="39" customFormat="1" ht="15.75" hidden="1" customHeight="1" x14ac:dyDescent="0.25">
      <c r="A259" s="189" t="s">
        <v>246</v>
      </c>
      <c r="B259" s="189"/>
      <c r="C259" s="189"/>
      <c r="D259" s="189"/>
      <c r="E259" s="189"/>
      <c r="F259" s="189"/>
      <c r="G259" s="43"/>
      <c r="H259" s="43"/>
      <c r="I259" s="63"/>
      <c r="J259" s="63"/>
      <c r="K259" s="62"/>
      <c r="L259" s="63"/>
      <c r="M259" s="63"/>
    </row>
    <row r="260" spans="1:14" s="39" customFormat="1" ht="15.75" hidden="1" x14ac:dyDescent="0.25">
      <c r="A260" s="129">
        <v>1</v>
      </c>
      <c r="B260" s="129"/>
      <c r="C260" s="129"/>
      <c r="D260" s="130">
        <f>C260*1.2</f>
        <v>0</v>
      </c>
      <c r="E260" s="129">
        <v>0</v>
      </c>
      <c r="F260" s="129">
        <f>C260*(($F$220)+1)+(IF(E260&lt;101,E260,IF(E260&lt;201,E260/2,IF(E260&lt;=301,E260/3,E260/4))))</f>
        <v>0</v>
      </c>
      <c r="G260" s="190"/>
      <c r="H260" s="190"/>
      <c r="I260" s="60"/>
      <c r="J260" s="61"/>
      <c r="K260" s="62"/>
      <c r="L260" s="198"/>
      <c r="M260" s="198"/>
      <c r="N260" s="40"/>
    </row>
    <row r="261" spans="1:14" hidden="1" x14ac:dyDescent="0.25">
      <c r="A261" s="129">
        <f>A260+1</f>
        <v>2</v>
      </c>
      <c r="B261" s="129"/>
      <c r="C261" s="129"/>
      <c r="D261" s="130">
        <f t="shared" ref="D261:D265" si="29">C261*1.2</f>
        <v>0</v>
      </c>
      <c r="E261" s="129">
        <v>0</v>
      </c>
      <c r="F261" s="129">
        <f t="shared" ref="F261:F265" si="30">C261*(($F$220)+1)+(IF(E261&lt;101,E261,IF(E261&lt;201,E261/2,IF(E261&lt;=301,E261/3,E261/4))))</f>
        <v>0</v>
      </c>
      <c r="I261" s="62"/>
      <c r="J261" s="62"/>
      <c r="K261" s="62"/>
      <c r="L261" s="62"/>
      <c r="M261" s="62"/>
    </row>
    <row r="262" spans="1:14" hidden="1" x14ac:dyDescent="0.25">
      <c r="A262" s="129">
        <f t="shared" ref="A262:A265" si="31">A261+1</f>
        <v>3</v>
      </c>
      <c r="B262" s="129"/>
      <c r="C262" s="129"/>
      <c r="D262" s="130">
        <f t="shared" si="29"/>
        <v>0</v>
      </c>
      <c r="E262" s="129">
        <v>0</v>
      </c>
      <c r="F262" s="129">
        <f t="shared" si="30"/>
        <v>0</v>
      </c>
      <c r="I262" s="62"/>
      <c r="J262" s="62"/>
      <c r="K262" s="62"/>
      <c r="L262" s="62"/>
      <c r="M262" s="62"/>
    </row>
    <row r="263" spans="1:14" ht="15.75" hidden="1" x14ac:dyDescent="0.25">
      <c r="A263" s="129">
        <f t="shared" si="31"/>
        <v>4</v>
      </c>
      <c r="B263" s="129"/>
      <c r="C263" s="129"/>
      <c r="D263" s="130">
        <f t="shared" si="29"/>
        <v>0</v>
      </c>
      <c r="E263" s="129">
        <v>0</v>
      </c>
      <c r="F263" s="129">
        <f t="shared" si="30"/>
        <v>0</v>
      </c>
      <c r="I263" s="62"/>
      <c r="J263" s="62"/>
      <c r="K263" s="60"/>
      <c r="L263" s="62"/>
      <c r="M263" s="62"/>
    </row>
    <row r="264" spans="1:14" ht="15.75" hidden="1" x14ac:dyDescent="0.25">
      <c r="A264" s="129">
        <f t="shared" si="31"/>
        <v>5</v>
      </c>
      <c r="B264" s="129"/>
      <c r="C264" s="129"/>
      <c r="D264" s="130">
        <f t="shared" si="29"/>
        <v>0</v>
      </c>
      <c r="E264" s="129">
        <v>0</v>
      </c>
      <c r="F264" s="129">
        <f t="shared" si="30"/>
        <v>0</v>
      </c>
      <c r="K264" s="39"/>
    </row>
    <row r="265" spans="1:14" hidden="1" x14ac:dyDescent="0.25">
      <c r="A265" s="129">
        <f t="shared" si="31"/>
        <v>6</v>
      </c>
      <c r="B265" s="129"/>
      <c r="C265" s="129"/>
      <c r="D265" s="130">
        <f t="shared" si="29"/>
        <v>0</v>
      </c>
      <c r="E265" s="129">
        <v>0</v>
      </c>
      <c r="F265" s="129">
        <f t="shared" si="30"/>
        <v>0</v>
      </c>
    </row>
    <row r="266" spans="1:14" s="39" customFormat="1" ht="15.75" hidden="1" customHeight="1" x14ac:dyDescent="0.25">
      <c r="A266" s="189" t="s">
        <v>247</v>
      </c>
      <c r="B266" s="189"/>
      <c r="C266" s="189"/>
      <c r="D266" s="189"/>
      <c r="E266" s="189"/>
      <c r="F266" s="189"/>
      <c r="G266" s="43"/>
      <c r="H266" s="43"/>
      <c r="K266"/>
    </row>
    <row r="267" spans="1:14" s="39" customFormat="1" ht="15.75" hidden="1" x14ac:dyDescent="0.25">
      <c r="A267" s="129">
        <v>1</v>
      </c>
      <c r="B267" s="129"/>
      <c r="C267" s="129"/>
      <c r="D267" s="130">
        <f>C267*1.2</f>
        <v>0</v>
      </c>
      <c r="E267" s="129">
        <v>0</v>
      </c>
      <c r="F267" s="129">
        <f>C267*(($F$220)+1)+(IF(E267&lt;101,E267,IF(E267&lt;201,E267/2,IF(E267&lt;=301,E267/3,E267/4))))</f>
        <v>0</v>
      </c>
      <c r="G267" s="190"/>
      <c r="H267" s="190"/>
      <c r="I267" s="40"/>
      <c r="J267" s="44"/>
      <c r="K267"/>
      <c r="L267" s="307"/>
      <c r="M267" s="307"/>
      <c r="N267" s="40"/>
    </row>
    <row r="268" spans="1:14" hidden="1" x14ac:dyDescent="0.25">
      <c r="A268" s="129">
        <f>A267+1</f>
        <v>2</v>
      </c>
      <c r="B268" s="129"/>
      <c r="C268" s="129"/>
      <c r="D268" s="130">
        <f t="shared" ref="D268:D272" si="32">C268*1.2</f>
        <v>0</v>
      </c>
      <c r="E268" s="129">
        <v>0</v>
      </c>
      <c r="F268" s="129">
        <f t="shared" ref="F268:F272" si="33">C268*(($F$220)+1)+(IF(E268&lt;101,E268,IF(E268&lt;201,E268/2,IF(E268&lt;=301,E268/3,E268/4))))</f>
        <v>0</v>
      </c>
      <c r="J268" s="62"/>
      <c r="K268" s="62"/>
      <c r="L268" s="62"/>
      <c r="M268" s="62"/>
    </row>
    <row r="269" spans="1:14" hidden="1" x14ac:dyDescent="0.25">
      <c r="A269" s="129">
        <f t="shared" ref="A269:A272" si="34">A268+1</f>
        <v>3</v>
      </c>
      <c r="B269" s="129"/>
      <c r="C269" s="129"/>
      <c r="D269" s="130">
        <f t="shared" si="32"/>
        <v>0</v>
      </c>
      <c r="E269" s="129">
        <v>0</v>
      </c>
      <c r="F269" s="129">
        <f t="shared" si="33"/>
        <v>0</v>
      </c>
      <c r="J269" s="62"/>
      <c r="K269" s="62"/>
      <c r="L269" s="62"/>
      <c r="M269" s="62"/>
    </row>
    <row r="270" spans="1:14" ht="15.75" hidden="1" x14ac:dyDescent="0.25">
      <c r="A270" s="129">
        <f t="shared" si="34"/>
        <v>4</v>
      </c>
      <c r="B270" s="129"/>
      <c r="C270" s="129"/>
      <c r="D270" s="130">
        <f t="shared" si="32"/>
        <v>0</v>
      </c>
      <c r="E270" s="129">
        <v>0</v>
      </c>
      <c r="F270" s="129">
        <f t="shared" si="33"/>
        <v>0</v>
      </c>
      <c r="J270" s="62"/>
      <c r="K270" s="64"/>
      <c r="L270" s="62"/>
      <c r="M270" s="62"/>
    </row>
    <row r="271" spans="1:14" ht="15.75" hidden="1" x14ac:dyDescent="0.25">
      <c r="A271" s="129">
        <f t="shared" si="34"/>
        <v>5</v>
      </c>
      <c r="B271" s="129"/>
      <c r="C271" s="129"/>
      <c r="D271" s="130">
        <f t="shared" si="32"/>
        <v>0</v>
      </c>
      <c r="E271" s="129">
        <v>0</v>
      </c>
      <c r="F271" s="129">
        <f t="shared" si="33"/>
        <v>0</v>
      </c>
      <c r="J271" s="62"/>
      <c r="K271" s="60"/>
      <c r="L271" s="62"/>
      <c r="M271" s="62"/>
    </row>
    <row r="272" spans="1:14" ht="15.75" hidden="1" x14ac:dyDescent="0.25">
      <c r="A272" s="129">
        <f t="shared" si="34"/>
        <v>6</v>
      </c>
      <c r="B272" s="129"/>
      <c r="C272" s="129"/>
      <c r="D272" s="130">
        <f t="shared" si="32"/>
        <v>0</v>
      </c>
      <c r="E272" s="129">
        <v>0</v>
      </c>
      <c r="F272" s="129">
        <f t="shared" si="33"/>
        <v>0</v>
      </c>
      <c r="J272" s="62"/>
      <c r="K272" s="60"/>
      <c r="L272" s="62"/>
      <c r="M272" s="62"/>
    </row>
    <row r="273" spans="1:14" s="39" customFormat="1" ht="15.75" hidden="1" customHeight="1" x14ac:dyDescent="0.25">
      <c r="A273" s="189" t="s">
        <v>248</v>
      </c>
      <c r="B273" s="189"/>
      <c r="C273" s="189"/>
      <c r="D273" s="189"/>
      <c r="E273" s="189"/>
      <c r="F273" s="189"/>
      <c r="G273" s="43"/>
      <c r="H273" s="43"/>
      <c r="J273" s="63"/>
      <c r="K273" s="60"/>
      <c r="L273" s="63"/>
      <c r="M273" s="63"/>
    </row>
    <row r="274" spans="1:14" s="39" customFormat="1" ht="15.75" hidden="1" x14ac:dyDescent="0.25">
      <c r="A274" s="129">
        <v>1</v>
      </c>
      <c r="B274" s="129"/>
      <c r="C274" s="129"/>
      <c r="D274" s="130">
        <f>C274*1.2</f>
        <v>0</v>
      </c>
      <c r="E274" s="129">
        <v>0</v>
      </c>
      <c r="F274" s="129">
        <f>C274*(($F$220)+1)+(IF(E274&lt;101,E274,IF(E274&lt;201,E274/2,IF(E274&lt;=301,E274/3,E274/4))))</f>
        <v>0</v>
      </c>
      <c r="G274" s="190"/>
      <c r="H274" s="190"/>
      <c r="I274" s="40"/>
      <c r="J274" s="61"/>
      <c r="K274" s="63"/>
      <c r="L274" s="198"/>
      <c r="M274" s="198"/>
      <c r="N274" s="40"/>
    </row>
    <row r="275" spans="1:14" hidden="1" x14ac:dyDescent="0.25">
      <c r="A275" s="129">
        <f>A274+1</f>
        <v>2</v>
      </c>
      <c r="B275" s="129"/>
      <c r="C275" s="129"/>
      <c r="D275" s="130">
        <f t="shared" ref="D275:D279" si="35">C275*1.2</f>
        <v>0</v>
      </c>
      <c r="E275" s="129">
        <v>0</v>
      </c>
      <c r="F275" s="129">
        <f t="shared" ref="F275:F279" si="36">C275*(($F$220)+1)+(IF(E275&lt;101,E275,IF(E275&lt;201,E275/2,IF(E275&lt;=301,E275/3,E275/4))))</f>
        <v>0</v>
      </c>
      <c r="J275" s="62"/>
      <c r="K275" s="62"/>
      <c r="L275" s="62"/>
      <c r="M275" s="62"/>
    </row>
    <row r="276" spans="1:14" hidden="1" x14ac:dyDescent="0.25">
      <c r="A276" s="129">
        <f t="shared" ref="A276:A279" si="37">A275+1</f>
        <v>3</v>
      </c>
      <c r="B276" s="129"/>
      <c r="C276" s="129"/>
      <c r="D276" s="130">
        <f t="shared" si="35"/>
        <v>0</v>
      </c>
      <c r="E276" s="129">
        <v>0</v>
      </c>
      <c r="F276" s="129">
        <f t="shared" si="36"/>
        <v>0</v>
      </c>
      <c r="J276" s="62"/>
      <c r="K276" s="62"/>
      <c r="L276" s="62"/>
      <c r="M276" s="62"/>
    </row>
    <row r="277" spans="1:14" hidden="1" x14ac:dyDescent="0.25">
      <c r="A277" s="129">
        <f t="shared" si="37"/>
        <v>4</v>
      </c>
      <c r="B277" s="129"/>
      <c r="C277" s="129"/>
      <c r="D277" s="130">
        <f t="shared" si="35"/>
        <v>0</v>
      </c>
      <c r="E277" s="129">
        <v>0</v>
      </c>
      <c r="F277" s="129">
        <f t="shared" si="36"/>
        <v>0</v>
      </c>
      <c r="J277" s="62"/>
      <c r="K277" s="62"/>
      <c r="L277" s="62"/>
      <c r="M277" s="62"/>
    </row>
    <row r="278" spans="1:14" hidden="1" x14ac:dyDescent="0.25">
      <c r="A278" s="129">
        <f t="shared" si="37"/>
        <v>5</v>
      </c>
      <c r="B278" s="129"/>
      <c r="C278" s="129"/>
      <c r="D278" s="130">
        <f t="shared" si="35"/>
        <v>0</v>
      </c>
      <c r="E278" s="129">
        <v>0</v>
      </c>
      <c r="F278" s="129">
        <f>C278*(($F$220)+1)+(IF(E278&lt;101,E278,IF(E278&lt;201,E278/2,IF(E278&lt;=301,E278/3,E278/4))))</f>
        <v>0</v>
      </c>
      <c r="J278" s="62"/>
      <c r="K278" s="62"/>
      <c r="L278" s="62"/>
      <c r="M278" s="62"/>
    </row>
    <row r="279" spans="1:14" ht="15.75" hidden="1" thickBot="1" x14ac:dyDescent="0.3">
      <c r="A279" s="131">
        <f t="shared" si="37"/>
        <v>6</v>
      </c>
      <c r="B279" s="131"/>
      <c r="C279" s="131"/>
      <c r="D279" s="132">
        <f t="shared" si="35"/>
        <v>0</v>
      </c>
      <c r="E279" s="131">
        <v>0</v>
      </c>
      <c r="F279" s="131">
        <f t="shared" si="36"/>
        <v>0</v>
      </c>
      <c r="J279" s="62"/>
      <c r="K279" s="62"/>
      <c r="L279" s="62"/>
      <c r="M279" s="62"/>
    </row>
    <row r="280" spans="1:14" x14ac:dyDescent="0.25">
      <c r="A280" s="269" t="s">
        <v>61</v>
      </c>
      <c r="B280" s="270"/>
      <c r="C280" s="270"/>
      <c r="D280" s="270"/>
      <c r="E280" s="270"/>
      <c r="F280" s="271"/>
      <c r="I280" s="62"/>
      <c r="J280" s="62"/>
      <c r="K280" s="57"/>
    </row>
    <row r="281" spans="1:14" s="1" customFormat="1" ht="32.25" customHeight="1" x14ac:dyDescent="0.2">
      <c r="A281" s="117" t="s">
        <v>212</v>
      </c>
      <c r="B281" s="191" t="s">
        <v>279</v>
      </c>
      <c r="C281" s="191"/>
      <c r="D281" s="50" t="s">
        <v>213</v>
      </c>
      <c r="E281" s="191" t="s">
        <v>280</v>
      </c>
      <c r="F281" s="192"/>
      <c r="G281" s="54"/>
      <c r="H281" s="193"/>
      <c r="I281" s="193"/>
      <c r="J281" s="54"/>
      <c r="L281" s="56"/>
    </row>
    <row r="282" spans="1:14" s="1" customFormat="1" ht="12.75" x14ac:dyDescent="0.2">
      <c r="A282" s="117">
        <v>1</v>
      </c>
      <c r="B282" s="178" t="s">
        <v>302</v>
      </c>
      <c r="C282" s="178"/>
      <c r="D282" s="158">
        <v>11700</v>
      </c>
      <c r="E282" s="178" t="s">
        <v>281</v>
      </c>
      <c r="F282" s="179"/>
    </row>
    <row r="283" spans="1:14" s="1" customFormat="1" ht="12.75" hidden="1" x14ac:dyDescent="0.2">
      <c r="A283" s="117">
        <v>2</v>
      </c>
      <c r="B283" s="178"/>
      <c r="C283" s="178"/>
      <c r="D283" s="93"/>
      <c r="E283" s="178" t="s">
        <v>281</v>
      </c>
      <c r="F283" s="179"/>
      <c r="K283" s="55"/>
    </row>
    <row r="284" spans="1:14" s="1" customFormat="1" ht="12.75" hidden="1" x14ac:dyDescent="0.2">
      <c r="A284" s="117">
        <v>3</v>
      </c>
      <c r="B284" s="178"/>
      <c r="C284" s="178"/>
      <c r="D284" s="93"/>
      <c r="E284" s="178" t="s">
        <v>281</v>
      </c>
      <c r="F284" s="179"/>
    </row>
    <row r="285" spans="1:14" s="1" customFormat="1" ht="12.75" hidden="1" x14ac:dyDescent="0.2">
      <c r="A285" s="117">
        <v>4</v>
      </c>
      <c r="B285" s="178"/>
      <c r="C285" s="178"/>
      <c r="D285" s="93"/>
      <c r="E285" s="178" t="s">
        <v>281</v>
      </c>
      <c r="F285" s="179"/>
    </row>
    <row r="286" spans="1:14" s="1" customFormat="1" ht="12.75" hidden="1" x14ac:dyDescent="0.2">
      <c r="A286" s="117">
        <v>5</v>
      </c>
      <c r="B286" s="178"/>
      <c r="C286" s="178"/>
      <c r="D286" s="93"/>
      <c r="E286" s="178" t="s">
        <v>281</v>
      </c>
      <c r="F286" s="179"/>
      <c r="G286" s="57"/>
      <c r="H286" s="57"/>
      <c r="I286" s="57"/>
      <c r="J286" s="57"/>
      <c r="K286" s="57"/>
      <c r="L286" s="57"/>
    </row>
    <row r="287" spans="1:14" s="1" customFormat="1" ht="12.75" hidden="1" x14ac:dyDescent="0.2">
      <c r="A287" s="117">
        <v>6</v>
      </c>
      <c r="B287" s="178"/>
      <c r="C287" s="178"/>
      <c r="D287" s="93"/>
      <c r="E287" s="178" t="s">
        <v>281</v>
      </c>
      <c r="F287" s="179"/>
      <c r="G287" s="57"/>
      <c r="H287" s="57"/>
      <c r="I287" s="57"/>
      <c r="J287" s="57"/>
      <c r="K287" s="58"/>
      <c r="L287" s="57"/>
    </row>
    <row r="288" spans="1:14" s="1" customFormat="1" ht="61.5" hidden="1" customHeight="1" x14ac:dyDescent="0.2">
      <c r="A288" s="117" t="s">
        <v>214</v>
      </c>
      <c r="B288" s="50" t="s">
        <v>215</v>
      </c>
      <c r="C288" s="50" t="s">
        <v>216</v>
      </c>
      <c r="D288" s="50" t="s">
        <v>217</v>
      </c>
      <c r="E288" s="50" t="s">
        <v>218</v>
      </c>
      <c r="F288" s="114" t="s">
        <v>219</v>
      </c>
      <c r="G288" s="59"/>
      <c r="H288" s="59"/>
      <c r="I288" s="59"/>
      <c r="J288" s="59"/>
      <c r="K288" s="57"/>
      <c r="L288" s="59"/>
    </row>
    <row r="289" spans="1:12" s="1" customFormat="1" ht="12.75" hidden="1" x14ac:dyDescent="0.2">
      <c r="A289" s="117" t="s">
        <v>220</v>
      </c>
      <c r="B289" s="93"/>
      <c r="C289" s="93"/>
      <c r="D289" s="93"/>
      <c r="E289" s="93"/>
      <c r="F289" s="125"/>
      <c r="G289" s="57"/>
      <c r="H289" s="57"/>
      <c r="I289" s="57"/>
      <c r="J289" s="57"/>
      <c r="K289" s="57"/>
      <c r="L289" s="57"/>
    </row>
    <row r="290" spans="1:12" s="1" customFormat="1" ht="12.75" hidden="1" x14ac:dyDescent="0.2">
      <c r="A290" s="117" t="s">
        <v>221</v>
      </c>
      <c r="B290" s="93"/>
      <c r="C290" s="93"/>
      <c r="D290" s="93"/>
      <c r="E290" s="93"/>
      <c r="F290" s="125"/>
      <c r="G290" s="57"/>
      <c r="H290" s="57"/>
      <c r="I290" s="57"/>
      <c r="J290" s="57"/>
      <c r="K290" s="57"/>
      <c r="L290" s="57"/>
    </row>
    <row r="291" spans="1:12" s="1" customFormat="1" ht="12.75" hidden="1" x14ac:dyDescent="0.2">
      <c r="A291" s="117" t="s">
        <v>222</v>
      </c>
      <c r="B291" s="93"/>
      <c r="C291" s="93"/>
      <c r="D291" s="93"/>
      <c r="E291" s="93"/>
      <c r="F291" s="125"/>
    </row>
    <row r="292" spans="1:12" s="1" customFormat="1" ht="12.75" hidden="1" x14ac:dyDescent="0.2">
      <c r="A292" s="117" t="s">
        <v>223</v>
      </c>
      <c r="B292" s="93"/>
      <c r="C292" s="93"/>
      <c r="D292" s="93"/>
      <c r="E292" s="93"/>
      <c r="F292" s="125"/>
    </row>
    <row r="293" spans="1:12" s="1" customFormat="1" ht="60.75" hidden="1" customHeight="1" x14ac:dyDescent="0.2">
      <c r="A293" s="117" t="s">
        <v>224</v>
      </c>
      <c r="B293" s="50" t="s">
        <v>215</v>
      </c>
      <c r="C293" s="50" t="s">
        <v>216</v>
      </c>
      <c r="D293" s="191" t="s">
        <v>225</v>
      </c>
      <c r="E293" s="191"/>
      <c r="F293" s="114" t="s">
        <v>226</v>
      </c>
      <c r="G293" s="55"/>
      <c r="H293" s="55"/>
      <c r="I293" s="55"/>
      <c r="J293" s="55"/>
      <c r="L293" s="55"/>
    </row>
    <row r="294" spans="1:12" s="1" customFormat="1" ht="12.75" hidden="1" x14ac:dyDescent="0.2">
      <c r="A294" s="117" t="s">
        <v>227</v>
      </c>
      <c r="B294" s="93"/>
      <c r="C294" s="93"/>
      <c r="D294" s="178"/>
      <c r="E294" s="178"/>
      <c r="F294" s="125"/>
    </row>
    <row r="295" spans="1:12" s="1" customFormat="1" ht="12.75" hidden="1" x14ac:dyDescent="0.2">
      <c r="A295" s="117" t="s">
        <v>228</v>
      </c>
      <c r="B295" s="93"/>
      <c r="C295" s="93"/>
      <c r="D295" s="178"/>
      <c r="E295" s="178"/>
      <c r="F295" s="125"/>
    </row>
    <row r="296" spans="1:12" s="1" customFormat="1" ht="12.75" hidden="1" x14ac:dyDescent="0.2">
      <c r="A296" s="117" t="s">
        <v>229</v>
      </c>
      <c r="B296" s="93"/>
      <c r="C296" s="93"/>
      <c r="D296" s="178"/>
      <c r="E296" s="178"/>
      <c r="F296" s="125"/>
    </row>
    <row r="297" spans="1:12" s="1" customFormat="1" ht="60.75" customHeight="1" x14ac:dyDescent="0.25">
      <c r="A297" s="117" t="s">
        <v>230</v>
      </c>
      <c r="B297" s="50" t="s">
        <v>215</v>
      </c>
      <c r="C297" s="50" t="s">
        <v>216</v>
      </c>
      <c r="D297" s="191" t="s">
        <v>231</v>
      </c>
      <c r="E297" s="191"/>
      <c r="F297" s="114" t="s">
        <v>232</v>
      </c>
      <c r="G297" s="54"/>
      <c r="H297" s="54"/>
      <c r="I297" s="54"/>
      <c r="J297" s="56"/>
      <c r="K297" s="45"/>
      <c r="L297" s="54"/>
    </row>
    <row r="298" spans="1:12" s="1" customFormat="1" x14ac:dyDescent="0.25">
      <c r="A298" s="117" t="s">
        <v>151</v>
      </c>
      <c r="B298" s="93" t="s">
        <v>253</v>
      </c>
      <c r="C298" s="159">
        <v>500000</v>
      </c>
      <c r="D298" s="178"/>
      <c r="E298" s="178"/>
      <c r="F298" s="125"/>
      <c r="G298" s="54"/>
      <c r="K298"/>
    </row>
    <row r="299" spans="1:12" s="1" customFormat="1" ht="24" hidden="1" x14ac:dyDescent="0.25">
      <c r="A299" s="117" t="s">
        <v>233</v>
      </c>
      <c r="B299" s="93"/>
      <c r="C299" s="93"/>
      <c r="D299" s="178"/>
      <c r="E299" s="178"/>
      <c r="F299" s="125"/>
      <c r="G299" s="54"/>
      <c r="K299" s="45"/>
    </row>
    <row r="300" spans="1:12" s="1" customFormat="1" ht="24" hidden="1" x14ac:dyDescent="0.25">
      <c r="A300" s="117" t="s">
        <v>234</v>
      </c>
      <c r="B300" s="93"/>
      <c r="C300" s="93"/>
      <c r="D300" s="178"/>
      <c r="E300" s="178"/>
      <c r="F300" s="125"/>
      <c r="G300" s="54"/>
      <c r="K300"/>
    </row>
    <row r="301" spans="1:12" s="1" customFormat="1" hidden="1" x14ac:dyDescent="0.25">
      <c r="A301" s="117" t="s">
        <v>235</v>
      </c>
      <c r="B301" s="93"/>
      <c r="C301" s="93"/>
      <c r="D301" s="178"/>
      <c r="E301" s="178"/>
      <c r="F301" s="125"/>
      <c r="G301" s="54"/>
      <c r="K301"/>
    </row>
    <row r="302" spans="1:12" s="1" customFormat="1" hidden="1" x14ac:dyDescent="0.25">
      <c r="A302" s="117" t="s">
        <v>236</v>
      </c>
      <c r="B302" s="93"/>
      <c r="C302" s="93"/>
      <c r="D302" s="178"/>
      <c r="E302" s="178"/>
      <c r="F302" s="125"/>
      <c r="G302" s="54"/>
      <c r="K302"/>
    </row>
    <row r="303" spans="1:12" s="1" customFormat="1" hidden="1" x14ac:dyDescent="0.25">
      <c r="A303" s="117" t="s">
        <v>237</v>
      </c>
      <c r="B303" s="93"/>
      <c r="C303" s="93"/>
      <c r="D303" s="178"/>
      <c r="E303" s="178"/>
      <c r="F303" s="125"/>
      <c r="G303" s="54"/>
      <c r="K303"/>
    </row>
    <row r="304" spans="1:12" s="1" customFormat="1" ht="30" hidden="1" customHeight="1" x14ac:dyDescent="0.25">
      <c r="A304" s="117" t="s">
        <v>238</v>
      </c>
      <c r="B304" s="93"/>
      <c r="C304" s="93"/>
      <c r="D304" s="178"/>
      <c r="E304" s="178"/>
      <c r="F304" s="125"/>
      <c r="G304" s="54"/>
      <c r="K304"/>
    </row>
    <row r="305" spans="1:11" s="1" customFormat="1" ht="30" hidden="1" customHeight="1" x14ac:dyDescent="0.25">
      <c r="A305" s="117" t="s">
        <v>239</v>
      </c>
      <c r="B305" s="93"/>
      <c r="C305" s="93"/>
      <c r="D305" s="178"/>
      <c r="E305" s="178"/>
      <c r="F305" s="125"/>
      <c r="G305" s="54"/>
      <c r="K305"/>
    </row>
    <row r="306" spans="1:11" s="1" customFormat="1" ht="30" hidden="1" customHeight="1" thickBot="1" x14ac:dyDescent="0.3">
      <c r="A306" s="126" t="s">
        <v>240</v>
      </c>
      <c r="B306" s="127"/>
      <c r="C306" s="127"/>
      <c r="D306" s="324"/>
      <c r="E306" s="324"/>
      <c r="F306" s="128"/>
      <c r="G306" s="54"/>
      <c r="K306"/>
    </row>
    <row r="307" spans="1:11" s="45" customFormat="1" x14ac:dyDescent="0.25">
      <c r="A307" s="274" t="s">
        <v>62</v>
      </c>
      <c r="B307" s="274"/>
      <c r="C307" s="274"/>
      <c r="D307" s="274"/>
      <c r="E307" s="274"/>
      <c r="F307" s="274"/>
      <c r="K307"/>
    </row>
    <row r="308" spans="1:11" s="45" customFormat="1" x14ac:dyDescent="0.25">
      <c r="A308" s="103">
        <v>1</v>
      </c>
      <c r="B308" s="245" t="s">
        <v>375</v>
      </c>
      <c r="C308" s="245"/>
      <c r="D308" s="245"/>
      <c r="E308" s="245"/>
      <c r="F308" s="245"/>
      <c r="K308"/>
    </row>
    <row r="309" spans="1:11" s="45" customFormat="1" x14ac:dyDescent="0.25">
      <c r="A309" s="103">
        <f t="shared" ref="A309:A318" si="38">A308+1</f>
        <v>2</v>
      </c>
      <c r="B309" s="245" t="s">
        <v>291</v>
      </c>
      <c r="C309" s="245"/>
      <c r="D309" s="245"/>
      <c r="E309" s="245"/>
      <c r="F309" s="245"/>
      <c r="K309"/>
    </row>
    <row r="310" spans="1:11" s="45" customFormat="1" x14ac:dyDescent="0.25">
      <c r="A310" s="103">
        <f t="shared" si="38"/>
        <v>3</v>
      </c>
      <c r="B310" s="275" t="str">
        <f>(IF(F219="Saleable area Loading :","We have considered Saleable area of Flats as per our Calculation.","We considered Saleable area of Flat as per Builder area Sheet."))</f>
        <v>We have considered Saleable area of Flats as per our Calculation.</v>
      </c>
      <c r="C310" s="276"/>
      <c r="D310" s="276"/>
      <c r="E310" s="276"/>
      <c r="F310" s="276"/>
      <c r="K310"/>
    </row>
    <row r="311" spans="1:11" s="45" customFormat="1" x14ac:dyDescent="0.25">
      <c r="A311" s="103">
        <f t="shared" si="38"/>
        <v>4</v>
      </c>
      <c r="B311" s="276" t="s">
        <v>282</v>
      </c>
      <c r="C311" s="276"/>
      <c r="D311" s="276"/>
      <c r="E311" s="276"/>
      <c r="F311" s="276"/>
      <c r="K311"/>
    </row>
    <row r="312" spans="1:11" s="45" customFormat="1" x14ac:dyDescent="0.25">
      <c r="A312" s="103">
        <f t="shared" si="38"/>
        <v>5</v>
      </c>
      <c r="B312" s="245" t="s">
        <v>283</v>
      </c>
      <c r="C312" s="245"/>
      <c r="D312" s="245"/>
      <c r="E312" s="245"/>
      <c r="F312" s="245"/>
      <c r="K312"/>
    </row>
    <row r="313" spans="1:11" s="45" customFormat="1" x14ac:dyDescent="0.25">
      <c r="A313" s="103">
        <f t="shared" si="38"/>
        <v>6</v>
      </c>
      <c r="B313" s="276" t="s">
        <v>385</v>
      </c>
      <c r="C313" s="276"/>
      <c r="D313" s="276"/>
      <c r="E313" s="276"/>
      <c r="F313" s="276"/>
      <c r="K313"/>
    </row>
    <row r="314" spans="1:11" s="45" customFormat="1" x14ac:dyDescent="0.25">
      <c r="A314" s="103">
        <v>7</v>
      </c>
      <c r="B314" s="245" t="s">
        <v>284</v>
      </c>
      <c r="C314" s="245"/>
      <c r="D314" s="245"/>
      <c r="E314" s="245"/>
      <c r="F314" s="245"/>
      <c r="K314"/>
    </row>
    <row r="315" spans="1:11" s="45" customFormat="1" ht="30" customHeight="1" x14ac:dyDescent="0.25">
      <c r="A315" s="103">
        <f t="shared" si="38"/>
        <v>8</v>
      </c>
      <c r="B315" s="262" t="s">
        <v>285</v>
      </c>
      <c r="C315" s="262"/>
      <c r="D315" s="262"/>
      <c r="E315" s="262"/>
      <c r="F315" s="262"/>
      <c r="K315"/>
    </row>
    <row r="316" spans="1:11" s="45" customFormat="1" ht="30" hidden="1" customHeight="1" x14ac:dyDescent="0.25">
      <c r="A316" s="103">
        <f t="shared" si="38"/>
        <v>9</v>
      </c>
      <c r="B316" s="246" t="s">
        <v>296</v>
      </c>
      <c r="C316" s="246"/>
      <c r="D316" s="246"/>
      <c r="E316" s="246"/>
      <c r="F316" s="246"/>
      <c r="K316"/>
    </row>
    <row r="317" spans="1:11" s="45" customFormat="1" x14ac:dyDescent="0.25">
      <c r="A317" s="103">
        <v>9</v>
      </c>
      <c r="B317" s="262" t="s">
        <v>382</v>
      </c>
      <c r="C317" s="262"/>
      <c r="D317" s="262"/>
      <c r="E317" s="262"/>
      <c r="F317" s="262"/>
      <c r="K317"/>
    </row>
    <row r="318" spans="1:11" s="45" customFormat="1" x14ac:dyDescent="0.25">
      <c r="A318" s="103">
        <f t="shared" si="38"/>
        <v>10</v>
      </c>
      <c r="B318" s="262" t="s">
        <v>383</v>
      </c>
      <c r="C318" s="262"/>
      <c r="D318" s="262"/>
      <c r="E318" s="262"/>
      <c r="F318" s="262"/>
      <c r="K318"/>
    </row>
    <row r="319" spans="1:11" x14ac:dyDescent="0.25">
      <c r="A319" s="260" t="s">
        <v>63</v>
      </c>
      <c r="B319" s="260"/>
      <c r="C319" s="261" t="str">
        <f>B2</f>
        <v>Lodha Amara Tower 47</v>
      </c>
      <c r="D319" s="261"/>
      <c r="E319" s="261"/>
      <c r="F319" s="261"/>
    </row>
    <row r="365" spans="1:1" x14ac:dyDescent="0.25">
      <c r="A365" s="51" t="s">
        <v>64</v>
      </c>
    </row>
    <row r="411" spans="1:1" x14ac:dyDescent="0.25">
      <c r="A411" s="51" t="s">
        <v>65</v>
      </c>
    </row>
    <row r="412" spans="1:1" x14ac:dyDescent="0.25">
      <c r="A412" s="51"/>
    </row>
    <row r="453" spans="1:6" ht="57" customHeight="1" x14ac:dyDescent="0.25">
      <c r="A453" s="52" t="s">
        <v>66</v>
      </c>
      <c r="B453" s="157" t="str">
        <f>E12</f>
        <v>Ajay Songare</v>
      </c>
      <c r="C453" s="272" t="s">
        <v>67</v>
      </c>
      <c r="D453" s="272"/>
      <c r="E453" s="273"/>
      <c r="F453" s="273"/>
    </row>
  </sheetData>
  <dataConsolidate/>
  <mergeCells count="395">
    <mergeCell ref="L204:M204"/>
    <mergeCell ref="A210:F210"/>
    <mergeCell ref="B317:F317"/>
    <mergeCell ref="A46:B46"/>
    <mergeCell ref="C46:F46"/>
    <mergeCell ref="G46:H46"/>
    <mergeCell ref="B318:F318"/>
    <mergeCell ref="E285:F285"/>
    <mergeCell ref="A45:B45"/>
    <mergeCell ref="C45:F45"/>
    <mergeCell ref="G45:H45"/>
    <mergeCell ref="D304:E304"/>
    <mergeCell ref="D305:E305"/>
    <mergeCell ref="D306:E306"/>
    <mergeCell ref="D293:E293"/>
    <mergeCell ref="D297:E297"/>
    <mergeCell ref="D294:E294"/>
    <mergeCell ref="D295:E295"/>
    <mergeCell ref="D296:E296"/>
    <mergeCell ref="D299:E299"/>
    <mergeCell ref="G125:H125"/>
    <mergeCell ref="A123:B125"/>
    <mergeCell ref="A180:F180"/>
    <mergeCell ref="C181:D181"/>
    <mergeCell ref="I176:L177"/>
    <mergeCell ref="C177:D177"/>
    <mergeCell ref="A130:F130"/>
    <mergeCell ref="E135:F143"/>
    <mergeCell ref="A144:B145"/>
    <mergeCell ref="B146:F146"/>
    <mergeCell ref="E147:F147"/>
    <mergeCell ref="C176:D176"/>
    <mergeCell ref="E134:F134"/>
    <mergeCell ref="A172:F172"/>
    <mergeCell ref="G176:H176"/>
    <mergeCell ref="A175:F175"/>
    <mergeCell ref="G177:H177"/>
    <mergeCell ref="B133:F133"/>
    <mergeCell ref="L211:M211"/>
    <mergeCell ref="G274:H274"/>
    <mergeCell ref="L274:M274"/>
    <mergeCell ref="A266:F266"/>
    <mergeCell ref="G267:H267"/>
    <mergeCell ref="L267:M267"/>
    <mergeCell ref="A259:F259"/>
    <mergeCell ref="G260:H260"/>
    <mergeCell ref="L260:M260"/>
    <mergeCell ref="L224:M224"/>
    <mergeCell ref="G230:H230"/>
    <mergeCell ref="L230:M230"/>
    <mergeCell ref="L236:M236"/>
    <mergeCell ref="A253:F253"/>
    <mergeCell ref="G254:H254"/>
    <mergeCell ref="L254:M254"/>
    <mergeCell ref="A241:F241"/>
    <mergeCell ref="L242:M242"/>
    <mergeCell ref="L248:M248"/>
    <mergeCell ref="G219:K219"/>
    <mergeCell ref="G220:H220"/>
    <mergeCell ref="G248:H248"/>
    <mergeCell ref="B236:F236"/>
    <mergeCell ref="B242:F242"/>
    <mergeCell ref="A38:B38"/>
    <mergeCell ref="C38:F38"/>
    <mergeCell ref="G122:H122"/>
    <mergeCell ref="C123:F123"/>
    <mergeCell ref="G123:H123"/>
    <mergeCell ref="C124:F124"/>
    <mergeCell ref="G124:H124"/>
    <mergeCell ref="B25:F25"/>
    <mergeCell ref="A79:F79"/>
    <mergeCell ref="D87:F87"/>
    <mergeCell ref="A86:A87"/>
    <mergeCell ref="B86:B87"/>
    <mergeCell ref="C86:C87"/>
    <mergeCell ref="G56:H56"/>
    <mergeCell ref="G57:H57"/>
    <mergeCell ref="G58:H58"/>
    <mergeCell ref="G59:H59"/>
    <mergeCell ref="G60:H60"/>
    <mergeCell ref="A61:B61"/>
    <mergeCell ref="C61:F61"/>
    <mergeCell ref="G61:H61"/>
    <mergeCell ref="G47:H47"/>
    <mergeCell ref="G48:H48"/>
    <mergeCell ref="G49:H49"/>
    <mergeCell ref="G36:H36"/>
    <mergeCell ref="G37:H37"/>
    <mergeCell ref="G38:H38"/>
    <mergeCell ref="G39:H39"/>
    <mergeCell ref="G40:H40"/>
    <mergeCell ref="G41:H41"/>
    <mergeCell ref="G42:H42"/>
    <mergeCell ref="G43:H43"/>
    <mergeCell ref="G44:H44"/>
    <mergeCell ref="I12:J12"/>
    <mergeCell ref="I13:J13"/>
    <mergeCell ref="G29:H29"/>
    <mergeCell ref="G30:H30"/>
    <mergeCell ref="G31:H31"/>
    <mergeCell ref="G32:H32"/>
    <mergeCell ref="G35:H35"/>
    <mergeCell ref="G33:H34"/>
    <mergeCell ref="A185:F185"/>
    <mergeCell ref="A16:F16"/>
    <mergeCell ref="A27:F27"/>
    <mergeCell ref="A32:F32"/>
    <mergeCell ref="B17:F17"/>
    <mergeCell ref="B19:C19"/>
    <mergeCell ref="E19:F19"/>
    <mergeCell ref="B20:C20"/>
    <mergeCell ref="A127:B127"/>
    <mergeCell ref="C127:F127"/>
    <mergeCell ref="A115:F115"/>
    <mergeCell ref="A116:D116"/>
    <mergeCell ref="E116:F116"/>
    <mergeCell ref="A117:D117"/>
    <mergeCell ref="E117:F117"/>
    <mergeCell ref="A114:B114"/>
    <mergeCell ref="A40:B40"/>
    <mergeCell ref="C40:F40"/>
    <mergeCell ref="A41:B41"/>
    <mergeCell ref="C41:F41"/>
    <mergeCell ref="A52:B52"/>
    <mergeCell ref="C52:F52"/>
    <mergeCell ref="A58:B58"/>
    <mergeCell ref="C58:F58"/>
    <mergeCell ref="A59:B59"/>
    <mergeCell ref="A56:B56"/>
    <mergeCell ref="C56:F56"/>
    <mergeCell ref="C47:F47"/>
    <mergeCell ref="A48:B48"/>
    <mergeCell ref="C48:F48"/>
    <mergeCell ref="A49:B49"/>
    <mergeCell ref="C49:F49"/>
    <mergeCell ref="A50:B50"/>
    <mergeCell ref="C50:F50"/>
    <mergeCell ref="A57:B57"/>
    <mergeCell ref="C57:F57"/>
    <mergeCell ref="A51:B51"/>
    <mergeCell ref="C51:F51"/>
    <mergeCell ref="A47:B47"/>
    <mergeCell ref="C7:F7"/>
    <mergeCell ref="C8:F8"/>
    <mergeCell ref="A9:B9"/>
    <mergeCell ref="C9:F9"/>
    <mergeCell ref="A15:B15"/>
    <mergeCell ref="A44:B44"/>
    <mergeCell ref="C44:F44"/>
    <mergeCell ref="A43:B43"/>
    <mergeCell ref="C43:F43"/>
    <mergeCell ref="C15:F15"/>
    <mergeCell ref="B26:C26"/>
    <mergeCell ref="E26:F26"/>
    <mergeCell ref="B21:C21"/>
    <mergeCell ref="E21:F21"/>
    <mergeCell ref="E20:F20"/>
    <mergeCell ref="B22:C22"/>
    <mergeCell ref="E22:F22"/>
    <mergeCell ref="B23:C23"/>
    <mergeCell ref="E23:F23"/>
    <mergeCell ref="A35:B35"/>
    <mergeCell ref="C35:F35"/>
    <mergeCell ref="A39:B39"/>
    <mergeCell ref="C39:F39"/>
    <mergeCell ref="E24:F24"/>
    <mergeCell ref="A8:B8"/>
    <mergeCell ref="B24:C24"/>
    <mergeCell ref="C37:F37"/>
    <mergeCell ref="A36:B36"/>
    <mergeCell ref="C36:F36"/>
    <mergeCell ref="A28:B28"/>
    <mergeCell ref="A29:B29"/>
    <mergeCell ref="A30:B30"/>
    <mergeCell ref="A31:B31"/>
    <mergeCell ref="B18:F18"/>
    <mergeCell ref="A1:F1"/>
    <mergeCell ref="B2:D2"/>
    <mergeCell ref="A3:F3"/>
    <mergeCell ref="A10:F10"/>
    <mergeCell ref="A4:B4"/>
    <mergeCell ref="A81:F81"/>
    <mergeCell ref="B82:F82"/>
    <mergeCell ref="A42:F42"/>
    <mergeCell ref="C4:F4"/>
    <mergeCell ref="A5:B5"/>
    <mergeCell ref="A6:B6"/>
    <mergeCell ref="C5:F5"/>
    <mergeCell ref="C6:F6"/>
    <mergeCell ref="A7:B7"/>
    <mergeCell ref="A14:F14"/>
    <mergeCell ref="C12:D12"/>
    <mergeCell ref="E12:F12"/>
    <mergeCell ref="C13:D13"/>
    <mergeCell ref="E13:F13"/>
    <mergeCell ref="A37:B37"/>
    <mergeCell ref="A33:B33"/>
    <mergeCell ref="C33:F33"/>
    <mergeCell ref="A34:B34"/>
    <mergeCell ref="C34:F34"/>
    <mergeCell ref="C453:D453"/>
    <mergeCell ref="E453:F453"/>
    <mergeCell ref="A131:B132"/>
    <mergeCell ref="D302:E302"/>
    <mergeCell ref="D303:E303"/>
    <mergeCell ref="B287:C287"/>
    <mergeCell ref="E287:F287"/>
    <mergeCell ref="A307:F307"/>
    <mergeCell ref="B308:F308"/>
    <mergeCell ref="B309:F309"/>
    <mergeCell ref="B310:F310"/>
    <mergeCell ref="B311:F311"/>
    <mergeCell ref="B312:F312"/>
    <mergeCell ref="D298:E298"/>
    <mergeCell ref="D300:E300"/>
    <mergeCell ref="D301:E301"/>
    <mergeCell ref="C179:D179"/>
    <mergeCell ref="E179:F179"/>
    <mergeCell ref="E177:F177"/>
    <mergeCell ref="B313:F313"/>
    <mergeCell ref="A218:F218"/>
    <mergeCell ref="A219:A220"/>
    <mergeCell ref="B219:B220"/>
    <mergeCell ref="C219:C220"/>
    <mergeCell ref="A319:B319"/>
    <mergeCell ref="C319:F319"/>
    <mergeCell ref="B315:F315"/>
    <mergeCell ref="E148:F156"/>
    <mergeCell ref="E161:F169"/>
    <mergeCell ref="B283:C283"/>
    <mergeCell ref="E283:F283"/>
    <mergeCell ref="B284:C284"/>
    <mergeCell ref="E284:F284"/>
    <mergeCell ref="B193:B194"/>
    <mergeCell ref="C193:C194"/>
    <mergeCell ref="D193:D194"/>
    <mergeCell ref="E193:E194"/>
    <mergeCell ref="A195:F195"/>
    <mergeCell ref="A196:F196"/>
    <mergeCell ref="C190:D190"/>
    <mergeCell ref="A217:F217"/>
    <mergeCell ref="A229:F229"/>
    <mergeCell ref="A280:F280"/>
    <mergeCell ref="B281:C281"/>
    <mergeCell ref="A193:A194"/>
    <mergeCell ref="C178:D178"/>
    <mergeCell ref="E178:F178"/>
    <mergeCell ref="E181:F181"/>
    <mergeCell ref="D83:F83"/>
    <mergeCell ref="D84:F84"/>
    <mergeCell ref="D85:F85"/>
    <mergeCell ref="D86:F86"/>
    <mergeCell ref="D88:F88"/>
    <mergeCell ref="D89:F89"/>
    <mergeCell ref="B314:F314"/>
    <mergeCell ref="B316:F316"/>
    <mergeCell ref="E190:F190"/>
    <mergeCell ref="B285:C285"/>
    <mergeCell ref="C128:F128"/>
    <mergeCell ref="C129:F129"/>
    <mergeCell ref="E219:E220"/>
    <mergeCell ref="A203:F203"/>
    <mergeCell ref="A113:B113"/>
    <mergeCell ref="C113:F113"/>
    <mergeCell ref="E109:F109"/>
    <mergeCell ref="B97:F97"/>
    <mergeCell ref="A98:F98"/>
    <mergeCell ref="A106:F106"/>
    <mergeCell ref="E108:F108"/>
    <mergeCell ref="A102:F102"/>
    <mergeCell ref="B101:F101"/>
    <mergeCell ref="A247:F247"/>
    <mergeCell ref="J83:L83"/>
    <mergeCell ref="A66:F66"/>
    <mergeCell ref="A62:F62"/>
    <mergeCell ref="A60:B60"/>
    <mergeCell ref="C60:F60"/>
    <mergeCell ref="E112:F112"/>
    <mergeCell ref="B108:C108"/>
    <mergeCell ref="B107:C107"/>
    <mergeCell ref="E107:F107"/>
    <mergeCell ref="B109:C109"/>
    <mergeCell ref="A70:F70"/>
    <mergeCell ref="B80:F80"/>
    <mergeCell ref="A64:B64"/>
    <mergeCell ref="A65:B65"/>
    <mergeCell ref="C63:F63"/>
    <mergeCell ref="C64:F64"/>
    <mergeCell ref="C65:F65"/>
    <mergeCell ref="B110:C110"/>
    <mergeCell ref="E110:F110"/>
    <mergeCell ref="E111:F111"/>
    <mergeCell ref="B111:C111"/>
    <mergeCell ref="G63:H63"/>
    <mergeCell ref="G65:H65"/>
    <mergeCell ref="G66:H66"/>
    <mergeCell ref="G52:H52"/>
    <mergeCell ref="G53:H53"/>
    <mergeCell ref="G54:H54"/>
    <mergeCell ref="G55:H55"/>
    <mergeCell ref="G64:I64"/>
    <mergeCell ref="G50:H50"/>
    <mergeCell ref="G51:H51"/>
    <mergeCell ref="B112:C112"/>
    <mergeCell ref="D90:F90"/>
    <mergeCell ref="A63:B63"/>
    <mergeCell ref="C59:F59"/>
    <mergeCell ref="C55:F55"/>
    <mergeCell ref="A53:F53"/>
    <mergeCell ref="A54:B54"/>
    <mergeCell ref="C54:F54"/>
    <mergeCell ref="A55:B55"/>
    <mergeCell ref="B100:C100"/>
    <mergeCell ref="E100:F100"/>
    <mergeCell ref="D91:F91"/>
    <mergeCell ref="D92:F92"/>
    <mergeCell ref="D93:F93"/>
    <mergeCell ref="D94:F94"/>
    <mergeCell ref="D95:F95"/>
    <mergeCell ref="D96:F96"/>
    <mergeCell ref="G113:H113"/>
    <mergeCell ref="G211:H211"/>
    <mergeCell ref="G197:H197"/>
    <mergeCell ref="G194:H194"/>
    <mergeCell ref="G187:H187"/>
    <mergeCell ref="G178:H178"/>
    <mergeCell ref="G204:H204"/>
    <mergeCell ref="G181:H181"/>
    <mergeCell ref="G242:H242"/>
    <mergeCell ref="G114:H114"/>
    <mergeCell ref="G126:H126"/>
    <mergeCell ref="G127:H127"/>
    <mergeCell ref="G128:H128"/>
    <mergeCell ref="G129:H129"/>
    <mergeCell ref="I181:L182"/>
    <mergeCell ref="L197:M197"/>
    <mergeCell ref="D219:D220"/>
    <mergeCell ref="C114:F114"/>
    <mergeCell ref="A126:B126"/>
    <mergeCell ref="C126:F126"/>
    <mergeCell ref="A118:D118"/>
    <mergeCell ref="E118:F118"/>
    <mergeCell ref="A119:F119"/>
    <mergeCell ref="A122:B122"/>
    <mergeCell ref="C122:F122"/>
    <mergeCell ref="A170:D171"/>
    <mergeCell ref="E170:F171"/>
    <mergeCell ref="A157:B158"/>
    <mergeCell ref="B159:F159"/>
    <mergeCell ref="E160:F160"/>
    <mergeCell ref="C125:F125"/>
    <mergeCell ref="A128:B128"/>
    <mergeCell ref="A129:B129"/>
    <mergeCell ref="C184:D184"/>
    <mergeCell ref="E184:F184"/>
    <mergeCell ref="G184:H184"/>
    <mergeCell ref="G179:H179"/>
    <mergeCell ref="C182:D182"/>
    <mergeCell ref="E182:F182"/>
    <mergeCell ref="G182:H182"/>
    <mergeCell ref="E176:F176"/>
    <mergeCell ref="B286:C286"/>
    <mergeCell ref="E286:F286"/>
    <mergeCell ref="A221:F221"/>
    <mergeCell ref="G221:K221"/>
    <mergeCell ref="B224:F225"/>
    <mergeCell ref="A235:F235"/>
    <mergeCell ref="G236:H236"/>
    <mergeCell ref="E281:F281"/>
    <mergeCell ref="B282:C282"/>
    <mergeCell ref="E282:F282"/>
    <mergeCell ref="A273:F273"/>
    <mergeCell ref="A222:F222"/>
    <mergeCell ref="A223:F223"/>
    <mergeCell ref="G222:K222"/>
    <mergeCell ref="G224:H224"/>
    <mergeCell ref="H281:I281"/>
    <mergeCell ref="G193:H193"/>
    <mergeCell ref="C188:D188"/>
    <mergeCell ref="E188:F188"/>
    <mergeCell ref="G188:H188"/>
    <mergeCell ref="C189:D189"/>
    <mergeCell ref="C183:D183"/>
    <mergeCell ref="E183:F183"/>
    <mergeCell ref="G183:H183"/>
    <mergeCell ref="E189:F189"/>
    <mergeCell ref="G189:H189"/>
    <mergeCell ref="A191:F191"/>
    <mergeCell ref="A192:F192"/>
    <mergeCell ref="G190:H190"/>
    <mergeCell ref="C186:D186"/>
    <mergeCell ref="E186:F186"/>
    <mergeCell ref="G186:H186"/>
    <mergeCell ref="C187:D187"/>
    <mergeCell ref="E187:F187"/>
  </mergeCells>
  <dataValidations count="18">
    <dataValidation type="list" allowBlank="1" showInputMessage="1" showErrorMessage="1" sqref="B40:B41 B37:B38 B34:B35">
      <formula1>$C$323:$C$328</formula1>
    </dataValidation>
    <dataValidation type="list" allowBlank="1" showInputMessage="1" showErrorMessage="1" sqref="F34:F35 F37:F38 F41">
      <formula1>$G$319:$G$321</formula1>
    </dataValidation>
    <dataValidation type="list" allowBlank="1" showInputMessage="1" showErrorMessage="1" sqref="F2">
      <formula1>"Airoli,Goregaon"</formula1>
    </dataValidation>
    <dataValidation type="list" allowBlank="1" showInputMessage="1" showErrorMessage="1" sqref="D11">
      <formula1>"Mr. Abhishek Manjrekar,Mr. Rushabh Kakade,Miss. Bharti,Mr. Ajinkya Oturkar"</formula1>
    </dataValidation>
    <dataValidation type="list" allowBlank="1" showInputMessage="1" showErrorMessage="1" sqref="E13:F13">
      <formula1>"Gaurav Panchal,Kunal Kadam,Sachin Sawant,Shruti Fule,Hitakshi Mhatre,Pooja Kawale,Shruti Tathare"</formula1>
    </dataValidation>
    <dataValidation type="list" allowBlank="1" showInputMessage="1" showErrorMessage="1" sqref="A19">
      <formula1>"Plot No.,Survey No.,CTS No.,Gut No."</formula1>
    </dataValidation>
    <dataValidation type="list" allowBlank="1" showInputMessage="1" showErrorMessage="1" sqref="D20">
      <formula1>"Ward No.,Existing Builidng Name &amp; No.,City"</formula1>
    </dataValidation>
    <dataValidation type="list" allowBlank="1" showInputMessage="1" showErrorMessage="1" sqref="E22:F22">
      <formula1>"Mumbai,Thane,Palghar,Raigad,Pune"</formula1>
    </dataValidation>
    <dataValidation type="list" allowBlank="1" showInputMessage="1" showErrorMessage="1" sqref="C126:F127 B99 C72:F72 B74:F74 B77:F77 B108:C112 E109:F112 E107:F107 C113:F114 B101">
      <formula1>"Yes,No"</formula1>
    </dataValidation>
    <dataValidation type="list" allowBlank="1" showInputMessage="1" showErrorMessage="1" sqref="B84:B86 B88:B91 B93:B96">
      <formula1>"Applicable and Received,Applicable and Not Received,Not Applicable"</formula1>
    </dataValidation>
    <dataValidation type="list" allowBlank="1" showInputMessage="1" showErrorMessage="1" sqref="D99">
      <formula1>"Registered,Not Registered"</formula1>
    </dataValidation>
    <dataValidation type="list" allowBlank="1" showInputMessage="1" showErrorMessage="1" sqref="B107:C107">
      <formula1>"Zone II,Zone III,Zone IV,Zone V"</formula1>
    </dataValidation>
    <dataValidation type="list" allowBlank="1" showInputMessage="1" showErrorMessage="1" sqref="E108:F108">
      <formula1>"Not Appicable,Zone I,Zone II,Zone III,Zone IV"</formula1>
    </dataValidation>
    <dataValidation type="list" allowBlank="1" showInputMessage="1" showErrorMessage="1" sqref="E282:F287">
      <formula1>"Carpet Area,Buildup Area,Saleable Area"</formula1>
    </dataValidation>
    <dataValidation type="list" allowBlank="1" showInputMessage="1" showErrorMessage="1" sqref="B308:F308">
      <formula1>"Construction Work is active at the time of visit (Internal Visit Not allowed).,Construction Work is not active at the time of visit.,Work not yet Started, All work Completed"</formula1>
    </dataValidation>
    <dataValidation type="list" allowBlank="1" showInputMessage="1" showErrorMessage="1" sqref="B72">
      <formula1>"Yes &amp; 0.15m, No"</formula1>
    </dataValidation>
    <dataValidation type="list" allowBlank="1" showInputMessage="1" showErrorMessage="1" sqref="F194">
      <formula1>"45%,50%,55%,60%"</formula1>
    </dataValidation>
    <dataValidation type="list" allowBlank="1" showInputMessage="1" showErrorMessage="1" sqref="B92">
      <formula1>"To be obtained,Applicable and Received,Applicable and Not Received,Not Applicable"</formula1>
    </dataValidation>
  </dataValidations>
  <hyperlinks>
    <hyperlink ref="C6" r:id="rId1"/>
    <hyperlink ref="B25" r:id="rId2"/>
    <hyperlink ref="I80" r:id="rId3" location="amenitiessection "/>
  </hyperlinks>
  <pageMargins left="0.39370078740157483" right="0.39370078740157483" top="0.78740157480314965" bottom="0.78740157480314965" header="0.31496062992125984" footer="0.31496062992125984"/>
  <pageSetup fitToHeight="0" orientation="portrait" r:id="rId4"/>
  <headerFooter>
    <oddHeader>&amp;C&amp;G</oddHeader>
    <oddFooter>&amp;L&amp;"-,Bold"Ref No: &amp;F&amp;R&amp;"-,Bold"&amp;P</oddFooter>
  </headerFooter>
  <rowBreaks count="3" manualBreakCount="3">
    <brk id="318" max="16383" man="1"/>
    <brk id="364" max="16383" man="1"/>
    <brk id="410" max="16383" man="1"/>
  </rowBreaks>
  <drawing r:id="rId5"/>
  <legacy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4:K139"/>
  <sheetViews>
    <sheetView topLeftCell="A123" workbookViewId="0">
      <selection activeCell="G140" sqref="G140"/>
    </sheetView>
  </sheetViews>
  <sheetFormatPr defaultRowHeight="15" x14ac:dyDescent="0.25"/>
  <sheetData>
    <row r="104" spans="2:11" ht="15.75" thickBot="1" x14ac:dyDescent="0.3"/>
    <row r="105" spans="2:11" ht="15.75" x14ac:dyDescent="0.25">
      <c r="B105" s="335" t="s">
        <v>4</v>
      </c>
      <c r="C105" s="336"/>
      <c r="D105" s="337" t="s">
        <v>44</v>
      </c>
      <c r="E105" s="338"/>
      <c r="F105" s="338"/>
      <c r="G105" s="338"/>
      <c r="H105" s="338"/>
      <c r="I105" s="339"/>
      <c r="J105" s="13" t="str">
        <f ca="1">(IF(F109&gt;99%,"All work completed. Please provide OC.",IF(F109&gt;89.8%,"Plinth, RCC, Brick, Plaster, Flooring, Painting work Completed. Finishing work is in process.",IF(F109&lt;94%,(IF(D109=0,"Work not yet Started.",IF(E109=25%,"Piling work in process",IF(E109=50%,"Excavation work in process",IF(E109=100%,"Excavation work Completed. ","0")))&amp;(IF(D110=0%,"",IF(D110=K111,"Footing work is process",IF(D110=K112,"Footing work Completed",IF(D110=K113,"1st Basement Completed",IF(D110=K114,"1st &amp; 2nd Basement Completed",IF(D110=K115,"1st to 3rd Basement Completed",IF(D110=K116,"1st to 4th Basement Completed",IF(D110=K117,"Plinth work is process",IF(D110=K118,"Plinth work completed","0")))))))))))&amp;(IF(D111=(D106+E106+F106),", RCC Slab",IF(D111&gt;0,", RCC upto "&amp;D111&amp;" Slab",""))&amp;(IF(D112=F106,", Brickwork",IF(D112&gt;0,", Brickwork upto "&amp;D112&amp;" Floor",""))&amp;(IF(D113=F106,", Internal Plaster",IF(D113&gt;0,", Internal Plaster upto "&amp;D113&amp;" Floor",""))&amp;(IF(D114=F106,", External Plaster",IF(D114&gt;0,", External Plaster upto "&amp;D114&amp;" Floor",""))&amp;(IF(D115=F106,", Flooring",IF(D115&gt;0,", Flooring upto "&amp;D115&amp;" Floor",""))&amp;(IF(D116=F106,", Painting",IF(D116&gt;0,", Painting upto "&amp;D116&amp;" Floor",""))&amp;(IF(D117&gt;0,", Finishing upto "&amp;D117&amp;" Floor","")&amp;(IF(D111&gt;0.5," Completed",""))))))))))))))</f>
        <v>All work completed. Please provide OC.</v>
      </c>
      <c r="K105" s="14"/>
    </row>
    <row r="106" spans="2:11" ht="15.75" x14ac:dyDescent="0.25">
      <c r="B106" s="15" t="s">
        <v>5</v>
      </c>
      <c r="C106" s="16">
        <v>0</v>
      </c>
      <c r="D106" s="32">
        <v>1</v>
      </c>
      <c r="E106" s="33">
        <v>0</v>
      </c>
      <c r="F106" s="33">
        <f ca="1">--TRIM(RIGHT(SUBSTITUTE(LEFT(D105,_xlfn.AGGREGATE(16,6,FIND({0,1,2,3,4,5,6,7,8,9},D105,ROW(INDIRECT("1:"&amp;LEN(D105)))),1))," ",REPT(" ",LEN(D105))),LEN(D105)))</f>
        <v>7</v>
      </c>
      <c r="G106" s="33"/>
      <c r="H106" s="33"/>
      <c r="I106" s="34"/>
      <c r="J106" s="17"/>
      <c r="K106" s="18"/>
    </row>
    <row r="107" spans="2:11" ht="15.75" x14ac:dyDescent="0.25">
      <c r="B107" s="340" t="s">
        <v>9</v>
      </c>
      <c r="C107" s="341"/>
      <c r="D107" s="342" t="str">
        <f>J107</f>
        <v>All work Completed. OC Received.</v>
      </c>
      <c r="E107" s="342"/>
      <c r="F107" s="342"/>
      <c r="G107" s="342"/>
      <c r="H107" s="342"/>
      <c r="I107" s="343"/>
      <c r="J107" s="17" t="s">
        <v>10</v>
      </c>
      <c r="K107" s="18"/>
    </row>
    <row r="108" spans="2:11" ht="31.5" x14ac:dyDescent="0.25">
      <c r="B108" s="325" t="s">
        <v>11</v>
      </c>
      <c r="C108" s="326"/>
      <c r="D108" s="19" t="s">
        <v>13</v>
      </c>
      <c r="E108" s="19" t="s">
        <v>14</v>
      </c>
      <c r="F108" s="326" t="s">
        <v>15</v>
      </c>
      <c r="G108" s="326"/>
      <c r="H108" s="326" t="s">
        <v>41</v>
      </c>
      <c r="I108" s="344"/>
      <c r="J108" s="20" t="s">
        <v>16</v>
      </c>
      <c r="K108" s="21">
        <f ca="1">F106*25%</f>
        <v>1.75</v>
      </c>
    </row>
    <row r="109" spans="2:11" ht="15.75" x14ac:dyDescent="0.25">
      <c r="B109" s="325" t="s">
        <v>17</v>
      </c>
      <c r="C109" s="326"/>
      <c r="D109" s="22">
        <f ca="1">K110</f>
        <v>7</v>
      </c>
      <c r="E109" s="23">
        <f ca="1">((100/F106)*D109)/100</f>
        <v>1</v>
      </c>
      <c r="F109" s="329">
        <f ca="1">(((D110/F106*10)+(40/(D106+E106+F106)*D111)+(7.5/(F106)*D112)+(7.5/(F106)*D113)+(10/F106*D114)+(10/F106*D115)+(5/F106*D116)+(5/F106*D117)+(5/F106*D118))/100)</f>
        <v>1</v>
      </c>
      <c r="G109" s="329"/>
      <c r="H109" s="329">
        <f ca="1">((((D109/F106)*20)+((D110/F106)*25)+(30/(F106+E106+D106)*D111)+(5/F106*D112)+(5/F106*D113)+(5/F106*D114)+(5/F106*D115)+(0/F106*D116)+(0/F106*D117)+(5/F106*D118))/100)</f>
        <v>1</v>
      </c>
      <c r="I109" s="331"/>
      <c r="J109" s="20" t="s">
        <v>18</v>
      </c>
      <c r="K109" s="24">
        <f ca="1">F106*50%</f>
        <v>3.5</v>
      </c>
    </row>
    <row r="110" spans="2:11" ht="15.75" x14ac:dyDescent="0.25">
      <c r="B110" s="325" t="s">
        <v>19</v>
      </c>
      <c r="C110" s="326"/>
      <c r="D110" s="25">
        <f ca="1">K118</f>
        <v>7</v>
      </c>
      <c r="E110" s="23">
        <f ca="1">((100/F106)*D110)/100</f>
        <v>1</v>
      </c>
      <c r="F110" s="329"/>
      <c r="G110" s="329"/>
      <c r="H110" s="329"/>
      <c r="I110" s="331"/>
      <c r="J110" s="20" t="s">
        <v>20</v>
      </c>
      <c r="K110" s="24">
        <f ca="1">F106</f>
        <v>7</v>
      </c>
    </row>
    <row r="111" spans="2:11" ht="15.75" x14ac:dyDescent="0.25">
      <c r="B111" s="333" t="s">
        <v>21</v>
      </c>
      <c r="C111" s="334"/>
      <c r="D111" s="25">
        <v>8</v>
      </c>
      <c r="E111" s="23">
        <f ca="1">((100/(D106+E106+F106))*D111)/100</f>
        <v>1</v>
      </c>
      <c r="F111" s="329"/>
      <c r="G111" s="329"/>
      <c r="H111" s="329"/>
      <c r="I111" s="331"/>
      <c r="J111" s="20" t="s">
        <v>22</v>
      </c>
      <c r="K111" s="26">
        <f ca="1">(IF(C106&gt;1,(F106/(C106+2)),F106/4))</f>
        <v>1.75</v>
      </c>
    </row>
    <row r="112" spans="2:11" ht="15.75" x14ac:dyDescent="0.25">
      <c r="B112" s="325" t="s">
        <v>23</v>
      </c>
      <c r="C112" s="326" t="s">
        <v>42</v>
      </c>
      <c r="D112" s="22">
        <v>7</v>
      </c>
      <c r="E112" s="23">
        <f ca="1">((100/F106)*D112)/100</f>
        <v>1</v>
      </c>
      <c r="F112" s="329"/>
      <c r="G112" s="329"/>
      <c r="H112" s="329"/>
      <c r="I112" s="331"/>
      <c r="J112" s="20" t="s">
        <v>24</v>
      </c>
      <c r="K112" s="26">
        <f ca="1">(IF(C106&gt;1,(F106/(C106+2)+K111),F106/4+K111))</f>
        <v>3.5</v>
      </c>
    </row>
    <row r="113" spans="2:11" ht="15.75" x14ac:dyDescent="0.25">
      <c r="B113" s="325" t="s">
        <v>25</v>
      </c>
      <c r="C113" s="326" t="s">
        <v>42</v>
      </c>
      <c r="D113" s="22">
        <v>7</v>
      </c>
      <c r="E113" s="23">
        <f ca="1">((100/F106)*D113)/100</f>
        <v>1</v>
      </c>
      <c r="F113" s="329"/>
      <c r="G113" s="329"/>
      <c r="H113" s="329"/>
      <c r="I113" s="331"/>
      <c r="J113" s="20" t="s">
        <v>26</v>
      </c>
      <c r="K113" s="26">
        <f>(IF(C106&gt;1,(F106/(C106+2)+K112),0))</f>
        <v>0</v>
      </c>
    </row>
    <row r="114" spans="2:11" ht="15.75" x14ac:dyDescent="0.25">
      <c r="B114" s="325" t="s">
        <v>27</v>
      </c>
      <c r="C114" s="326" t="s">
        <v>43</v>
      </c>
      <c r="D114" s="22">
        <v>7</v>
      </c>
      <c r="E114" s="23">
        <f ca="1">((100/(F106))*D114)/100</f>
        <v>1</v>
      </c>
      <c r="F114" s="329"/>
      <c r="G114" s="329"/>
      <c r="H114" s="329"/>
      <c r="I114" s="331"/>
      <c r="J114" s="20" t="s">
        <v>28</v>
      </c>
      <c r="K114" s="26">
        <f>(IF(C106&gt;2,(F106/(C106+2)+K113),0))</f>
        <v>0</v>
      </c>
    </row>
    <row r="115" spans="2:11" ht="15.75" x14ac:dyDescent="0.25">
      <c r="B115" s="325" t="s">
        <v>29</v>
      </c>
      <c r="C115" s="326" t="s">
        <v>29</v>
      </c>
      <c r="D115" s="22">
        <v>7</v>
      </c>
      <c r="E115" s="23">
        <f ca="1">((100/F106)*D115)/100</f>
        <v>1</v>
      </c>
      <c r="F115" s="329"/>
      <c r="G115" s="329"/>
      <c r="H115" s="329"/>
      <c r="I115" s="331"/>
      <c r="J115" s="20" t="s">
        <v>30</v>
      </c>
      <c r="K115" s="27">
        <f>(IF(C106&gt;3,(F106/(C106+2)+K114),0))</f>
        <v>0</v>
      </c>
    </row>
    <row r="116" spans="2:11" ht="15.75" x14ac:dyDescent="0.25">
      <c r="B116" s="325" t="s">
        <v>31</v>
      </c>
      <c r="C116" s="326"/>
      <c r="D116" s="22">
        <v>7</v>
      </c>
      <c r="E116" s="23">
        <f ca="1">((100/F106)*D116)/100</f>
        <v>1</v>
      </c>
      <c r="F116" s="329"/>
      <c r="G116" s="329"/>
      <c r="H116" s="329"/>
      <c r="I116" s="331"/>
      <c r="J116" s="20" t="s">
        <v>32</v>
      </c>
      <c r="K116" s="26">
        <f>(IF(C106&gt;4,(F106/(C106+2)+K115),0))</f>
        <v>0</v>
      </c>
    </row>
    <row r="117" spans="2:11" ht="15.75" x14ac:dyDescent="0.25">
      <c r="B117" s="325" t="s">
        <v>33</v>
      </c>
      <c r="C117" s="326" t="s">
        <v>33</v>
      </c>
      <c r="D117" s="22">
        <v>7</v>
      </c>
      <c r="E117" s="23">
        <f ca="1">((100/(F106))*D117)/100</f>
        <v>1</v>
      </c>
      <c r="F117" s="329"/>
      <c r="G117" s="329"/>
      <c r="H117" s="329"/>
      <c r="I117" s="331"/>
      <c r="J117" s="20" t="s">
        <v>34</v>
      </c>
      <c r="K117" s="26">
        <f ca="1">(IF(C106=1,(F106/(C106+3)+K112),IF(C106=0,(F106/4+K112),IF(C106&gt;1,0))))</f>
        <v>5.25</v>
      </c>
    </row>
    <row r="118" spans="2:11" ht="16.5" thickBot="1" x14ac:dyDescent="0.3">
      <c r="B118" s="327" t="s">
        <v>35</v>
      </c>
      <c r="C118" s="328"/>
      <c r="D118" s="28">
        <v>7</v>
      </c>
      <c r="E118" s="29">
        <f ca="1">((100/(F106))*D118)/100</f>
        <v>1</v>
      </c>
      <c r="F118" s="330"/>
      <c r="G118" s="330"/>
      <c r="H118" s="330"/>
      <c r="I118" s="332"/>
      <c r="J118" s="30" t="s">
        <v>36</v>
      </c>
      <c r="K118" s="31">
        <f ca="1">(IF(C106&gt;1.5,(F106/(C106+2)+K112+MAX(0,K113-K112)+MAX(0,K114-K113)+MAX(0,K115-K114)+MAX(0,K116-K115)+MAX(0,K117-K116)),IF(C106=1,(F106/(C106+3)+K117),IF(C106=0,F106/4+K117))))</f>
        <v>7</v>
      </c>
    </row>
    <row r="124" spans="2:11" x14ac:dyDescent="0.25">
      <c r="B124" t="str">
        <f>(IF(E125&gt;99%,"All work completed. Please provide OC.",IF(E125&gt;89.8%,"Plinth, RCC, Brick, Plaster, Flooring, Painting work Completed. Finishing work is in process.",IF(E125&lt;94%,(IF(C125=0,"Work not yet Started.",IF(D125=25%,"Piling work in process",IF(D125=50%,"Excavation work in process",IF(D125=100%,"Excavation work Completed. ","0")))&amp;(IF(C126=0%,"",IF(C126=H127,"Footing work is process",IF(C126=H128,"Footing work Completed",IF(C126=H129,"1st Basement Completed",IF(C126=H130,"1st &amp; 2nd Basement Completed",IF(C126=H131,"1st to 3rd Basement Completed",IF(C126=H132,"1st to 4th Basement Completed",IF(C126=H133,"Plinth work is process",IF(C126=H134,"Plinth work completed","0")))))))))))&amp;(IF(C127=(D122+E122+F122),", RCC Slab",IF(C127&gt;0,", RCC upto "&amp;C127&amp;" Slab",""))&amp;(IF(C128=F122,", Brickwork",IF(C128&gt;0,", Brickwork upto "&amp;C128&amp;" Floor",""))&amp;(IF(C129=F122,", Internal Plaster",IF(C129&gt;0,", Internal Plaster upto "&amp;C129&amp;" Floor",""))&amp;(IF(C130=F122,", External Plaster",IF(C130&gt;0,", External Plaster upto "&amp;C130&amp;" Floor",""))&amp;(IF(C131=F122,", Flooring",IF(C131&gt;0,", Flooring upto "&amp;C131&amp;" Floor",""))&amp;(IF(C132=F122,", Painting",IF(C132&gt;0,", Painting upto "&amp;C132&amp;" Floor",""))&amp;(IF(C133&gt;0,", Finishing upto "&amp;C133&amp;" Floor","")&amp;(IF(C127&gt;0.5," Completed",""))))))))))))))</f>
        <v>Work not yet Started., RCC Slab, Brickwork, Internal Plaster, External Plaster, Flooring, Painting</v>
      </c>
    </row>
    <row r="131" spans="2:6" x14ac:dyDescent="0.25">
      <c r="B131" t="str">
        <f>(IF(E128&gt;99%,"All work completed. Please provide OC.",IF(E128&gt;89.8%,"Plinth, RCC, Brick, Plaster, Flooring, Painting work Completed. Finishing work is in process.",IF(E128&lt;94%,(IF(C128=0,"Work not yet Started.",IF(D128=25%,"Piling work in process",IF(D128=50%,"Excavation work in process",IF(D128=100%,"Excavation work Completed. ","0")))&amp;(IF(C129=0%,"",IF(C129=H130,"Footing work is process",IF(C129=H131,"Footing work Completed",IF(C129=H132,"1st Basement Completed",IF(C129=H133,"1st &amp; 2nd Basement Completed",IF(C129=H134,"1st to 3rd Basement Completed",IF(C129=H135,"1st to 4th Basement Completed",IF(C129=H136,"Plinth work is process",IF(C129=H137,"Plinth work completed","0")))))))))))&amp;(IF(C130=(D125+E125+F125),", RCC Slab",IF(C130&gt;0,", RCC upto "&amp;C130&amp;" Slab",""))&amp;(IF(C131=F125,", Brickwork",IF(C131&gt;0,", Brickwork upto "&amp;C131&amp;" Floor",""))&amp;(IF(C132=F125,", Internal Plaster",IF(C132&gt;0,", Internal Plaster upto "&amp;C132&amp;" Floor",""))&amp;(IF(C133=F125,", External Plaster",IF(C133&gt;0,", External Plaster upto "&amp;C133&amp;" Floor",""))&amp;(IF(C134=F125,", Flooring",IF(C134&gt;0,", Flooring upto "&amp;C134&amp;" Floor",""))&amp;(IF(C135=F125,", Painting",IF(C135&gt;0,", Painting upto "&amp;C135&amp;" Floor",""))&amp;(IF(C136&gt;0,", Finishing upto "&amp;C136&amp;" Floor","")&amp;(IF(C130&gt;0.5," Completed",""))))))))))))))</f>
        <v>Work not yet Started., RCC Slab, Brickwork, Internal Plaster, External Plaster, Flooring, Painting</v>
      </c>
    </row>
    <row r="139" spans="2:6" x14ac:dyDescent="0.25">
      <c r="F139">
        <f>51-36</f>
        <v>15</v>
      </c>
    </row>
  </sheetData>
  <mergeCells count="19">
    <mergeCell ref="B105:C105"/>
    <mergeCell ref="D105:I105"/>
    <mergeCell ref="B107:C107"/>
    <mergeCell ref="D107:I107"/>
    <mergeCell ref="B108:C108"/>
    <mergeCell ref="F108:G108"/>
    <mergeCell ref="H108:I108"/>
    <mergeCell ref="B117:C117"/>
    <mergeCell ref="B118:C118"/>
    <mergeCell ref="B109:C109"/>
    <mergeCell ref="F109:G118"/>
    <mergeCell ref="H109:I118"/>
    <mergeCell ref="B110:C110"/>
    <mergeCell ref="B111:C111"/>
    <mergeCell ref="B112:C112"/>
    <mergeCell ref="B113:C113"/>
    <mergeCell ref="B114:C114"/>
    <mergeCell ref="B115:C115"/>
    <mergeCell ref="B116:C1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SACHIN</dc:creator>
  <cp:lastModifiedBy>VSJC</cp:lastModifiedBy>
  <cp:lastPrinted>2025-09-24T05:37:00Z</cp:lastPrinted>
  <dcterms:created xsi:type="dcterms:W3CDTF">2023-05-19T08:34:56Z</dcterms:created>
  <dcterms:modified xsi:type="dcterms:W3CDTF">2025-09-24T05:42:38Z</dcterms:modified>
</cp:coreProperties>
</file>