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Report!$A$1:$H$317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3" l="1"/>
  <c r="I127" i="3" l="1"/>
  <c r="G115" i="3" l="1"/>
  <c r="G114" i="3"/>
  <c r="G113" i="3"/>
  <c r="G112" i="3"/>
  <c r="G110" i="3"/>
  <c r="H122" i="3" l="1"/>
  <c r="H121" i="3"/>
  <c r="I121" i="3"/>
  <c r="G91" i="3" l="1"/>
  <c r="C19" i="3"/>
  <c r="G82" i="3" l="1"/>
  <c r="G81" i="3"/>
  <c r="F164" i="3"/>
  <c r="H164" i="3" s="1"/>
  <c r="E164" i="3"/>
  <c r="F163" i="3"/>
  <c r="E163" i="3"/>
  <c r="H163" i="3" s="1"/>
  <c r="F162" i="3"/>
  <c r="E162" i="3"/>
  <c r="H162" i="3" s="1"/>
  <c r="F161" i="3"/>
  <c r="E161" i="3"/>
  <c r="F160" i="3"/>
  <c r="E160" i="3"/>
  <c r="H160" i="3" s="1"/>
  <c r="F158" i="3"/>
  <c r="E158" i="3"/>
  <c r="F157" i="3"/>
  <c r="E157" i="3"/>
  <c r="H157" i="3" s="1"/>
  <c r="F156" i="3"/>
  <c r="E156" i="3"/>
  <c r="F155" i="3"/>
  <c r="E155" i="3"/>
  <c r="F154" i="3"/>
  <c r="E154" i="3"/>
  <c r="F152" i="3"/>
  <c r="E152" i="3"/>
  <c r="F151" i="3"/>
  <c r="E151" i="3"/>
  <c r="F150" i="3"/>
  <c r="E150" i="3"/>
  <c r="H150" i="3" s="1"/>
  <c r="F148" i="3"/>
  <c r="E148" i="3"/>
  <c r="F147" i="3"/>
  <c r="E147" i="3"/>
  <c r="H147" i="3" s="1"/>
  <c r="F146" i="3"/>
  <c r="E146" i="3"/>
  <c r="F145" i="3"/>
  <c r="E145" i="3"/>
  <c r="H145" i="3" s="1"/>
  <c r="F144" i="3"/>
  <c r="E144" i="3"/>
  <c r="F143" i="3"/>
  <c r="E143" i="3"/>
  <c r="F142" i="3"/>
  <c r="E142" i="3"/>
  <c r="F141" i="3"/>
  <c r="E141" i="3"/>
  <c r="F140" i="3"/>
  <c r="E140" i="3"/>
  <c r="H143" i="3"/>
  <c r="H141" i="3"/>
  <c r="G128" i="3"/>
  <c r="G127" i="3"/>
  <c r="G126" i="3"/>
  <c r="G125" i="3"/>
  <c r="G124" i="3"/>
  <c r="G121" i="3"/>
  <c r="G130" i="3"/>
  <c r="F138" i="3"/>
  <c r="H138" i="3" s="1"/>
  <c r="E138" i="3"/>
  <c r="F137" i="3"/>
  <c r="E137" i="3"/>
  <c r="F136" i="3"/>
  <c r="E136" i="3"/>
  <c r="F135" i="3"/>
  <c r="E135" i="3"/>
  <c r="F134" i="3"/>
  <c r="E134" i="3"/>
  <c r="F133" i="3"/>
  <c r="E133" i="3"/>
  <c r="F132" i="3"/>
  <c r="E132" i="3"/>
  <c r="F131" i="3"/>
  <c r="E131" i="3"/>
  <c r="F130" i="3"/>
  <c r="E130" i="3"/>
  <c r="F128" i="3"/>
  <c r="E128" i="3"/>
  <c r="F127" i="3"/>
  <c r="E127" i="3"/>
  <c r="F126" i="3"/>
  <c r="E126" i="3"/>
  <c r="F125" i="3"/>
  <c r="E125" i="3"/>
  <c r="F124" i="3"/>
  <c r="E124" i="3"/>
  <c r="F123" i="3"/>
  <c r="E123" i="3"/>
  <c r="F122" i="3"/>
  <c r="E122" i="3"/>
  <c r="F121" i="3"/>
  <c r="E121" i="3"/>
  <c r="E91" i="3" s="1"/>
  <c r="E92" i="3" s="1"/>
  <c r="E118" i="3"/>
  <c r="E117" i="3"/>
  <c r="E116" i="3"/>
  <c r="E115" i="3"/>
  <c r="E114" i="3"/>
  <c r="E113" i="3"/>
  <c r="E112" i="3"/>
  <c r="E87" i="3" s="1"/>
  <c r="E111" i="3"/>
  <c r="E110" i="3"/>
  <c r="H118" i="3"/>
  <c r="E108" i="3"/>
  <c r="E107" i="3"/>
  <c r="E106" i="3"/>
  <c r="E105" i="3"/>
  <c r="E104" i="3"/>
  <c r="E103" i="3"/>
  <c r="E102" i="3"/>
  <c r="E101" i="3"/>
  <c r="E100" i="3"/>
  <c r="E86" i="3" s="1"/>
  <c r="E88" i="3" s="1"/>
  <c r="E99" i="3"/>
  <c r="E98" i="3"/>
  <c r="E97" i="3"/>
  <c r="H108" i="3"/>
  <c r="H107" i="3"/>
  <c r="H106" i="3"/>
  <c r="H105" i="3"/>
  <c r="U140" i="3"/>
  <c r="V140" i="3"/>
  <c r="V118" i="3"/>
  <c r="U150" i="3"/>
  <c r="U118" i="3"/>
  <c r="V160" i="3"/>
  <c r="V150" i="3"/>
  <c r="U160" i="3"/>
  <c r="E93" i="3" l="1"/>
  <c r="H155" i="3"/>
  <c r="H140" i="3"/>
  <c r="H142" i="3"/>
  <c r="H144" i="3"/>
  <c r="H146" i="3"/>
  <c r="H148" i="3"/>
  <c r="H151" i="3"/>
  <c r="H154" i="3"/>
  <c r="H156" i="3"/>
  <c r="H161" i="3"/>
  <c r="H128" i="3"/>
  <c r="H152" i="3"/>
  <c r="H158" i="3"/>
  <c r="U161" i="3"/>
  <c r="T160" i="3"/>
  <c r="V161" i="3"/>
  <c r="V162" i="3" s="1"/>
  <c r="V163" i="3" s="1"/>
  <c r="V164" i="3" s="1"/>
  <c r="V165" i="3" s="1"/>
  <c r="V166" i="3" s="1"/>
  <c r="V167" i="3" s="1"/>
  <c r="V168" i="3" s="1"/>
  <c r="T150" i="3"/>
  <c r="U151" i="3"/>
  <c r="V151" i="3"/>
  <c r="V152" i="3" s="1"/>
  <c r="V153" i="3" s="1"/>
  <c r="V154" i="3" s="1"/>
  <c r="V155" i="3" s="1"/>
  <c r="V156" i="3" s="1"/>
  <c r="V157" i="3" s="1"/>
  <c r="V158" i="3" s="1"/>
  <c r="T140" i="3"/>
  <c r="U141" i="3"/>
  <c r="V141" i="3"/>
  <c r="V142" i="3" s="1"/>
  <c r="V143" i="3" s="1"/>
  <c r="V144" i="3" s="1"/>
  <c r="V145" i="3" s="1"/>
  <c r="V146" i="3" s="1"/>
  <c r="V147" i="3" s="1"/>
  <c r="V148" i="3" s="1"/>
  <c r="T118" i="3"/>
  <c r="D181" i="3"/>
  <c r="D179" i="3"/>
  <c r="H97" i="3"/>
  <c r="H98" i="3"/>
  <c r="H99" i="3"/>
  <c r="H100" i="3"/>
  <c r="H101" i="3"/>
  <c r="A60" i="3"/>
  <c r="T161" i="3" l="1"/>
  <c r="U162" i="3"/>
  <c r="T151" i="3"/>
  <c r="U152" i="3"/>
  <c r="T141" i="3"/>
  <c r="U142"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U163" i="3" l="1"/>
  <c r="T162" i="3"/>
  <c r="T152" i="3"/>
  <c r="U153" i="3"/>
  <c r="T142" i="3"/>
  <c r="U143" i="3"/>
  <c r="I42" i="6"/>
  <c r="H42" i="6" s="1"/>
  <c r="L42" i="6"/>
  <c r="K42" i="6" s="1"/>
  <c r="E44" i="6"/>
  <c r="D42" i="6"/>
  <c r="D44" i="6" s="1"/>
  <c r="T163" i="3" l="1"/>
  <c r="U164" i="3"/>
  <c r="T153" i="3"/>
  <c r="U154" i="3"/>
  <c r="T143" i="3"/>
  <c r="U144" i="3"/>
  <c r="C26" i="3"/>
  <c r="C18" i="3"/>
  <c r="H137" i="3"/>
  <c r="H136" i="3"/>
  <c r="H135" i="3"/>
  <c r="H134" i="3"/>
  <c r="H133" i="3"/>
  <c r="H132" i="3"/>
  <c r="H131" i="3"/>
  <c r="H130" i="3"/>
  <c r="H127" i="3"/>
  <c r="H126" i="3"/>
  <c r="H125" i="3"/>
  <c r="H124" i="3"/>
  <c r="H123" i="3"/>
  <c r="H117" i="3"/>
  <c r="H116" i="3"/>
  <c r="H115" i="3"/>
  <c r="H114" i="3"/>
  <c r="H113" i="3"/>
  <c r="H112" i="3"/>
  <c r="H111" i="3"/>
  <c r="H110" i="3"/>
  <c r="H102" i="3"/>
  <c r="H103" i="3"/>
  <c r="H104" i="3"/>
  <c r="G86" i="3" l="1"/>
  <c r="G87" i="3"/>
  <c r="G92" i="3"/>
  <c r="U165" i="3"/>
  <c r="T164" i="3"/>
  <c r="T154" i="3"/>
  <c r="U155" i="3"/>
  <c r="T144" i="3"/>
  <c r="U145" i="3"/>
  <c r="D61" i="3"/>
  <c r="G88" i="3" l="1"/>
  <c r="G93" i="3" s="1"/>
  <c r="T165" i="3"/>
  <c r="U166" i="3"/>
  <c r="T155" i="3"/>
  <c r="U156" i="3"/>
  <c r="T145" i="3"/>
  <c r="U146"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U167" i="3" l="1"/>
  <c r="T166" i="3"/>
  <c r="T156" i="3"/>
  <c r="U157" i="3"/>
  <c r="T146" i="3"/>
  <c r="U147" i="3"/>
  <c r="F38" i="4"/>
  <c r="G38" i="4"/>
  <c r="E18" i="4"/>
  <c r="E15" i="4"/>
  <c r="E17" i="4"/>
  <c r="E11" i="4"/>
  <c r="K6" i="4"/>
  <c r="E9" i="4"/>
  <c r="K8" i="4"/>
  <c r="C7" i="4" s="1"/>
  <c r="E14" i="4"/>
  <c r="E12" i="4"/>
  <c r="E16" i="4"/>
  <c r="E10" i="4"/>
  <c r="K9" i="4"/>
  <c r="K10" i="4" s="1"/>
  <c r="K11" i="4" s="1"/>
  <c r="E13" i="4"/>
  <c r="K7" i="4"/>
  <c r="T167" i="3" l="1"/>
  <c r="U168" i="3"/>
  <c r="T168" i="3" s="1"/>
  <c r="T157" i="3"/>
  <c r="U158" i="3"/>
  <c r="T158" i="3" s="1"/>
  <c r="T147" i="3"/>
  <c r="U148" i="3"/>
  <c r="T148" i="3" s="1"/>
  <c r="K12" i="4"/>
  <c r="K16" i="4" s="1"/>
  <c r="C8" i="4" s="1"/>
  <c r="E8" i="4" s="1"/>
  <c r="E7" i="4"/>
  <c r="A98" i="3"/>
  <c r="A99" i="3" s="1"/>
  <c r="A100" i="3" s="1"/>
  <c r="A101" i="3" s="1"/>
  <c r="A102" i="3" s="1"/>
  <c r="A103" i="3" s="1"/>
  <c r="A104" i="3" s="1"/>
  <c r="A105" i="3" s="1"/>
  <c r="A106" i="3" s="1"/>
  <c r="A107" i="3" s="1"/>
  <c r="A108" i="3" s="1"/>
  <c r="F7" i="4" l="1"/>
  <c r="J4" i="4" s="1"/>
  <c r="H7" i="4" s="1"/>
  <c r="G4" i="3" l="1"/>
  <c r="D180" i="3" l="1"/>
  <c r="G83" i="3"/>
  <c r="J70" i="3"/>
  <c r="J69" i="3"/>
  <c r="H61" i="3"/>
  <c r="J65" i="3" l="1"/>
  <c r="D70" i="3"/>
  <c r="D67" i="3"/>
  <c r="D65" i="3"/>
  <c r="J63" i="3"/>
  <c r="D74" i="3"/>
  <c r="D72" i="3"/>
  <c r="D69" i="3"/>
  <c r="D66" i="3"/>
  <c r="J64" i="3"/>
  <c r="J62" i="3"/>
  <c r="D73" i="3"/>
  <c r="D71" i="3"/>
  <c r="D68" i="3"/>
  <c r="J66" i="3" l="1"/>
  <c r="J71" i="3" s="1"/>
  <c r="J67" i="3" l="1"/>
  <c r="J68" i="3" l="1"/>
  <c r="J72" i="3" l="1"/>
  <c r="C63" i="3" s="1"/>
  <c r="U110" i="3"/>
  <c r="U120" i="3"/>
  <c r="V120" i="3"/>
  <c r="V130" i="3"/>
  <c r="U130" i="3"/>
  <c r="V110" i="3"/>
  <c r="D63" i="3" l="1"/>
  <c r="E63" i="3"/>
  <c r="G75" i="3" s="1"/>
  <c r="T130" i="3"/>
  <c r="U131" i="3"/>
  <c r="V131" i="3"/>
  <c r="V132" i="3" s="1"/>
  <c r="V133" i="3" s="1"/>
  <c r="V134" i="3" s="1"/>
  <c r="V135" i="3" s="1"/>
  <c r="V136" i="3" s="1"/>
  <c r="V137" i="3" s="1"/>
  <c r="V138" i="3" s="1"/>
  <c r="T120" i="3"/>
  <c r="U121" i="3"/>
  <c r="V121" i="3"/>
  <c r="V122" i="3" s="1"/>
  <c r="V123" i="3" s="1"/>
  <c r="V124" i="3" s="1"/>
  <c r="V125" i="3" s="1"/>
  <c r="V126" i="3" s="1"/>
  <c r="V127" i="3" s="1"/>
  <c r="V128" i="3" s="1"/>
  <c r="V111" i="3"/>
  <c r="V112" i="3" s="1"/>
  <c r="V113" i="3" s="1"/>
  <c r="V114" i="3" s="1"/>
  <c r="V115" i="3" s="1"/>
  <c r="V116" i="3" s="1"/>
  <c r="V117" i="3" s="1"/>
  <c r="U111" i="3"/>
  <c r="T110" i="3"/>
  <c r="D64" i="3" l="1"/>
  <c r="I60" i="3"/>
  <c r="G63" i="3" s="1"/>
  <c r="T131" i="3"/>
  <c r="U132" i="3"/>
  <c r="T132" i="3" s="1"/>
  <c r="T121" i="3"/>
  <c r="U122" i="3"/>
  <c r="T122" i="3" s="1"/>
  <c r="U112" i="3"/>
  <c r="T111" i="3"/>
  <c r="U133" i="3" l="1"/>
  <c r="T133" i="3" s="1"/>
  <c r="U123" i="3"/>
  <c r="T123" i="3" s="1"/>
  <c r="U113" i="3"/>
  <c r="T112" i="3"/>
  <c r="U134" i="3" l="1"/>
  <c r="T134" i="3" s="1"/>
  <c r="U124" i="3"/>
  <c r="T124" i="3" s="1"/>
  <c r="U114" i="3"/>
  <c r="T113" i="3"/>
  <c r="U135" i="3" l="1"/>
  <c r="T135" i="3" s="1"/>
  <c r="U125" i="3"/>
  <c r="T125" i="3" s="1"/>
  <c r="U115" i="3"/>
  <c r="T114" i="3"/>
  <c r="U136" i="3" l="1"/>
  <c r="T136" i="3" s="1"/>
  <c r="U126" i="3"/>
  <c r="T126" i="3" s="1"/>
  <c r="U116" i="3"/>
  <c r="T115" i="3"/>
  <c r="U137" i="3" l="1"/>
  <c r="U127" i="3"/>
  <c r="U117" i="3"/>
  <c r="T116" i="3"/>
  <c r="T137" i="3" l="1"/>
  <c r="U138" i="3"/>
  <c r="T138" i="3" s="1"/>
  <c r="T127" i="3"/>
  <c r="U128" i="3"/>
  <c r="T128" i="3" s="1"/>
  <c r="T117" i="3"/>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81"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<sst xmlns="http://schemas.openxmlformats.org/spreadsheetml/2006/main" count="638" uniqueCount="366">
  <si>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</si>
  <si>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</si>
  <si>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</si>
  <si>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</si>
  <si>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</si>
  <si>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</si>
  <si>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</si>
  <si>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</si>
  <si>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</si>
  <si>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</si>
  <si>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</si>
  <si>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</si>
  <si>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</si>
  <si>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</si>
  <si>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</si>
  <si>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</si>
  <si>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</si>
  <si>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</si>
  <si>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</si>
  <si>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</si>
  <si>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</si>
  <si>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</si>
  <si>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</si>
  <si>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</si>
  <si>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</si>
  <si>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</si>
  <si>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</si>
  <si>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</si>
  <si>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</si>
  <si>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</si>
  <si>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</si>
  <si>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</si>
  <si>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</si>
  <si>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</si>
  <si>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</si>
  <si>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</si>
  <si>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</si>
  <si>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</si>
  <si>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</si>
  <si>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</si>
  <si>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</si>
  <si>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</si>
  <si>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</si>
  <si>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</si>
  <si>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</si>
  <si>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</si>
  <si>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</si>
  <si>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</si>
  <si>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</si>
  <si>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</si>
  <si>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</si>
  <si>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</si>
  <si>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</si>
  <si>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</si>
  <si>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</si>
  <si>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</si>
  <si>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</si>
  <si>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</si>
  <si>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</si>
  <si>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</si>
  <si>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</si>
  <si>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</si>
  <si>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</si>
  <si>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</si>
  <si>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</si>
  <si>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</si>
  <si>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</si>
  <si>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</si>
  <si>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</si>
  <si>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</si>
  <si>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</si>
  <si>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</si>
  <si>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</si>
  <si>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</si>
  <si>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</si>
  <si>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</si>
  <si>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</si>
  <si>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</si>
  <si>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</si>
  <si>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</si>
  <si>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</si>
  <si>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</si>
  <si>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</si>
  <si>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</si>
  <si>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</si>
  <si>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</si>
  <si>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</si>
  <si>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</si>
  <si>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</si>
  <si>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</si>
  <si>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</si>
  <si>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</si>
  <si>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</si>
  <si>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</si>
  <si>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</si>
  <si>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</si>
  <si>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</si>
  <si>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</si>
  <si>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</si>
  <si>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</si>
  <si>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</si>
  <si>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</si>
  <si>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</si>
  <si>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</si>
  <si>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</si>
  <si>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</si>
  <si>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</si>
  <si>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</si>
  <si>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</si>
  <si>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</si>
  <si>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</si>
  <si>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</si>
  <si>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</si>
  <si>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</si>
  <si>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</si>
  <si>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</si>
  <si>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</si>
  <si>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</si>
  <si>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</si>
  <si>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</si>
  <si>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</si>
  <si>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</si>
  <si>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</si>
  <si>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</si>
  <si>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</si>
  <si>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</si>
  <si>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</si>
  <si>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</si>
  <si>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</si>
  <si>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</si>
  <si>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</si>
  <si>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</si>
  <si>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</si>
  <si>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</si>
  <si>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</si>
  <si>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</si>
  <si>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</si>
  <si>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</si>
  <si>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</si>
  <si>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</si>
  <si>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</si>
  <si>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</si>
  <si>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</si>
  <si>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</si>
  <si>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</si>
  <si>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</si>
  <si>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</si>
  <si>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</si>
  <si>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</si>
  <si>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</si>
  <si>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</si>
  <si>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</si>
  <si>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</si>
  <si>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</si>
  <si>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</si>
  <si>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</si>
  <si>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</si>
  <si>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</si>
  <si>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</si>
  <si>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</si>
  <si>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</si>
  <si>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</si>
  <si>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</si>
  <si>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</si>
  <si>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</si>
  <si>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</si>
  <si>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</si>
  <si>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</si>
  <si>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</si>
  <si>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</si>
  <si>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</si>
  <si>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</si>
  <si>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</si>
  <si>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</si>
  <si>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</si>
  <si>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</si>
  <si>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</si>
  <si>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</si>
  <si>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</si>
  <si>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</si>
  <si>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</si>
  <si>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</si>
  <si>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</si>
  <si>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</si>
  <si>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</si>
  <si>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</si>
  <si>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</si>
  <si>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</si>
  <si>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</si>
  <si>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</si>
  <si>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</si>
  <si>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</si>
  <si>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</si>
  <si>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</si>
  <si>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</si>
  <si>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</si>
  <si>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</si>
  <si>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</si>
  <si>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</si>
  <si>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</si>
  <si>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</si>
  <si>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</si>
  <si>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</si>
  <si>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</si>
  <si>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</si>
  <si>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</si>
  <si>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</si>
  <si>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</si>
  <si>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</si>
  <si>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</si>
  <si>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</si>
  <si>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</si>
  <si>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</si>
  <si>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</si>
  <si>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</si>
  <si>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</si>
  <si>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</si>
  <si>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</si>
  <si>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</si>
  <si>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</si>
  <si>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</si>
  <si>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</si>
  <si>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</si>
  <si>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</si>
  <si>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</si>
  <si>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</si>
  <si>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</si>
  <si>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</si>
  <si>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</si>
  <si>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</si>
  <si>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</si>
  <si>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</si>
  <si>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</si>
  <si>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</si>
  <si>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</si>
  <si>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</si>
  <si>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</si>
  <si>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</si>
  <si>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</si>
  <si>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</si>
  <si>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</si>
  <si>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9m</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</si>
  <si>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</si>
  <si>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</si>
  <si>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</si>
  <si>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</si>
  <si>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</si>
  <si>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</si>
  <si>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</si>
  <si>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</si>
  <si>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</si>
  <si>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</si>
  <si>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</si>
  <si>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</si>
  <si>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</si>
  <si>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</si>
  <si>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</si>
  <si>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</si>
  <si>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</si>
  <si>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</si>
  <si>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</si>
  <si>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</si>
  <si>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</si>
  <si>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</si>
  <si>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</si>
  <si>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</si>
  <si>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</si>
  <si>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</si>
  <si>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</si>
  <si>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</si>
  <si>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</si>
  <si>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</si>
  <si>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</si>
  <si>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</si>
  <si>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</si>
  <si>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</si>
  <si>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</si>
  <si>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</si>
  <si>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</si>
  <si>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</si>
  <si>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</si>
  <si>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</si>
  <si>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</si>
  <si>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</si>
  <si>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</si>
  <si>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</si>
  <si>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</si>
  <si>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</si>
  <si>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</si>
  <si>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</si>
  <si>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</si>
  <si>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</si>
  <si>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</si>
  <si>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</si>
  <si>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</si>
  <si>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</si>
  <si>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</si>
  <si>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</si>
  <si>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</si>
  <si>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</si>
  <si>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</si>
  <si>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</si>
  <si>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</si>
  <si>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Tower 1</t>
  </si>
  <si>
    <t>Dattachhaya</t>
  </si>
  <si>
    <t>Godrej One, Mumbai</t>
  </si>
  <si>
    <t>Miss Rupali</t>
  </si>
  <si>
    <t>M/s. Om Sai Om Construction</t>
  </si>
  <si>
    <t>1, Pitashree Bunglow, Vartak Road, Vartak Ward, Near Hira Vidyalaya, Tal. Vasai, Dist. Palghar 401303.</t>
  </si>
  <si>
    <t>Proposed Redevelopment On Land Bearaing S. No. 379A/B/2, Plot No. 1 &amp; S. No. 531, Plot No. 2 &amp; 3, At Village Virar, Tal. Vasi, Dist. Palghar</t>
  </si>
  <si>
    <t>Vasai-Virar City Municipal Corporation (VVCMC)</t>
  </si>
  <si>
    <t>P99000054805</t>
  </si>
  <si>
    <t>HDFC Bank</t>
  </si>
  <si>
    <t>19.4529718,72.8066126</t>
  </si>
  <si>
    <t>https://maps.app.goo.gl/VPP88c1hE74E9Ha96</t>
  </si>
  <si>
    <t>Fitness Center, Landscaping &amp; Tree, CCTV, Power Backup, etc.</t>
  </si>
  <si>
    <t>Road</t>
  </si>
  <si>
    <t>Other Plot</t>
  </si>
  <si>
    <t>Suman CHSL</t>
  </si>
  <si>
    <t>Stilt + 1st to 18th Floor</t>
  </si>
  <si>
    <t>VVCMC/TP/AMEND/VP/5920/54/2023-24</t>
  </si>
  <si>
    <t xml:space="preserve">CC Details
Valid Up to: </t>
  </si>
  <si>
    <t xml:space="preserve">Other NOC Details
(Fire NOC)
Valid Up to: </t>
  </si>
  <si>
    <t>Stilt + 1st to 18th Floor (Height 60.75 mtrs)</t>
  </si>
  <si>
    <t>Ground Floor For Commercial, Meter Room, Parking &amp; Lobby</t>
  </si>
  <si>
    <t>Shop</t>
  </si>
  <si>
    <t xml:space="preserve"> - </t>
  </si>
  <si>
    <t>1st Floor For Commercial, School &amp; Meter Room</t>
  </si>
  <si>
    <t>Office</t>
  </si>
  <si>
    <t>2nd Floor For Residential, Fitness Center, Society Office &amp; Drivers Room</t>
  </si>
  <si>
    <t>Fitness Center /Society Office /Drivers Room</t>
  </si>
  <si>
    <t>2BHK</t>
  </si>
  <si>
    <t>1BHK</t>
  </si>
  <si>
    <t>3rd Floor For Residential</t>
  </si>
  <si>
    <t>4th to 7th, 9th to 12th &amp; 14th to 17th Floor</t>
  </si>
  <si>
    <t>Refuge Area</t>
  </si>
  <si>
    <t>8th &amp; 13th Floor For Residential (Part Refuge Area)</t>
  </si>
  <si>
    <t>18th Floor For Residential (Part Terrace Area)</t>
  </si>
  <si>
    <t>Terrace Area</t>
  </si>
  <si>
    <t>Shops</t>
  </si>
  <si>
    <t>Flats</t>
  </si>
  <si>
    <t>Unit Details, Nomenclature and Area Details (Residential)</t>
  </si>
  <si>
    <t>Offices</t>
  </si>
  <si>
    <t>OK</t>
  </si>
  <si>
    <t xml:space="preserve">We considered Gross carpet area = Net carpet + Enclose balcony + AP Area.
</t>
  </si>
  <si>
    <t>Mr. Navnath Bhatkar</t>
  </si>
  <si>
    <t>Middle</t>
  </si>
  <si>
    <t>Flats = 146, Shops = 12  &amp; 
Offices = 9</t>
  </si>
  <si>
    <t>As per RERA Site Flats = 131 &amp; Shops = 12</t>
  </si>
  <si>
    <t>1.0 KM from Highway Phata Bus Stop</t>
  </si>
  <si>
    <t>About 0.15KM from St. Xavier's High School</t>
  </si>
  <si>
    <t>About 0.45KM from Shah Hospital</t>
  </si>
  <si>
    <t>1. Approx. 0.70KM from Vegetable Market.
2. Approx. 0.75KM from Tuesday Market.</t>
  </si>
  <si>
    <t>0.35KM from Virar  Railway Station
3.20KM from Virar Carshed Railway Station</t>
  </si>
  <si>
    <t>Couldn't found of year 2025-26</t>
  </si>
  <si>
    <r>
      <rPr>
        <sz val="16"/>
        <color theme="1"/>
        <rFont val="Times New Roman"/>
        <family val="1"/>
      </rPr>
      <t>Approved Layout &amp; Floor Plans, CC,</t>
    </r>
    <r>
      <rPr>
        <sz val="16"/>
        <color rgb="FFFF0000"/>
        <rFont val="Times New Roman"/>
        <family val="1"/>
      </rPr>
      <t xml:space="preserve"> </t>
    </r>
    <r>
      <rPr>
        <sz val="16"/>
        <rFont val="Times New Roman"/>
        <family val="1"/>
      </rPr>
      <t>RERA certificate</t>
    </r>
  </si>
  <si>
    <t>Please Check For Fire NOC.</t>
  </si>
  <si>
    <t>Mr. Mihir Chaudhary 7798887778</t>
  </si>
  <si>
    <t>Mr. Jagdish Manohar Mhatre</t>
  </si>
  <si>
    <t>Plot No.1, S No.379/A/B/2, S No.531, Plot No.2&amp;3, Virar, Mira Road and Beyond, Mumbai</t>
  </si>
  <si>
    <t>Dattachhaya, Datt Mandir Rd, near Navratri Ground, Doghar Pada, Sheetal Nagar, Virar West, Virar, Maharashtra 401303</t>
  </si>
  <si>
    <t>Dafftary complex</t>
  </si>
  <si>
    <t>Stilt + 1st to 18th Floor 
Residential Units = 146, Shop = 12, Office = 09, (Total Built up Area = 10336.42)</t>
  </si>
  <si>
    <t>9000 to 10000</t>
  </si>
  <si>
    <t>24/09/2025 @ 12:32 PM</t>
  </si>
  <si>
    <t>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</si>
</sst>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3">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1" fontId="7" fillId="0" borderId="0" xfId="1" applyNumberFormat="1" applyFont="1" applyAlignment="1">
      <alignment horizontal="center" vertical="center"/>
    </xf>
    <xf numFmtId="0" fontId="9" fillId="0" borderId="0" xfId="0" applyFont="1" applyAlignment="1">
      <alignment vertical="top"/>
    </xf>
    <xf numFmtId="1" fontId="3" fillId="4" borderId="1" xfId="1" applyNumberFormat="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3" fillId="4" borderId="1" xfId="0" applyNumberFormat="1"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3" fillId="0" borderId="2" xfId="0" applyFont="1" applyBorder="1" applyAlignment="1">
      <alignment horizontal="left" vertical="top" wrapText="1"/>
    </xf>
    <xf numFmtId="0" fontId="3" fillId="0" borderId="5"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3"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3"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16" fontId="4"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9" fillId="4" borderId="2" xfId="0" applyFont="1" applyFill="1" applyBorder="1" applyAlignment="1">
      <alignment horizontal="left" vertical="top" wrapText="1"/>
    </xf>
    <xf numFmtId="0" fontId="2" fillId="2" borderId="1" xfId="0" applyFont="1" applyFill="1" applyBorder="1" applyAlignment="1">
      <alignment horizontal="center" vertical="top"/>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0"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6" fillId="4" borderId="1" xfId="2" applyFont="1" applyFill="1" applyBorder="1" applyAlignment="1">
      <alignment horizontal="left" vertical="top" wrapText="1"/>
    </xf>
    <xf numFmtId="0" fontId="4" fillId="0" borderId="1" xfId="0" applyFont="1" applyBorder="1" applyAlignment="1">
      <alignment horizontal="center" vertical="top" wrapText="1"/>
    </xf>
    <xf numFmtId="0" fontId="7" fillId="0" borderId="0" xfId="1" applyFont="1" applyAlignment="1">
      <alignment horizontal="center" vertical="center"/>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6" fillId="4" borderId="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4" fillId="4" borderId="2" xfId="0" applyNumberFormat="1" applyFont="1" applyFill="1" applyBorder="1" applyAlignment="1">
      <alignment horizontal="center" vertical="top" wrapText="1"/>
    </xf>
    <xf numFmtId="14" fontId="3" fillId="0" borderId="0" xfId="0" applyNumberFormat="1" applyFont="1" applyAlignment="1">
      <alignment vertical="top"/>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8</xdr:col>
      <xdr:colOff>212910</xdr:colOff>
      <xdr:row>7</xdr:row>
      <xdr:rowOff>0</xdr:rowOff>
    </xdr:from>
    <xdr:to>
      <xdr:col>16</xdr:col>
      <xdr:colOff>343136</xdr:colOff>
      <xdr:row>9</xdr:row>
      <xdr:rowOff>202652</xdr:rowOff>
    </xdr:to>
    <xdr:pic>
      <xdr:nvPicPr>
        <xdr:cNvPr id="2" name="Picture 1"/>
        <xdr:cNvPicPr>
          <a:picLocks noChangeAspect="1"/>
        </xdr:cNvPicPr>
      </xdr:nvPicPr>
      <xdr:blipFill>
        <a:blip xmlns:r="http://schemas.openxmlformats.org/officeDocument/2006/relationships" r:embed="rId1"/>
        <a:stretch>
          <a:fillRect/>
        </a:stretch>
      </xdr:blipFill>
      <xdr:spPr>
        <a:xfrm>
          <a:off x="9625851" y="3305735"/>
          <a:ext cx="7066667" cy="1390476"/>
        </a:xfrm>
        <a:prstGeom prst="rect">
          <a:avLst/>
        </a:prstGeom>
      </xdr:spPr>
    </xdr:pic>
    <xdr:clientData/>
  </xdr:twoCellAnchor>
  <xdr:twoCellAnchor>
    <xdr:from>
      <xdr:col>0</xdr:col>
      <xdr:colOff>818030</xdr:colOff>
      <xdr:row>226</xdr:row>
      <xdr:rowOff>235323</xdr:rowOff>
    </xdr:from>
    <xdr:to>
      <xdr:col>7</xdr:col>
      <xdr:colOff>672351</xdr:colOff>
      <xdr:row>272</xdr:row>
      <xdr:rowOff>100853</xdr:rowOff>
    </xdr:to>
    <xdr:grpSp>
      <xdr:nvGrpSpPr>
        <xdr:cNvPr id="3" name="Group 2"/>
        <xdr:cNvGrpSpPr/>
      </xdr:nvGrpSpPr>
      <xdr:grpSpPr>
        <a:xfrm>
          <a:off x="818030" y="67817999"/>
          <a:ext cx="8090645" cy="11721354"/>
          <a:chOff x="982618" y="500520"/>
          <a:chExt cx="4892763" cy="8223180"/>
        </a:xfrm>
      </xdr:grpSpPr>
      <xdr:grpSp>
        <xdr:nvGrpSpPr>
          <xdr:cNvPr id="4" name="Group 3"/>
          <xdr:cNvGrpSpPr/>
        </xdr:nvGrpSpPr>
        <xdr:grpSpPr>
          <a:xfrm>
            <a:off x="982618" y="4763700"/>
            <a:ext cx="4892763" cy="3960000"/>
            <a:chOff x="982618" y="4763700"/>
            <a:chExt cx="4892763" cy="3960000"/>
          </a:xfrm>
        </xdr:grpSpPr>
        <xdr:pic>
          <xdr:nvPicPr>
            <xdr:cNvPr id="8" name="Picture 7"/>
            <xdr:cNvPicPr>
              <a:picLocks noChangeAspect="1"/>
            </xdr:cNvPicPr>
          </xdr:nvPicPr>
          <xdr:blipFill>
            <a:blip xmlns:r="http://schemas.openxmlformats.org/officeDocument/2006/relationships" r:embed="rId2"/>
            <a:stretch>
              <a:fillRect/>
            </a:stretch>
          </xdr:blipFill>
          <xdr:spPr>
            <a:xfrm>
              <a:off x="982618" y="4763700"/>
              <a:ext cx="4892763" cy="3960000"/>
            </a:xfrm>
            <a:prstGeom prst="rect">
              <a:avLst/>
            </a:prstGeom>
            <a:ln>
              <a:solidFill>
                <a:schemeClr val="tx1"/>
              </a:solidFill>
            </a:ln>
          </xdr:spPr>
        </xdr:pic>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5381" y="4763700"/>
              <a:ext cx="1080000" cy="1080000"/>
            </a:xfrm>
            <a:prstGeom prst="rect">
              <a:avLst/>
            </a:prstGeom>
          </xdr:spPr>
        </xdr:pic>
      </xdr:grpSp>
      <xdr:grpSp>
        <xdr:nvGrpSpPr>
          <xdr:cNvPr id="5" name="Group 4"/>
          <xdr:cNvGrpSpPr/>
        </xdr:nvGrpSpPr>
        <xdr:grpSpPr>
          <a:xfrm>
            <a:off x="1697799" y="500520"/>
            <a:ext cx="3489607" cy="4140000"/>
            <a:chOff x="1697799" y="500520"/>
            <a:chExt cx="3489607" cy="4140000"/>
          </a:xfrm>
        </xdr:grpSpPr>
        <xdr:pic>
          <xdr:nvPicPr>
            <xdr:cNvPr id="6" name="Picture 5"/>
            <xdr:cNvPicPr>
              <a:picLocks noChangeAspect="1"/>
            </xdr:cNvPicPr>
          </xdr:nvPicPr>
          <xdr:blipFill>
            <a:blip xmlns:r="http://schemas.openxmlformats.org/officeDocument/2006/relationships" r:embed="rId4"/>
            <a:stretch>
              <a:fillRect/>
            </a:stretch>
          </xdr:blipFill>
          <xdr:spPr>
            <a:xfrm>
              <a:off x="1697799" y="500520"/>
              <a:ext cx="3489607" cy="4140000"/>
            </a:xfrm>
            <a:prstGeom prst="rect">
              <a:avLst/>
            </a:prstGeom>
            <a:ln>
              <a:solidFill>
                <a:schemeClr val="tx1"/>
              </a:solidFill>
            </a:ln>
          </xdr:spPr>
        </xdr:pic>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7406" y="500520"/>
              <a:ext cx="1080000" cy="1080000"/>
            </a:xfrm>
            <a:prstGeom prst="rect">
              <a:avLst/>
            </a:prstGeom>
          </xdr:spPr>
        </xdr:pic>
      </xdr:grpSp>
    </xdr:grpSp>
    <xdr:clientData/>
  </xdr:twoCellAnchor>
  <xdr:twoCellAnchor>
    <xdr:from>
      <xdr:col>1</xdr:col>
      <xdr:colOff>739588</xdr:colOff>
      <xdr:row>276</xdr:row>
      <xdr:rowOff>145677</xdr:rowOff>
    </xdr:from>
    <xdr:to>
      <xdr:col>6</xdr:col>
      <xdr:colOff>705970</xdr:colOff>
      <xdr:row>305</xdr:row>
      <xdr:rowOff>56029</xdr:rowOff>
    </xdr:to>
    <xdr:grpSp>
      <xdr:nvGrpSpPr>
        <xdr:cNvPr id="10" name="Group 9"/>
        <xdr:cNvGrpSpPr/>
      </xdr:nvGrpSpPr>
      <xdr:grpSpPr>
        <a:xfrm>
          <a:off x="1916206" y="80615118"/>
          <a:ext cx="5849470" cy="7384676"/>
          <a:chOff x="1047711" y="934359"/>
          <a:chExt cx="5503985" cy="8139301"/>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1070791" y="934359"/>
            <a:ext cx="5457825" cy="3200401"/>
          </a:xfrm>
          <a:prstGeom prst="rect">
            <a:avLst/>
          </a:prstGeom>
          <a:ln>
            <a:solidFill>
              <a:schemeClr val="tx1"/>
            </a:solidFill>
          </a:ln>
        </xdr:spPr>
      </xdr:pic>
      <xdr:grpSp>
        <xdr:nvGrpSpPr>
          <xdr:cNvPr id="12" name="Group 11"/>
          <xdr:cNvGrpSpPr/>
        </xdr:nvGrpSpPr>
        <xdr:grpSpPr>
          <a:xfrm>
            <a:off x="1047711" y="4290644"/>
            <a:ext cx="5503985" cy="4783016"/>
            <a:chOff x="854280" y="3393830"/>
            <a:chExt cx="5503985" cy="4783016"/>
          </a:xfrm>
        </xdr:grpSpPr>
        <xdr:pic>
          <xdr:nvPicPr>
            <xdr:cNvPr id="13" name="Picture 12"/>
            <xdr:cNvPicPr>
              <a:picLocks noChangeAspect="1"/>
            </xdr:cNvPicPr>
          </xdr:nvPicPr>
          <xdr:blipFill rotWithShape="1">
            <a:blip xmlns:r="http://schemas.openxmlformats.org/officeDocument/2006/relationships" r:embed="rId6"/>
            <a:srcRect l="28125" t="10759" r="29573" b="23856"/>
            <a:stretch/>
          </xdr:blipFill>
          <xdr:spPr>
            <a:xfrm>
              <a:off x="854280" y="3393830"/>
              <a:ext cx="5503985" cy="4783016"/>
            </a:xfrm>
            <a:prstGeom prst="rect">
              <a:avLst/>
            </a:prstGeom>
            <a:ln>
              <a:solidFill>
                <a:schemeClr val="tx1"/>
              </a:solidFill>
            </a:ln>
          </xdr:spPr>
        </xdr:pic>
        <xdr:sp macro="" textlink="">
          <xdr:nvSpPr>
            <xdr:cNvPr id="14" name="Rectangle 13"/>
            <xdr:cNvSpPr/>
          </xdr:nvSpPr>
          <xdr:spPr>
            <a:xfrm>
              <a:off x="2508250" y="5378451"/>
              <a:ext cx="2070099" cy="179051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grpSp>
    <xdr:clientData/>
  </xdr:twoCellAnchor>
  <xdr:twoCellAnchor editAs="oneCell">
    <xdr:from>
      <xdr:col>8</xdr:col>
      <xdr:colOff>1445561</xdr:colOff>
      <xdr:row>74</xdr:row>
      <xdr:rowOff>33615</xdr:rowOff>
    </xdr:from>
    <xdr:to>
      <xdr:col>24</xdr:col>
      <xdr:colOff>416864</xdr:colOff>
      <xdr:row>88</xdr:row>
      <xdr:rowOff>34725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858502" y="27779380"/>
          <a:ext cx="8933333" cy="4561905"/>
        </a:xfrm>
        <a:prstGeom prst="rect">
          <a:avLst/>
        </a:prstGeom>
      </xdr:spPr>
    </xdr:pic>
    <xdr:clientData/>
  </xdr:twoCellAnchor>
  <xdr:twoCellAnchor>
    <xdr:from>
      <xdr:col>0</xdr:col>
      <xdr:colOff>578223</xdr:colOff>
      <xdr:row>181</xdr:row>
      <xdr:rowOff>107576</xdr:rowOff>
    </xdr:from>
    <xdr:to>
      <xdr:col>7</xdr:col>
      <xdr:colOff>677949</xdr:colOff>
      <xdr:row>224</xdr:row>
      <xdr:rowOff>52012</xdr:rowOff>
    </xdr:to>
    <xdr:grpSp>
      <xdr:nvGrpSpPr>
        <xdr:cNvPr id="16" name="Group 15"/>
        <xdr:cNvGrpSpPr/>
      </xdr:nvGrpSpPr>
      <xdr:grpSpPr>
        <a:xfrm>
          <a:off x="578223" y="56092164"/>
          <a:ext cx="8336050" cy="11027054"/>
          <a:chOff x="499782" y="56114576"/>
          <a:chExt cx="8336050" cy="11027054"/>
        </a:xfrm>
      </xdr:grpSpPr>
      <xdr:pic>
        <xdr:nvPicPr>
          <xdr:cNvPr id="42" name="Picture 41" descr="https://vsjcllp.vsjadon.com/upload/insp-248942-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807325" y="64523469"/>
            <a:ext cx="1949822" cy="26024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8942-84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881282" y="56114576"/>
            <a:ext cx="3445578" cy="45988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8942-84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307976" y="60827769"/>
            <a:ext cx="2695008" cy="35970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8942-847.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308847" y="56116816"/>
            <a:ext cx="3445578" cy="45988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8942-86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738719" y="64539157"/>
            <a:ext cx="1949822" cy="26024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8942-86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140824" y="60814321"/>
            <a:ext cx="2695008" cy="35970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8942-84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99782" y="60832252"/>
            <a:ext cx="2695008" cy="35970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PP88c1hE74E9Ha9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17"/>
  <sheetViews>
    <sheetView tabSelected="1" view="pageBreakPreview" zoomScale="85" zoomScaleNormal="85" zoomScaleSheetLayoutView="85" zoomScalePageLayoutView="70" workbookViewId="0">
      <selection activeCell="I4" sqref="I4"/>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5.7109375" style="1" bestFit="1" customWidth="1"/>
    <col min="11" max="19" width="9.140625" style="1"/>
    <col min="20" max="22" width="0" style="1" hidden="1" customWidth="1"/>
    <col min="23" max="25" width="9.140625" style="1"/>
    <col min="26" max="26" width="7.85546875" style="1" customWidth="1"/>
    <col min="27" max="16384" width="9.140625" style="1"/>
  </cols>
  <sheetData>
    <row r="1" spans="1:12" ht="20.25" x14ac:dyDescent="0.25">
      <c r="A1" s="128" t="s">
        <v>38</v>
      </c>
      <c r="B1" s="129"/>
      <c r="C1" s="129"/>
      <c r="D1" s="129"/>
      <c r="E1" s="129"/>
      <c r="F1" s="129"/>
      <c r="G1" s="129"/>
      <c r="H1" s="130"/>
    </row>
    <row r="2" spans="1:12" ht="42" customHeight="1" x14ac:dyDescent="0.25">
      <c r="A2" s="84" t="s">
        <v>10</v>
      </c>
      <c r="B2" s="84"/>
      <c r="C2" s="85" t="s">
        <v>87</v>
      </c>
      <c r="D2" s="85"/>
      <c r="E2" s="84" t="s">
        <v>12</v>
      </c>
      <c r="F2" s="84"/>
      <c r="G2" s="107">
        <v>45922</v>
      </c>
      <c r="H2" s="85"/>
      <c r="J2" s="199">
        <v>45924</v>
      </c>
      <c r="K2" s="105"/>
    </row>
    <row r="3" spans="1:12" ht="42.75" customHeight="1" x14ac:dyDescent="0.25">
      <c r="A3" s="201" t="s">
        <v>39</v>
      </c>
      <c r="B3" s="201"/>
      <c r="C3" s="202" t="s">
        <v>304</v>
      </c>
      <c r="D3" s="202"/>
      <c r="E3" s="84" t="s">
        <v>156</v>
      </c>
      <c r="F3" s="84"/>
      <c r="G3" s="108" t="s">
        <v>364</v>
      </c>
      <c r="H3" s="85"/>
      <c r="J3" s="200">
        <v>45818</v>
      </c>
      <c r="L3" s="1">
        <f>J3-J2</f>
        <v>-106</v>
      </c>
    </row>
    <row r="4" spans="1:12" ht="43.5" customHeight="1" x14ac:dyDescent="0.25">
      <c r="A4" s="84" t="s">
        <v>36</v>
      </c>
      <c r="B4" s="84"/>
      <c r="C4" s="85" t="s">
        <v>357</v>
      </c>
      <c r="D4" s="85"/>
      <c r="E4" s="84" t="s">
        <v>33</v>
      </c>
      <c r="F4" s="84"/>
      <c r="G4" s="85" t="str">
        <f ca="1">TEXT(TODAY(),"DD/MM/YYYY")</f>
        <v>25/09/2025</v>
      </c>
      <c r="H4" s="85"/>
      <c r="I4" s="77"/>
    </row>
    <row r="5" spans="1:12" ht="20.25" x14ac:dyDescent="0.25">
      <c r="A5" s="114" t="s">
        <v>40</v>
      </c>
      <c r="B5" s="114"/>
      <c r="C5" s="114"/>
      <c r="D5" s="114"/>
      <c r="E5" s="114"/>
      <c r="F5" s="114"/>
      <c r="G5" s="114"/>
      <c r="H5" s="114"/>
    </row>
    <row r="6" spans="1:12" ht="43.5" customHeight="1" x14ac:dyDescent="0.25">
      <c r="A6" s="84" t="s">
        <v>29</v>
      </c>
      <c r="B6" s="84"/>
      <c r="C6" s="85" t="s">
        <v>305</v>
      </c>
      <c r="D6" s="85"/>
      <c r="E6" s="84" t="s">
        <v>35</v>
      </c>
      <c r="F6" s="84"/>
      <c r="G6" s="85" t="s">
        <v>306</v>
      </c>
      <c r="H6" s="85"/>
    </row>
    <row r="7" spans="1:12" ht="48.75" customHeight="1" x14ac:dyDescent="0.25">
      <c r="A7" s="84" t="s">
        <v>42</v>
      </c>
      <c r="B7" s="84"/>
      <c r="C7" s="85" t="s">
        <v>307</v>
      </c>
      <c r="D7" s="85"/>
      <c r="E7" s="84" t="s">
        <v>43</v>
      </c>
      <c r="F7" s="84"/>
      <c r="G7" s="85" t="s">
        <v>358</v>
      </c>
      <c r="H7" s="85"/>
    </row>
    <row r="8" spans="1:12" ht="48.75" customHeight="1" x14ac:dyDescent="0.25">
      <c r="A8" s="84" t="s">
        <v>44</v>
      </c>
      <c r="B8" s="84"/>
      <c r="C8" s="85" t="s">
        <v>308</v>
      </c>
      <c r="D8" s="85"/>
      <c r="E8" s="85"/>
      <c r="F8" s="85"/>
      <c r="G8" s="85"/>
      <c r="H8" s="85"/>
    </row>
    <row r="9" spans="1:12" ht="45" customHeight="1" x14ac:dyDescent="0.25">
      <c r="A9" s="106" t="s">
        <v>147</v>
      </c>
      <c r="B9" s="34" t="s">
        <v>41</v>
      </c>
      <c r="C9" s="85" t="s">
        <v>359</v>
      </c>
      <c r="D9" s="85"/>
      <c r="E9" s="85"/>
      <c r="F9" s="85"/>
      <c r="G9" s="85"/>
      <c r="H9" s="85"/>
    </row>
    <row r="10" spans="1:12" ht="45" customHeight="1" x14ac:dyDescent="0.25">
      <c r="A10" s="106"/>
      <c r="B10" s="34" t="s">
        <v>11</v>
      </c>
      <c r="C10" s="85" t="s">
        <v>309</v>
      </c>
      <c r="D10" s="85"/>
      <c r="E10" s="85"/>
      <c r="F10" s="85"/>
      <c r="G10" s="85"/>
      <c r="H10" s="85"/>
    </row>
    <row r="11" spans="1:12" ht="42" customHeight="1" x14ac:dyDescent="0.25">
      <c r="A11" s="106"/>
      <c r="B11" s="34" t="s">
        <v>5</v>
      </c>
      <c r="C11" s="85" t="s">
        <v>360</v>
      </c>
      <c r="D11" s="85"/>
      <c r="E11" s="85"/>
      <c r="F11" s="85"/>
      <c r="G11" s="85"/>
      <c r="H11" s="85"/>
    </row>
    <row r="12" spans="1:12" ht="40.5" customHeight="1" x14ac:dyDescent="0.25">
      <c r="A12" s="84" t="s">
        <v>34</v>
      </c>
      <c r="B12" s="84"/>
      <c r="C12" s="109" t="s">
        <v>355</v>
      </c>
      <c r="D12" s="109"/>
      <c r="E12" s="109"/>
      <c r="F12" s="109"/>
      <c r="G12" s="109"/>
      <c r="H12" s="109"/>
    </row>
    <row r="13" spans="1:12" ht="20.100000000000001" customHeight="1" x14ac:dyDescent="0.25">
      <c r="A13" s="114" t="s">
        <v>45</v>
      </c>
      <c r="B13" s="114"/>
      <c r="C13" s="114"/>
      <c r="D13" s="114"/>
      <c r="E13" s="114"/>
      <c r="F13" s="114"/>
      <c r="G13" s="114"/>
      <c r="H13" s="114"/>
    </row>
    <row r="14" spans="1:12" ht="41.25" customHeight="1" x14ac:dyDescent="0.25">
      <c r="A14" s="84" t="s">
        <v>27</v>
      </c>
      <c r="B14" s="84" t="s">
        <v>4</v>
      </c>
      <c r="C14" s="85" t="s">
        <v>88</v>
      </c>
      <c r="D14" s="85"/>
      <c r="E14" s="84" t="s">
        <v>46</v>
      </c>
      <c r="F14" s="84" t="s">
        <v>4</v>
      </c>
      <c r="G14" s="85" t="s">
        <v>310</v>
      </c>
      <c r="H14" s="85"/>
    </row>
    <row r="15" spans="1:12" ht="41.25" customHeight="1" x14ac:dyDescent="0.25">
      <c r="A15" s="84" t="s">
        <v>47</v>
      </c>
      <c r="B15" s="84" t="s">
        <v>4</v>
      </c>
      <c r="C15" s="85" t="s">
        <v>311</v>
      </c>
      <c r="D15" s="85"/>
      <c r="E15" s="84" t="s">
        <v>48</v>
      </c>
      <c r="F15" s="84" t="s">
        <v>4</v>
      </c>
      <c r="G15" s="107">
        <v>45930</v>
      </c>
      <c r="H15" s="85"/>
    </row>
    <row r="16" spans="1:12" ht="41.25" customHeight="1" x14ac:dyDescent="0.25">
      <c r="A16" s="84" t="s">
        <v>49</v>
      </c>
      <c r="B16" s="84" t="s">
        <v>4</v>
      </c>
      <c r="C16" s="107">
        <v>45334</v>
      </c>
      <c r="D16" s="85"/>
      <c r="E16" s="84" t="s">
        <v>50</v>
      </c>
      <c r="F16" s="84" t="s">
        <v>4</v>
      </c>
      <c r="G16" s="143">
        <v>45323</v>
      </c>
      <c r="H16" s="85"/>
    </row>
    <row r="17" spans="1:8" ht="41.25" customHeight="1" x14ac:dyDescent="0.25">
      <c r="A17" s="84" t="s">
        <v>51</v>
      </c>
      <c r="B17" s="84" t="s">
        <v>4</v>
      </c>
      <c r="C17" s="107">
        <v>45930</v>
      </c>
      <c r="D17" s="85"/>
      <c r="E17" s="84" t="s">
        <v>52</v>
      </c>
      <c r="F17" s="84" t="s">
        <v>4</v>
      </c>
      <c r="G17" s="85" t="s">
        <v>312</v>
      </c>
      <c r="H17" s="85"/>
    </row>
    <row r="18" spans="1:8" ht="41.25" customHeight="1" x14ac:dyDescent="0.25">
      <c r="A18" s="84" t="s">
        <v>53</v>
      </c>
      <c r="B18" s="84" t="s">
        <v>4</v>
      </c>
      <c r="C18" s="8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85"/>
      <c r="E18" s="84" t="s">
        <v>95</v>
      </c>
      <c r="F18" s="84" t="s">
        <v>4</v>
      </c>
      <c r="G18" s="85">
        <v>2537.0300000000002</v>
      </c>
      <c r="H18" s="85"/>
    </row>
    <row r="19" spans="1:8" ht="41.25" customHeight="1" x14ac:dyDescent="0.25">
      <c r="A19" s="84" t="s">
        <v>54</v>
      </c>
      <c r="B19" s="84" t="s">
        <v>4</v>
      </c>
      <c r="C19" s="160">
        <f>G18/G19</f>
        <v>1.0938727466358531</v>
      </c>
      <c r="D19" s="160"/>
      <c r="E19" s="84" t="s">
        <v>240</v>
      </c>
      <c r="F19" s="84" t="s">
        <v>4</v>
      </c>
      <c r="G19" s="85">
        <v>2319.31</v>
      </c>
      <c r="H19" s="85"/>
    </row>
    <row r="20" spans="1:8" ht="41.25" customHeight="1" x14ac:dyDescent="0.25">
      <c r="A20" s="84" t="s">
        <v>93</v>
      </c>
      <c r="B20" s="84" t="s">
        <v>4</v>
      </c>
      <c r="C20" s="85">
        <v>10336.42</v>
      </c>
      <c r="D20" s="85"/>
      <c r="E20" s="84" t="s">
        <v>94</v>
      </c>
      <c r="F20" s="84" t="s">
        <v>4</v>
      </c>
      <c r="G20" s="85">
        <v>10336.42</v>
      </c>
      <c r="H20" s="85"/>
    </row>
    <row r="21" spans="1:8" ht="41.25" customHeight="1" x14ac:dyDescent="0.25">
      <c r="A21" s="84" t="s">
        <v>56</v>
      </c>
      <c r="B21" s="84" t="s">
        <v>4</v>
      </c>
      <c r="C21" s="85" t="s">
        <v>347</v>
      </c>
      <c r="D21" s="85"/>
      <c r="E21" s="84" t="s">
        <v>55</v>
      </c>
      <c r="F21" s="84" t="s">
        <v>4</v>
      </c>
      <c r="G21" s="85" t="s">
        <v>348</v>
      </c>
      <c r="H21" s="85"/>
    </row>
    <row r="22" spans="1:8" ht="41.25" customHeight="1" x14ac:dyDescent="0.25">
      <c r="A22" s="84" t="s">
        <v>160</v>
      </c>
      <c r="B22" s="84" t="s">
        <v>4</v>
      </c>
      <c r="C22" s="85" t="s">
        <v>313</v>
      </c>
      <c r="D22" s="85"/>
      <c r="E22" s="84" t="s">
        <v>161</v>
      </c>
      <c r="F22" s="84" t="s">
        <v>4</v>
      </c>
      <c r="G22" s="85" t="s">
        <v>361</v>
      </c>
      <c r="H22" s="85"/>
    </row>
    <row r="23" spans="1:8" ht="20.25" x14ac:dyDescent="0.25">
      <c r="A23" s="84" t="s">
        <v>158</v>
      </c>
      <c r="B23" s="84" t="s">
        <v>4</v>
      </c>
      <c r="C23" s="173" t="s">
        <v>314</v>
      </c>
      <c r="D23" s="85"/>
      <c r="E23" s="85"/>
      <c r="F23" s="85"/>
      <c r="G23" s="85"/>
      <c r="H23" s="85"/>
    </row>
    <row r="24" spans="1:8" ht="20.25" x14ac:dyDescent="0.25">
      <c r="A24" s="84" t="s">
        <v>25</v>
      </c>
      <c r="B24" s="84" t="s">
        <v>4</v>
      </c>
      <c r="C24" s="85" t="s">
        <v>315</v>
      </c>
      <c r="D24" s="85"/>
      <c r="E24" s="85"/>
      <c r="F24" s="85"/>
      <c r="G24" s="85"/>
      <c r="H24" s="85"/>
    </row>
    <row r="25" spans="1:8" ht="24" customHeight="1" x14ac:dyDescent="0.25">
      <c r="A25" s="114" t="s">
        <v>20</v>
      </c>
      <c r="B25" s="114"/>
      <c r="C25" s="114"/>
      <c r="D25" s="114"/>
      <c r="E25" s="114"/>
      <c r="F25" s="114"/>
      <c r="G25" s="114"/>
      <c r="H25" s="114"/>
    </row>
    <row r="26" spans="1:8" ht="43.5" customHeight="1" x14ac:dyDescent="0.25">
      <c r="A26" s="84" t="s">
        <v>26</v>
      </c>
      <c r="B26" s="84" t="s">
        <v>4</v>
      </c>
      <c r="C26" s="85" t="str">
        <f>IF(AND(G26="Upper"),"Developed","Developing")</f>
        <v>Developing</v>
      </c>
      <c r="D26" s="85"/>
      <c r="E26" s="84" t="s">
        <v>13</v>
      </c>
      <c r="F26" s="84" t="s">
        <v>4</v>
      </c>
      <c r="G26" s="85" t="s">
        <v>346</v>
      </c>
      <c r="H26" s="85"/>
    </row>
    <row r="27" spans="1:8" ht="43.5" customHeight="1" x14ac:dyDescent="0.25">
      <c r="A27" s="84" t="s">
        <v>14</v>
      </c>
      <c r="B27" s="84" t="s">
        <v>4</v>
      </c>
      <c r="C27" s="85" t="s">
        <v>301</v>
      </c>
      <c r="D27" s="85"/>
      <c r="E27" s="84" t="s">
        <v>148</v>
      </c>
      <c r="F27" s="84" t="s">
        <v>4</v>
      </c>
      <c r="G27" s="85" t="s">
        <v>241</v>
      </c>
      <c r="H27" s="85"/>
    </row>
    <row r="28" spans="1:8" ht="43.5" customHeight="1" x14ac:dyDescent="0.25">
      <c r="A28" s="84" t="s">
        <v>23</v>
      </c>
      <c r="B28" s="84" t="s">
        <v>4</v>
      </c>
      <c r="C28" s="85" t="s">
        <v>97</v>
      </c>
      <c r="D28" s="85"/>
      <c r="E28" s="84" t="s">
        <v>16</v>
      </c>
      <c r="F28" s="84" t="s">
        <v>4</v>
      </c>
      <c r="G28" s="85" t="s">
        <v>349</v>
      </c>
      <c r="H28" s="85"/>
    </row>
    <row r="29" spans="1:8" ht="43.5" customHeight="1" x14ac:dyDescent="0.25">
      <c r="A29" s="84" t="s">
        <v>106</v>
      </c>
      <c r="B29" s="84" t="s">
        <v>4</v>
      </c>
      <c r="C29" s="85" t="s">
        <v>350</v>
      </c>
      <c r="D29" s="85"/>
      <c r="E29" s="84" t="s">
        <v>107</v>
      </c>
      <c r="F29" s="84" t="s">
        <v>4</v>
      </c>
      <c r="G29" s="85" t="s">
        <v>351</v>
      </c>
      <c r="H29" s="85"/>
    </row>
    <row r="30" spans="1:8" ht="84" customHeight="1" x14ac:dyDescent="0.25">
      <c r="A30" s="84" t="s">
        <v>17</v>
      </c>
      <c r="B30" s="84" t="s">
        <v>4</v>
      </c>
      <c r="C30" s="85" t="s">
        <v>352</v>
      </c>
      <c r="D30" s="85"/>
      <c r="E30" s="84" t="s">
        <v>15</v>
      </c>
      <c r="F30" s="84" t="s">
        <v>4</v>
      </c>
      <c r="G30" s="85" t="s">
        <v>353</v>
      </c>
      <c r="H30" s="85"/>
    </row>
    <row r="31" spans="1:8" ht="20.25" x14ac:dyDescent="0.25">
      <c r="A31" s="84" t="s">
        <v>112</v>
      </c>
      <c r="B31" s="84" t="s">
        <v>4</v>
      </c>
      <c r="C31" s="85" t="s">
        <v>113</v>
      </c>
      <c r="D31" s="85"/>
      <c r="E31" s="84" t="s">
        <v>114</v>
      </c>
      <c r="F31" s="84" t="s">
        <v>4</v>
      </c>
      <c r="G31" s="85" t="s">
        <v>113</v>
      </c>
      <c r="H31" s="85"/>
    </row>
    <row r="32" spans="1:8" ht="21.75" customHeight="1" x14ac:dyDescent="0.25">
      <c r="A32" s="84" t="s">
        <v>115</v>
      </c>
      <c r="B32" s="84" t="s">
        <v>4</v>
      </c>
      <c r="C32" s="85" t="s">
        <v>113</v>
      </c>
      <c r="D32" s="85"/>
      <c r="E32" s="85"/>
      <c r="F32" s="85"/>
      <c r="G32" s="85"/>
      <c r="H32" s="85"/>
    </row>
    <row r="33" spans="1:15" ht="20.25" x14ac:dyDescent="0.25">
      <c r="A33" s="161" t="s">
        <v>37</v>
      </c>
      <c r="B33" s="161"/>
      <c r="C33" s="161"/>
      <c r="D33" s="161"/>
      <c r="E33" s="161"/>
      <c r="F33" s="161"/>
      <c r="G33" s="161"/>
      <c r="H33" s="161"/>
    </row>
    <row r="34" spans="1:15" ht="43.5" customHeight="1" x14ac:dyDescent="0.25">
      <c r="A34" s="84" t="s">
        <v>18</v>
      </c>
      <c r="B34" s="84"/>
      <c r="C34" s="85" t="s">
        <v>98</v>
      </c>
      <c r="D34" s="85"/>
      <c r="E34" s="84" t="s">
        <v>19</v>
      </c>
      <c r="F34" s="84" t="s">
        <v>4</v>
      </c>
      <c r="G34" s="85" t="s">
        <v>99</v>
      </c>
      <c r="H34" s="85"/>
    </row>
    <row r="35" spans="1:15" ht="43.5" customHeight="1" x14ac:dyDescent="0.25">
      <c r="A35" s="84" t="s">
        <v>22</v>
      </c>
      <c r="B35" s="84"/>
      <c r="C35" s="85" t="s">
        <v>99</v>
      </c>
      <c r="D35" s="85"/>
      <c r="E35" s="84" t="s">
        <v>32</v>
      </c>
      <c r="F35" s="84" t="s">
        <v>4</v>
      </c>
      <c r="G35" s="85" t="s">
        <v>99</v>
      </c>
      <c r="H35" s="85"/>
    </row>
    <row r="36" spans="1:15" ht="20.25" x14ac:dyDescent="0.25">
      <c r="A36" s="84" t="s">
        <v>31</v>
      </c>
      <c r="B36" s="84"/>
      <c r="C36" s="85" t="s">
        <v>100</v>
      </c>
      <c r="D36" s="85"/>
      <c r="E36" s="84" t="s">
        <v>21</v>
      </c>
      <c r="F36" s="84" t="s">
        <v>4</v>
      </c>
      <c r="G36" s="85" t="s">
        <v>101</v>
      </c>
      <c r="H36" s="85"/>
    </row>
    <row r="37" spans="1:15" ht="20.25" x14ac:dyDescent="0.25">
      <c r="A37" s="114" t="s">
        <v>0</v>
      </c>
      <c r="B37" s="114"/>
      <c r="C37" s="114"/>
      <c r="D37" s="114"/>
      <c r="E37" s="114"/>
      <c r="F37" s="114"/>
      <c r="G37" s="114"/>
      <c r="H37" s="114"/>
    </row>
    <row r="38" spans="1:15" ht="20.25" x14ac:dyDescent="0.25">
      <c r="A38" s="102" t="s">
        <v>0</v>
      </c>
      <c r="B38" s="102"/>
      <c r="C38" s="102" t="s">
        <v>226</v>
      </c>
      <c r="D38" s="102"/>
      <c r="E38" s="102"/>
      <c r="F38" s="102" t="s">
        <v>7</v>
      </c>
      <c r="G38" s="102"/>
      <c r="H38" s="102"/>
      <c r="J38" s="100" t="s">
        <v>1</v>
      </c>
      <c r="K38" s="101"/>
      <c r="L38" s="2" t="s">
        <v>6</v>
      </c>
      <c r="M38" s="100" t="s">
        <v>2</v>
      </c>
      <c r="N38" s="101"/>
      <c r="O38" s="2" t="s">
        <v>3</v>
      </c>
    </row>
    <row r="39" spans="1:15" ht="20.25" x14ac:dyDescent="0.25">
      <c r="A39" s="106" t="s">
        <v>2</v>
      </c>
      <c r="B39" s="106"/>
      <c r="C39" s="103" t="s">
        <v>316</v>
      </c>
      <c r="D39" s="104"/>
      <c r="E39" s="105"/>
      <c r="F39" s="103" t="s">
        <v>316</v>
      </c>
      <c r="G39" s="104"/>
      <c r="H39" s="105"/>
    </row>
    <row r="40" spans="1:15" ht="20.25" x14ac:dyDescent="0.25">
      <c r="A40" s="106" t="s">
        <v>3</v>
      </c>
      <c r="B40" s="106"/>
      <c r="C40" s="103" t="s">
        <v>317</v>
      </c>
      <c r="D40" s="104"/>
      <c r="E40" s="105"/>
      <c r="F40" s="103" t="s">
        <v>318</v>
      </c>
      <c r="G40" s="104"/>
      <c r="H40" s="105"/>
    </row>
    <row r="41" spans="1:15" ht="20.25" x14ac:dyDescent="0.25">
      <c r="A41" s="106" t="s">
        <v>1</v>
      </c>
      <c r="B41" s="106"/>
      <c r="C41" s="103" t="s">
        <v>317</v>
      </c>
      <c r="D41" s="104"/>
      <c r="E41" s="105"/>
      <c r="F41" s="103" t="s">
        <v>361</v>
      </c>
      <c r="G41" s="104"/>
      <c r="H41" s="105"/>
    </row>
    <row r="42" spans="1:15" ht="20.25" x14ac:dyDescent="0.25">
      <c r="A42" s="106" t="s">
        <v>6</v>
      </c>
      <c r="B42" s="106"/>
      <c r="C42" s="103" t="s">
        <v>317</v>
      </c>
      <c r="D42" s="104"/>
      <c r="E42" s="105"/>
      <c r="F42" s="103" t="s">
        <v>318</v>
      </c>
      <c r="G42" s="104"/>
      <c r="H42" s="105"/>
    </row>
    <row r="43" spans="1:15" ht="43.5" customHeight="1" x14ac:dyDescent="0.25">
      <c r="A43" s="84" t="s">
        <v>227</v>
      </c>
      <c r="B43" s="84"/>
      <c r="C43" s="85" t="s">
        <v>97</v>
      </c>
      <c r="D43" s="85"/>
      <c r="E43" s="85"/>
      <c r="F43" s="85"/>
      <c r="G43" s="85"/>
      <c r="H43" s="85"/>
    </row>
    <row r="44" spans="1:15" ht="20.25" x14ac:dyDescent="0.25">
      <c r="A44" s="114" t="s">
        <v>57</v>
      </c>
      <c r="B44" s="114"/>
      <c r="C44" s="114"/>
      <c r="D44" s="114"/>
      <c r="E44" s="114"/>
      <c r="F44" s="114"/>
      <c r="G44" s="114"/>
      <c r="H44" s="114"/>
    </row>
    <row r="45" spans="1:15" ht="21" customHeight="1" x14ac:dyDescent="0.25">
      <c r="A45" s="102" t="s">
        <v>58</v>
      </c>
      <c r="B45" s="102"/>
      <c r="C45" s="2" t="s">
        <v>59</v>
      </c>
      <c r="D45" s="102" t="s">
        <v>146</v>
      </c>
      <c r="E45" s="102"/>
      <c r="F45" s="102"/>
      <c r="G45" s="102" t="s">
        <v>60</v>
      </c>
      <c r="H45" s="102"/>
    </row>
    <row r="46" spans="1:15" ht="20.25" x14ac:dyDescent="0.25">
      <c r="A46" s="174" t="s">
        <v>303</v>
      </c>
      <c r="B46" s="174"/>
      <c r="C46" s="33" t="s">
        <v>89</v>
      </c>
      <c r="D46" s="85" t="s">
        <v>319</v>
      </c>
      <c r="E46" s="85"/>
      <c r="F46" s="85"/>
      <c r="G46" s="85" t="s">
        <v>319</v>
      </c>
      <c r="H46" s="85"/>
    </row>
    <row r="47" spans="1:15" ht="20.25" x14ac:dyDescent="0.25">
      <c r="A47" s="114" t="s">
        <v>61</v>
      </c>
      <c r="B47" s="114"/>
      <c r="C47" s="114"/>
      <c r="D47" s="114"/>
      <c r="E47" s="114"/>
      <c r="F47" s="114"/>
      <c r="G47" s="114"/>
      <c r="H47" s="114"/>
    </row>
    <row r="48" spans="1:15" ht="42.75" customHeight="1" x14ac:dyDescent="0.25">
      <c r="A48" s="84" t="s">
        <v>62</v>
      </c>
      <c r="B48" s="84" t="s">
        <v>4</v>
      </c>
      <c r="C48" s="99" t="s">
        <v>97</v>
      </c>
      <c r="D48" s="99"/>
      <c r="E48" s="99"/>
      <c r="F48" s="99"/>
      <c r="G48" s="99"/>
      <c r="H48" s="99"/>
    </row>
    <row r="49" spans="1:14" ht="20.25" x14ac:dyDescent="0.25">
      <c r="A49" s="84" t="s">
        <v>63</v>
      </c>
      <c r="B49" s="84" t="s">
        <v>4</v>
      </c>
      <c r="C49" s="85" t="s">
        <v>320</v>
      </c>
      <c r="D49" s="85"/>
      <c r="E49" s="85"/>
      <c r="F49" s="85"/>
      <c r="G49" s="50" t="s">
        <v>228</v>
      </c>
      <c r="H49" s="74">
        <v>45112</v>
      </c>
    </row>
    <row r="50" spans="1:14" ht="20.25" x14ac:dyDescent="0.25">
      <c r="A50" s="84" t="s">
        <v>64</v>
      </c>
      <c r="B50" s="84" t="s">
        <v>4</v>
      </c>
      <c r="C50" s="85" t="s">
        <v>320</v>
      </c>
      <c r="D50" s="85"/>
      <c r="E50" s="85"/>
      <c r="F50" s="85"/>
      <c r="G50" s="50" t="s">
        <v>228</v>
      </c>
      <c r="H50" s="74">
        <v>45112</v>
      </c>
    </row>
    <row r="51" spans="1:14" ht="20.25" x14ac:dyDescent="0.25">
      <c r="A51" s="84" t="s">
        <v>321</v>
      </c>
      <c r="B51" s="84"/>
      <c r="C51" s="85" t="s">
        <v>320</v>
      </c>
      <c r="D51" s="85"/>
      <c r="E51" s="85"/>
      <c r="F51" s="85"/>
      <c r="G51" s="50" t="s">
        <v>228</v>
      </c>
      <c r="H51" s="74">
        <v>45112</v>
      </c>
    </row>
    <row r="52" spans="1:14" ht="40.5" customHeight="1" x14ac:dyDescent="0.25">
      <c r="A52" s="84"/>
      <c r="B52" s="84"/>
      <c r="C52" s="81" t="s">
        <v>362</v>
      </c>
      <c r="D52" s="82"/>
      <c r="E52" s="82"/>
      <c r="F52" s="82"/>
      <c r="G52" s="82"/>
      <c r="H52" s="83"/>
    </row>
    <row r="53" spans="1:14" ht="46.5" hidden="1" customHeight="1" x14ac:dyDescent="0.25">
      <c r="A53" s="84" t="s">
        <v>65</v>
      </c>
      <c r="B53" s="84" t="s">
        <v>4</v>
      </c>
      <c r="C53" s="85"/>
      <c r="D53" s="85"/>
      <c r="E53" s="85"/>
      <c r="F53" s="85"/>
      <c r="G53" s="50" t="s">
        <v>229</v>
      </c>
      <c r="H53" s="35"/>
    </row>
    <row r="54" spans="1:14" ht="45" hidden="1" customHeight="1" x14ac:dyDescent="0.25">
      <c r="A54" s="84" t="s">
        <v>67</v>
      </c>
      <c r="B54" s="84" t="s">
        <v>4</v>
      </c>
      <c r="C54" s="85"/>
      <c r="D54" s="85"/>
      <c r="E54" s="85"/>
      <c r="F54" s="85"/>
      <c r="G54" s="50" t="s">
        <v>229</v>
      </c>
      <c r="H54" s="35"/>
    </row>
    <row r="55" spans="1:14" ht="46.5" hidden="1" customHeight="1" x14ac:dyDescent="0.25">
      <c r="A55" s="84" t="s">
        <v>66</v>
      </c>
      <c r="B55" s="84" t="s">
        <v>4</v>
      </c>
      <c r="C55" s="85"/>
      <c r="D55" s="85"/>
      <c r="E55" s="85"/>
      <c r="F55" s="85"/>
      <c r="G55" s="50" t="s">
        <v>229</v>
      </c>
      <c r="H55" s="35"/>
      <c r="N55" s="71" t="s">
        <v>302</v>
      </c>
    </row>
    <row r="56" spans="1:14" ht="38.25" hidden="1" customHeight="1" x14ac:dyDescent="0.25">
      <c r="A56" s="84" t="s">
        <v>322</v>
      </c>
      <c r="B56" s="84"/>
      <c r="C56" s="85" t="s">
        <v>320</v>
      </c>
      <c r="D56" s="85"/>
      <c r="E56" s="85"/>
      <c r="F56" s="85"/>
      <c r="G56" s="50" t="s">
        <v>228</v>
      </c>
      <c r="H56" s="74">
        <v>45624</v>
      </c>
    </row>
    <row r="57" spans="1:14" ht="51.75" hidden="1" customHeight="1" x14ac:dyDescent="0.25">
      <c r="A57" s="84"/>
      <c r="B57" s="84"/>
      <c r="C57" s="81" t="s">
        <v>323</v>
      </c>
      <c r="D57" s="82"/>
      <c r="E57" s="82"/>
      <c r="F57" s="82"/>
      <c r="G57" s="82"/>
      <c r="H57" s="83"/>
    </row>
    <row r="58" spans="1:14" ht="45" hidden="1" customHeight="1" x14ac:dyDescent="0.25">
      <c r="A58" s="84" t="s">
        <v>68</v>
      </c>
      <c r="B58" s="84" t="s">
        <v>4</v>
      </c>
      <c r="C58" s="85"/>
      <c r="D58" s="85"/>
      <c r="E58" s="85"/>
      <c r="F58" s="85"/>
      <c r="G58" s="50" t="s">
        <v>229</v>
      </c>
      <c r="H58" s="35"/>
    </row>
    <row r="59" spans="1:14" ht="21" thickBot="1" x14ac:dyDescent="0.3">
      <c r="A59" s="114" t="s">
        <v>69</v>
      </c>
      <c r="B59" s="114"/>
      <c r="C59" s="114"/>
      <c r="D59" s="114"/>
      <c r="E59" s="114"/>
      <c r="F59" s="114"/>
      <c r="G59" s="114"/>
      <c r="H59" s="114"/>
    </row>
    <row r="60" spans="1:14" ht="20.25" customHeight="1" x14ac:dyDescent="0.3">
      <c r="A60" s="166" t="str">
        <f>CONCATENATE((IF(OR(A46="",A46="NA"),"",A46)),"= ",(IF(OR(D46="",D46="NA"),"",D46)),".")</f>
        <v>Tower 1= Stilt + 1st to 18th Floor.</v>
      </c>
      <c r="B60" s="166"/>
      <c r="C60" s="166"/>
      <c r="D60" s="30" t="s">
        <v>116</v>
      </c>
      <c r="E60" s="165" t="s">
        <v>103</v>
      </c>
      <c r="F60" s="165"/>
      <c r="G60" s="30" t="s">
        <v>117</v>
      </c>
      <c r="H60" s="30" t="s">
        <v>118</v>
      </c>
      <c r="I60" s="16" t="str">
        <f ca="1">(IF(E63&gt;99%,"All work completed. Please provide OC.",IF(E63&gt;89.8%,"Plinth, RCC, Brick, Plaster, Flooring, Wooden, Plumbing, Electrification, etc.,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completed","0")))))))))))&amp;(IF(C65=(E61+G61+H61),", RCC Slab",IF(C65&gt;0,", RCC upto "&amp;C65&amp;" Slab",""))&amp;(IF(C66=H61,", Brickwork",IF(C66&gt;0,", Brickwork upto "&amp;C66&amp;" Floor",""))&amp;(IF(C67=H61,", Internal Plaster",IF(C67&gt;0,", Internal Plaster upto "&amp;C67&amp;" Floor",""))&amp;(IF(C68=H61,", External Plaster",IF(C68&gt;0,", External Plaster upto "&amp;C68&amp;" Floor",""))&amp;(IF(C69=H61,", External Plumbing, Elevation and Waterproofing",IF(C69&gt;0,", External Plumbing, Elevation and Waterproofing upto "&amp;C69&amp;" Floor",""))&amp;(IF(C70=H61,", Flooring &amp; Fitting",IF(C70&gt;0,", Flooring &amp; Fitting upto "&amp;C70&amp;" Floor",""))&amp;(IF(C71=H61,", Wooden Work",IF(C71&gt;0,", Wooden Work upto "&amp;C71&amp;" Floor",""))&amp;(IF(C72=H61,", Electrical &amp; Sanitary fittings",IF(C72&gt;0,", Electrical &amp; Sanitary fittings upto "&amp;C72&amp;" Floor",""))&amp;(IF(C73&gt;0,", Finishing upto "&amp;C73&amp;" Floor","")&amp;(IF(C65&gt;0.5," Completed",""))))))))))))))))</f>
        <v>Excavation work Completed. Plinth work completed, RCC upto 14 Slab, Brickwork upto 9 Floor, Internal Plaster upto 4 Floor Completed</v>
      </c>
      <c r="J60" s="18"/>
    </row>
    <row r="61" spans="1:14" ht="20.25" x14ac:dyDescent="0.3">
      <c r="A61" s="166"/>
      <c r="B61" s="166"/>
      <c r="C61" s="166"/>
      <c r="D61" s="72">
        <f>IF(AND(ISNUMBER(SEARCH("1B",A60))),1,IF(AND(ISNUMBER(SEARCH("2B",A60))),2,IF(AND(ISNUMBER(SEARCH("3B",A60))),3,IF(AND(ISNUMBER(SEARCH("4B",A60))),4,IF(ISNUMBER(SEARCH("5B",A60)),5,0)))))</f>
        <v>0</v>
      </c>
      <c r="E61" s="165">
        <v>1</v>
      </c>
      <c r="F61" s="165"/>
      <c r="G61" s="72">
        <v>0</v>
      </c>
      <c r="H61" s="30">
        <f ca="1">--TRIM(RIGHT(SUBSTITUTE(LEFT(A60,_xlfn.AGGREGATE(16,6,FIND({0,1,2,3,4,5,6,7,8,9},A60,ROW(INDIRECT("1:"&amp;LEN(A60)))),1))," ",REPT(" ",LEN(A60))),LEN(A60)))</f>
        <v>18</v>
      </c>
      <c r="I61" s="17" t="s">
        <v>122</v>
      </c>
      <c r="J61" s="18"/>
    </row>
    <row r="62" spans="1:14" ht="20.25" customHeight="1" x14ac:dyDescent="0.3">
      <c r="A62" s="164" t="s">
        <v>120</v>
      </c>
      <c r="B62" s="164"/>
      <c r="C62" s="28" t="s">
        <v>130</v>
      </c>
      <c r="D62" s="28" t="s">
        <v>131</v>
      </c>
      <c r="E62" s="164" t="s">
        <v>121</v>
      </c>
      <c r="F62" s="164"/>
      <c r="G62" s="29" t="s">
        <v>119</v>
      </c>
      <c r="H62" s="29"/>
      <c r="I62" s="20" t="s">
        <v>132</v>
      </c>
      <c r="J62" s="19">
        <f ca="1">H61*25%</f>
        <v>4.5</v>
      </c>
    </row>
    <row r="63" spans="1:14" ht="20.25" customHeight="1" x14ac:dyDescent="0.3">
      <c r="A63" s="110" t="s">
        <v>133</v>
      </c>
      <c r="B63" s="110"/>
      <c r="C63" s="78">
        <f ca="1">J72</f>
        <v>18</v>
      </c>
      <c r="D63" s="5">
        <f ca="1">((100/H61)*C63)/100</f>
        <v>1</v>
      </c>
      <c r="E63" s="167">
        <f ca="1">(((C63/H61*10)+(C64/H61*15)+(25/(E61+G61+H61)*C65)+(5/(H61)*C66)+(2.5/(H61)*C67)+(2.5/(H61)*C68)+(5/H61*C69)+(10/H61*C70)+(2.5/H61*C71)+(2.5/H61*C72)+(10/H61*C73)+(10/H61*C74))/100)</f>
        <v>0.46476608187134505</v>
      </c>
      <c r="F63" s="168"/>
      <c r="G63" s="110" t="str">
        <f ca="1">I60</f>
        <v>Excavation work Completed. Plinth work completed, RCC upto 14 Slab, Brickwork upto 9 Floor, Internal Plaster upto 4 Floor Completed</v>
      </c>
      <c r="H63" s="110"/>
      <c r="I63" s="20" t="s">
        <v>123</v>
      </c>
      <c r="J63" s="24">
        <f ca="1">H61*50%</f>
        <v>9</v>
      </c>
    </row>
    <row r="64" spans="1:14" ht="20.25" x14ac:dyDescent="0.3">
      <c r="A64" s="110" t="s">
        <v>104</v>
      </c>
      <c r="B64" s="110"/>
      <c r="C64" s="79">
        <v>18</v>
      </c>
      <c r="D64" s="5">
        <f ca="1">((100/H61)*C64)/100</f>
        <v>1</v>
      </c>
      <c r="E64" s="169"/>
      <c r="F64" s="170"/>
      <c r="G64" s="110"/>
      <c r="H64" s="110"/>
      <c r="I64" s="20" t="s">
        <v>124</v>
      </c>
      <c r="J64" s="24">
        <f ca="1">H61</f>
        <v>18</v>
      </c>
    </row>
    <row r="65" spans="1:11" ht="21" customHeight="1" x14ac:dyDescent="0.35">
      <c r="A65" s="110" t="s">
        <v>134</v>
      </c>
      <c r="B65" s="110"/>
      <c r="C65" s="79">
        <v>14</v>
      </c>
      <c r="D65" s="5">
        <f ca="1">((100/(E61+G61+H61))*C65)/100</f>
        <v>0.73684210526315796</v>
      </c>
      <c r="E65" s="169"/>
      <c r="F65" s="170"/>
      <c r="G65" s="110"/>
      <c r="H65" s="110"/>
      <c r="I65" s="20" t="s">
        <v>125</v>
      </c>
      <c r="J65" s="25">
        <f ca="1">(IF(D61&gt;1,(H61/(D61+2)),H61*0.2))</f>
        <v>3.6</v>
      </c>
    </row>
    <row r="66" spans="1:11" ht="21" customHeight="1" x14ac:dyDescent="0.35">
      <c r="A66" s="110" t="s">
        <v>135</v>
      </c>
      <c r="B66" s="110"/>
      <c r="C66" s="79">
        <v>9</v>
      </c>
      <c r="D66" s="5">
        <f ca="1">((100/H61)*C66)/100</f>
        <v>0.5</v>
      </c>
      <c r="E66" s="169"/>
      <c r="F66" s="170"/>
      <c r="G66" s="110"/>
      <c r="H66" s="110"/>
      <c r="I66" s="20" t="s">
        <v>126</v>
      </c>
      <c r="J66" s="25">
        <f ca="1">(IF(D61&gt;1,(H61/(D61+2)+J65),H61*0.2+J65))</f>
        <v>7.2</v>
      </c>
    </row>
    <row r="67" spans="1:11" ht="21" customHeight="1" x14ac:dyDescent="0.35">
      <c r="A67" s="111" t="s">
        <v>136</v>
      </c>
      <c r="B67" s="112"/>
      <c r="C67" s="79">
        <v>4</v>
      </c>
      <c r="D67" s="5">
        <f ca="1">((100/H61)*C67)/100</f>
        <v>0.22222222222222221</v>
      </c>
      <c r="E67" s="169"/>
      <c r="F67" s="170"/>
      <c r="G67" s="110"/>
      <c r="H67" s="110"/>
      <c r="I67" s="20" t="s">
        <v>137</v>
      </c>
      <c r="J67" s="25">
        <f>(IF(D61&gt;1,(H61/(D61+2)+J66),0))</f>
        <v>0</v>
      </c>
    </row>
    <row r="68" spans="1:11" ht="21" customHeight="1" x14ac:dyDescent="0.35">
      <c r="A68" s="111" t="s">
        <v>167</v>
      </c>
      <c r="B68" s="112"/>
      <c r="C68" s="79">
        <v>0</v>
      </c>
      <c r="D68" s="5">
        <f ca="1">((100/H61)*C68)/100</f>
        <v>0</v>
      </c>
      <c r="E68" s="169"/>
      <c r="F68" s="170"/>
      <c r="G68" s="110"/>
      <c r="H68" s="110"/>
      <c r="I68" s="20" t="s">
        <v>138</v>
      </c>
      <c r="J68" s="25">
        <f>(IF(D61&gt;2,(H61/(D61+2)+J67),0))</f>
        <v>0</v>
      </c>
    </row>
    <row r="69" spans="1:11" ht="21" x14ac:dyDescent="0.35">
      <c r="A69" s="111" t="s">
        <v>164</v>
      </c>
      <c r="B69" s="112"/>
      <c r="C69" s="79">
        <v>0</v>
      </c>
      <c r="D69" s="5">
        <f ca="1">((100/(H61))*C69)/100</f>
        <v>0</v>
      </c>
      <c r="E69" s="169"/>
      <c r="F69" s="170"/>
      <c r="G69" s="110"/>
      <c r="H69" s="110"/>
      <c r="I69" s="20" t="s">
        <v>140</v>
      </c>
      <c r="J69" s="26">
        <f>(IF(D61&gt;3,(H61/(D61+2)+J68),0))</f>
        <v>0</v>
      </c>
    </row>
    <row r="70" spans="1:11" ht="21" x14ac:dyDescent="0.35">
      <c r="A70" s="110" t="s">
        <v>139</v>
      </c>
      <c r="B70" s="110"/>
      <c r="C70" s="79">
        <v>0</v>
      </c>
      <c r="D70" s="5">
        <f ca="1">((100/(H61))*C70)/100</f>
        <v>0</v>
      </c>
      <c r="E70" s="169"/>
      <c r="F70" s="170"/>
      <c r="G70" s="110"/>
      <c r="H70" s="110"/>
      <c r="I70" s="20" t="s">
        <v>141</v>
      </c>
      <c r="J70" s="25">
        <f>(IF(D61&gt;4,(H61/(D61+2)+J69),0))</f>
        <v>0</v>
      </c>
    </row>
    <row r="71" spans="1:11" ht="21" customHeight="1" x14ac:dyDescent="0.35">
      <c r="A71" s="110" t="s">
        <v>166</v>
      </c>
      <c r="B71" s="110"/>
      <c r="C71" s="79">
        <v>0</v>
      </c>
      <c r="D71" s="5">
        <f ca="1">((100/H61)*C71)/100</f>
        <v>0</v>
      </c>
      <c r="E71" s="169"/>
      <c r="F71" s="170"/>
      <c r="G71" s="110"/>
      <c r="H71" s="110"/>
      <c r="I71" s="20" t="s">
        <v>127</v>
      </c>
      <c r="J71" s="25">
        <f ca="1">(IF(D61=1,(H61/(D61+3)+J66),IF(D61=0,(H61*0.3+J66),IF(D61&gt;1,0))))</f>
        <v>12.6</v>
      </c>
    </row>
    <row r="72" spans="1:11" ht="21.75" thickBot="1" x14ac:dyDescent="0.4">
      <c r="A72" s="110" t="s">
        <v>165</v>
      </c>
      <c r="B72" s="110"/>
      <c r="C72" s="79">
        <v>0</v>
      </c>
      <c r="D72" s="5">
        <f ca="1">((100/H61)*C72)/100</f>
        <v>0</v>
      </c>
      <c r="E72" s="169"/>
      <c r="F72" s="170"/>
      <c r="G72" s="110"/>
      <c r="H72" s="110"/>
      <c r="I72" s="22" t="s">
        <v>128</v>
      </c>
      <c r="J72" s="27">
        <f ca="1">(IF(D61&gt;1.5,(H61/(D61+2)+J66+MAX(0,J67-J66)+MAX(0,J68-J67)+MAX(0,J69-J68)+MAX(0,J70-J69)+MAX(0,J71-J70)),IF(D61=1,(H61/(D61+3)+J71),IF(D61=0,H61*0.3+J71))))</f>
        <v>18</v>
      </c>
    </row>
    <row r="73" spans="1:11" ht="20.25" x14ac:dyDescent="0.25">
      <c r="A73" s="110" t="s">
        <v>142</v>
      </c>
      <c r="B73" s="110"/>
      <c r="C73" s="79">
        <v>0</v>
      </c>
      <c r="D73" s="5">
        <f ca="1">((100/(H61))*C73)/100</f>
        <v>0</v>
      </c>
      <c r="E73" s="169"/>
      <c r="F73" s="170"/>
      <c r="G73" s="110"/>
      <c r="H73" s="110"/>
    </row>
    <row r="74" spans="1:11" ht="20.25" x14ac:dyDescent="0.25">
      <c r="A74" s="110" t="s">
        <v>143</v>
      </c>
      <c r="B74" s="110"/>
      <c r="C74" s="79">
        <v>0</v>
      </c>
      <c r="D74" s="5">
        <f ca="1">((100/(H61))*C74)/100</f>
        <v>0</v>
      </c>
      <c r="E74" s="171"/>
      <c r="F74" s="172"/>
      <c r="G74" s="110"/>
      <c r="H74" s="110"/>
    </row>
    <row r="75" spans="1:11" ht="36.75" customHeight="1" x14ac:dyDescent="0.3">
      <c r="A75" s="176" t="s">
        <v>129</v>
      </c>
      <c r="B75" s="177"/>
      <c r="C75" s="177"/>
      <c r="D75" s="177"/>
      <c r="E75" s="177"/>
      <c r="F75" s="177"/>
      <c r="G75" s="162">
        <f ca="1">AVERAGE(E63)</f>
        <v>0.46476608187134505</v>
      </c>
      <c r="H75" s="163"/>
      <c r="I75" s="20"/>
      <c r="J75" s="21"/>
      <c r="K75" s="21"/>
    </row>
    <row r="76" spans="1:11" ht="20.25" x14ac:dyDescent="0.25">
      <c r="A76" s="128" t="s">
        <v>73</v>
      </c>
      <c r="B76" s="129"/>
      <c r="C76" s="129"/>
      <c r="D76" s="129"/>
      <c r="E76" s="129"/>
      <c r="F76" s="129"/>
      <c r="G76" s="129"/>
      <c r="H76" s="130"/>
    </row>
    <row r="77" spans="1:11" ht="54.75" customHeight="1" x14ac:dyDescent="0.25">
      <c r="A77" s="88" t="s">
        <v>74</v>
      </c>
      <c r="B77" s="89"/>
      <c r="C77" s="90" t="s">
        <v>108</v>
      </c>
      <c r="D77" s="91"/>
      <c r="E77" s="88" t="s">
        <v>144</v>
      </c>
      <c r="F77" s="89" t="s">
        <v>4</v>
      </c>
      <c r="G77" s="131" t="s">
        <v>157</v>
      </c>
      <c r="H77" s="131"/>
    </row>
    <row r="78" spans="1:11" ht="44.25" customHeight="1" x14ac:dyDescent="0.25">
      <c r="A78" s="96" t="s">
        <v>154</v>
      </c>
      <c r="B78" s="97"/>
      <c r="C78" s="92" t="s">
        <v>363</v>
      </c>
      <c r="D78" s="92"/>
      <c r="E78" s="88" t="s">
        <v>155</v>
      </c>
      <c r="F78" s="89" t="s">
        <v>4</v>
      </c>
      <c r="G78" s="85" t="s">
        <v>145</v>
      </c>
      <c r="H78" s="85"/>
    </row>
    <row r="79" spans="1:11" ht="20.25" x14ac:dyDescent="0.25">
      <c r="A79" s="96" t="s">
        <v>75</v>
      </c>
      <c r="B79" s="97"/>
      <c r="C79" s="93">
        <v>300000</v>
      </c>
      <c r="D79" s="94"/>
      <c r="E79" s="88" t="s">
        <v>102</v>
      </c>
      <c r="F79" s="89" t="s">
        <v>4</v>
      </c>
      <c r="G79" s="90" t="s">
        <v>109</v>
      </c>
      <c r="H79" s="91"/>
    </row>
    <row r="80" spans="1:11" ht="20.25" x14ac:dyDescent="0.25">
      <c r="A80" s="128" t="s">
        <v>72</v>
      </c>
      <c r="B80" s="129"/>
      <c r="C80" s="129"/>
      <c r="D80" s="129"/>
      <c r="E80" s="129"/>
      <c r="F80" s="129"/>
      <c r="G80" s="129"/>
      <c r="H80" s="130"/>
    </row>
    <row r="81" spans="1:150 16226:16383" ht="20.25" customHeight="1" x14ac:dyDescent="0.25">
      <c r="A81" s="88" t="s">
        <v>8</v>
      </c>
      <c r="B81" s="95"/>
      <c r="C81" s="95"/>
      <c r="D81" s="95"/>
      <c r="E81" s="95"/>
      <c r="F81" s="89"/>
      <c r="G81" s="135">
        <f>15900/10.764</f>
        <v>1477.1460423634337</v>
      </c>
      <c r="H81" s="136"/>
      <c r="I81" s="77" t="s">
        <v>354</v>
      </c>
    </row>
    <row r="82" spans="1:150 16226:16383" ht="20.25" customHeight="1" x14ac:dyDescent="0.25">
      <c r="A82" s="88" t="s">
        <v>28</v>
      </c>
      <c r="B82" s="95"/>
      <c r="C82" s="95"/>
      <c r="D82" s="95"/>
      <c r="E82" s="95"/>
      <c r="F82" s="89" t="s">
        <v>4</v>
      </c>
      <c r="G82" s="160">
        <f>52300/10.764</f>
        <v>4858.7885544407291</v>
      </c>
      <c r="H82" s="160"/>
    </row>
    <row r="83" spans="1:150 16226:16383" ht="20.25" customHeight="1" x14ac:dyDescent="0.25">
      <c r="A83" s="88" t="s">
        <v>110</v>
      </c>
      <c r="B83" s="95"/>
      <c r="C83" s="95"/>
      <c r="D83" s="95"/>
      <c r="E83" s="95"/>
      <c r="F83" s="89" t="s">
        <v>4</v>
      </c>
      <c r="G83" s="160">
        <f>G81*0.8</f>
        <v>1181.716833890747</v>
      </c>
      <c r="H83" s="160"/>
    </row>
    <row r="84" spans="1:150 16226:16383" ht="20.25" x14ac:dyDescent="0.25">
      <c r="A84" s="140" t="s">
        <v>242</v>
      </c>
      <c r="B84" s="141"/>
      <c r="C84" s="141"/>
      <c r="D84" s="141"/>
      <c r="E84" s="141"/>
      <c r="F84" s="141"/>
      <c r="G84" s="141"/>
      <c r="H84" s="142"/>
    </row>
    <row r="85" spans="1:150 16226:16383" s="3" customFormat="1" ht="20.25" x14ac:dyDescent="0.25">
      <c r="A85" s="124" t="s">
        <v>151</v>
      </c>
      <c r="B85" s="125"/>
      <c r="C85" s="124" t="s">
        <v>152</v>
      </c>
      <c r="D85" s="125"/>
      <c r="E85" s="124" t="s">
        <v>150</v>
      </c>
      <c r="F85" s="125"/>
      <c r="G85" s="124" t="s">
        <v>162</v>
      </c>
      <c r="H85" s="12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3" customFormat="1" ht="20.25" x14ac:dyDescent="0.25">
      <c r="A86" s="126" t="s">
        <v>339</v>
      </c>
      <c r="B86" s="127"/>
      <c r="C86" s="126" t="s">
        <v>326</v>
      </c>
      <c r="D86" s="127"/>
      <c r="E86" s="126">
        <f>COUNT(E97:E108)</f>
        <v>12</v>
      </c>
      <c r="F86" s="127"/>
      <c r="G86" s="126">
        <f>SUM(H97:H108)</f>
        <v>7762.5662399999992</v>
      </c>
      <c r="H86" s="127"/>
      <c r="I86" s="77" t="s">
        <v>343</v>
      </c>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3" customFormat="1" ht="20.25" x14ac:dyDescent="0.25">
      <c r="A87" s="126" t="s">
        <v>342</v>
      </c>
      <c r="B87" s="127"/>
      <c r="C87" s="126" t="s">
        <v>326</v>
      </c>
      <c r="D87" s="127"/>
      <c r="E87" s="126">
        <f>COUNT(E110:E118)</f>
        <v>9</v>
      </c>
      <c r="F87" s="127"/>
      <c r="G87" s="126">
        <f>SUM(H110:H118)</f>
        <v>5333.3682479999998</v>
      </c>
      <c r="H87" s="127"/>
      <c r="I87" s="77" t="s">
        <v>343</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0.25" x14ac:dyDescent="0.25">
      <c r="A88" s="124" t="s">
        <v>153</v>
      </c>
      <c r="B88" s="125"/>
      <c r="C88" s="124" t="s">
        <v>96</v>
      </c>
      <c r="D88" s="125"/>
      <c r="E88" s="124">
        <f>SUM(E86:E87)</f>
        <v>21</v>
      </c>
      <c r="F88" s="125"/>
      <c r="G88" s="124">
        <f>SUM(G86:G87)</f>
        <v>13095.934487999999</v>
      </c>
      <c r="H88" s="12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ht="20.25" x14ac:dyDescent="0.25">
      <c r="A89" s="140" t="s">
        <v>341</v>
      </c>
      <c r="B89" s="141"/>
      <c r="C89" s="141"/>
      <c r="D89" s="141"/>
      <c r="E89" s="141"/>
      <c r="F89" s="141"/>
      <c r="G89" s="141"/>
      <c r="H89" s="142"/>
    </row>
    <row r="90" spans="1:150 16226:16383" s="3" customFormat="1" ht="20.25" x14ac:dyDescent="0.25">
      <c r="A90" s="124" t="s">
        <v>151</v>
      </c>
      <c r="B90" s="125"/>
      <c r="C90" s="124" t="s">
        <v>152</v>
      </c>
      <c r="D90" s="125"/>
      <c r="E90" s="124" t="s">
        <v>150</v>
      </c>
      <c r="F90" s="125"/>
      <c r="G90" s="124" t="s">
        <v>162</v>
      </c>
      <c r="H90" s="12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0.25" x14ac:dyDescent="0.25">
      <c r="A91" s="126" t="s">
        <v>340</v>
      </c>
      <c r="B91" s="127"/>
      <c r="C91" s="126" t="s">
        <v>326</v>
      </c>
      <c r="D91" s="127"/>
      <c r="E91" s="126">
        <f>COUNT(E121:E128)+COUNT(E130:E138)+COUNT(E140:E148)*12+COUNT(E150:E152,E154:E158)*2+COUNT(E160:E164)</f>
        <v>146</v>
      </c>
      <c r="F91" s="127"/>
      <c r="G91" s="126">
        <f>SUM(H121:H128)+SUM(H130:H138)+SUM(H140:H148)*12+SUM(H150:H152,H154:H158)*2+SUM(H160:H164)</f>
        <v>71759.322765000004</v>
      </c>
      <c r="H91" s="127"/>
      <c r="I91" s="77" t="s">
        <v>343</v>
      </c>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0.25" x14ac:dyDescent="0.25">
      <c r="A92" s="124" t="s">
        <v>153</v>
      </c>
      <c r="B92" s="125"/>
      <c r="C92" s="124" t="s">
        <v>96</v>
      </c>
      <c r="D92" s="125"/>
      <c r="E92" s="124">
        <f>SUM(E91)</f>
        <v>146</v>
      </c>
      <c r="F92" s="125"/>
      <c r="G92" s="124">
        <f>SUM(G91)</f>
        <v>71759.322765000004</v>
      </c>
      <c r="H92" s="12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0.25" x14ac:dyDescent="0.25">
      <c r="A93" s="124" t="s">
        <v>243</v>
      </c>
      <c r="B93" s="125"/>
      <c r="C93" s="124" t="s">
        <v>96</v>
      </c>
      <c r="D93" s="125"/>
      <c r="E93" s="124">
        <f>SUM(E88,E92)</f>
        <v>167</v>
      </c>
      <c r="F93" s="125"/>
      <c r="G93" s="124">
        <f>SUM(G88,G92)</f>
        <v>84855.257253000003</v>
      </c>
      <c r="H93" s="12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ht="20.25" x14ac:dyDescent="0.25">
      <c r="A94" s="178" t="s">
        <v>149</v>
      </c>
      <c r="B94" s="179"/>
      <c r="C94" s="179"/>
      <c r="D94" s="179"/>
      <c r="E94" s="179"/>
      <c r="F94" s="179"/>
      <c r="G94" s="179"/>
      <c r="H94" s="142"/>
    </row>
    <row r="95" spans="1:150 16226:16383" ht="66" customHeight="1" x14ac:dyDescent="0.25">
      <c r="A95" s="51" t="s">
        <v>230</v>
      </c>
      <c r="B95" s="31" t="s">
        <v>231</v>
      </c>
      <c r="C95" s="32" t="s">
        <v>232</v>
      </c>
      <c r="D95" s="31" t="s">
        <v>90</v>
      </c>
      <c r="E95" s="31" t="s">
        <v>163</v>
      </c>
      <c r="F95" s="32" t="s">
        <v>233</v>
      </c>
      <c r="G95" s="31" t="s">
        <v>92</v>
      </c>
      <c r="H95" s="31" t="s">
        <v>91</v>
      </c>
    </row>
    <row r="96" spans="1:150 16226:16383" s="3" customFormat="1" ht="20.25" x14ac:dyDescent="0.25">
      <c r="A96" s="137" t="s">
        <v>324</v>
      </c>
      <c r="B96" s="138"/>
      <c r="C96" s="138"/>
      <c r="D96" s="138"/>
      <c r="E96" s="138"/>
      <c r="F96" s="138"/>
      <c r="G96" s="138"/>
      <c r="H96" s="1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x14ac:dyDescent="0.25">
      <c r="A97" s="98">
        <v>1</v>
      </c>
      <c r="B97" s="98"/>
      <c r="C97" s="52" t="s">
        <v>326</v>
      </c>
      <c r="D97" s="73" t="s">
        <v>325</v>
      </c>
      <c r="E97" s="73">
        <f>(172.22)*(10.764)</f>
        <v>1853.7760799999999</v>
      </c>
      <c r="F97" s="6">
        <v>0</v>
      </c>
      <c r="G97" s="73">
        <v>0</v>
      </c>
      <c r="H97" s="6">
        <f>E97+F97+(IF(G97&lt;101,G97,IF(G97&lt;201,G97/2,IF(G97&lt;=301,G97/3,G97/4))))</f>
        <v>1853.7760799999999</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x14ac:dyDescent="0.25">
      <c r="A98" s="86">
        <f>A97+1</f>
        <v>2</v>
      </c>
      <c r="B98" s="87"/>
      <c r="C98" s="52" t="s">
        <v>326</v>
      </c>
      <c r="D98" s="73" t="s">
        <v>325</v>
      </c>
      <c r="E98" s="73">
        <f>(166.56)*(10.764)</f>
        <v>1792.8518399999998</v>
      </c>
      <c r="F98" s="73">
        <v>0</v>
      </c>
      <c r="G98" s="73">
        <v>0</v>
      </c>
      <c r="H98" s="6">
        <f t="shared" ref="H98:H104" si="0">E98+F98+(IF(G98&lt;101,G98,IF(G98&lt;201,G98/2,IF(G98&lt;=301,G98/3,G98/4))))</f>
        <v>1792.8518399999998</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x14ac:dyDescent="0.25">
      <c r="A99" s="86">
        <f t="shared" ref="A99:A108" si="1">A98+1</f>
        <v>3</v>
      </c>
      <c r="B99" s="87"/>
      <c r="C99" s="52" t="s">
        <v>326</v>
      </c>
      <c r="D99" s="73" t="s">
        <v>325</v>
      </c>
      <c r="E99" s="73">
        <f>(14.71)*(10.764)</f>
        <v>158.33843999999999</v>
      </c>
      <c r="F99" s="73">
        <v>0</v>
      </c>
      <c r="G99" s="73">
        <v>0</v>
      </c>
      <c r="H99" s="6">
        <f t="shared" si="0"/>
        <v>158.33843999999999</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25">
      <c r="A100" s="86">
        <f t="shared" si="1"/>
        <v>4</v>
      </c>
      <c r="B100" s="87"/>
      <c r="C100" s="52" t="s">
        <v>326</v>
      </c>
      <c r="D100" s="73" t="s">
        <v>325</v>
      </c>
      <c r="E100" s="73">
        <f>(17.58)*(10.764)</f>
        <v>189.23111999999998</v>
      </c>
      <c r="F100" s="73">
        <v>0</v>
      </c>
      <c r="G100" s="73">
        <v>0</v>
      </c>
      <c r="H100" s="6">
        <f t="shared" si="0"/>
        <v>189.23111999999998</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25">
      <c r="A101" s="86">
        <f t="shared" si="1"/>
        <v>5</v>
      </c>
      <c r="B101" s="87"/>
      <c r="C101" s="52" t="s">
        <v>326</v>
      </c>
      <c r="D101" s="73" t="s">
        <v>325</v>
      </c>
      <c r="E101" s="73">
        <f>(17.29)*(10.764)</f>
        <v>186.10955999999999</v>
      </c>
      <c r="F101" s="73">
        <v>0</v>
      </c>
      <c r="G101" s="73">
        <v>0</v>
      </c>
      <c r="H101" s="6">
        <f t="shared" si="0"/>
        <v>186.10955999999999</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25">
      <c r="A102" s="86">
        <f t="shared" si="1"/>
        <v>6</v>
      </c>
      <c r="B102" s="87"/>
      <c r="C102" s="52" t="s">
        <v>326</v>
      </c>
      <c r="D102" s="73" t="s">
        <v>325</v>
      </c>
      <c r="E102" s="73">
        <f>(13.46)*(10.764)</f>
        <v>144.88344000000001</v>
      </c>
      <c r="F102" s="73">
        <v>0</v>
      </c>
      <c r="G102" s="73">
        <v>0</v>
      </c>
      <c r="H102" s="6">
        <f t="shared" si="0"/>
        <v>144.88344000000001</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customHeight="1" x14ac:dyDescent="0.25">
      <c r="A103" s="86">
        <f t="shared" si="1"/>
        <v>7</v>
      </c>
      <c r="B103" s="87"/>
      <c r="C103" s="52" t="s">
        <v>326</v>
      </c>
      <c r="D103" s="73" t="s">
        <v>325</v>
      </c>
      <c r="E103" s="73">
        <f>(17.73)*(10.764)</f>
        <v>190.84572</v>
      </c>
      <c r="F103" s="73">
        <v>0</v>
      </c>
      <c r="G103" s="73">
        <v>0</v>
      </c>
      <c r="H103" s="6">
        <f t="shared" si="0"/>
        <v>190.84572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25">
      <c r="A104" s="86">
        <f t="shared" si="1"/>
        <v>8</v>
      </c>
      <c r="B104" s="87"/>
      <c r="C104" s="52" t="s">
        <v>326</v>
      </c>
      <c r="D104" s="73" t="s">
        <v>325</v>
      </c>
      <c r="E104" s="73">
        <f>(15.27)*(10.764)</f>
        <v>164.36627999999999</v>
      </c>
      <c r="F104" s="73">
        <v>0</v>
      </c>
      <c r="G104" s="73">
        <v>0</v>
      </c>
      <c r="H104" s="6">
        <f t="shared" si="0"/>
        <v>164.36627999999999</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25">
      <c r="A105" s="86">
        <f t="shared" si="1"/>
        <v>9</v>
      </c>
      <c r="B105" s="87"/>
      <c r="C105" s="52" t="s">
        <v>326</v>
      </c>
      <c r="D105" s="73" t="s">
        <v>325</v>
      </c>
      <c r="E105" s="73">
        <f>(13.73)*(10.764)</f>
        <v>147.78971999999999</v>
      </c>
      <c r="F105" s="73">
        <v>0</v>
      </c>
      <c r="G105" s="73">
        <v>0</v>
      </c>
      <c r="H105" s="73">
        <f t="shared" ref="H105:H108" si="2">E105+F105+(IF(G105&lt;101,G105,IF(G105&lt;201,G105/2,IF(G105&lt;=301,G105/3,G105/4))))</f>
        <v>147.78971999999999</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25">
      <c r="A106" s="86">
        <f t="shared" si="1"/>
        <v>10</v>
      </c>
      <c r="B106" s="87"/>
      <c r="C106" s="52" t="s">
        <v>326</v>
      </c>
      <c r="D106" s="73" t="s">
        <v>325</v>
      </c>
      <c r="E106" s="73">
        <f>(32.07)*(10.764)</f>
        <v>345.20148</v>
      </c>
      <c r="F106" s="73">
        <v>0</v>
      </c>
      <c r="G106" s="73">
        <v>0</v>
      </c>
      <c r="H106" s="73">
        <f t="shared" si="2"/>
        <v>345.20148</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25">
      <c r="A107" s="86">
        <f t="shared" si="1"/>
        <v>11</v>
      </c>
      <c r="B107" s="87"/>
      <c r="C107" s="52" t="s">
        <v>326</v>
      </c>
      <c r="D107" s="73" t="s">
        <v>325</v>
      </c>
      <c r="E107" s="73">
        <f>(156.77)*(10.764)</f>
        <v>1687.47228</v>
      </c>
      <c r="F107" s="73">
        <v>0</v>
      </c>
      <c r="G107" s="73">
        <v>0</v>
      </c>
      <c r="H107" s="73">
        <f t="shared" si="2"/>
        <v>1687.47228</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25">
      <c r="A108" s="86">
        <f t="shared" si="1"/>
        <v>12</v>
      </c>
      <c r="B108" s="87"/>
      <c r="C108" s="52" t="s">
        <v>326</v>
      </c>
      <c r="D108" s="73" t="s">
        <v>325</v>
      </c>
      <c r="E108" s="73">
        <f>(83.77)*(10.764)</f>
        <v>901.70027999999991</v>
      </c>
      <c r="F108" s="73">
        <v>0</v>
      </c>
      <c r="G108" s="73">
        <v>0</v>
      </c>
      <c r="H108" s="73">
        <f t="shared" si="2"/>
        <v>901.70027999999991</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32" t="s">
        <v>327</v>
      </c>
      <c r="B109" s="133"/>
      <c r="C109" s="133"/>
      <c r="D109" s="133"/>
      <c r="E109" s="133"/>
      <c r="F109" s="133"/>
      <c r="G109" s="133"/>
      <c r="H109" s="13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25">
      <c r="A110" s="98">
        <v>1</v>
      </c>
      <c r="B110" s="98"/>
      <c r="C110" s="52" t="s">
        <v>326</v>
      </c>
      <c r="D110" s="73" t="s">
        <v>328</v>
      </c>
      <c r="E110" s="73">
        <f>(90.98)*(10.764)</f>
        <v>979.30871999999999</v>
      </c>
      <c r="F110" s="6">
        <v>0</v>
      </c>
      <c r="G110" s="80">
        <f>(1.2*9)*10.764</f>
        <v>116.25119999999998</v>
      </c>
      <c r="H110" s="6">
        <f>E110+F110+(IF(G110&lt;101,G110,IF(G110&lt;201,G110/2,IF(G110&lt;=301,G110/3,G110/4))))</f>
        <v>1037.4343200000001</v>
      </c>
      <c r="I110" s="1"/>
      <c r="J110" s="1"/>
      <c r="K110" s="1"/>
      <c r="L110" s="1"/>
      <c r="M110" s="1"/>
      <c r="N110" s="1"/>
      <c r="O110" s="1"/>
      <c r="P110" s="1"/>
      <c r="Q110" s="1"/>
      <c r="R110" s="1"/>
      <c r="S110" s="1"/>
      <c r="T110" s="23" t="str">
        <f t="shared" ref="T110:T117" ca="1" si="3">U110&amp;""&amp;",..,"&amp;""&amp;V110</f>
        <v>101,..,101</v>
      </c>
      <c r="U110" s="23">
        <f ca="1">(SUMPRODUCT(MID(0&amp;(LEFT(A109,SUM(LEN(A109)-LEN(SUBSTITUTE(A109,{"0","1","2","3"},""))))), LARGE(INDEX(ISNUMBER(--MID((LEFT(A109,SUM(LEN(A109)-LEN(SUBSTITUTE(A109,{"0","1","2","3"},""))))), ROW(INDIRECT("1:"&amp;LEN((LEFT(A109,SUM(LEN(A109)-LEN(SUBSTITUTE(A109,{"0","1","2","3"},"")))))))), 1)) * ROW(INDIRECT("1:"&amp;LEN((LEFT(A109,SUM(LEN(A109)-LEN(SUBSTITUTE(A109,{"0","1","2","3"},"")))))))), 0), ROW(INDIRECT("1:"&amp;LEN((LEFT(A109,SUM(LEN(A109)-LEN(SUBSTITUTE(A109,{"0","1","2","3"},"")))))))))+1, 1) * 10^ROW(INDIRECT("1:"&amp;LEN((LEFT(A109,SUM(LEN(A109)-LEN(SUBSTITUTE(A109,{"0","1","2","3"},""))))))))/10))*100+1</f>
        <v>101</v>
      </c>
      <c r="V110" s="23">
        <f ca="1">(SUMPRODUCT(MID(0&amp;(--TRIM(RIGHT(SUBSTITUTE(LEFT(A109,_xlfn.AGGREGATE(16,6,FIND({0,1,2,3,4,5,6,7,8,9},A109,ROW(INDIRECT("1:"&amp;LEN(A109)))),1))," ",REPT(" ",LEN(A109))),LEN(A109)))), LARGE(INDEX(ISNUMBER(--MID((--TRIM(RIGHT(SUBSTITUTE(LEFT(A109,_xlfn.AGGREGATE(16,6,FIND({0,1,2,3,4,5,6,7,8,9},A109,ROW(INDIRECT("1:"&amp;LEN(A109)))),1))," ",REPT(" ",LEN(A109))),LEN(A109)))), ROW(INDIRECT("1:"&amp;LEN((--TRIM(RIGHT(SUBSTITUTE(LEFT(A109,_xlfn.AGGREGATE(16,6,FIND({0,1,2,3,4,5,6,7,8,9},A109,ROW(INDIRECT("1:"&amp;LEN(A109)))),1))," ",REPT(" ",LEN(A109))),LEN(A109))))))), 1)) * ROW(INDIRECT("1:"&amp;LEN((--TRIM(RIGHT(SUBSTITUTE(LEFT(A109,_xlfn.AGGREGATE(16,6,FIND({0,1,2,3,4,5,6,7,8,9},A109,ROW(INDIRECT("1:"&amp;LEN(A109)))),1))," ",REPT(" ",LEN(A109))),LEN(A109))))))), 0), ROW(INDIRECT("1:"&amp;LEN((--TRIM(RIGHT(SUBSTITUTE(LEFT(A109,_xlfn.AGGREGATE(16,6,FIND({0,1,2,3,4,5,6,7,8,9},A109,ROW(INDIRECT("1:"&amp;LEN(A109)))),1))," ",REPT(" ",LEN(A109))),LEN(A109))))))))+1, 1) * 10^ROW(INDIRECT("1:"&amp;LEN((--TRIM(RIGHT(SUBSTITUTE(LEFT(A109,_xlfn.AGGREGATE(16,6,FIND({0,1,2,3,4,5,6,7,8,9},A109,ROW(INDIRECT("1:"&amp;LEN(A109)))),1))," ",REPT(" ",LEN(A109))),LEN(A109)))))))/10))*100+1</f>
        <v>101</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25">
      <c r="A111" s="98">
        <v>2</v>
      </c>
      <c r="B111" s="98"/>
      <c r="C111" s="52" t="s">
        <v>326</v>
      </c>
      <c r="D111" s="73" t="s">
        <v>328</v>
      </c>
      <c r="E111" s="73">
        <f>(43.76)*(10.764)</f>
        <v>471.03263999999996</v>
      </c>
      <c r="F111" s="73">
        <v>0</v>
      </c>
      <c r="G111" s="80">
        <v>0</v>
      </c>
      <c r="H111" s="6">
        <f t="shared" ref="H111:H117" si="4">E111+F111+(IF(G111&lt;101,G111,IF(G111&lt;201,G111/2,IF(G111&lt;=301,G111/3,G111/4))))</f>
        <v>471.03263999999996</v>
      </c>
      <c r="I111" s="1"/>
      <c r="J111" s="1"/>
      <c r="K111" s="1"/>
      <c r="L111" s="1"/>
      <c r="M111" s="1"/>
      <c r="N111" s="1"/>
      <c r="O111" s="1"/>
      <c r="P111" s="1"/>
      <c r="Q111" s="1"/>
      <c r="R111" s="1"/>
      <c r="S111" s="1"/>
      <c r="T111" s="23" t="str">
        <f t="shared" ca="1" si="3"/>
        <v>102,..,102</v>
      </c>
      <c r="U111" s="23">
        <f ca="1">U110+1</f>
        <v>102</v>
      </c>
      <c r="V111" s="23">
        <f ca="1">V110+1</f>
        <v>102</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98">
        <v>3</v>
      </c>
      <c r="B112" s="98"/>
      <c r="C112" s="52" t="s">
        <v>326</v>
      </c>
      <c r="D112" s="73" t="s">
        <v>328</v>
      </c>
      <c r="E112" s="73">
        <f>(160.39)*(10.764)</f>
        <v>1726.4379599999997</v>
      </c>
      <c r="F112" s="73">
        <v>0</v>
      </c>
      <c r="G112" s="80">
        <f>1.2*(9.56+7.01)*10.764</f>
        <v>214.03137599999999</v>
      </c>
      <c r="H112" s="6">
        <f t="shared" si="4"/>
        <v>1797.7817519999996</v>
      </c>
      <c r="I112" s="1"/>
      <c r="J112" s="1"/>
      <c r="K112" s="1"/>
      <c r="L112" s="1"/>
      <c r="M112" s="1"/>
      <c r="N112" s="1"/>
      <c r="O112" s="1"/>
      <c r="P112" s="1"/>
      <c r="Q112" s="1"/>
      <c r="R112" s="1"/>
      <c r="S112" s="1"/>
      <c r="T112" s="23" t="str">
        <f t="shared" ca="1" si="3"/>
        <v>103,..,103</v>
      </c>
      <c r="U112" s="23">
        <f t="shared" ref="U112:U117" ca="1" si="5">U111+1</f>
        <v>103</v>
      </c>
      <c r="V112" s="23">
        <f t="shared" ref="V112:V117" ca="1" si="6">V111+1</f>
        <v>103</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98">
        <v>4</v>
      </c>
      <c r="B113" s="98"/>
      <c r="C113" s="52" t="s">
        <v>326</v>
      </c>
      <c r="D113" s="73" t="s">
        <v>328</v>
      </c>
      <c r="E113" s="73">
        <f>(56.84)*(10.764)</f>
        <v>611.82575999999995</v>
      </c>
      <c r="F113" s="73">
        <v>0</v>
      </c>
      <c r="G113" s="80">
        <f>1.2*8.1*10.764</f>
        <v>104.62607999999999</v>
      </c>
      <c r="H113" s="6">
        <f t="shared" si="4"/>
        <v>664.13879999999995</v>
      </c>
      <c r="I113" s="1"/>
      <c r="J113" s="1"/>
      <c r="K113" s="1"/>
      <c r="L113" s="1"/>
      <c r="M113" s="1"/>
      <c r="N113" s="1"/>
      <c r="O113" s="1"/>
      <c r="P113" s="1"/>
      <c r="Q113" s="1"/>
      <c r="R113" s="1"/>
      <c r="S113" s="1"/>
      <c r="T113" s="23" t="str">
        <f t="shared" ca="1" si="3"/>
        <v>104,..,104</v>
      </c>
      <c r="U113" s="23">
        <f t="shared" ca="1" si="5"/>
        <v>104</v>
      </c>
      <c r="V113" s="23">
        <f t="shared" ca="1" si="6"/>
        <v>104</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98">
        <v>5</v>
      </c>
      <c r="B114" s="98"/>
      <c r="C114" s="52" t="s">
        <v>326</v>
      </c>
      <c r="D114" s="73" t="s">
        <v>328</v>
      </c>
      <c r="E114" s="73">
        <f>(32.33)*(10.764)</f>
        <v>348.00011999999998</v>
      </c>
      <c r="F114" s="73">
        <v>0</v>
      </c>
      <c r="G114" s="80">
        <f>5.17*1.2*10.764</f>
        <v>66.779855999999995</v>
      </c>
      <c r="H114" s="6">
        <f t="shared" si="4"/>
        <v>414.77997599999998</v>
      </c>
      <c r="I114" s="1"/>
      <c r="J114" s="1"/>
      <c r="K114" s="1"/>
      <c r="L114" s="1"/>
      <c r="M114" s="1"/>
      <c r="N114" s="1"/>
      <c r="O114" s="1"/>
      <c r="P114" s="1"/>
      <c r="Q114" s="1"/>
      <c r="R114" s="1"/>
      <c r="S114" s="1"/>
      <c r="T114" s="23" t="str">
        <f t="shared" ca="1" si="3"/>
        <v>105,..,105</v>
      </c>
      <c r="U114" s="23">
        <f t="shared" ca="1" si="5"/>
        <v>105</v>
      </c>
      <c r="V114" s="23">
        <f t="shared" ca="1" si="6"/>
        <v>105</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98">
        <v>6</v>
      </c>
      <c r="B115" s="98"/>
      <c r="C115" s="52" t="s">
        <v>326</v>
      </c>
      <c r="D115" s="73" t="s">
        <v>328</v>
      </c>
      <c r="E115" s="73">
        <f>(23.99)*(10.764)</f>
        <v>258.22835999999995</v>
      </c>
      <c r="F115" s="73">
        <v>0</v>
      </c>
      <c r="G115" s="80">
        <f>3*1.2*10.764</f>
        <v>38.750399999999992</v>
      </c>
      <c r="H115" s="6">
        <f t="shared" si="4"/>
        <v>296.97875999999997</v>
      </c>
      <c r="I115" s="1"/>
      <c r="J115" s="1"/>
      <c r="K115" s="1"/>
      <c r="L115" s="1"/>
      <c r="M115" s="1"/>
      <c r="N115" s="1"/>
      <c r="O115" s="1"/>
      <c r="P115" s="1"/>
      <c r="Q115" s="1"/>
      <c r="R115" s="1"/>
      <c r="S115" s="1"/>
      <c r="T115" s="23" t="str">
        <f t="shared" ca="1" si="3"/>
        <v>106,..,106</v>
      </c>
      <c r="U115" s="23">
        <f t="shared" ca="1" si="5"/>
        <v>106</v>
      </c>
      <c r="V115" s="23">
        <f t="shared" ca="1" si="6"/>
        <v>106</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98">
        <v>7</v>
      </c>
      <c r="B116" s="98"/>
      <c r="C116" s="52" t="s">
        <v>326</v>
      </c>
      <c r="D116" s="73" t="s">
        <v>328</v>
      </c>
      <c r="E116" s="73">
        <f>(13.24)*(10.764)</f>
        <v>142.51535999999999</v>
      </c>
      <c r="F116" s="73">
        <v>0</v>
      </c>
      <c r="G116" s="73">
        <v>0</v>
      </c>
      <c r="H116" s="6">
        <f t="shared" si="4"/>
        <v>142.51535999999999</v>
      </c>
      <c r="I116" s="1"/>
      <c r="J116" s="1"/>
      <c r="K116" s="1"/>
      <c r="L116" s="1"/>
      <c r="M116" s="1"/>
      <c r="N116" s="1"/>
      <c r="O116" s="1"/>
      <c r="P116" s="1"/>
      <c r="Q116" s="1"/>
      <c r="R116" s="1"/>
      <c r="S116" s="1"/>
      <c r="T116" s="23" t="str">
        <f t="shared" ca="1" si="3"/>
        <v>107,..,107</v>
      </c>
      <c r="U116" s="23">
        <f t="shared" ca="1" si="5"/>
        <v>107</v>
      </c>
      <c r="V116" s="23">
        <f t="shared" ca="1" si="6"/>
        <v>107</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25">
      <c r="A117" s="98">
        <v>8</v>
      </c>
      <c r="B117" s="98"/>
      <c r="C117" s="52" t="s">
        <v>326</v>
      </c>
      <c r="D117" s="73" t="s">
        <v>328</v>
      </c>
      <c r="E117" s="73">
        <f>(21.58)*(10.764)</f>
        <v>232.28711999999996</v>
      </c>
      <c r="F117" s="73">
        <v>0</v>
      </c>
      <c r="G117" s="73">
        <v>0</v>
      </c>
      <c r="H117" s="6">
        <f t="shared" si="4"/>
        <v>232.28711999999996</v>
      </c>
      <c r="I117" s="1"/>
      <c r="J117" s="1"/>
      <c r="K117" s="1"/>
      <c r="L117" s="1"/>
      <c r="M117" s="1"/>
      <c r="N117" s="1"/>
      <c r="O117" s="1"/>
      <c r="P117" s="1"/>
      <c r="Q117" s="1"/>
      <c r="R117" s="1"/>
      <c r="S117" s="1"/>
      <c r="T117" s="23" t="str">
        <f t="shared" ca="1" si="3"/>
        <v>108,..,108</v>
      </c>
      <c r="U117" s="23">
        <f t="shared" ca="1" si="5"/>
        <v>108</v>
      </c>
      <c r="V117" s="23">
        <f t="shared" ca="1" si="6"/>
        <v>108</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98">
        <v>9</v>
      </c>
      <c r="B118" s="98"/>
      <c r="C118" s="52" t="s">
        <v>326</v>
      </c>
      <c r="D118" s="73" t="s">
        <v>328</v>
      </c>
      <c r="E118" s="73">
        <f>(25.68)*(10.764)</f>
        <v>276.41951999999998</v>
      </c>
      <c r="F118" s="73">
        <v>0</v>
      </c>
      <c r="G118" s="73">
        <v>0</v>
      </c>
      <c r="H118" s="73">
        <f>E118+F118+(IF(G118&lt;101,G118,IF(G118&lt;201,G118/2,IF(G118&lt;=301,G118/3,G118/4))))</f>
        <v>276.41951999999998</v>
      </c>
      <c r="I118" s="1"/>
      <c r="J118" s="1"/>
      <c r="K118" s="1"/>
      <c r="L118" s="1"/>
      <c r="M118" s="1"/>
      <c r="N118" s="1"/>
      <c r="O118" s="1"/>
      <c r="P118" s="1"/>
      <c r="Q118" s="1"/>
      <c r="R118" s="1"/>
      <c r="S118" s="1"/>
      <c r="T118" s="23" t="e">
        <f t="shared" ref="T118" ca="1" si="7">U118&amp;""&amp;",..,"&amp;""&amp;V118</f>
        <v>#REF!</v>
      </c>
      <c r="U118" s="23" t="e">
        <f ca="1">(SUMPRODUCT(MID(0&amp;(LEFT(A117,SUM(LEN(A117)-LEN(SUBSTITUTE(A117,{"0","1","2","3"},""))))), LARGE(INDEX(ISNUMBER(--MID((LEFT(A117,SUM(LEN(A117)-LEN(SUBSTITUTE(A117,{"0","1","2","3"},""))))), ROW(INDIRECT("1:"&amp;LEN((LEFT(A117,SUM(LEN(A117)-LEN(SUBSTITUTE(A117,{"0","1","2","3"},"")))))))), 1)) * ROW(INDIRECT("1:"&amp;LEN((LEFT(A117,SUM(LEN(A117)-LEN(SUBSTITUTE(A117,{"0","1","2","3"},"")))))))), 0), ROW(INDIRECT("1:"&amp;LEN((LEFT(A117,SUM(LEN(A117)-LEN(SUBSTITUTE(A117,{"0","1","2","3"},"")))))))))+1, 1) * 10^ROW(INDIRECT("1:"&amp;LEN((LEFT(A117,SUM(LEN(A117)-LEN(SUBSTITUTE(A117,{"0","1","2","3"},""))))))))/10))*100+1</f>
        <v>#REF!</v>
      </c>
      <c r="V118" s="23">
        <f ca="1">(SUMPRODUCT(MID(0&amp;(--TRIM(RIGHT(SUBSTITUTE(LEFT(A117,_xlfn.AGGREGATE(16,6,FIND({0,1,2,3,4,5,6,7,8,9},A117,ROW(INDIRECT("1:"&amp;LEN(A117)))),1))," ",REPT(" ",LEN(A117))),LEN(A117)))), LARGE(INDEX(ISNUMBER(--MID((--TRIM(RIGHT(SUBSTITUTE(LEFT(A117,_xlfn.AGGREGATE(16,6,FIND({0,1,2,3,4,5,6,7,8,9},A117,ROW(INDIRECT("1:"&amp;LEN(A117)))),1))," ",REPT(" ",LEN(A117))),LEN(A117)))), ROW(INDIRECT("1:"&amp;LEN((--TRIM(RIGHT(SUBSTITUTE(LEFT(A117,_xlfn.AGGREGATE(16,6,FIND({0,1,2,3,4,5,6,7,8,9},A117,ROW(INDIRECT("1:"&amp;LEN(A117)))),1))," ",REPT(" ",LEN(A117))),LEN(A117))))))), 1)) * ROW(INDIRECT("1:"&amp;LEN((--TRIM(RIGHT(SUBSTITUTE(LEFT(A117,_xlfn.AGGREGATE(16,6,FIND({0,1,2,3,4,5,6,7,8,9},A117,ROW(INDIRECT("1:"&amp;LEN(A117)))),1))," ",REPT(" ",LEN(A117))),LEN(A117))))))), 0), ROW(INDIRECT("1:"&amp;LEN((--TRIM(RIGHT(SUBSTITUTE(LEFT(A117,_xlfn.AGGREGATE(16,6,FIND({0,1,2,3,4,5,6,7,8,9},A117,ROW(INDIRECT("1:"&amp;LEN(A117)))),1))," ",REPT(" ",LEN(A117))),LEN(A117))))))))+1, 1) * 10^ROW(INDIRECT("1:"&amp;LEN((--TRIM(RIGHT(SUBSTITUTE(LEFT(A117,_xlfn.AGGREGATE(16,6,FIND({0,1,2,3,4,5,6,7,8,9},A117,ROW(INDIRECT("1:"&amp;LEN(A117)))),1))," ",REPT(" ",LEN(A117))),LEN(A117)))))))/10))*100+1</f>
        <v>801</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3" customFormat="1" ht="20.25" customHeight="1" x14ac:dyDescent="0.25">
      <c r="A119" s="132" t="s">
        <v>329</v>
      </c>
      <c r="B119" s="133"/>
      <c r="C119" s="133"/>
      <c r="D119" s="133"/>
      <c r="E119" s="133"/>
      <c r="F119" s="133"/>
      <c r="G119" s="133"/>
      <c r="H119" s="134"/>
      <c r="I119" s="76"/>
      <c r="J119" s="76"/>
      <c r="L119" s="175"/>
      <c r="M119" s="175"/>
    </row>
    <row r="120" spans="1:150 16226:16383" s="3" customFormat="1" ht="20.25" customHeight="1" x14ac:dyDescent="0.25">
      <c r="A120" s="98">
        <v>1</v>
      </c>
      <c r="B120" s="98"/>
      <c r="C120" s="52" t="s">
        <v>326</v>
      </c>
      <c r="D120" s="181" t="s">
        <v>330</v>
      </c>
      <c r="E120" s="182"/>
      <c r="F120" s="182"/>
      <c r="G120" s="182"/>
      <c r="H120" s="183"/>
      <c r="I120" s="1"/>
      <c r="J120" s="1"/>
      <c r="K120" s="1"/>
      <c r="L120" s="1"/>
      <c r="M120" s="1"/>
      <c r="N120" s="1"/>
      <c r="O120" s="1"/>
      <c r="P120" s="1"/>
      <c r="Q120" s="1"/>
      <c r="R120" s="1"/>
      <c r="S120" s="1"/>
      <c r="T120" s="23" t="e">
        <f ca="1">U120&amp;""&amp;" to "&amp;""&amp;V120</f>
        <v>#REF!</v>
      </c>
      <c r="U120"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20"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98">
        <v>2</v>
      </c>
      <c r="B121" s="98"/>
      <c r="C121" s="52" t="s">
        <v>326</v>
      </c>
      <c r="D121" s="73" t="s">
        <v>331</v>
      </c>
      <c r="E121" s="73">
        <f>((2.82*3+2.2*2.45+3*2+2.2*2.75+1.95*1.2+1.95*1.2+0.9*1.35+0.9*1.2))*(10.764)</f>
        <v>353.86649999999997</v>
      </c>
      <c r="F121" s="73">
        <f>((3*1+2.2*1.2+2.82*1.5+1.05*1.55)+0.75*(3+2.2+2.82))*(10.764)</f>
        <v>188.50454999999999</v>
      </c>
      <c r="G121" s="73">
        <f>(1.95*1.1)*(10.764)</f>
        <v>23.08878</v>
      </c>
      <c r="H121" s="6">
        <f>E121+F121+(IF(G121&lt;101,G121,IF(G121&lt;201,G121/2,IF(G121&lt;=301,G121/3,G121/4))))</f>
        <v>565.45983000000001</v>
      </c>
      <c r="I121" s="1">
        <f>2.62*3+2.26*2.45+3*2+2.2*2.75+1.05*1.2+0.9*1.35+1.95*1.2+1.95*1.2+1.5*2.62</f>
        <v>36.532000000000004</v>
      </c>
      <c r="J121" s="1"/>
      <c r="K121" s="1"/>
      <c r="L121" s="1"/>
      <c r="M121" s="1"/>
      <c r="N121" s="1"/>
      <c r="O121" s="1"/>
      <c r="P121" s="1"/>
      <c r="Q121" s="1"/>
      <c r="R121" s="1"/>
      <c r="S121" s="1"/>
      <c r="T121" s="23" t="e">
        <f t="shared" ref="T121:T127" ca="1" si="8">U121&amp;""&amp;" to "&amp;""&amp;V121</f>
        <v>#REF!</v>
      </c>
      <c r="U121" s="23" t="e">
        <f ca="1">U120+1</f>
        <v>#REF!</v>
      </c>
      <c r="V121" s="23" t="e">
        <f ca="1">V120+1</f>
        <v>#REF!</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98">
        <v>3</v>
      </c>
      <c r="B122" s="98"/>
      <c r="C122" s="52" t="s">
        <v>326</v>
      </c>
      <c r="D122" s="73" t="s">
        <v>332</v>
      </c>
      <c r="E122" s="73">
        <f>((2.75*3+2.25*2+2.75*2+2*1.2+1.2*2))*(10.764)</f>
        <v>248.11019999999996</v>
      </c>
      <c r="F122" s="73">
        <f>(0.75*(2.75+2.25+2.75)+(2.75*1.5+2.25*1+2.75*1))*(10.764)</f>
        <v>160.78725</v>
      </c>
      <c r="G122" s="73">
        <v>0</v>
      </c>
      <c r="H122" s="6">
        <f>E122+F122+(IF(G122&lt;101,G122,IF(G122&lt;201,G122/2,IF(G122&lt;=301,G122/3,G122/4))))</f>
        <v>408.89744999999994</v>
      </c>
      <c r="I122" s="1"/>
      <c r="J122" s="1"/>
      <c r="K122" s="1"/>
      <c r="L122" s="1"/>
      <c r="M122" s="1"/>
      <c r="N122" s="1"/>
      <c r="O122" s="1"/>
      <c r="P122" s="1"/>
      <c r="Q122" s="1"/>
      <c r="R122" s="1"/>
      <c r="S122" s="1"/>
      <c r="T122" s="23" t="e">
        <f t="shared" ca="1" si="8"/>
        <v>#REF!</v>
      </c>
      <c r="U122" s="23" t="e">
        <f t="shared" ref="U122:U128" ca="1" si="9">U121+1</f>
        <v>#REF!</v>
      </c>
      <c r="V122" s="23" t="e">
        <f t="shared" ref="V122:V128" ca="1" si="10">V121+1</f>
        <v>#REF!</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98">
        <v>4</v>
      </c>
      <c r="B123" s="98"/>
      <c r="C123" s="52" t="s">
        <v>326</v>
      </c>
      <c r="D123" s="73" t="s">
        <v>332</v>
      </c>
      <c r="E123" s="73">
        <f>((2.75*3+2.25*2+2.75*2+2*1.2+1.2*2))*(10.764)</f>
        <v>248.11019999999996</v>
      </c>
      <c r="F123" s="73">
        <f>(0.75*(2.75+2.25+2.75)+(2.75*1.5+2.25*1+2.75*1))*(10.764)</f>
        <v>160.78725</v>
      </c>
      <c r="G123" s="73">
        <v>0</v>
      </c>
      <c r="H123" s="6">
        <f t="shared" ref="H123:H127" si="11">E123+F123+(IF(G123&lt;101,G123,IF(G123&lt;201,G123/2,IF(G123&lt;=301,G123/3,G123/4))))</f>
        <v>408.89744999999994</v>
      </c>
      <c r="I123" s="1"/>
      <c r="J123" s="1"/>
      <c r="K123" s="1"/>
      <c r="L123" s="1"/>
      <c r="M123" s="1"/>
      <c r="N123" s="1"/>
      <c r="O123" s="1"/>
      <c r="P123" s="1"/>
      <c r="Q123" s="1"/>
      <c r="R123" s="1"/>
      <c r="S123" s="1"/>
      <c r="T123" s="23" t="e">
        <f t="shared" ca="1" si="8"/>
        <v>#REF!</v>
      </c>
      <c r="U123" s="23" t="e">
        <f t="shared" ca="1" si="9"/>
        <v>#REF!</v>
      </c>
      <c r="V123" s="23" t="e">
        <f t="shared" ca="1" si="10"/>
        <v>#REF!</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98">
        <v>5</v>
      </c>
      <c r="B124" s="98"/>
      <c r="C124" s="52" t="s">
        <v>326</v>
      </c>
      <c r="D124" s="73" t="s">
        <v>331</v>
      </c>
      <c r="E124" s="73">
        <f>((2.82*3+2.2*2.45+3*2+2.2*2.75+1.95*1.2+1.95*1.2+0.9*1.35+0.9*1.2))*(10.764)</f>
        <v>353.86649999999997</v>
      </c>
      <c r="F124" s="73">
        <f>((3*1+2.2*1.2+2.82*1.5+1.05*1.55)+0.75*(3+2.2+2.82))*(10.764)</f>
        <v>188.50454999999999</v>
      </c>
      <c r="G124" s="73">
        <f>(2.2*1.4+6.4*4.6+5.4*3.5+6.65+3.1+2.34+2.6)*(10.764)</f>
        <v>711.60803999999996</v>
      </c>
      <c r="H124" s="6">
        <f t="shared" si="11"/>
        <v>720.27305999999999</v>
      </c>
      <c r="I124" s="1"/>
      <c r="J124" s="1"/>
      <c r="K124" s="1"/>
      <c r="L124" s="1"/>
      <c r="M124" s="1"/>
      <c r="N124" s="1"/>
      <c r="O124" s="1"/>
      <c r="P124" s="1"/>
      <c r="Q124" s="1"/>
      <c r="R124" s="1"/>
      <c r="S124" s="1"/>
      <c r="T124" s="23" t="e">
        <f t="shared" ca="1" si="8"/>
        <v>#REF!</v>
      </c>
      <c r="U124" s="23" t="e">
        <f t="shared" ca="1" si="9"/>
        <v>#REF!</v>
      </c>
      <c r="V124" s="23" t="e">
        <f t="shared" ca="1" si="10"/>
        <v>#REF!</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98">
        <v>6</v>
      </c>
      <c r="B125" s="98"/>
      <c r="C125" s="52" t="s">
        <v>326</v>
      </c>
      <c r="D125" s="73" t="s">
        <v>331</v>
      </c>
      <c r="E125" s="73">
        <f>((2.82*3+2.2*2.45+3*2+2.2*2.75+1.95*1.2+1.95*1.2+0.9*1.35+0.9*1.2))*(10.764)</f>
        <v>353.86649999999997</v>
      </c>
      <c r="F125" s="73">
        <f>((3*1+2.2*1.2+2.82*1.5+1.05*1.55))*(10.764)</f>
        <v>123.75909</v>
      </c>
      <c r="G125" s="73">
        <f>(3*4.2+2.2*3+3.5*2.3+2*9.7+2.1*1.4+4.4*5.4+13.64+10.8+3.3)*(10.764)</f>
        <v>1088.1327599999997</v>
      </c>
      <c r="H125" s="6">
        <f t="shared" si="11"/>
        <v>749.65877999999998</v>
      </c>
      <c r="I125" s="1"/>
      <c r="J125" s="1"/>
      <c r="K125" s="1"/>
      <c r="L125" s="1"/>
      <c r="M125" s="1"/>
      <c r="N125" s="1"/>
      <c r="O125" s="1"/>
      <c r="P125" s="1"/>
      <c r="Q125" s="1"/>
      <c r="R125" s="1"/>
      <c r="S125" s="1"/>
      <c r="T125" s="23" t="e">
        <f t="shared" ca="1" si="8"/>
        <v>#REF!</v>
      </c>
      <c r="U125" s="23" t="e">
        <f t="shared" ca="1" si="9"/>
        <v>#REF!</v>
      </c>
      <c r="V125" s="23" t="e">
        <f t="shared" ca="1" si="10"/>
        <v>#REF!</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98">
        <v>7</v>
      </c>
      <c r="B126" s="98"/>
      <c r="C126" s="52" t="s">
        <v>326</v>
      </c>
      <c r="D126" s="73" t="s">
        <v>332</v>
      </c>
      <c r="E126" s="73">
        <f>((2.75*3+2.25*2+2.75*2+2*1.2+1.2*2))*(10.764)</f>
        <v>248.11019999999996</v>
      </c>
      <c r="F126" s="73">
        <f>((2.75*1.5+2.25*1+2.75*1))*(10.764)</f>
        <v>98.221499999999992</v>
      </c>
      <c r="G126" s="73">
        <f>(2*8.1+0.6*2.7+5.6*5.2+3*2.3+3+4.9+2.42)*(10.764)</f>
        <v>690.6182399999999</v>
      </c>
      <c r="H126" s="6">
        <f t="shared" si="11"/>
        <v>518.9862599999999</v>
      </c>
      <c r="I126" s="1"/>
      <c r="J126" s="1"/>
      <c r="K126" s="1"/>
      <c r="L126" s="1"/>
      <c r="M126" s="1"/>
      <c r="N126" s="1"/>
      <c r="O126" s="1"/>
      <c r="P126" s="1"/>
      <c r="Q126" s="1"/>
      <c r="R126" s="1"/>
      <c r="S126" s="1"/>
      <c r="T126" s="23" t="e">
        <f t="shared" ca="1" si="8"/>
        <v>#REF!</v>
      </c>
      <c r="U126" s="23" t="e">
        <f t="shared" ca="1" si="9"/>
        <v>#REF!</v>
      </c>
      <c r="V126" s="23" t="e">
        <f t="shared" ca="1" si="10"/>
        <v>#REF!</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98">
        <v>8</v>
      </c>
      <c r="B127" s="98"/>
      <c r="C127" s="52" t="s">
        <v>326</v>
      </c>
      <c r="D127" s="73" t="s">
        <v>332</v>
      </c>
      <c r="E127" s="73">
        <f>((2.75*3+2.25*2+2.75*2+2*1.2+1.2*2))*(10.764)</f>
        <v>248.11019999999996</v>
      </c>
      <c r="F127" s="73">
        <f>((2.75*1.5+2.25*1+2.75*1))*(10.764)</f>
        <v>98.221499999999992</v>
      </c>
      <c r="G127" s="73">
        <f>(2.75*4.74+5.3*0.6+8.4+3.78)*(10.764)</f>
        <v>305.64377999999999</v>
      </c>
      <c r="H127" s="6">
        <f t="shared" si="11"/>
        <v>422.74264499999992</v>
      </c>
      <c r="I127" s="1">
        <f>4900000/H127</f>
        <v>11590.976349215965</v>
      </c>
      <c r="J127" s="1"/>
      <c r="K127" s="1"/>
      <c r="L127" s="1"/>
      <c r="M127" s="1"/>
      <c r="N127" s="1"/>
      <c r="O127" s="1"/>
      <c r="P127" s="1"/>
      <c r="Q127" s="1"/>
      <c r="R127" s="1"/>
      <c r="S127" s="1"/>
      <c r="T127" s="23" t="e">
        <f t="shared" ca="1" si="8"/>
        <v>#REF!</v>
      </c>
      <c r="U127" s="23" t="e">
        <f t="shared" ca="1" si="9"/>
        <v>#REF!</v>
      </c>
      <c r="V127" s="23" t="e">
        <f t="shared" ca="1" si="10"/>
        <v>#REF!</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98">
        <v>9</v>
      </c>
      <c r="B128" s="98"/>
      <c r="C128" s="52" t="s">
        <v>326</v>
      </c>
      <c r="D128" s="73" t="s">
        <v>331</v>
      </c>
      <c r="E128" s="73">
        <f>((3*2.85+2*2.25+2*2.75+2*2.65+1.2*2+2*1.2))*(10.764)</f>
        <v>308.38859999999994</v>
      </c>
      <c r="F128" s="73">
        <f>((1.5*2.85+1*2.25+1*2.75+1*2.65))*(10.764)</f>
        <v>128.36070000000001</v>
      </c>
      <c r="G128" s="73">
        <f>(7*7+1.5*2.2+3.3*0.6+7*2.5+1*4.5+6.3)*(10.764)</f>
        <v>888.89111999999989</v>
      </c>
      <c r="H128" s="73">
        <f t="shared" ref="H128" si="12">E128+F128+(IF(G128&lt;101,G128,IF(G128&lt;201,G128/2,IF(G128&lt;=301,G128/3,G128/4))))</f>
        <v>658.97207999999989</v>
      </c>
      <c r="I128" s="1"/>
      <c r="J128" s="1"/>
      <c r="K128" s="1"/>
      <c r="L128" s="1"/>
      <c r="M128" s="1"/>
      <c r="N128" s="1"/>
      <c r="O128" s="1"/>
      <c r="P128" s="1"/>
      <c r="Q128" s="1"/>
      <c r="R128" s="1"/>
      <c r="S128" s="1"/>
      <c r="T128" s="23" t="e">
        <f t="shared" ref="T128" ca="1" si="13">U128&amp;""&amp;" to "&amp;""&amp;V128</f>
        <v>#REF!</v>
      </c>
      <c r="U128" s="23" t="e">
        <f t="shared" ca="1" si="9"/>
        <v>#REF!</v>
      </c>
      <c r="V128" s="23" t="e">
        <f t="shared" ca="1" si="10"/>
        <v>#REF!</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x14ac:dyDescent="0.25">
      <c r="A129" s="132" t="s">
        <v>333</v>
      </c>
      <c r="B129" s="133"/>
      <c r="C129" s="133"/>
      <c r="D129" s="133"/>
      <c r="E129" s="133"/>
      <c r="F129" s="133"/>
      <c r="G129" s="133"/>
      <c r="H129" s="13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98">
        <v>1</v>
      </c>
      <c r="B130" s="98"/>
      <c r="C130" s="52" t="s">
        <v>326</v>
      </c>
      <c r="D130" s="73" t="s">
        <v>331</v>
      </c>
      <c r="E130" s="73">
        <f>((2.8*3+2.2*2.45+3*2+2.2*2.75+1.05*1.2+0.9*1.35+1.95*1.2+1.95*1.2))*(10.764)</f>
        <v>355.15818000000002</v>
      </c>
      <c r="F130" s="73">
        <f>((2.8*1.5+2.2*1.2+3*1+1.5*1.05)+(0.75*1.5))*(10.764)</f>
        <v>134.98055999999997</v>
      </c>
      <c r="G130" s="73">
        <f>(2.8*2.8+2.2*1.6+3*1)*(10.764)</f>
        <v>154.57103999999998</v>
      </c>
      <c r="H130" s="6">
        <f>E130+F130+(IF(G130&lt;101,G130,IF(G130&lt;201,G130/2,IF(G130&lt;=301,G130/3,G130/4))))</f>
        <v>567.42426</v>
      </c>
      <c r="I130" s="1"/>
      <c r="J130" s="1"/>
      <c r="K130" s="1"/>
      <c r="L130" s="1"/>
      <c r="M130" s="1"/>
      <c r="N130" s="1"/>
      <c r="O130" s="1"/>
      <c r="P130" s="1"/>
      <c r="Q130" s="1"/>
      <c r="R130" s="1"/>
      <c r="S130" s="1"/>
      <c r="T130" s="23" t="str">
        <f ca="1">U130&amp;""&amp;" &amp; "&amp;""&amp;V130</f>
        <v>301 &amp; 301</v>
      </c>
      <c r="U130" s="23">
        <f ca="1">(SUMPRODUCT(MID(0&amp;(LEFT(A129,SUM(LEN(A129)-LEN(SUBSTITUTE(A129,{"0","1","2","3"},""))))), LARGE(INDEX(ISNUMBER(--MID((LEFT(A129,SUM(LEN(A129)-LEN(SUBSTITUTE(A129,{"0","1","2","3"},""))))), ROW(INDIRECT("1:"&amp;LEN((LEFT(A129,SUM(LEN(A129)-LEN(SUBSTITUTE(A129,{"0","1","2","3"},"")))))))), 1)) * ROW(INDIRECT("1:"&amp;LEN((LEFT(A129,SUM(LEN(A129)-LEN(SUBSTITUTE(A129,{"0","1","2","3"},"")))))))), 0), ROW(INDIRECT("1:"&amp;LEN((LEFT(A129,SUM(LEN(A129)-LEN(SUBSTITUTE(A129,{"0","1","2","3"},"")))))))))+1, 1) * 10^ROW(INDIRECT("1:"&amp;LEN((LEFT(A129,SUM(LEN(A129)-LEN(SUBSTITUTE(A129,{"0","1","2","3"},""))))))))/10))*100+1</f>
        <v>301</v>
      </c>
      <c r="V130" s="23">
        <f ca="1">(SUMPRODUCT(MID(0&amp;(--TRIM(RIGHT(SUBSTITUTE(LEFT(A129,_xlfn.AGGREGATE(16,6,FIND({0,1,2,3,4,5,6,7,8,9},A129,ROW(INDIRECT("1:"&amp;LEN(A129)))),1))," ",REPT(" ",LEN(A129))),LEN(A129)))), LARGE(INDEX(ISNUMBER(--MID((--TRIM(RIGHT(SUBSTITUTE(LEFT(A129,_xlfn.AGGREGATE(16,6,FIND({0,1,2,3,4,5,6,7,8,9},A129,ROW(INDIRECT("1:"&amp;LEN(A129)))),1))," ",REPT(" ",LEN(A129))),LEN(A129)))), ROW(INDIRECT("1:"&amp;LEN((--TRIM(RIGHT(SUBSTITUTE(LEFT(A129,_xlfn.AGGREGATE(16,6,FIND({0,1,2,3,4,5,6,7,8,9},A129,ROW(INDIRECT("1:"&amp;LEN(A129)))),1))," ",REPT(" ",LEN(A129))),LEN(A129))))))), 1)) * ROW(INDIRECT("1:"&amp;LEN((--TRIM(RIGHT(SUBSTITUTE(LEFT(A129,_xlfn.AGGREGATE(16,6,FIND({0,1,2,3,4,5,6,7,8,9},A129,ROW(INDIRECT("1:"&amp;LEN(A129)))),1))," ",REPT(" ",LEN(A129))),LEN(A129))))))), 0), ROW(INDIRECT("1:"&amp;LEN((--TRIM(RIGHT(SUBSTITUTE(LEFT(A129,_xlfn.AGGREGATE(16,6,FIND({0,1,2,3,4,5,6,7,8,9},A129,ROW(INDIRECT("1:"&amp;LEN(A129)))),1))," ",REPT(" ",LEN(A129))),LEN(A129))))))))+1, 1) * 10^ROW(INDIRECT("1:"&amp;LEN((--TRIM(RIGHT(SUBSTITUTE(LEFT(A129,_xlfn.AGGREGATE(16,6,FIND({0,1,2,3,4,5,6,7,8,9},A129,ROW(INDIRECT("1:"&amp;LEN(A129)))),1))," ",REPT(" ",LEN(A129))),LEN(A129)))))))/10))*100+1</f>
        <v>301</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98">
        <v>2</v>
      </c>
      <c r="B131" s="98"/>
      <c r="C131" s="52" t="s">
        <v>326</v>
      </c>
      <c r="D131" s="73" t="s">
        <v>331</v>
      </c>
      <c r="E131" s="73">
        <f>((2.82*3+2.2*2.45+3*2+2.2*2.75+1.95*1.2+1.95*1.2+0.9*1.35+0.9*1.2))*(10.764)</f>
        <v>353.86649999999997</v>
      </c>
      <c r="F131" s="73">
        <f>((3*1+2.2*1.2+2.82*1.5+1.05*1.55)+0.75*(3+2.2+2.82+1.5))*(10.764)</f>
        <v>200.61404999999999</v>
      </c>
      <c r="G131" s="73">
        <v>0</v>
      </c>
      <c r="H131" s="6">
        <f t="shared" ref="H131:H137" si="14">E131+F131+(IF(G131&lt;101,G131,IF(G131&lt;201,G131/2,IF(G131&lt;=301,G131/3,G131/4))))</f>
        <v>554.48054999999999</v>
      </c>
      <c r="I131" s="1"/>
      <c r="J131" s="1"/>
      <c r="K131" s="1"/>
      <c r="L131" s="1"/>
      <c r="M131" s="1"/>
      <c r="N131" s="1"/>
      <c r="O131" s="1"/>
      <c r="P131" s="1"/>
      <c r="Q131" s="1"/>
      <c r="R131" s="1"/>
      <c r="S131" s="1"/>
      <c r="T131" s="23" t="str">
        <f t="shared" ref="T131:T137" ca="1" si="15">U131&amp;""&amp;" &amp; "&amp;""&amp;V131</f>
        <v>302 &amp; 302</v>
      </c>
      <c r="U131" s="23">
        <f ca="1">U130+1</f>
        <v>302</v>
      </c>
      <c r="V131" s="23">
        <f ca="1">V130+1</f>
        <v>302</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98">
        <v>3</v>
      </c>
      <c r="B132" s="98"/>
      <c r="C132" s="52" t="s">
        <v>326</v>
      </c>
      <c r="D132" s="73" t="s">
        <v>332</v>
      </c>
      <c r="E132" s="73">
        <f>((2.75*3+2.25*2+2.75*2+2*1.2+1.2*2))*(10.764)</f>
        <v>248.11019999999996</v>
      </c>
      <c r="F132" s="73">
        <f>(0.75*(2.75+2.25+2.75)+(2.75*1.5+2.25*1+2.75*1))*(10.764)</f>
        <v>160.78725</v>
      </c>
      <c r="G132" s="73">
        <v>0</v>
      </c>
      <c r="H132" s="6">
        <f t="shared" si="14"/>
        <v>408.89744999999994</v>
      </c>
      <c r="I132" s="1"/>
      <c r="J132" s="1"/>
      <c r="K132" s="1"/>
      <c r="L132" s="1"/>
      <c r="M132" s="1"/>
      <c r="N132" s="1"/>
      <c r="O132" s="1"/>
      <c r="P132" s="1"/>
      <c r="Q132" s="1"/>
      <c r="R132" s="1"/>
      <c r="S132" s="1"/>
      <c r="T132" s="23" t="str">
        <f t="shared" ca="1" si="15"/>
        <v>303 &amp; 303</v>
      </c>
      <c r="U132" s="23">
        <f t="shared" ref="U132:U138" ca="1" si="16">U131+1</f>
        <v>303</v>
      </c>
      <c r="V132" s="23">
        <f t="shared" ref="V132:V138" ca="1" si="17">V131+1</f>
        <v>303</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98">
        <v>4</v>
      </c>
      <c r="B133" s="98"/>
      <c r="C133" s="52" t="s">
        <v>326</v>
      </c>
      <c r="D133" s="73" t="s">
        <v>332</v>
      </c>
      <c r="E133" s="73">
        <f>((2.75*3+2.25*2+2.75*2+2*1.2+1.2*2))*(10.764)</f>
        <v>248.11019999999996</v>
      </c>
      <c r="F133" s="73">
        <f>(0.75*(2.75+2.25+2.75)+(2.75*1.5+2.25*1+2.75*1))*(10.764)</f>
        <v>160.78725</v>
      </c>
      <c r="G133" s="73">
        <v>0</v>
      </c>
      <c r="H133" s="6">
        <f t="shared" si="14"/>
        <v>408.89744999999994</v>
      </c>
      <c r="I133" s="1"/>
      <c r="J133" s="1"/>
      <c r="K133" s="1"/>
      <c r="L133" s="1"/>
      <c r="M133" s="1"/>
      <c r="N133" s="1"/>
      <c r="O133" s="1"/>
      <c r="P133" s="1"/>
      <c r="Q133" s="1"/>
      <c r="R133" s="1"/>
      <c r="S133" s="1"/>
      <c r="T133" s="23" t="str">
        <f t="shared" ca="1" si="15"/>
        <v>304 &amp; 304</v>
      </c>
      <c r="U133" s="23">
        <f t="shared" ca="1" si="16"/>
        <v>304</v>
      </c>
      <c r="V133" s="23">
        <f t="shared" ca="1" si="17"/>
        <v>304</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98">
        <v>5</v>
      </c>
      <c r="B134" s="98"/>
      <c r="C134" s="52" t="s">
        <v>326</v>
      </c>
      <c r="D134" s="73" t="s">
        <v>331</v>
      </c>
      <c r="E134" s="73">
        <f>((2.82*3+2.2*2.45+3*2+2.2*2.75+1.95*1.2+1.95*1.2+0.9*1.35+0.9*1.2))*(10.764)</f>
        <v>353.86649999999997</v>
      </c>
      <c r="F134" s="73">
        <f>((3*1+2.2*1.2+2.82*1.5+1.05*1.55)+0.75*(3+2.2+2.82+1.5))*(10.764)</f>
        <v>200.61404999999999</v>
      </c>
      <c r="G134" s="73">
        <v>0</v>
      </c>
      <c r="H134" s="6">
        <f t="shared" si="14"/>
        <v>554.48054999999999</v>
      </c>
      <c r="I134" s="1"/>
      <c r="J134" s="1"/>
      <c r="K134" s="1"/>
      <c r="L134" s="1"/>
      <c r="M134" s="1"/>
      <c r="N134" s="1"/>
      <c r="O134" s="1"/>
      <c r="P134" s="1"/>
      <c r="Q134" s="1"/>
      <c r="R134" s="1"/>
      <c r="S134" s="1"/>
      <c r="T134" s="23" t="str">
        <f t="shared" ca="1" si="15"/>
        <v>305 &amp; 305</v>
      </c>
      <c r="U134" s="23">
        <f t="shared" ca="1" si="16"/>
        <v>305</v>
      </c>
      <c r="V134" s="23">
        <f t="shared" ca="1" si="17"/>
        <v>305</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98">
        <v>6</v>
      </c>
      <c r="B135" s="98"/>
      <c r="C135" s="52" t="s">
        <v>326</v>
      </c>
      <c r="D135" s="73" t="s">
        <v>331</v>
      </c>
      <c r="E135" s="73">
        <f>((2.82*3+2.2*2.45+3*2+2.2*2.75+1.95*1.2+1.95*1.2+0.9*1.35+0.9*1.2))*(10.764)</f>
        <v>353.86649999999997</v>
      </c>
      <c r="F135" s="73">
        <f>((3*1+2.2*1.2+2.82*1.5+1.05*1.55)+0.75*(3+2.2+2.82+1.5))*(10.764)</f>
        <v>200.61404999999999</v>
      </c>
      <c r="G135" s="73">
        <v>0</v>
      </c>
      <c r="H135" s="6">
        <f t="shared" si="14"/>
        <v>554.48054999999999</v>
      </c>
      <c r="I135" s="1"/>
      <c r="J135" s="1"/>
      <c r="K135" s="1"/>
      <c r="L135" s="1"/>
      <c r="M135" s="1"/>
      <c r="N135" s="1"/>
      <c r="O135" s="1"/>
      <c r="P135" s="1"/>
      <c r="Q135" s="1"/>
      <c r="R135" s="1"/>
      <c r="S135" s="1"/>
      <c r="T135" s="23" t="str">
        <f t="shared" ca="1" si="15"/>
        <v>306 &amp; 306</v>
      </c>
      <c r="U135" s="23">
        <f t="shared" ca="1" si="16"/>
        <v>306</v>
      </c>
      <c r="V135" s="23">
        <f t="shared" ca="1" si="17"/>
        <v>306</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98">
        <v>7</v>
      </c>
      <c r="B136" s="98"/>
      <c r="C136" s="52" t="s">
        <v>326</v>
      </c>
      <c r="D136" s="73" t="s">
        <v>332</v>
      </c>
      <c r="E136" s="73">
        <f>((2.75*3+2.25*2+2.75*2+2*1.2+1.2*2))*(10.764)</f>
        <v>248.11019999999996</v>
      </c>
      <c r="F136" s="73">
        <f>(0.75*(2.75+2.25+2.75)+(2.75*1.5+2.25*1+2.75*1))*(10.764)</f>
        <v>160.78725</v>
      </c>
      <c r="G136" s="73">
        <v>0</v>
      </c>
      <c r="H136" s="6">
        <f t="shared" si="14"/>
        <v>408.89744999999994</v>
      </c>
      <c r="I136" s="1"/>
      <c r="J136" s="1"/>
      <c r="K136" s="1"/>
      <c r="L136" s="1"/>
      <c r="M136" s="1"/>
      <c r="N136" s="1"/>
      <c r="O136" s="1"/>
      <c r="P136" s="1"/>
      <c r="Q136" s="1"/>
      <c r="R136" s="1"/>
      <c r="S136" s="1"/>
      <c r="T136" s="23" t="str">
        <f t="shared" ca="1" si="15"/>
        <v>307 &amp; 307</v>
      </c>
      <c r="U136" s="23">
        <f t="shared" ca="1" si="16"/>
        <v>307</v>
      </c>
      <c r="V136" s="23">
        <f t="shared" ca="1" si="17"/>
        <v>307</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98">
        <v>8</v>
      </c>
      <c r="B137" s="98"/>
      <c r="C137" s="52" t="s">
        <v>326</v>
      </c>
      <c r="D137" s="73" t="s">
        <v>332</v>
      </c>
      <c r="E137" s="73">
        <f>((2.75*3+2.25*2+2.75*2+2*1.2+1.2*2))*(10.764)</f>
        <v>248.11019999999996</v>
      </c>
      <c r="F137" s="73">
        <f>(0.75*(2.75+2.25+2.75)+(2.75*1.5+2.25*1+2.75*1))*(10.764)</f>
        <v>160.78725</v>
      </c>
      <c r="G137" s="73">
        <v>0</v>
      </c>
      <c r="H137" s="6">
        <f t="shared" si="14"/>
        <v>408.89744999999994</v>
      </c>
      <c r="I137" s="1"/>
      <c r="J137" s="1"/>
      <c r="K137" s="1"/>
      <c r="L137" s="1"/>
      <c r="M137" s="1"/>
      <c r="N137" s="1"/>
      <c r="O137" s="1"/>
      <c r="P137" s="1"/>
      <c r="Q137" s="1"/>
      <c r="R137" s="1"/>
      <c r="S137" s="1"/>
      <c r="T137" s="23" t="str">
        <f t="shared" ca="1" si="15"/>
        <v>308 &amp; 308</v>
      </c>
      <c r="U137" s="23">
        <f t="shared" ca="1" si="16"/>
        <v>308</v>
      </c>
      <c r="V137" s="23">
        <f t="shared" ca="1" si="17"/>
        <v>308</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98">
        <v>9</v>
      </c>
      <c r="B138" s="98"/>
      <c r="C138" s="52" t="s">
        <v>326</v>
      </c>
      <c r="D138" s="73" t="s">
        <v>331</v>
      </c>
      <c r="E138" s="73">
        <f>((3*2.85+2*2.25+2*2.75+2*2.65+1.2*2+2*1.2))*(10.764)</f>
        <v>308.38859999999994</v>
      </c>
      <c r="F138" s="73">
        <f>(0.75*(2.75+2.25+2.85+2.65)+(1.5*2.85+1*2.25+1*2.75+1*2.65))*(10.764)</f>
        <v>213.12719999999999</v>
      </c>
      <c r="G138" s="73">
        <v>0</v>
      </c>
      <c r="H138" s="73">
        <f t="shared" ref="H138" si="18">E138+F138+(IF(G138&lt;101,G138,IF(G138&lt;201,G138/2,IF(G138&lt;=301,G138/3,G138/4))))</f>
        <v>521.5157999999999</v>
      </c>
      <c r="I138" s="1"/>
      <c r="J138" s="1"/>
      <c r="K138" s="1"/>
      <c r="L138" s="1"/>
      <c r="M138" s="1"/>
      <c r="N138" s="1"/>
      <c r="O138" s="1"/>
      <c r="P138" s="1"/>
      <c r="Q138" s="1"/>
      <c r="R138" s="1"/>
      <c r="S138" s="1"/>
      <c r="T138" s="23" t="str">
        <f t="shared" ref="T138" ca="1" si="19">U138&amp;""&amp;" &amp; "&amp;""&amp;V138</f>
        <v>309 &amp; 309</v>
      </c>
      <c r="U138" s="23">
        <f t="shared" ca="1" si="16"/>
        <v>309</v>
      </c>
      <c r="V138" s="23">
        <f t="shared" ca="1" si="17"/>
        <v>309</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32" t="s">
        <v>334</v>
      </c>
      <c r="B139" s="133"/>
      <c r="C139" s="133"/>
      <c r="D139" s="133"/>
      <c r="E139" s="133"/>
      <c r="F139" s="133"/>
      <c r="G139" s="133"/>
      <c r="H139" s="13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98">
        <v>1</v>
      </c>
      <c r="B140" s="98"/>
      <c r="C140" s="52" t="s">
        <v>326</v>
      </c>
      <c r="D140" s="73" t="s">
        <v>331</v>
      </c>
      <c r="E140" s="73">
        <f>((2.8*3+2.2*2.45+3*2+2.2*2.75+1.05*1.2+0.9*1.35+1.95*1.2+1.95*1.2))*(10.764)</f>
        <v>355.15818000000002</v>
      </c>
      <c r="F140" s="73">
        <f>(0.75*(2.8+2.2+3+1.5)+(2.8*1.5+2.2*1.2+3*1+1.05*1.5))*(10.764)</f>
        <v>199.56455999999997</v>
      </c>
      <c r="G140" s="73">
        <v>0</v>
      </c>
      <c r="H140" s="73">
        <f>E140+F140+(IF(G140&lt;101,G140,IF(G140&lt;201,G140/2,IF(G140&lt;=301,G140/3,G140/4))))</f>
        <v>554.72273999999993</v>
      </c>
      <c r="I140" s="1"/>
      <c r="J140" s="1"/>
      <c r="K140" s="1"/>
      <c r="L140" s="1"/>
      <c r="M140" s="1"/>
      <c r="N140" s="1"/>
      <c r="O140" s="1"/>
      <c r="P140" s="1"/>
      <c r="Q140" s="1"/>
      <c r="R140" s="1"/>
      <c r="S140" s="1"/>
      <c r="T140" s="23" t="str">
        <f ca="1">U140&amp;""&amp;" &amp; "&amp;""&amp;V140</f>
        <v>401 &amp; 1701</v>
      </c>
      <c r="U140" s="23">
        <f ca="1">(SUMPRODUCT(MID(0&amp;(LEFT(A139,SUM(LEN(A139)-LEN(SUBSTITUTE(A139,{"0","1","2","3"},""))))), LARGE(INDEX(ISNUMBER(--MID((LEFT(A139,SUM(LEN(A139)-LEN(SUBSTITUTE(A139,{"0","1","2","3"},""))))), ROW(INDIRECT("1:"&amp;LEN((LEFT(A139,SUM(LEN(A139)-LEN(SUBSTITUTE(A139,{"0","1","2","3"},"")))))))), 1)) * ROW(INDIRECT("1:"&amp;LEN((LEFT(A139,SUM(LEN(A139)-LEN(SUBSTITUTE(A139,{"0","1","2","3"},"")))))))), 0), ROW(INDIRECT("1:"&amp;LEN((LEFT(A139,SUM(LEN(A139)-LEN(SUBSTITUTE(A139,{"0","1","2","3"},"")))))))))+1, 1) * 10^ROW(INDIRECT("1:"&amp;LEN((LEFT(A139,SUM(LEN(A139)-LEN(SUBSTITUTE(A139,{"0","1","2","3"},""))))))))/10))*100+1</f>
        <v>401</v>
      </c>
      <c r="V140" s="23">
        <f ca="1">(SUMPRODUCT(MID(0&amp;(--TRIM(RIGHT(SUBSTITUTE(LEFT(A139,_xlfn.AGGREGATE(16,6,FIND({0,1,2,3,4,5,6,7,8,9},A139,ROW(INDIRECT("1:"&amp;LEN(A139)))),1)),"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",LEN(A139))),LEN(A139)))))))/10))*100+1</f>
        <v>1701</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98">
        <v>2</v>
      </c>
      <c r="B141" s="98"/>
      <c r="C141" s="52" t="s">
        <v>326</v>
      </c>
      <c r="D141" s="73" t="s">
        <v>331</v>
      </c>
      <c r="E141" s="73">
        <f>((2.82*3+2.2*2.45+3*2+2.2*2.75+1.95*1.2+1.95*1.2+0.9*1.35+0.9*1.2))*(10.764)</f>
        <v>353.86649999999997</v>
      </c>
      <c r="F141" s="73">
        <f>((3*1+2.2*1.2+2.82*1.5+1.05*1.55)+0.75*(3+2.2+2.82+1.5))*(10.764)</f>
        <v>200.61404999999999</v>
      </c>
      <c r="G141" s="73">
        <v>0</v>
      </c>
      <c r="H141" s="73">
        <f t="shared" ref="H141:H148" si="20">E141+F141+(IF(G141&lt;101,G141,IF(G141&lt;201,G141/2,IF(G141&lt;=301,G141/3,G141/4))))</f>
        <v>554.48054999999999</v>
      </c>
      <c r="I141" s="1"/>
      <c r="J141" s="1"/>
      <c r="K141" s="1"/>
      <c r="L141" s="1"/>
      <c r="M141" s="1"/>
      <c r="N141" s="1"/>
      <c r="O141" s="1"/>
      <c r="P141" s="1"/>
      <c r="Q141" s="1"/>
      <c r="R141" s="1"/>
      <c r="S141" s="1"/>
      <c r="T141" s="23" t="str">
        <f t="shared" ref="T141:T148" ca="1" si="21">U141&amp;""&amp;" &amp; "&amp;""&amp;V141</f>
        <v>402 &amp; 1702</v>
      </c>
      <c r="U141" s="23">
        <f ca="1">U140+1</f>
        <v>402</v>
      </c>
      <c r="V141" s="23">
        <f ca="1">V140+1</f>
        <v>1702</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98">
        <v>3</v>
      </c>
      <c r="B142" s="98"/>
      <c r="C142" s="52" t="s">
        <v>326</v>
      </c>
      <c r="D142" s="73" t="s">
        <v>332</v>
      </c>
      <c r="E142" s="73">
        <f>((2.75*3+2.25*2+2.75*2+2*1.2+1.2*2))*(10.764)</f>
        <v>248.11019999999996</v>
      </c>
      <c r="F142" s="73">
        <f>(0.75*(2.75+2.25+2.75)+(2.75*1.5+2.25*1+2.75*1))*(10.764)</f>
        <v>160.78725</v>
      </c>
      <c r="G142" s="73">
        <v>0</v>
      </c>
      <c r="H142" s="73">
        <f t="shared" si="20"/>
        <v>408.89744999999994</v>
      </c>
      <c r="I142" s="1"/>
      <c r="J142" s="1"/>
      <c r="K142" s="1"/>
      <c r="L142" s="1"/>
      <c r="M142" s="1"/>
      <c r="N142" s="1"/>
      <c r="O142" s="1"/>
      <c r="P142" s="1"/>
      <c r="Q142" s="1"/>
      <c r="R142" s="1"/>
      <c r="S142" s="1"/>
      <c r="T142" s="23" t="str">
        <f t="shared" ca="1" si="21"/>
        <v>403 &amp; 1703</v>
      </c>
      <c r="U142" s="23">
        <f t="shared" ref="U142:V148" ca="1" si="22">U141+1</f>
        <v>403</v>
      </c>
      <c r="V142" s="23">
        <f t="shared" ca="1" si="22"/>
        <v>1703</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98">
        <v>4</v>
      </c>
      <c r="B143" s="98"/>
      <c r="C143" s="52" t="s">
        <v>326</v>
      </c>
      <c r="D143" s="73" t="s">
        <v>332</v>
      </c>
      <c r="E143" s="73">
        <f>((2.75*3+2.25*2+2.75*2+2*1.2+1.2*2))*(10.764)</f>
        <v>248.11019999999996</v>
      </c>
      <c r="F143" s="73">
        <f>(0.75*(2.75+2.25+2.75)+(2.75*1.5+2.25*1+2.75*1))*(10.764)</f>
        <v>160.78725</v>
      </c>
      <c r="G143" s="73">
        <v>0</v>
      </c>
      <c r="H143" s="73">
        <f t="shared" si="20"/>
        <v>408.89744999999994</v>
      </c>
      <c r="I143" s="1"/>
      <c r="J143" s="1"/>
      <c r="K143" s="1"/>
      <c r="L143" s="1"/>
      <c r="M143" s="1"/>
      <c r="N143" s="1"/>
      <c r="O143" s="1"/>
      <c r="P143" s="1"/>
      <c r="Q143" s="1"/>
      <c r="R143" s="1"/>
      <c r="S143" s="1"/>
      <c r="T143" s="23" t="str">
        <f t="shared" ca="1" si="21"/>
        <v>404 &amp; 1704</v>
      </c>
      <c r="U143" s="23">
        <f t="shared" ca="1" si="22"/>
        <v>404</v>
      </c>
      <c r="V143" s="23">
        <f t="shared" ca="1" si="22"/>
        <v>1704</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98">
        <v>5</v>
      </c>
      <c r="B144" s="98"/>
      <c r="C144" s="52" t="s">
        <v>326</v>
      </c>
      <c r="D144" s="73" t="s">
        <v>331</v>
      </c>
      <c r="E144" s="73">
        <f>((2.82*3+2.2*2.45+3*2+2.2*2.75+1.95*1.2+1.95*1.2+0.9*1.35+0.9*1.2))*(10.764)</f>
        <v>353.86649999999997</v>
      </c>
      <c r="F144" s="73">
        <f>((3*1+2.2*1.2+2.82*1.5+1.05*1.55)+0.75*(3+2.2+2.82+1.5))*(10.764)</f>
        <v>200.61404999999999</v>
      </c>
      <c r="G144" s="73">
        <v>0</v>
      </c>
      <c r="H144" s="73">
        <f t="shared" si="20"/>
        <v>554.48054999999999</v>
      </c>
      <c r="I144" s="1"/>
      <c r="J144" s="1"/>
      <c r="K144" s="1"/>
      <c r="L144" s="1"/>
      <c r="M144" s="1"/>
      <c r="N144" s="1"/>
      <c r="O144" s="1"/>
      <c r="P144" s="1"/>
      <c r="Q144" s="1"/>
      <c r="R144" s="1"/>
      <c r="S144" s="1"/>
      <c r="T144" s="23" t="str">
        <f t="shared" ca="1" si="21"/>
        <v>405 &amp; 1705</v>
      </c>
      <c r="U144" s="23">
        <f t="shared" ca="1" si="22"/>
        <v>405</v>
      </c>
      <c r="V144" s="23">
        <f t="shared" ca="1" si="22"/>
        <v>1705</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98">
        <v>6</v>
      </c>
      <c r="B145" s="98"/>
      <c r="C145" s="52" t="s">
        <v>326</v>
      </c>
      <c r="D145" s="73" t="s">
        <v>331</v>
      </c>
      <c r="E145" s="73">
        <f>((2.82*3+2.2*2.45+3*2+2.2*2.75+1.95*1.2+1.95*1.2+0.9*1.35+0.9*1.2))*(10.764)</f>
        <v>353.86649999999997</v>
      </c>
      <c r="F145" s="73">
        <f>((3*1+2.2*1.2+2.82*1.5+1.05*1.55)+0.75*(3+2.2+2.82+1.5))*(10.764)</f>
        <v>200.61404999999999</v>
      </c>
      <c r="G145" s="73">
        <v>0</v>
      </c>
      <c r="H145" s="73">
        <f t="shared" si="20"/>
        <v>554.48054999999999</v>
      </c>
      <c r="I145" s="1"/>
      <c r="J145" s="1"/>
      <c r="K145" s="1"/>
      <c r="L145" s="1"/>
      <c r="M145" s="1"/>
      <c r="N145" s="1"/>
      <c r="O145" s="1"/>
      <c r="P145" s="1"/>
      <c r="Q145" s="1"/>
      <c r="R145" s="1"/>
      <c r="S145" s="1"/>
      <c r="T145" s="23" t="str">
        <f t="shared" ca="1" si="21"/>
        <v>406 &amp; 1706</v>
      </c>
      <c r="U145" s="23">
        <f t="shared" ca="1" si="22"/>
        <v>406</v>
      </c>
      <c r="V145" s="23">
        <f t="shared" ca="1" si="22"/>
        <v>1706</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98">
        <v>7</v>
      </c>
      <c r="B146" s="98"/>
      <c r="C146" s="52" t="s">
        <v>326</v>
      </c>
      <c r="D146" s="73" t="s">
        <v>332</v>
      </c>
      <c r="E146" s="73">
        <f>((2.75*3+2.25*2+2.75*2+2*1.2+1.2*2))*(10.764)</f>
        <v>248.11019999999996</v>
      </c>
      <c r="F146" s="73">
        <f>(0.75*(2.75+2.25+2.75)+(2.75*1.5+2.25*1+2.75*1))*(10.764)</f>
        <v>160.78725</v>
      </c>
      <c r="G146" s="73">
        <v>0</v>
      </c>
      <c r="H146" s="73">
        <f t="shared" si="20"/>
        <v>408.89744999999994</v>
      </c>
      <c r="I146" s="1"/>
      <c r="J146" s="1"/>
      <c r="K146" s="1"/>
      <c r="L146" s="1"/>
      <c r="M146" s="1"/>
      <c r="N146" s="1"/>
      <c r="O146" s="1"/>
      <c r="P146" s="1"/>
      <c r="Q146" s="1"/>
      <c r="R146" s="1"/>
      <c r="S146" s="1"/>
      <c r="T146" s="23" t="str">
        <f t="shared" ca="1" si="21"/>
        <v>407 &amp; 1707</v>
      </c>
      <c r="U146" s="23">
        <f t="shared" ca="1" si="22"/>
        <v>407</v>
      </c>
      <c r="V146" s="23">
        <f t="shared" ca="1" si="22"/>
        <v>1707</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98">
        <v>8</v>
      </c>
      <c r="B147" s="98"/>
      <c r="C147" s="52" t="s">
        <v>326</v>
      </c>
      <c r="D147" s="73" t="s">
        <v>332</v>
      </c>
      <c r="E147" s="73">
        <f>((2.75*3+2.25*2+2.75*2+2*1.2+1.2*2))*(10.764)</f>
        <v>248.11019999999996</v>
      </c>
      <c r="F147" s="73">
        <f>(0.75*(2.75+2.25+2.75)+(2.75*1.5+2.25*1+2.75*1))*(10.764)</f>
        <v>160.78725</v>
      </c>
      <c r="G147" s="73">
        <v>0</v>
      </c>
      <c r="H147" s="73">
        <f t="shared" si="20"/>
        <v>408.89744999999994</v>
      </c>
      <c r="I147" s="1"/>
      <c r="J147" s="1"/>
      <c r="K147" s="1"/>
      <c r="L147" s="1"/>
      <c r="M147" s="1"/>
      <c r="N147" s="1"/>
      <c r="O147" s="1"/>
      <c r="P147" s="1"/>
      <c r="Q147" s="1"/>
      <c r="R147" s="1"/>
      <c r="S147" s="1"/>
      <c r="T147" s="23" t="str">
        <f t="shared" ca="1" si="21"/>
        <v>408 &amp; 1708</v>
      </c>
      <c r="U147" s="23">
        <f t="shared" ca="1" si="22"/>
        <v>408</v>
      </c>
      <c r="V147" s="23">
        <f t="shared" ca="1" si="22"/>
        <v>1708</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98">
        <v>9</v>
      </c>
      <c r="B148" s="98"/>
      <c r="C148" s="52" t="s">
        <v>326</v>
      </c>
      <c r="D148" s="73" t="s">
        <v>331</v>
      </c>
      <c r="E148" s="73">
        <f>((3*2.85+2*2.25+2*2.75+2*2.65+1.2*2+2*1.2))*(10.764)</f>
        <v>308.38859999999994</v>
      </c>
      <c r="F148" s="73">
        <f>(0.75*(2.75+2.25+2.85+2.65)+(1.5*2.85+1*2.25+1*2.75+1*2.65))*(10.764)</f>
        <v>213.12719999999999</v>
      </c>
      <c r="G148" s="73">
        <v>0</v>
      </c>
      <c r="H148" s="73">
        <f t="shared" si="20"/>
        <v>521.5157999999999</v>
      </c>
      <c r="I148" s="1"/>
      <c r="J148" s="1"/>
      <c r="K148" s="1"/>
      <c r="L148" s="1"/>
      <c r="M148" s="1"/>
      <c r="N148" s="1"/>
      <c r="O148" s="1"/>
      <c r="P148" s="1"/>
      <c r="Q148" s="1"/>
      <c r="R148" s="1"/>
      <c r="S148" s="1"/>
      <c r="T148" s="23" t="str">
        <f t="shared" ca="1" si="21"/>
        <v>409 &amp; 1709</v>
      </c>
      <c r="U148" s="23">
        <f t="shared" ca="1" si="22"/>
        <v>409</v>
      </c>
      <c r="V148" s="23">
        <f t="shared" ca="1" si="22"/>
        <v>1709</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32" t="s">
        <v>336</v>
      </c>
      <c r="B149" s="133"/>
      <c r="C149" s="133"/>
      <c r="D149" s="133"/>
      <c r="E149" s="133"/>
      <c r="F149" s="133"/>
      <c r="G149" s="133"/>
      <c r="H149" s="13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98">
        <v>1</v>
      </c>
      <c r="B150" s="98"/>
      <c r="C150" s="52" t="s">
        <v>326</v>
      </c>
      <c r="D150" s="73" t="s">
        <v>331</v>
      </c>
      <c r="E150" s="73">
        <f>((2.8*3+2.2*2.45+3*2+2.2*2.75+1.05*1.2+0.9*1.35+1.95*1.2+1.95*1.2))*(10.764)</f>
        <v>355.15818000000002</v>
      </c>
      <c r="F150" s="73">
        <f>(0.75*(2.8+2.2+3+1.5)+(2.8*1.5+2.2*1.2+3*1+1.05*1.5))*(10.764)</f>
        <v>199.56455999999997</v>
      </c>
      <c r="G150" s="73">
        <v>0</v>
      </c>
      <c r="H150" s="73">
        <f>E150+F150+(IF(G150&lt;101,G150,IF(G150&lt;201,G150/2,IF(G150&lt;=301,G150/3,G150/4))))</f>
        <v>554.72273999999993</v>
      </c>
      <c r="I150" s="1"/>
      <c r="J150" s="1"/>
      <c r="K150" s="1"/>
      <c r="L150" s="1"/>
      <c r="M150" s="1"/>
      <c r="N150" s="1"/>
      <c r="O150" s="1"/>
      <c r="P150" s="1"/>
      <c r="Q150" s="1"/>
      <c r="R150" s="1"/>
      <c r="S150" s="1"/>
      <c r="T150" s="23" t="str">
        <f ca="1">U150&amp;""&amp;" &amp; "&amp;""&amp;V150</f>
        <v>801 &amp; 1301</v>
      </c>
      <c r="U150" s="23">
        <f ca="1">(SUMPRODUCT(MID(0&amp;(LEFT(A149,SUM(LEN(A149)-LEN(SUBSTITUTE(A149,{"0","1","2","3"},""))))), LARGE(INDEX(ISNUMBER(--MID((LEFT(A149,SUM(LEN(A149)-LEN(SUBSTITUTE(A149,{"0","1","2","3"},""))))), ROW(INDIRECT("1:"&amp;LEN((LEFT(A149,SUM(LEN(A149)-LEN(SUBSTITUTE(A149,{"0","1","2","3"},"")))))))), 1)) * ROW(INDIRECT("1:"&amp;LEN((LEFT(A149,SUM(LEN(A149)-LEN(SUBSTITUTE(A149,{"0","1","2","3"},"")))))))), 0), ROW(INDIRECT("1:"&amp;LEN((LEFT(A149,SUM(LEN(A149)-LEN(SUBSTITUTE(A149,{"0","1","2","3"},"")))))))))+1, 1) * 10^ROW(INDIRECT("1:"&amp;LEN((LEFT(A149,SUM(LEN(A149)-LEN(SUBSTITUTE(A149,{"0","1","2","3"},""))))))))/10))*100+1</f>
        <v>801</v>
      </c>
      <c r="V150" s="23">
        <f ca="1">(SUMPRODUCT(MID(0&amp;(--TRIM(RIGHT(SUBSTITUTE(LEFT(A149,_xlfn.AGGREGATE(16,6,FIND({0,1,2,3,4,5,6,7,8,9},A149,ROW(INDIRECT("1:"&amp;LEN(A149)))),1)),"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1301</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98">
        <v>2</v>
      </c>
      <c r="B151" s="98"/>
      <c r="C151" s="52" t="s">
        <v>326</v>
      </c>
      <c r="D151" s="73" t="s">
        <v>331</v>
      </c>
      <c r="E151" s="73">
        <f>((2.82*3+2.2*2.45+3*2+2.2*2.75+1.95*1.2+1.95*1.2+0.9*1.35+0.9*1.2))*(10.764)</f>
        <v>353.86649999999997</v>
      </c>
      <c r="F151" s="73">
        <f>((3*1+2.2*1.2+2.82*1.5+1.05*1.55)+0.75*(3+2.2+2.82+1.5))*(10.764)</f>
        <v>200.61404999999999</v>
      </c>
      <c r="G151" s="73">
        <v>0</v>
      </c>
      <c r="H151" s="73">
        <f t="shared" ref="H151:H158" si="23">E151+F151+(IF(G151&lt;101,G151,IF(G151&lt;201,G151/2,IF(G151&lt;=301,G151/3,G151/4))))</f>
        <v>554.48054999999999</v>
      </c>
      <c r="I151" s="1"/>
      <c r="J151" s="1"/>
      <c r="K151" s="1"/>
      <c r="L151" s="1"/>
      <c r="M151" s="1"/>
      <c r="N151" s="1"/>
      <c r="O151" s="1"/>
      <c r="P151" s="1"/>
      <c r="Q151" s="1"/>
      <c r="R151" s="1"/>
      <c r="S151" s="1"/>
      <c r="T151" s="23" t="str">
        <f t="shared" ref="T151:T158" ca="1" si="24">U151&amp;""&amp;" &amp; "&amp;""&amp;V151</f>
        <v>802 &amp; 1302</v>
      </c>
      <c r="U151" s="23">
        <f ca="1">U150+1</f>
        <v>802</v>
      </c>
      <c r="V151" s="23">
        <f ca="1">V150+1</f>
        <v>1302</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8">
        <v>3</v>
      </c>
      <c r="B152" s="98"/>
      <c r="C152" s="52" t="s">
        <v>326</v>
      </c>
      <c r="D152" s="73" t="s">
        <v>332</v>
      </c>
      <c r="E152" s="73">
        <f>((2.75*3+2.25*2+2.75*2+2*1.2+1.2*2))*(10.764)</f>
        <v>248.11019999999996</v>
      </c>
      <c r="F152" s="73">
        <f>(0.75*(2.75+2.25+2.75)+(2.75*1.5+2.25*1+2.75*1))*(10.764)</f>
        <v>160.78725</v>
      </c>
      <c r="G152" s="73">
        <v>0</v>
      </c>
      <c r="H152" s="73">
        <f t="shared" si="23"/>
        <v>408.89744999999994</v>
      </c>
      <c r="I152" s="1"/>
      <c r="J152" s="1"/>
      <c r="K152" s="1"/>
      <c r="L152" s="1"/>
      <c r="M152" s="1"/>
      <c r="N152" s="1"/>
      <c r="O152" s="1"/>
      <c r="P152" s="1"/>
      <c r="Q152" s="1"/>
      <c r="R152" s="1"/>
      <c r="S152" s="1"/>
      <c r="T152" s="23" t="str">
        <f t="shared" ca="1" si="24"/>
        <v>803 &amp; 1303</v>
      </c>
      <c r="U152" s="23">
        <f t="shared" ref="U152:V152" ca="1" si="25">U151+1</f>
        <v>803</v>
      </c>
      <c r="V152" s="23">
        <f t="shared" ca="1" si="25"/>
        <v>1303</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98">
        <v>4</v>
      </c>
      <c r="B153" s="98"/>
      <c r="C153" s="52" t="s">
        <v>326</v>
      </c>
      <c r="D153" s="86" t="s">
        <v>335</v>
      </c>
      <c r="E153" s="180"/>
      <c r="F153" s="180"/>
      <c r="G153" s="180"/>
      <c r="H153" s="87"/>
      <c r="I153" s="1"/>
      <c r="J153" s="1"/>
      <c r="K153" s="1"/>
      <c r="L153" s="1"/>
      <c r="M153" s="1"/>
      <c r="N153" s="1"/>
      <c r="O153" s="1"/>
      <c r="P153" s="1"/>
      <c r="Q153" s="1"/>
      <c r="R153" s="1"/>
      <c r="S153" s="1"/>
      <c r="T153" s="23" t="str">
        <f t="shared" ca="1" si="24"/>
        <v>804 &amp; 1304</v>
      </c>
      <c r="U153" s="23">
        <f t="shared" ref="U153:V153" ca="1" si="26">U152+1</f>
        <v>804</v>
      </c>
      <c r="V153" s="23">
        <f t="shared" ca="1" si="26"/>
        <v>1304</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98">
        <v>5</v>
      </c>
      <c r="B154" s="98"/>
      <c r="C154" s="52" t="s">
        <v>326</v>
      </c>
      <c r="D154" s="73" t="s">
        <v>331</v>
      </c>
      <c r="E154" s="73">
        <f>((2.82*3+2.2*2.45+3*2+2.2*2.75+1.95*1.2+1.95*1.2+0.9*1.35+0.9*1.2))*(10.764)</f>
        <v>353.86649999999997</v>
      </c>
      <c r="F154" s="73">
        <f>((3*1+2.2*1.2+2.82*1.5+1.05*1.55)+0.75*(3+2.2+2.82+1.5))*(10.764)</f>
        <v>200.61404999999999</v>
      </c>
      <c r="G154" s="73">
        <v>0</v>
      </c>
      <c r="H154" s="73">
        <f t="shared" si="23"/>
        <v>554.48054999999999</v>
      </c>
      <c r="I154" s="1"/>
      <c r="J154" s="1"/>
      <c r="K154" s="1"/>
      <c r="L154" s="1"/>
      <c r="M154" s="1"/>
      <c r="N154" s="1"/>
      <c r="O154" s="1"/>
      <c r="P154" s="1"/>
      <c r="Q154" s="1"/>
      <c r="R154" s="1"/>
      <c r="S154" s="1"/>
      <c r="T154" s="23" t="str">
        <f t="shared" ca="1" si="24"/>
        <v>805 &amp; 1305</v>
      </c>
      <c r="U154" s="23">
        <f t="shared" ref="U154:V154" ca="1" si="27">U153+1</f>
        <v>805</v>
      </c>
      <c r="V154" s="23">
        <f t="shared" ca="1" si="27"/>
        <v>1305</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98">
        <v>6</v>
      </c>
      <c r="B155" s="98"/>
      <c r="C155" s="52" t="s">
        <v>326</v>
      </c>
      <c r="D155" s="73" t="s">
        <v>331</v>
      </c>
      <c r="E155" s="73">
        <f>((2.82*3+2.2*2.45+3*2+2.2*2.75+1.95*1.2+1.95*1.2+0.9*1.35+0.9*1.2))*(10.764)</f>
        <v>353.86649999999997</v>
      </c>
      <c r="F155" s="73">
        <f>((3*1+2.2*1.2+2.82*1.5+1.05*1.55)+0.75*(3+2.2+2.82+1.5))*(10.764)</f>
        <v>200.61404999999999</v>
      </c>
      <c r="G155" s="73">
        <v>0</v>
      </c>
      <c r="H155" s="73">
        <f t="shared" si="23"/>
        <v>554.48054999999999</v>
      </c>
      <c r="I155" s="1"/>
      <c r="J155" s="1"/>
      <c r="K155" s="1"/>
      <c r="L155" s="1"/>
      <c r="M155" s="1"/>
      <c r="N155" s="1"/>
      <c r="O155" s="1"/>
      <c r="P155" s="1"/>
      <c r="Q155" s="1"/>
      <c r="R155" s="1"/>
      <c r="S155" s="1"/>
      <c r="T155" s="23" t="str">
        <f t="shared" ca="1" si="24"/>
        <v>806 &amp; 1306</v>
      </c>
      <c r="U155" s="23">
        <f t="shared" ref="U155:V155" ca="1" si="28">U154+1</f>
        <v>806</v>
      </c>
      <c r="V155" s="23">
        <f t="shared" ca="1" si="28"/>
        <v>1306</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98">
        <v>7</v>
      </c>
      <c r="B156" s="98"/>
      <c r="C156" s="52" t="s">
        <v>326</v>
      </c>
      <c r="D156" s="73" t="s">
        <v>332</v>
      </c>
      <c r="E156" s="73">
        <f>((2.75*3+2.25*2+2.75*2+2*1.2+1.2*2))*(10.764)</f>
        <v>248.11019999999996</v>
      </c>
      <c r="F156" s="73">
        <f>(0.75*(2.75+2.25+2.75)+(2.75*1.5+2.25*1+2.75*1))*(10.764)</f>
        <v>160.78725</v>
      </c>
      <c r="G156" s="73">
        <v>0</v>
      </c>
      <c r="H156" s="73">
        <f t="shared" si="23"/>
        <v>408.89744999999994</v>
      </c>
      <c r="I156" s="1"/>
      <c r="J156" s="1"/>
      <c r="K156" s="1"/>
      <c r="L156" s="1"/>
      <c r="M156" s="1"/>
      <c r="N156" s="1"/>
      <c r="O156" s="1"/>
      <c r="P156" s="1"/>
      <c r="Q156" s="1"/>
      <c r="R156" s="1"/>
      <c r="S156" s="1"/>
      <c r="T156" s="23" t="str">
        <f t="shared" ca="1" si="24"/>
        <v>807 &amp; 1307</v>
      </c>
      <c r="U156" s="23">
        <f t="shared" ref="U156:V156" ca="1" si="29">U155+1</f>
        <v>807</v>
      </c>
      <c r="V156" s="23">
        <f t="shared" ca="1" si="29"/>
        <v>1307</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98">
        <v>8</v>
      </c>
      <c r="B157" s="98"/>
      <c r="C157" s="52" t="s">
        <v>326</v>
      </c>
      <c r="D157" s="73" t="s">
        <v>332</v>
      </c>
      <c r="E157" s="73">
        <f>((2.75*3+2.25*2+2.75*2+2*1.2+1.2*2))*(10.764)</f>
        <v>248.11019999999996</v>
      </c>
      <c r="F157" s="73">
        <f>(0.75*(2.75+2.25+2.75)+(2.75*1.5+2.25*1+2.75*1))*(10.764)</f>
        <v>160.78725</v>
      </c>
      <c r="G157" s="73">
        <v>0</v>
      </c>
      <c r="H157" s="73">
        <f t="shared" si="23"/>
        <v>408.89744999999994</v>
      </c>
      <c r="I157" s="1"/>
      <c r="J157" s="1"/>
      <c r="K157" s="1"/>
      <c r="L157" s="1"/>
      <c r="M157" s="1"/>
      <c r="N157" s="1"/>
      <c r="O157" s="1"/>
      <c r="P157" s="1"/>
      <c r="Q157" s="1"/>
      <c r="R157" s="1"/>
      <c r="S157" s="1"/>
      <c r="T157" s="23" t="str">
        <f t="shared" ca="1" si="24"/>
        <v>808 &amp; 1308</v>
      </c>
      <c r="U157" s="23">
        <f t="shared" ref="U157:V157" ca="1" si="30">U156+1</f>
        <v>808</v>
      </c>
      <c r="V157" s="23">
        <f t="shared" ca="1" si="30"/>
        <v>1308</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98">
        <v>9</v>
      </c>
      <c r="B158" s="98"/>
      <c r="C158" s="52" t="s">
        <v>326</v>
      </c>
      <c r="D158" s="73" t="s">
        <v>331</v>
      </c>
      <c r="E158" s="73">
        <f>((3*2.85+2*2.25+2*2.75+2*2.65+1.2*2+2*1.2))*(10.764)</f>
        <v>308.38859999999994</v>
      </c>
      <c r="F158" s="73">
        <f>(0.75*(2.75+2.25+2.85+2.65)+(1.5*2.85+1*2.25+1*2.75+1*2.65))*(10.764)</f>
        <v>213.12719999999999</v>
      </c>
      <c r="G158" s="73">
        <v>0</v>
      </c>
      <c r="H158" s="73">
        <f t="shared" si="23"/>
        <v>521.5157999999999</v>
      </c>
      <c r="I158" s="1"/>
      <c r="J158" s="1"/>
      <c r="K158" s="1"/>
      <c r="L158" s="1"/>
      <c r="M158" s="1"/>
      <c r="N158" s="1"/>
      <c r="O158" s="1"/>
      <c r="P158" s="1"/>
      <c r="Q158" s="1"/>
      <c r="R158" s="1"/>
      <c r="S158" s="1"/>
      <c r="T158" s="23" t="str">
        <f t="shared" ca="1" si="24"/>
        <v>809 &amp; 1309</v>
      </c>
      <c r="U158" s="23">
        <f t="shared" ref="U158:V158" ca="1" si="31">U157+1</f>
        <v>809</v>
      </c>
      <c r="V158" s="23">
        <f t="shared" ca="1" si="31"/>
        <v>1309</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132" t="s">
        <v>337</v>
      </c>
      <c r="B159" s="133"/>
      <c r="C159" s="133"/>
      <c r="D159" s="133"/>
      <c r="E159" s="133"/>
      <c r="F159" s="133"/>
      <c r="G159" s="133"/>
      <c r="H159" s="13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98">
        <v>1</v>
      </c>
      <c r="B160" s="98"/>
      <c r="C160" s="52" t="s">
        <v>326</v>
      </c>
      <c r="D160" s="73" t="s">
        <v>331</v>
      </c>
      <c r="E160" s="73">
        <f>((2.8*3+2.2*2.45+3*2+2.2*2.75+1.05*1.2+0.9*1.35+1.95*1.2+1.95*1.2))*(10.764)</f>
        <v>355.15818000000002</v>
      </c>
      <c r="F160" s="73">
        <f>(0.75*(2.8+2.2+3+1.5)+(2.8*1.5+2.2*1.2+3*1+1.05*1.5))*(10.764)</f>
        <v>199.56455999999997</v>
      </c>
      <c r="G160" s="73">
        <v>0</v>
      </c>
      <c r="H160" s="73">
        <f>E160+F160+(IF(G160&lt;101,G160,IF(G160&lt;201,G160/2,IF(G160&lt;=301,G160/3,G160/4))))</f>
        <v>554.72273999999993</v>
      </c>
      <c r="I160" s="1"/>
      <c r="J160" s="1"/>
      <c r="K160" s="1"/>
      <c r="L160" s="1"/>
      <c r="M160" s="1"/>
      <c r="N160" s="1"/>
      <c r="O160" s="1"/>
      <c r="P160" s="1"/>
      <c r="Q160" s="1"/>
      <c r="R160" s="1"/>
      <c r="S160" s="1"/>
      <c r="T160" s="23" t="str">
        <f ca="1">U160&amp;""&amp;" &amp; "&amp;""&amp;V160</f>
        <v>101 &amp; 1801</v>
      </c>
      <c r="U160" s="23">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101</v>
      </c>
      <c r="V160" s="23">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1801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98">
        <v>2</v>
      </c>
      <c r="B161" s="98"/>
      <c r="C161" s="52" t="s">
        <v>326</v>
      </c>
      <c r="D161" s="73" t="s">
        <v>331</v>
      </c>
      <c r="E161" s="73">
        <f>((2.82*3+2.2*2.45+3*2+2.2*2.75+1.95*1.2+1.95*1.2+0.9*1.35+0.9*1.2))*(10.764)</f>
        <v>353.86649999999997</v>
      </c>
      <c r="F161" s="73">
        <f>((3*1+2.2*1.2+2.82*1.5+1.05*1.55)+0.75*(3+2.2+2.82+1.5))*(10.764)</f>
        <v>200.61404999999999</v>
      </c>
      <c r="G161" s="73">
        <v>0</v>
      </c>
      <c r="H161" s="73">
        <f t="shared" ref="H161:H164" si="32">E161+F161+(IF(G161&lt;101,G161,IF(G161&lt;201,G161/2,IF(G161&lt;=301,G161/3,G161/4))))</f>
        <v>554.48054999999999</v>
      </c>
      <c r="I161" s="1"/>
      <c r="J161" s="1"/>
      <c r="K161" s="1"/>
      <c r="L161" s="1"/>
      <c r="M161" s="1"/>
      <c r="N161" s="1"/>
      <c r="O161" s="1"/>
      <c r="P161" s="1"/>
      <c r="Q161" s="1"/>
      <c r="R161" s="1"/>
      <c r="S161" s="1"/>
      <c r="T161" s="23" t="str">
        <f t="shared" ref="T161:T168" ca="1" si="33">U161&amp;""&amp;" &amp; "&amp;""&amp;V161</f>
        <v>102 &amp; 1802</v>
      </c>
      <c r="U161" s="23">
        <f ca="1">U160+1</f>
        <v>102</v>
      </c>
      <c r="V161" s="23">
        <f ca="1">V160+1</f>
        <v>1802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98">
        <v>3</v>
      </c>
      <c r="B162" s="98"/>
      <c r="C162" s="52" t="s">
        <v>326</v>
      </c>
      <c r="D162" s="73" t="s">
        <v>332</v>
      </c>
      <c r="E162" s="73">
        <f>((2.75*3+2.25*2+2.75*2+2*1.2+1.2*2))*(10.764)</f>
        <v>248.11019999999996</v>
      </c>
      <c r="F162" s="73">
        <f>(0.75*(2.75+2.25+2.75)+(2.75*1.5+2.25*1+2.75*1))*(10.764)</f>
        <v>160.78725</v>
      </c>
      <c r="G162" s="73">
        <v>0</v>
      </c>
      <c r="H162" s="73">
        <f t="shared" si="32"/>
        <v>408.89744999999994</v>
      </c>
      <c r="I162" s="1"/>
      <c r="J162" s="1"/>
      <c r="K162" s="1"/>
      <c r="L162" s="1"/>
      <c r="M162" s="1"/>
      <c r="N162" s="1"/>
      <c r="O162" s="1"/>
      <c r="P162" s="1"/>
      <c r="Q162" s="1"/>
      <c r="R162" s="1"/>
      <c r="S162" s="1"/>
      <c r="T162" s="23" t="str">
        <f t="shared" ca="1" si="33"/>
        <v>103 &amp; 1803</v>
      </c>
      <c r="U162" s="23">
        <f t="shared" ref="U162:V162" ca="1" si="34">U161+1</f>
        <v>103</v>
      </c>
      <c r="V162" s="23">
        <f t="shared" ca="1" si="34"/>
        <v>1803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98">
        <v>4</v>
      </c>
      <c r="B163" s="98"/>
      <c r="C163" s="52" t="s">
        <v>326</v>
      </c>
      <c r="D163" s="73" t="s">
        <v>332</v>
      </c>
      <c r="E163" s="73">
        <f>((2.75*3+2.25*2+2.75*2+2*1.2+1.2*2))*(10.764)</f>
        <v>248.11019999999996</v>
      </c>
      <c r="F163" s="73">
        <f>(0.75*(2.75+2.25+2.75)+(2.75*1.5+2.25*1+2.75*1))*(10.764)</f>
        <v>160.78725</v>
      </c>
      <c r="G163" s="73">
        <v>0</v>
      </c>
      <c r="H163" s="73">
        <f t="shared" si="32"/>
        <v>408.89744999999994</v>
      </c>
      <c r="I163" s="1"/>
      <c r="J163" s="1"/>
      <c r="K163" s="1"/>
      <c r="L163" s="1"/>
      <c r="M163" s="1"/>
      <c r="N163" s="1"/>
      <c r="O163" s="1"/>
      <c r="P163" s="1"/>
      <c r="Q163" s="1"/>
      <c r="R163" s="1"/>
      <c r="S163" s="1"/>
      <c r="T163" s="23" t="str">
        <f t="shared" ca="1" si="33"/>
        <v>104 &amp; 1804</v>
      </c>
      <c r="U163" s="23">
        <f t="shared" ref="U163:V163" ca="1" si="35">U162+1</f>
        <v>104</v>
      </c>
      <c r="V163" s="23">
        <f t="shared" ca="1" si="35"/>
        <v>1804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98">
        <v>5</v>
      </c>
      <c r="B164" s="98"/>
      <c r="C164" s="52" t="s">
        <v>326</v>
      </c>
      <c r="D164" s="73" t="s">
        <v>331</v>
      </c>
      <c r="E164" s="73">
        <f>((2.82*3+2.2*2.45+3*2+2.2*2.75+1.95*1.2+1.95*1.2+0.9*1.35+0.9*1.2))*(10.764)</f>
        <v>353.86649999999997</v>
      </c>
      <c r="F164" s="73">
        <f>((3*1+2.2*1.2+2.82*1.5+1.05*1.55)+0.75*(3+2.2+2.82+1.5))*(10.764)</f>
        <v>200.61404999999999</v>
      </c>
      <c r="G164" s="73">
        <v>0</v>
      </c>
      <c r="H164" s="73">
        <f t="shared" si="32"/>
        <v>554.48054999999999</v>
      </c>
      <c r="I164" s="1"/>
      <c r="J164" s="1"/>
      <c r="K164" s="1"/>
      <c r="L164" s="1"/>
      <c r="M164" s="1"/>
      <c r="N164" s="1"/>
      <c r="O164" s="1"/>
      <c r="P164" s="1"/>
      <c r="Q164" s="1"/>
      <c r="R164" s="1"/>
      <c r="S164" s="1"/>
      <c r="T164" s="23" t="str">
        <f t="shared" ca="1" si="33"/>
        <v>105 &amp; 1805</v>
      </c>
      <c r="U164" s="23">
        <f t="shared" ref="U164:V164" ca="1" si="36">U163+1</f>
        <v>105</v>
      </c>
      <c r="V164" s="23">
        <f t="shared" ca="1" si="36"/>
        <v>1805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98">
        <v>6</v>
      </c>
      <c r="B165" s="98"/>
      <c r="C165" s="52" t="s">
        <v>326</v>
      </c>
      <c r="D165" s="115" t="s">
        <v>338</v>
      </c>
      <c r="E165" s="116"/>
      <c r="F165" s="116"/>
      <c r="G165" s="116"/>
      <c r="H165" s="117"/>
      <c r="I165" s="1"/>
      <c r="J165" s="1"/>
      <c r="K165" s="1"/>
      <c r="L165" s="1"/>
      <c r="M165" s="1"/>
      <c r="N165" s="1"/>
      <c r="O165" s="1"/>
      <c r="P165" s="1"/>
      <c r="Q165" s="1"/>
      <c r="R165" s="1"/>
      <c r="S165" s="1"/>
      <c r="T165" s="23" t="str">
        <f t="shared" ca="1" si="33"/>
        <v>106 &amp; 1806</v>
      </c>
      <c r="U165" s="23">
        <f t="shared" ref="U165:V165" ca="1" si="37">U164+1</f>
        <v>106</v>
      </c>
      <c r="V165" s="23">
        <f t="shared" ca="1" si="37"/>
        <v>1806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98">
        <v>7</v>
      </c>
      <c r="B166" s="98"/>
      <c r="C166" s="52" t="s">
        <v>326</v>
      </c>
      <c r="D166" s="118"/>
      <c r="E166" s="119"/>
      <c r="F166" s="119"/>
      <c r="G166" s="119"/>
      <c r="H166" s="120"/>
      <c r="I166" s="1"/>
      <c r="J166" s="1"/>
      <c r="K166" s="1"/>
      <c r="L166" s="1"/>
      <c r="M166" s="1"/>
      <c r="N166" s="1"/>
      <c r="O166" s="1"/>
      <c r="P166" s="1"/>
      <c r="Q166" s="1"/>
      <c r="R166" s="1"/>
      <c r="S166" s="1"/>
      <c r="T166" s="23" t="str">
        <f t="shared" ca="1" si="33"/>
        <v>107 &amp; 1807</v>
      </c>
      <c r="U166" s="23">
        <f t="shared" ref="U166:V166" ca="1" si="38">U165+1</f>
        <v>107</v>
      </c>
      <c r="V166" s="23">
        <f t="shared" ca="1" si="38"/>
        <v>1807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98">
        <v>8</v>
      </c>
      <c r="B167" s="98"/>
      <c r="C167" s="52" t="s">
        <v>326</v>
      </c>
      <c r="D167" s="118"/>
      <c r="E167" s="119"/>
      <c r="F167" s="119"/>
      <c r="G167" s="119"/>
      <c r="H167" s="120"/>
      <c r="I167" s="1"/>
      <c r="J167" s="1"/>
      <c r="K167" s="1"/>
      <c r="L167" s="1"/>
      <c r="M167" s="1"/>
      <c r="N167" s="1"/>
      <c r="O167" s="1"/>
      <c r="P167" s="1"/>
      <c r="Q167" s="1"/>
      <c r="R167" s="1"/>
      <c r="S167" s="1"/>
      <c r="T167" s="23" t="str">
        <f t="shared" ca="1" si="33"/>
        <v>108 &amp; 1808</v>
      </c>
      <c r="U167" s="23">
        <f t="shared" ref="U167:V167" ca="1" si="39">U166+1</f>
        <v>108</v>
      </c>
      <c r="V167" s="23">
        <f t="shared" ca="1" si="39"/>
        <v>1808</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98">
        <v>9</v>
      </c>
      <c r="B168" s="98"/>
      <c r="C168" s="52" t="s">
        <v>326</v>
      </c>
      <c r="D168" s="121"/>
      <c r="E168" s="122"/>
      <c r="F168" s="122"/>
      <c r="G168" s="122"/>
      <c r="H168" s="123"/>
      <c r="I168" s="1"/>
      <c r="J168" s="1"/>
      <c r="K168" s="1"/>
      <c r="L168" s="1"/>
      <c r="M168" s="1"/>
      <c r="N168" s="1"/>
      <c r="O168" s="1"/>
      <c r="P168" s="1"/>
      <c r="Q168" s="1"/>
      <c r="R168" s="1"/>
      <c r="S168" s="1"/>
      <c r="T168" s="23" t="str">
        <f t="shared" ca="1" si="33"/>
        <v>109 &amp; 1809</v>
      </c>
      <c r="U168" s="23">
        <f t="shared" ref="U168:V168" ca="1" si="40">U167+1</f>
        <v>109</v>
      </c>
      <c r="V168" s="23">
        <f t="shared" ca="1" si="40"/>
        <v>1809</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ht="20.25" x14ac:dyDescent="0.25">
      <c r="A169" s="114" t="s">
        <v>70</v>
      </c>
      <c r="B169" s="114"/>
      <c r="C169" s="114"/>
      <c r="D169" s="114"/>
      <c r="E169" s="114"/>
      <c r="F169" s="114"/>
      <c r="G169" s="114"/>
      <c r="H169" s="114"/>
    </row>
    <row r="170" spans="1:150 16226:16383" ht="20.25" x14ac:dyDescent="0.25">
      <c r="A170" s="2" t="s">
        <v>234</v>
      </c>
      <c r="B170" s="81" t="s">
        <v>365</v>
      </c>
      <c r="C170" s="82"/>
      <c r="D170" s="82"/>
      <c r="E170" s="82"/>
      <c r="F170" s="82"/>
      <c r="G170" s="82"/>
      <c r="H170" s="83"/>
    </row>
    <row r="171" spans="1:150 16226:16383" ht="20.25" x14ac:dyDescent="0.25">
      <c r="A171" s="2" t="s">
        <v>234</v>
      </c>
      <c r="B171" s="81" t="s">
        <v>235</v>
      </c>
      <c r="C171" s="82"/>
      <c r="D171" s="82"/>
      <c r="E171" s="82"/>
      <c r="F171" s="82"/>
      <c r="G171" s="82"/>
      <c r="H171" s="83"/>
    </row>
    <row r="172" spans="1:150 16226:16383" ht="20.25" x14ac:dyDescent="0.25">
      <c r="A172" s="2" t="s">
        <v>234</v>
      </c>
      <c r="B172" s="81" t="s">
        <v>344</v>
      </c>
      <c r="C172" s="82"/>
      <c r="D172" s="82"/>
      <c r="E172" s="82"/>
      <c r="F172" s="82"/>
      <c r="G172" s="82"/>
      <c r="H172" s="83"/>
    </row>
    <row r="173" spans="1:150 16226:16383" ht="20.25" x14ac:dyDescent="0.25">
      <c r="A173" s="2" t="s">
        <v>234</v>
      </c>
      <c r="B173" s="81" t="s">
        <v>236</v>
      </c>
      <c r="C173" s="82"/>
      <c r="D173" s="82"/>
      <c r="E173" s="82"/>
      <c r="F173" s="82"/>
      <c r="G173" s="82"/>
      <c r="H173" s="83"/>
    </row>
    <row r="174" spans="1:150 16226:16383" ht="20.25" x14ac:dyDescent="0.25">
      <c r="A174" s="2" t="s">
        <v>234</v>
      </c>
      <c r="B174" s="81" t="s">
        <v>237</v>
      </c>
      <c r="C174" s="82"/>
      <c r="D174" s="82"/>
      <c r="E174" s="82"/>
      <c r="F174" s="82"/>
      <c r="G174" s="82"/>
      <c r="H174" s="83"/>
    </row>
    <row r="175" spans="1:150 16226:16383" ht="24.75" hidden="1" customHeight="1" x14ac:dyDescent="0.25">
      <c r="A175" s="2" t="s">
        <v>234</v>
      </c>
      <c r="B175" s="113" t="s">
        <v>239</v>
      </c>
      <c r="C175" s="82"/>
      <c r="D175" s="82"/>
      <c r="E175" s="82"/>
      <c r="F175" s="82"/>
      <c r="G175" s="82"/>
      <c r="H175" s="83"/>
    </row>
    <row r="176" spans="1:150 16226:16383" ht="46.5" customHeight="1" x14ac:dyDescent="0.25">
      <c r="A176" s="2" t="s">
        <v>234</v>
      </c>
      <c r="B176" s="81" t="s">
        <v>238</v>
      </c>
      <c r="C176" s="82"/>
      <c r="D176" s="82"/>
      <c r="E176" s="82"/>
      <c r="F176" s="82"/>
      <c r="G176" s="82"/>
      <c r="H176" s="83"/>
    </row>
    <row r="177" spans="1:8" ht="20.25" x14ac:dyDescent="0.25">
      <c r="A177" s="75" t="s">
        <v>234</v>
      </c>
      <c r="B177" s="81" t="s">
        <v>356</v>
      </c>
      <c r="C177" s="82"/>
      <c r="D177" s="82"/>
      <c r="E177" s="82"/>
      <c r="F177" s="82"/>
      <c r="G177" s="82"/>
      <c r="H177" s="83"/>
    </row>
    <row r="178" spans="1:8" ht="20.25" x14ac:dyDescent="0.25">
      <c r="A178" s="145" t="s">
        <v>76</v>
      </c>
      <c r="B178" s="145"/>
      <c r="C178" s="145"/>
      <c r="D178" s="145"/>
      <c r="E178" s="145"/>
      <c r="F178" s="145"/>
      <c r="G178" s="145"/>
      <c r="H178" s="145"/>
    </row>
    <row r="179" spans="1:8" ht="20.25" x14ac:dyDescent="0.25">
      <c r="A179" s="84" t="s">
        <v>71</v>
      </c>
      <c r="B179" s="84"/>
      <c r="C179" s="84"/>
      <c r="D179" s="81" t="str">
        <f>C3</f>
        <v>Dattachhaya</v>
      </c>
      <c r="E179" s="82"/>
      <c r="F179" s="82"/>
      <c r="G179" s="82"/>
      <c r="H179" s="83"/>
    </row>
    <row r="180" spans="1:8" ht="40.5" customHeight="1" x14ac:dyDescent="0.25">
      <c r="A180" s="84" t="s">
        <v>105</v>
      </c>
      <c r="B180" s="84"/>
      <c r="C180" s="84"/>
      <c r="D180" s="81" t="str">
        <f>C9</f>
        <v>Plot No.1, S No.379/A/B/2, S No.531, Plot No.2&amp;3, Virar, Mira Road and Beyond, Mumbai</v>
      </c>
      <c r="E180" s="82"/>
      <c r="F180" s="82"/>
      <c r="G180" s="82"/>
      <c r="H180" s="83"/>
    </row>
    <row r="181" spans="1:8" ht="20.25" customHeight="1" x14ac:dyDescent="0.25">
      <c r="A181" s="155" t="s">
        <v>111</v>
      </c>
      <c r="B181" s="155"/>
      <c r="C181" s="155"/>
      <c r="D181" s="81" t="str">
        <f>G3</f>
        <v>24/09/2025 @ 12:32 PM</v>
      </c>
      <c r="E181" s="82"/>
      <c r="F181" s="82"/>
      <c r="G181" s="82"/>
      <c r="H181" s="83"/>
    </row>
    <row r="182" spans="1:8" ht="20.25" x14ac:dyDescent="0.25">
      <c r="A182" s="10"/>
      <c r="B182" s="11"/>
      <c r="C182" s="11"/>
      <c r="D182" s="11"/>
      <c r="E182" s="11"/>
      <c r="F182" s="11"/>
      <c r="G182" s="11"/>
      <c r="H182" s="7"/>
    </row>
    <row r="183" spans="1:8" ht="20.25" x14ac:dyDescent="0.25">
      <c r="A183" s="12"/>
      <c r="B183" s="13"/>
      <c r="C183" s="13"/>
      <c r="D183" s="13"/>
      <c r="E183" s="13"/>
      <c r="F183" s="13"/>
      <c r="G183" s="13"/>
      <c r="H183" s="8"/>
    </row>
    <row r="184" spans="1:8" ht="20.25" x14ac:dyDescent="0.25">
      <c r="A184" s="12"/>
      <c r="B184" s="13"/>
      <c r="C184" s="13"/>
      <c r="D184" s="13"/>
      <c r="E184" s="13"/>
      <c r="F184" s="13"/>
      <c r="G184" s="13"/>
      <c r="H184" s="8"/>
    </row>
    <row r="185" spans="1:8" ht="20.25" x14ac:dyDescent="0.25">
      <c r="A185" s="12"/>
      <c r="B185" s="13"/>
      <c r="C185" s="13"/>
      <c r="D185" s="13"/>
      <c r="E185" s="13"/>
      <c r="F185" s="13"/>
      <c r="G185" s="13"/>
      <c r="H185" s="8"/>
    </row>
    <row r="186" spans="1:8" ht="20.25" x14ac:dyDescent="0.25">
      <c r="A186" s="12"/>
      <c r="B186" s="13"/>
      <c r="C186" s="13"/>
      <c r="D186" s="13"/>
      <c r="E186" s="13"/>
      <c r="F186" s="13"/>
      <c r="G186" s="13"/>
      <c r="H186" s="8"/>
    </row>
    <row r="187" spans="1:8" ht="20.25" x14ac:dyDescent="0.25">
      <c r="A187" s="12"/>
      <c r="B187" s="13"/>
      <c r="C187" s="13"/>
      <c r="D187" s="13"/>
      <c r="E187" s="13"/>
      <c r="F187" s="13"/>
      <c r="G187" s="13"/>
      <c r="H187" s="8"/>
    </row>
    <row r="188" spans="1:8" ht="20.25" x14ac:dyDescent="0.25">
      <c r="A188" s="12"/>
      <c r="B188" s="13"/>
      <c r="C188" s="13"/>
      <c r="D188" s="13"/>
      <c r="E188" s="13"/>
      <c r="F188" s="13"/>
      <c r="G188" s="13"/>
      <c r="H188" s="8"/>
    </row>
    <row r="189" spans="1:8" ht="20.25" x14ac:dyDescent="0.25">
      <c r="A189" s="12"/>
      <c r="B189" s="13"/>
      <c r="C189" s="13"/>
      <c r="D189" s="13"/>
      <c r="E189" s="13"/>
      <c r="F189" s="13"/>
      <c r="G189" s="13"/>
      <c r="H189" s="8"/>
    </row>
    <row r="190" spans="1:8" ht="20.25" x14ac:dyDescent="0.25">
      <c r="A190" s="12"/>
      <c r="B190" s="13"/>
      <c r="C190" s="13"/>
      <c r="D190" s="13"/>
      <c r="E190" s="13"/>
      <c r="F190" s="13"/>
      <c r="G190" s="13"/>
      <c r="H190" s="8"/>
    </row>
    <row r="191" spans="1:8" ht="20.25" x14ac:dyDescent="0.25">
      <c r="A191" s="12"/>
      <c r="B191" s="13"/>
      <c r="C191" s="13"/>
      <c r="D191" s="13"/>
      <c r="E191" s="13"/>
      <c r="F191" s="13"/>
      <c r="G191" s="13"/>
      <c r="H191" s="8"/>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4"/>
      <c r="B225" s="15"/>
      <c r="C225" s="15"/>
      <c r="D225" s="15"/>
      <c r="E225" s="15"/>
      <c r="F225" s="15"/>
      <c r="G225" s="15"/>
      <c r="H225" s="9"/>
    </row>
    <row r="226" spans="1:8" ht="20.25" x14ac:dyDescent="0.25">
      <c r="A226" s="114" t="s">
        <v>159</v>
      </c>
      <c r="B226" s="114"/>
      <c r="C226" s="114"/>
      <c r="D226" s="114"/>
      <c r="E226" s="114"/>
      <c r="F226" s="114"/>
      <c r="G226" s="114"/>
      <c r="H226" s="114"/>
    </row>
    <row r="227" spans="1:8" ht="20.25" x14ac:dyDescent="0.25">
      <c r="A227" s="10"/>
      <c r="B227" s="11"/>
      <c r="C227" s="11"/>
      <c r="D227" s="11"/>
      <c r="E227" s="11"/>
      <c r="F227" s="11"/>
      <c r="G227" s="11"/>
      <c r="H227" s="7"/>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4"/>
      <c r="B275" s="15"/>
      <c r="C275" s="15"/>
      <c r="D275" s="15"/>
      <c r="E275" s="15"/>
      <c r="F275" s="15"/>
      <c r="G275" s="15"/>
      <c r="H275" s="9"/>
    </row>
    <row r="276" spans="1:8" ht="20.25" x14ac:dyDescent="0.25">
      <c r="A276" s="128" t="s">
        <v>77</v>
      </c>
      <c r="B276" s="129"/>
      <c r="C276" s="129"/>
      <c r="D276" s="129"/>
      <c r="E276" s="129"/>
      <c r="F276" s="129"/>
      <c r="G276" s="129"/>
      <c r="H276" s="130"/>
    </row>
    <row r="277" spans="1:8" ht="20.25" x14ac:dyDescent="0.25">
      <c r="A277" s="10"/>
      <c r="B277" s="11"/>
      <c r="C277" s="11"/>
      <c r="D277" s="11"/>
      <c r="E277" s="11"/>
      <c r="F277" s="11"/>
      <c r="G277" s="11"/>
      <c r="H277" s="7"/>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14" t="s">
        <v>24</v>
      </c>
      <c r="B307" s="114"/>
      <c r="C307" s="114"/>
      <c r="D307" s="114"/>
      <c r="E307" s="114"/>
      <c r="F307" s="114"/>
      <c r="G307" s="114"/>
      <c r="H307" s="114"/>
    </row>
    <row r="308" spans="1:8" ht="20.25" x14ac:dyDescent="0.25">
      <c r="A308" s="146" t="s">
        <v>78</v>
      </c>
      <c r="B308" s="147"/>
      <c r="C308" s="147"/>
      <c r="D308" s="147"/>
      <c r="E308" s="147"/>
      <c r="F308" s="147"/>
      <c r="G308" s="147"/>
      <c r="H308" s="148"/>
    </row>
    <row r="309" spans="1:8" ht="20.25" x14ac:dyDescent="0.25">
      <c r="A309" s="149" t="s">
        <v>79</v>
      </c>
      <c r="B309" s="150"/>
      <c r="C309" s="150"/>
      <c r="D309" s="150"/>
      <c r="E309" s="150"/>
      <c r="F309" s="150"/>
      <c r="G309" s="150"/>
      <c r="H309" s="151"/>
    </row>
    <row r="310" spans="1:8" ht="45" customHeight="1" x14ac:dyDescent="0.25">
      <c r="A310" s="149" t="s">
        <v>80</v>
      </c>
      <c r="B310" s="150"/>
      <c r="C310" s="150"/>
      <c r="D310" s="150"/>
      <c r="E310" s="150"/>
      <c r="F310" s="150"/>
      <c r="G310" s="150"/>
      <c r="H310" s="151"/>
    </row>
    <row r="311" spans="1:8" ht="42.75" customHeight="1" x14ac:dyDescent="0.25">
      <c r="A311" s="149" t="s">
        <v>81</v>
      </c>
      <c r="B311" s="150"/>
      <c r="C311" s="150"/>
      <c r="D311" s="150"/>
      <c r="E311" s="150"/>
      <c r="F311" s="150"/>
      <c r="G311" s="150"/>
      <c r="H311" s="151"/>
    </row>
    <row r="312" spans="1:8" ht="20.25" x14ac:dyDescent="0.25">
      <c r="A312" s="149" t="s">
        <v>82</v>
      </c>
      <c r="B312" s="150"/>
      <c r="C312" s="150"/>
      <c r="D312" s="150"/>
      <c r="E312" s="150"/>
      <c r="F312" s="150"/>
      <c r="G312" s="150"/>
      <c r="H312" s="151"/>
    </row>
    <row r="313" spans="1:8" ht="20.25" x14ac:dyDescent="0.25">
      <c r="A313" s="149" t="s">
        <v>83</v>
      </c>
      <c r="B313" s="150"/>
      <c r="C313" s="150"/>
      <c r="D313" s="150"/>
      <c r="E313" s="150"/>
      <c r="F313" s="150"/>
      <c r="G313" s="150"/>
      <c r="H313" s="151"/>
    </row>
    <row r="314" spans="1:8" ht="45" customHeight="1" x14ac:dyDescent="0.25">
      <c r="A314" s="149" t="s">
        <v>84</v>
      </c>
      <c r="B314" s="150"/>
      <c r="C314" s="150"/>
      <c r="D314" s="150"/>
      <c r="E314" s="150"/>
      <c r="F314" s="150"/>
      <c r="G314" s="150"/>
      <c r="H314" s="151"/>
    </row>
    <row r="315" spans="1:8" ht="45" customHeight="1" x14ac:dyDescent="0.25">
      <c r="A315" s="149" t="s">
        <v>85</v>
      </c>
      <c r="B315" s="150"/>
      <c r="C315" s="150"/>
      <c r="D315" s="150"/>
      <c r="E315" s="150"/>
      <c r="F315" s="150"/>
      <c r="G315" s="150"/>
      <c r="H315" s="151"/>
    </row>
    <row r="316" spans="1:8" ht="20.25" x14ac:dyDescent="0.25">
      <c r="A316" s="152" t="s">
        <v>86</v>
      </c>
      <c r="B316" s="153"/>
      <c r="C316" s="153"/>
      <c r="D316" s="153"/>
      <c r="E316" s="153"/>
      <c r="F316" s="153"/>
      <c r="G316" s="153"/>
      <c r="H316" s="154"/>
    </row>
    <row r="317" spans="1:8" ht="57" customHeight="1" x14ac:dyDescent="0.25">
      <c r="A317" s="156" t="s">
        <v>30</v>
      </c>
      <c r="B317" s="157"/>
      <c r="C317" s="158" t="s">
        <v>345</v>
      </c>
      <c r="D317" s="159"/>
      <c r="E317" s="156" t="s">
        <v>9</v>
      </c>
      <c r="F317" s="157"/>
      <c r="G317" s="144"/>
      <c r="H317" s="144"/>
    </row>
  </sheetData>
  <mergeCells count="346">
    <mergeCell ref="A144:B144"/>
    <mergeCell ref="A137:B137"/>
    <mergeCell ref="A133:B133"/>
    <mergeCell ref="A134:B134"/>
    <mergeCell ref="A135:B135"/>
    <mergeCell ref="A129:H129"/>
    <mergeCell ref="A130:B130"/>
    <mergeCell ref="A131:B131"/>
    <mergeCell ref="A132:B132"/>
    <mergeCell ref="C87:D87"/>
    <mergeCell ref="A90:B90"/>
    <mergeCell ref="E90:F90"/>
    <mergeCell ref="G79:H79"/>
    <mergeCell ref="G83:H83"/>
    <mergeCell ref="A80:H80"/>
    <mergeCell ref="A156:B156"/>
    <mergeCell ref="A157:B157"/>
    <mergeCell ref="A158:B158"/>
    <mergeCell ref="D153:H153"/>
    <mergeCell ref="A145:B145"/>
    <mergeCell ref="A146:B146"/>
    <mergeCell ref="A147:B147"/>
    <mergeCell ref="A148:B148"/>
    <mergeCell ref="A149:H149"/>
    <mergeCell ref="A150:B150"/>
    <mergeCell ref="A128:B128"/>
    <mergeCell ref="D120:H120"/>
    <mergeCell ref="A138:B138"/>
    <mergeCell ref="A139:H139"/>
    <mergeCell ref="A140:B140"/>
    <mergeCell ref="A141:B141"/>
    <mergeCell ref="A142:B142"/>
    <mergeCell ref="A143:B143"/>
    <mergeCell ref="A121:B121"/>
    <mergeCell ref="A122:B122"/>
    <mergeCell ref="A127:B127"/>
    <mergeCell ref="A120:B120"/>
    <mergeCell ref="A106:B106"/>
    <mergeCell ref="A107:B107"/>
    <mergeCell ref="A108:B108"/>
    <mergeCell ref="A118:B118"/>
    <mergeCell ref="A119:H119"/>
    <mergeCell ref="A123:B123"/>
    <mergeCell ref="A115:B115"/>
    <mergeCell ref="A113:B113"/>
    <mergeCell ref="A114:B114"/>
    <mergeCell ref="A116:B116"/>
    <mergeCell ref="A117:B117"/>
    <mergeCell ref="A112:B112"/>
    <mergeCell ref="A111:B111"/>
    <mergeCell ref="L119:M119"/>
    <mergeCell ref="A75:F75"/>
    <mergeCell ref="A94:H94"/>
    <mergeCell ref="E85:F85"/>
    <mergeCell ref="E86:F86"/>
    <mergeCell ref="E87:F87"/>
    <mergeCell ref="E88:F88"/>
    <mergeCell ref="A85:B85"/>
    <mergeCell ref="A86:B86"/>
    <mergeCell ref="A87:B87"/>
    <mergeCell ref="C85:D85"/>
    <mergeCell ref="A88:B88"/>
    <mergeCell ref="C86:D86"/>
    <mergeCell ref="G85:H85"/>
    <mergeCell ref="G86:H86"/>
    <mergeCell ref="G87:H87"/>
    <mergeCell ref="G88:H88"/>
    <mergeCell ref="C88:D88"/>
    <mergeCell ref="G90:H90"/>
    <mergeCell ref="A91:B91"/>
    <mergeCell ref="G91:H91"/>
    <mergeCell ref="A92:B92"/>
    <mergeCell ref="G92:H92"/>
    <mergeCell ref="E77:F77"/>
    <mergeCell ref="C20:D20"/>
    <mergeCell ref="C21:D21"/>
    <mergeCell ref="C22:D22"/>
    <mergeCell ref="C24:H24"/>
    <mergeCell ref="C23:H23"/>
    <mergeCell ref="A67:B67"/>
    <mergeCell ref="A70:B70"/>
    <mergeCell ref="A45:B45"/>
    <mergeCell ref="A46:B46"/>
    <mergeCell ref="D46:F46"/>
    <mergeCell ref="D45:F45"/>
    <mergeCell ref="A55:B55"/>
    <mergeCell ref="A58:B58"/>
    <mergeCell ref="C53:F53"/>
    <mergeCell ref="C54:F54"/>
    <mergeCell ref="C55:F55"/>
    <mergeCell ref="C58:F58"/>
    <mergeCell ref="A31:B31"/>
    <mergeCell ref="A28:B28"/>
    <mergeCell ref="A29:B29"/>
    <mergeCell ref="A30:B30"/>
    <mergeCell ref="A26:B26"/>
    <mergeCell ref="A32:B32"/>
    <mergeCell ref="G75:H75"/>
    <mergeCell ref="G63:H74"/>
    <mergeCell ref="A59:H59"/>
    <mergeCell ref="A62:B62"/>
    <mergeCell ref="A63:B63"/>
    <mergeCell ref="E62:F62"/>
    <mergeCell ref="E60:F60"/>
    <mergeCell ref="E61:F61"/>
    <mergeCell ref="A60:C61"/>
    <mergeCell ref="A69:B69"/>
    <mergeCell ref="E63:F74"/>
    <mergeCell ref="A1:H1"/>
    <mergeCell ref="A179:C179"/>
    <mergeCell ref="G27:H27"/>
    <mergeCell ref="G28:H28"/>
    <mergeCell ref="A37:H37"/>
    <mergeCell ref="A44:H44"/>
    <mergeCell ref="A47:H47"/>
    <mergeCell ref="A84:H84"/>
    <mergeCell ref="G82:H82"/>
    <mergeCell ref="G7:H7"/>
    <mergeCell ref="G45:H45"/>
    <mergeCell ref="A25:H25"/>
    <mergeCell ref="G26:H26"/>
    <mergeCell ref="G20:H20"/>
    <mergeCell ref="G21:H21"/>
    <mergeCell ref="A9:A11"/>
    <mergeCell ref="G6:H6"/>
    <mergeCell ref="A5:H5"/>
    <mergeCell ref="A33:H33"/>
    <mergeCell ref="G30:H30"/>
    <mergeCell ref="G29:H29"/>
    <mergeCell ref="A102:B102"/>
    <mergeCell ref="A103:B103"/>
    <mergeCell ref="A104:B104"/>
    <mergeCell ref="A13:H13"/>
    <mergeCell ref="C26:D26"/>
    <mergeCell ref="G317:H317"/>
    <mergeCell ref="A178:H178"/>
    <mergeCell ref="D180:H180"/>
    <mergeCell ref="A308:H308"/>
    <mergeCell ref="A314:H314"/>
    <mergeCell ref="A315:H315"/>
    <mergeCell ref="A316:H316"/>
    <mergeCell ref="A309:H309"/>
    <mergeCell ref="A310:H310"/>
    <mergeCell ref="A311:H311"/>
    <mergeCell ref="A312:H312"/>
    <mergeCell ref="A180:C180"/>
    <mergeCell ref="A307:H307"/>
    <mergeCell ref="A313:H313"/>
    <mergeCell ref="A276:H276"/>
    <mergeCell ref="D179:H179"/>
    <mergeCell ref="A181:C181"/>
    <mergeCell ref="D181:H181"/>
    <mergeCell ref="A226:H226"/>
    <mergeCell ref="E317:F317"/>
    <mergeCell ref="A317:B317"/>
    <mergeCell ref="C317:D317"/>
    <mergeCell ref="G14:H14"/>
    <mergeCell ref="G16:H16"/>
    <mergeCell ref="G17:H17"/>
    <mergeCell ref="G15:H15"/>
    <mergeCell ref="G18:H18"/>
    <mergeCell ref="G19:H19"/>
    <mergeCell ref="G46:H46"/>
    <mergeCell ref="G31:H31"/>
    <mergeCell ref="G22:H22"/>
    <mergeCell ref="G36:H36"/>
    <mergeCell ref="G35:H35"/>
    <mergeCell ref="C32:H32"/>
    <mergeCell ref="F42:H42"/>
    <mergeCell ref="E30:F30"/>
    <mergeCell ref="E31:F31"/>
    <mergeCell ref="C28:D28"/>
    <mergeCell ref="C29:D29"/>
    <mergeCell ref="C30:D30"/>
    <mergeCell ref="C31:D31"/>
    <mergeCell ref="C16:D16"/>
    <mergeCell ref="C17:D17"/>
    <mergeCell ref="E26:F26"/>
    <mergeCell ref="C18:D18"/>
    <mergeCell ref="C19:D19"/>
    <mergeCell ref="E92:F92"/>
    <mergeCell ref="E91:F91"/>
    <mergeCell ref="C90:D90"/>
    <mergeCell ref="A110:B110"/>
    <mergeCell ref="E93:F93"/>
    <mergeCell ref="C92:D92"/>
    <mergeCell ref="A76:H76"/>
    <mergeCell ref="G77:H77"/>
    <mergeCell ref="A79:B79"/>
    <mergeCell ref="E78:F78"/>
    <mergeCell ref="G78:H78"/>
    <mergeCell ref="A97:B97"/>
    <mergeCell ref="C91:D91"/>
    <mergeCell ref="C93:D93"/>
    <mergeCell ref="A109:H109"/>
    <mergeCell ref="A98:B98"/>
    <mergeCell ref="A99:B99"/>
    <mergeCell ref="A100:B100"/>
    <mergeCell ref="A101:B101"/>
    <mergeCell ref="G81:H81"/>
    <mergeCell ref="A96:H96"/>
    <mergeCell ref="A93:B93"/>
    <mergeCell ref="G93:H93"/>
    <mergeCell ref="A89:H89"/>
    <mergeCell ref="B175:H175"/>
    <mergeCell ref="A169:H169"/>
    <mergeCell ref="A151:B151"/>
    <mergeCell ref="A152:B152"/>
    <mergeCell ref="A153:B153"/>
    <mergeCell ref="A162:B162"/>
    <mergeCell ref="A163:B163"/>
    <mergeCell ref="A164:B164"/>
    <mergeCell ref="A165:B165"/>
    <mergeCell ref="A166:B166"/>
    <mergeCell ref="A167:B167"/>
    <mergeCell ref="A168:B168"/>
    <mergeCell ref="D165:H168"/>
    <mergeCell ref="A161:B161"/>
    <mergeCell ref="A154:B154"/>
    <mergeCell ref="A155:B155"/>
    <mergeCell ref="A159:H159"/>
    <mergeCell ref="A160:B160"/>
    <mergeCell ref="E3:F3"/>
    <mergeCell ref="E4:F4"/>
    <mergeCell ref="A64:B64"/>
    <mergeCell ref="C27:D27"/>
    <mergeCell ref="A71:B71"/>
    <mergeCell ref="A72:B72"/>
    <mergeCell ref="A73:B73"/>
    <mergeCell ref="A74:B74"/>
    <mergeCell ref="A65:B65"/>
    <mergeCell ref="A66:B66"/>
    <mergeCell ref="A68:B68"/>
    <mergeCell ref="E14:F14"/>
    <mergeCell ref="E15:F15"/>
    <mergeCell ref="E16:F16"/>
    <mergeCell ref="E17:F17"/>
    <mergeCell ref="E18:F18"/>
    <mergeCell ref="E19:F19"/>
    <mergeCell ref="A23:B23"/>
    <mergeCell ref="A24:B24"/>
    <mergeCell ref="E20:F20"/>
    <mergeCell ref="E21:F21"/>
    <mergeCell ref="E22:F22"/>
    <mergeCell ref="C14:D14"/>
    <mergeCell ref="C15:D15"/>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A14:B14"/>
    <mergeCell ref="A15:B15"/>
    <mergeCell ref="A16:B16"/>
    <mergeCell ref="A17:B17"/>
    <mergeCell ref="A18:B18"/>
    <mergeCell ref="A19:B19"/>
    <mergeCell ref="A20:B20"/>
    <mergeCell ref="A21:B21"/>
    <mergeCell ref="A22:B22"/>
    <mergeCell ref="A27:B27"/>
    <mergeCell ref="A43:B43"/>
    <mergeCell ref="A38:B38"/>
    <mergeCell ref="A42:B42"/>
    <mergeCell ref="C42:E42"/>
    <mergeCell ref="C43:H43"/>
    <mergeCell ref="E34:F34"/>
    <mergeCell ref="E35:F35"/>
    <mergeCell ref="E36:F36"/>
    <mergeCell ref="A34:B34"/>
    <mergeCell ref="A35:B35"/>
    <mergeCell ref="A36:B36"/>
    <mergeCell ref="C34:D34"/>
    <mergeCell ref="C35:D35"/>
    <mergeCell ref="C36:D36"/>
    <mergeCell ref="G34:H34"/>
    <mergeCell ref="E27:F27"/>
    <mergeCell ref="E28:F28"/>
    <mergeCell ref="E29:F29"/>
    <mergeCell ref="J38:K38"/>
    <mergeCell ref="M38:N38"/>
    <mergeCell ref="C38:E38"/>
    <mergeCell ref="F38:H38"/>
    <mergeCell ref="C39:E39"/>
    <mergeCell ref="F39:H39"/>
    <mergeCell ref="F40:H40"/>
    <mergeCell ref="C40:E40"/>
    <mergeCell ref="A41:B41"/>
    <mergeCell ref="C41:E41"/>
    <mergeCell ref="F41:H41"/>
    <mergeCell ref="A39:B39"/>
    <mergeCell ref="A40:B40"/>
    <mergeCell ref="A48:B48"/>
    <mergeCell ref="A50:B50"/>
    <mergeCell ref="A53:B53"/>
    <mergeCell ref="A54:B54"/>
    <mergeCell ref="A49:B49"/>
    <mergeCell ref="C48:H48"/>
    <mergeCell ref="C49:F49"/>
    <mergeCell ref="C50:F50"/>
    <mergeCell ref="C51:F51"/>
    <mergeCell ref="A51:B52"/>
    <mergeCell ref="C52:H52"/>
    <mergeCell ref="B177:H177"/>
    <mergeCell ref="A56:B57"/>
    <mergeCell ref="C56:F56"/>
    <mergeCell ref="C57:H57"/>
    <mergeCell ref="A105:B105"/>
    <mergeCell ref="A77:B77"/>
    <mergeCell ref="C77:D77"/>
    <mergeCell ref="C78:D78"/>
    <mergeCell ref="C79:D79"/>
    <mergeCell ref="E79:F79"/>
    <mergeCell ref="A81:F81"/>
    <mergeCell ref="A82:F82"/>
    <mergeCell ref="A83:F83"/>
    <mergeCell ref="A78:B78"/>
    <mergeCell ref="B176:H176"/>
    <mergeCell ref="B171:H171"/>
    <mergeCell ref="B170:H170"/>
    <mergeCell ref="B174:H174"/>
    <mergeCell ref="B173:H173"/>
    <mergeCell ref="B172:H172"/>
    <mergeCell ref="A124:B124"/>
    <mergeCell ref="A125:B125"/>
    <mergeCell ref="A126:B126"/>
    <mergeCell ref="A136:B136"/>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79">
      <formula1>"300000,350000,400000,500000,600000,700000,800000,900000,1000000,1200000,1400000,1500000,1600000"</formula1>
    </dataValidation>
    <dataValidation type="list" allowBlank="1" showInputMessage="1" showErrorMessage="1" sqref="F95">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95">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177" max="8" man="1"/>
    <brk id="225" max="16383" man="1"/>
    <brk id="27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4" t="s">
        <v>69</v>
      </c>
      <c r="B3" s="114"/>
      <c r="C3" s="114"/>
      <c r="D3" s="114"/>
      <c r="E3" s="114"/>
      <c r="F3" s="114"/>
      <c r="G3" s="114"/>
      <c r="H3" s="114"/>
      <c r="I3" s="114"/>
    </row>
    <row r="4" spans="1:11" s="1" customFormat="1" ht="20.25" customHeight="1" x14ac:dyDescent="0.3">
      <c r="A4" s="184">
        <v>1</v>
      </c>
      <c r="B4" s="184"/>
      <c r="C4" s="184"/>
      <c r="D4" s="185" t="s">
        <v>4</v>
      </c>
      <c r="E4" s="30" t="s">
        <v>116</v>
      </c>
      <c r="F4" s="165" t="s">
        <v>103</v>
      </c>
      <c r="G4" s="165"/>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84"/>
      <c r="B5" s="184"/>
      <c r="C5" s="184"/>
      <c r="D5" s="185"/>
      <c r="E5" s="30">
        <v>3</v>
      </c>
      <c r="F5" s="165">
        <v>1</v>
      </c>
      <c r="G5" s="165"/>
      <c r="H5" s="30">
        <v>0</v>
      </c>
      <c r="I5" s="30">
        <f ca="1">--TRIM(RIGHT(SUBSTITUTE(LEFT(A4,_xlfn.AGGREGATE(16,6,FIND({0,1,2,3,4,5,6,7,8,9},A4,ROW(INDIRECT("1:"&amp;LEN(A4)))),1))," ",REPT(" ",LEN(A4))),LEN(A4)))</f>
        <v>1</v>
      </c>
      <c r="J5" s="17" t="s">
        <v>122</v>
      </c>
      <c r="K5" s="18"/>
    </row>
    <row r="6" spans="1:11" s="1" customFormat="1" ht="20.25" customHeight="1" x14ac:dyDescent="0.3">
      <c r="A6" s="164" t="s">
        <v>120</v>
      </c>
      <c r="B6" s="164"/>
      <c r="C6" s="164" t="s">
        <v>130</v>
      </c>
      <c r="D6" s="164"/>
      <c r="E6" s="28" t="s">
        <v>131</v>
      </c>
      <c r="F6" s="164" t="s">
        <v>121</v>
      </c>
      <c r="G6" s="164"/>
      <c r="H6" s="29" t="s">
        <v>119</v>
      </c>
      <c r="I6" s="29"/>
      <c r="J6" s="20" t="s">
        <v>132</v>
      </c>
      <c r="K6" s="19">
        <f ca="1">I5*25%</f>
        <v>0.25</v>
      </c>
    </row>
    <row r="7" spans="1:11" s="1" customFormat="1" ht="20.25" customHeight="1" x14ac:dyDescent="0.3">
      <c r="A7" s="110" t="s">
        <v>133</v>
      </c>
      <c r="B7" s="110"/>
      <c r="C7" s="165">
        <f ca="1">K8</f>
        <v>1</v>
      </c>
      <c r="D7" s="165"/>
      <c r="E7" s="5">
        <f ca="1">((100/I5)*C7)/100</f>
        <v>1</v>
      </c>
      <c r="F7" s="110">
        <f ca="1">(((C7/I5*5)+(C8/I5*20)+(25/(F5+H5+I5)*C9)+(5/(I5)*C10)+(2.5/(I5)*C11)+(2.5/(I5)*C12)+(5/I5*C13)+(10/I5*C14)+(2.5/I5*C15)+(2.5/I5*C16)+(10/I5*C17)+(10/I5*C18))/100)</f>
        <v>0.25</v>
      </c>
      <c r="G7" s="110"/>
      <c r="H7" s="110" t="str">
        <f ca="1">J4</f>
        <v>Excavation work Completed. Plinth work completed</v>
      </c>
      <c r="I7" s="110"/>
      <c r="J7" s="20" t="s">
        <v>123</v>
      </c>
      <c r="K7" s="24">
        <f ca="1">I5*50%</f>
        <v>0.5</v>
      </c>
    </row>
    <row r="8" spans="1:11" s="1" customFormat="1" ht="20.25" x14ac:dyDescent="0.3">
      <c r="A8" s="110" t="s">
        <v>104</v>
      </c>
      <c r="B8" s="110"/>
      <c r="C8" s="186">
        <f ca="1">K16</f>
        <v>1</v>
      </c>
      <c r="D8" s="165"/>
      <c r="E8" s="5">
        <f ca="1">((100/I5)*C8)/100</f>
        <v>1</v>
      </c>
      <c r="F8" s="110"/>
      <c r="G8" s="110"/>
      <c r="H8" s="110"/>
      <c r="I8" s="110"/>
      <c r="J8" s="20" t="s">
        <v>124</v>
      </c>
      <c r="K8" s="24">
        <f ca="1">I5</f>
        <v>1</v>
      </c>
    </row>
    <row r="9" spans="1:11" s="1" customFormat="1" ht="21" customHeight="1" x14ac:dyDescent="0.35">
      <c r="A9" s="110" t="s">
        <v>134</v>
      </c>
      <c r="B9" s="110"/>
      <c r="C9" s="165">
        <v>0</v>
      </c>
      <c r="D9" s="165"/>
      <c r="E9" s="5">
        <f ca="1">((100/(F5+H5+I5))*C9)/100</f>
        <v>0</v>
      </c>
      <c r="F9" s="110"/>
      <c r="G9" s="110"/>
      <c r="H9" s="110"/>
      <c r="I9" s="110"/>
      <c r="J9" s="20" t="s">
        <v>125</v>
      </c>
      <c r="K9" s="25">
        <f ca="1">(IF(E5&gt;1,(I5/(E5+2)),I5*0.2))</f>
        <v>0.2</v>
      </c>
    </row>
    <row r="10" spans="1:11" s="1" customFormat="1" ht="21" customHeight="1" x14ac:dyDescent="0.35">
      <c r="A10" s="110" t="s">
        <v>135</v>
      </c>
      <c r="B10" s="110"/>
      <c r="C10" s="165">
        <v>0</v>
      </c>
      <c r="D10" s="165"/>
      <c r="E10" s="5">
        <f ca="1">((100/I5)*C10)/100</f>
        <v>0</v>
      </c>
      <c r="F10" s="110"/>
      <c r="G10" s="110"/>
      <c r="H10" s="110"/>
      <c r="I10" s="110"/>
      <c r="J10" s="20" t="s">
        <v>126</v>
      </c>
      <c r="K10" s="25">
        <f ca="1">(IF(E5&gt;1,(I5/(E5+2)+K9),I5*0.2+K9))</f>
        <v>0.4</v>
      </c>
    </row>
    <row r="11" spans="1:11" s="1" customFormat="1" ht="21" customHeight="1" x14ac:dyDescent="0.35">
      <c r="A11" s="111" t="s">
        <v>136</v>
      </c>
      <c r="B11" s="112"/>
      <c r="C11" s="165">
        <v>0</v>
      </c>
      <c r="D11" s="165"/>
      <c r="E11" s="5">
        <f ca="1">((100/I5)*C11)/100</f>
        <v>0</v>
      </c>
      <c r="F11" s="110"/>
      <c r="G11" s="110"/>
      <c r="H11" s="110"/>
      <c r="I11" s="110"/>
      <c r="J11" s="20" t="s">
        <v>137</v>
      </c>
      <c r="K11" s="25">
        <f ca="1">(IF(E5&gt;1,(I5/(E5+2)+K10),0))</f>
        <v>0.60000000000000009</v>
      </c>
    </row>
    <row r="12" spans="1:11" s="1" customFormat="1" ht="21" customHeight="1" x14ac:dyDescent="0.35">
      <c r="A12" s="111" t="s">
        <v>167</v>
      </c>
      <c r="B12" s="112"/>
      <c r="C12" s="165">
        <v>0</v>
      </c>
      <c r="D12" s="165"/>
      <c r="E12" s="5">
        <f ca="1">((100/I5)*C12)/100</f>
        <v>0</v>
      </c>
      <c r="F12" s="110"/>
      <c r="G12" s="110"/>
      <c r="H12" s="110"/>
      <c r="I12" s="110"/>
      <c r="J12" s="20" t="s">
        <v>138</v>
      </c>
      <c r="K12" s="25">
        <f ca="1">(IF(E5&gt;2,(I5/(E5+2)+K11),0))</f>
        <v>0.8</v>
      </c>
    </row>
    <row r="13" spans="1:11" s="1" customFormat="1" ht="57.75" customHeight="1" x14ac:dyDescent="0.35">
      <c r="A13" s="111" t="s">
        <v>164</v>
      </c>
      <c r="B13" s="112"/>
      <c r="C13" s="165">
        <v>0</v>
      </c>
      <c r="D13" s="165"/>
      <c r="E13" s="5">
        <f ca="1">((100/(I5))*C13)/100</f>
        <v>0</v>
      </c>
      <c r="F13" s="110"/>
      <c r="G13" s="110"/>
      <c r="H13" s="110"/>
      <c r="I13" s="110"/>
      <c r="J13" s="20" t="s">
        <v>140</v>
      </c>
      <c r="K13" s="26">
        <f>(IF(E5&gt;3,(I5/(E5+2)+K12),0))</f>
        <v>0</v>
      </c>
    </row>
    <row r="14" spans="1:11" s="1" customFormat="1" ht="21" x14ac:dyDescent="0.35">
      <c r="A14" s="110" t="s">
        <v>139</v>
      </c>
      <c r="B14" s="110"/>
      <c r="C14" s="165">
        <v>0</v>
      </c>
      <c r="D14" s="165"/>
      <c r="E14" s="5">
        <f ca="1">((100/(I5))*C14)/100</f>
        <v>0</v>
      </c>
      <c r="F14" s="110"/>
      <c r="G14" s="110"/>
      <c r="H14" s="110"/>
      <c r="I14" s="110"/>
      <c r="J14" s="20" t="s">
        <v>141</v>
      </c>
      <c r="K14" s="25">
        <f>(IF(E5&gt;4,(I5/(E5+2)+K13),0))</f>
        <v>0</v>
      </c>
    </row>
    <row r="15" spans="1:11" s="1" customFormat="1" ht="21" customHeight="1" x14ac:dyDescent="0.35">
      <c r="A15" s="110" t="s">
        <v>166</v>
      </c>
      <c r="B15" s="110"/>
      <c r="C15" s="165">
        <v>0</v>
      </c>
      <c r="D15" s="165"/>
      <c r="E15" s="5">
        <f ca="1">((100/I5)*C15)/100</f>
        <v>0</v>
      </c>
      <c r="F15" s="110"/>
      <c r="G15" s="110"/>
      <c r="H15" s="110"/>
      <c r="I15" s="110"/>
      <c r="J15" s="20" t="s">
        <v>127</v>
      </c>
      <c r="K15" s="25">
        <f>(IF(E5=1,(I5/(E5+3)+K10),IF(E5=0,(I5*0.3+K10),IF(E5&gt;1,0))))</f>
        <v>0</v>
      </c>
    </row>
    <row r="16" spans="1:11" s="1" customFormat="1" ht="21.75" thickBot="1" x14ac:dyDescent="0.4">
      <c r="A16" s="110" t="s">
        <v>165</v>
      </c>
      <c r="B16" s="110"/>
      <c r="C16" s="165">
        <v>0</v>
      </c>
      <c r="D16" s="165"/>
      <c r="E16" s="5">
        <f ca="1">((100/I5)*C16)/100</f>
        <v>0</v>
      </c>
      <c r="F16" s="110"/>
      <c r="G16" s="110"/>
      <c r="H16" s="110"/>
      <c r="I16" s="110"/>
      <c r="J16" s="22" t="s">
        <v>128</v>
      </c>
      <c r="K16" s="27">
        <f ca="1">(IF(E5&gt;1.5,(I5/(E5+2)+K10+MAX(0,K11-K10)+MAX(0,K12-K11)+MAX(0,K13-K12)+MAX(0,K14-K13)+MAX(0,K15-K14)),IF(E5=1,(I5/(E5+3)+K15),IF(E5=0,I5*0.3+K15))))</f>
        <v>1</v>
      </c>
    </row>
    <row r="17" spans="1:9" s="1" customFormat="1" ht="20.25" x14ac:dyDescent="0.25">
      <c r="A17" s="110" t="s">
        <v>142</v>
      </c>
      <c r="B17" s="110"/>
      <c r="C17" s="165">
        <v>0</v>
      </c>
      <c r="D17" s="165"/>
      <c r="E17" s="5">
        <f ca="1">((100/(I5))*C17)/100</f>
        <v>0</v>
      </c>
      <c r="F17" s="110"/>
      <c r="G17" s="110"/>
      <c r="H17" s="110"/>
      <c r="I17" s="110"/>
    </row>
    <row r="18" spans="1:9" s="1" customFormat="1" ht="20.25" x14ac:dyDescent="0.25">
      <c r="A18" s="110" t="s">
        <v>143</v>
      </c>
      <c r="B18" s="110"/>
      <c r="C18" s="165">
        <v>0</v>
      </c>
      <c r="D18" s="165"/>
      <c r="E18" s="5">
        <f ca="1">((100/(I5))*C18)/100</f>
        <v>0</v>
      </c>
      <c r="F18" s="110"/>
      <c r="G18" s="110"/>
      <c r="H18" s="110"/>
      <c r="I18" s="110"/>
    </row>
    <row r="23" spans="1:9" x14ac:dyDescent="0.25">
      <c r="B23" s="187" t="s">
        <v>168</v>
      </c>
      <c r="C23" s="187"/>
      <c r="D23" s="187"/>
      <c r="E23" s="187"/>
      <c r="F23" s="187"/>
      <c r="G23" s="187"/>
    </row>
    <row r="24" spans="1:9" ht="14.45" customHeight="1" x14ac:dyDescent="0.25">
      <c r="B24" s="190" t="s">
        <v>169</v>
      </c>
      <c r="C24" s="190" t="s">
        <v>170</v>
      </c>
      <c r="D24" s="193" t="s">
        <v>171</v>
      </c>
      <c r="E24" s="194" t="s">
        <v>172</v>
      </c>
      <c r="F24" s="191" t="s">
        <v>173</v>
      </c>
      <c r="G24" s="190" t="s">
        <v>174</v>
      </c>
    </row>
    <row r="25" spans="1:9" x14ac:dyDescent="0.25">
      <c r="B25" s="190"/>
      <c r="C25" s="190"/>
      <c r="D25" s="193"/>
      <c r="E25" s="194"/>
      <c r="F25" s="191"/>
      <c r="G25" s="190"/>
    </row>
    <row r="26" spans="1:9" x14ac:dyDescent="0.25">
      <c r="B26" s="36" t="s">
        <v>175</v>
      </c>
      <c r="C26" s="37">
        <v>10</v>
      </c>
      <c r="D26" s="37">
        <v>1</v>
      </c>
      <c r="E26" s="38"/>
      <c r="F26" s="39">
        <f>((E26/D26)*0.05)*100</f>
        <v>0</v>
      </c>
      <c r="G26" s="39">
        <f t="shared" ref="G26:G37" si="0">((E26/D26)*(C26/100))*100</f>
        <v>0</v>
      </c>
    </row>
    <row r="27" spans="1:9" x14ac:dyDescent="0.25">
      <c r="B27" s="36" t="s">
        <v>176</v>
      </c>
      <c r="C27" s="38">
        <v>10</v>
      </c>
      <c r="D27" s="38">
        <v>1</v>
      </c>
      <c r="E27" s="38"/>
      <c r="F27" s="39">
        <f>((E27/D27)*0.05)*100</f>
        <v>0</v>
      </c>
      <c r="G27" s="39">
        <f t="shared" si="0"/>
        <v>0</v>
      </c>
    </row>
    <row r="28" spans="1:9" x14ac:dyDescent="0.25">
      <c r="B28" s="36" t="s">
        <v>177</v>
      </c>
      <c r="C28" s="38">
        <v>15</v>
      </c>
      <c r="D28" s="38">
        <v>1</v>
      </c>
      <c r="E28" s="38"/>
      <c r="F28" s="39">
        <f>((E28/D28)*0.15)*100</f>
        <v>0</v>
      </c>
      <c r="G28" s="39">
        <f t="shared" si="0"/>
        <v>0</v>
      </c>
    </row>
    <row r="29" spans="1:9" x14ac:dyDescent="0.25">
      <c r="B29" s="40" t="s">
        <v>178</v>
      </c>
      <c r="C29" s="38">
        <v>25</v>
      </c>
      <c r="D29" s="38">
        <v>40</v>
      </c>
      <c r="E29" s="38"/>
      <c r="F29" s="39">
        <f>((E29/D29)*0.25)*100</f>
        <v>0</v>
      </c>
      <c r="G29" s="39">
        <f t="shared" si="0"/>
        <v>0</v>
      </c>
    </row>
    <row r="30" spans="1:9" x14ac:dyDescent="0.25">
      <c r="B30" s="40" t="s">
        <v>179</v>
      </c>
      <c r="C30" s="38">
        <v>5</v>
      </c>
      <c r="D30" s="38">
        <v>39</v>
      </c>
      <c r="E30" s="38"/>
      <c r="F30" s="39">
        <f>((E30/D30)*0.05)*100</f>
        <v>0</v>
      </c>
      <c r="G30" s="39">
        <f t="shared" si="0"/>
        <v>0</v>
      </c>
    </row>
    <row r="31" spans="1:9" ht="30" x14ac:dyDescent="0.25">
      <c r="B31" s="40" t="s">
        <v>180</v>
      </c>
      <c r="C31" s="38">
        <v>2.5</v>
      </c>
      <c r="D31" s="38">
        <v>39</v>
      </c>
      <c r="E31" s="38"/>
      <c r="F31" s="39">
        <f>((E31/D31)*0.025)*100</f>
        <v>0</v>
      </c>
      <c r="G31" s="39">
        <f t="shared" si="0"/>
        <v>0</v>
      </c>
    </row>
    <row r="32" spans="1:9" ht="30" x14ac:dyDescent="0.25">
      <c r="B32" s="40" t="s">
        <v>181</v>
      </c>
      <c r="C32" s="38">
        <v>2.5</v>
      </c>
      <c r="D32" s="38">
        <v>39</v>
      </c>
      <c r="E32" s="38"/>
      <c r="F32" s="39">
        <f>((E32/D32)*0.025)*100</f>
        <v>0</v>
      </c>
      <c r="G32" s="39">
        <f t="shared" si="0"/>
        <v>0</v>
      </c>
    </row>
    <row r="33" spans="1:7" ht="45" x14ac:dyDescent="0.25">
      <c r="B33" s="41" t="s">
        <v>182</v>
      </c>
      <c r="C33" s="38">
        <v>5</v>
      </c>
      <c r="D33" s="38">
        <v>39</v>
      </c>
      <c r="E33" s="38"/>
      <c r="F33" s="39">
        <f>((E33/D33)*0.05)*100</f>
        <v>0</v>
      </c>
      <c r="G33" s="39">
        <f t="shared" si="0"/>
        <v>0</v>
      </c>
    </row>
    <row r="34" spans="1:7" ht="30" x14ac:dyDescent="0.25">
      <c r="B34" s="41" t="s">
        <v>183</v>
      </c>
      <c r="C34" s="38">
        <v>5</v>
      </c>
      <c r="D34" s="38">
        <v>39</v>
      </c>
      <c r="E34" s="38"/>
      <c r="F34" s="39">
        <f>((E34/D34)*0.1)*100</f>
        <v>0</v>
      </c>
      <c r="G34" s="39">
        <f t="shared" si="0"/>
        <v>0</v>
      </c>
    </row>
    <row r="35" spans="1:7" ht="30" x14ac:dyDescent="0.25">
      <c r="B35" s="41" t="s">
        <v>184</v>
      </c>
      <c r="C35" s="38">
        <v>5</v>
      </c>
      <c r="D35" s="38">
        <v>39</v>
      </c>
      <c r="E35" s="38"/>
      <c r="F35" s="39">
        <f>((E35/D35)*0.05)*100</f>
        <v>0</v>
      </c>
      <c r="G35" s="39">
        <f t="shared" si="0"/>
        <v>0</v>
      </c>
    </row>
    <row r="36" spans="1:7" ht="60" x14ac:dyDescent="0.25">
      <c r="B36" s="41" t="s">
        <v>185</v>
      </c>
      <c r="C36" s="38">
        <v>10</v>
      </c>
      <c r="D36" s="38">
        <v>39</v>
      </c>
      <c r="E36" s="38"/>
      <c r="F36" s="39">
        <f>((E36/D36)*0.1)*100</f>
        <v>0</v>
      </c>
      <c r="G36" s="39">
        <f t="shared" si="0"/>
        <v>0</v>
      </c>
    </row>
    <row r="37" spans="1:7" ht="45" x14ac:dyDescent="0.25">
      <c r="B37" s="41" t="s">
        <v>186</v>
      </c>
      <c r="C37" s="38">
        <v>5</v>
      </c>
      <c r="D37" s="38">
        <v>39</v>
      </c>
      <c r="E37" s="38"/>
      <c r="F37" s="39">
        <f>((E37/D37)*0.1)*100</f>
        <v>0</v>
      </c>
      <c r="G37" s="39">
        <f t="shared" si="0"/>
        <v>0</v>
      </c>
    </row>
    <row r="38" spans="1:7" ht="15.75" x14ac:dyDescent="0.25">
      <c r="B38" s="42" t="s">
        <v>187</v>
      </c>
      <c r="C38" s="43">
        <f>SUM(C26:C37)</f>
        <v>100</v>
      </c>
      <c r="D38" s="42"/>
      <c r="E38" s="42"/>
      <c r="F38" s="43">
        <f>SUM(F26:F37)</f>
        <v>0</v>
      </c>
      <c r="G38" s="43">
        <f>SUM(G26:G37)</f>
        <v>0</v>
      </c>
    </row>
    <row r="39" spans="1:7" x14ac:dyDescent="0.25">
      <c r="B39" s="191" t="s">
        <v>188</v>
      </c>
      <c r="C39" s="191"/>
      <c r="D39" s="191"/>
      <c r="E39" s="191"/>
      <c r="F39" s="191"/>
      <c r="G39" s="191"/>
    </row>
    <row r="40" spans="1:7" x14ac:dyDescent="0.25">
      <c r="B40" s="192" t="s">
        <v>189</v>
      </c>
      <c r="C40" s="192"/>
      <c r="D40" s="192"/>
      <c r="E40" s="192" t="s">
        <v>190</v>
      </c>
      <c r="F40" s="192"/>
      <c r="G40" s="192"/>
    </row>
    <row r="41" spans="1:7" x14ac:dyDescent="0.25">
      <c r="B41" s="188" t="s">
        <v>191</v>
      </c>
      <c r="C41" s="188"/>
      <c r="D41" s="188"/>
      <c r="E41" s="188" t="s">
        <v>192</v>
      </c>
      <c r="F41" s="188"/>
      <c r="G41" s="188"/>
    </row>
    <row r="42" spans="1:7" x14ac:dyDescent="0.25">
      <c r="B42" s="188" t="s">
        <v>193</v>
      </c>
      <c r="C42" s="188"/>
      <c r="D42" s="188"/>
      <c r="E42" s="188" t="s">
        <v>194</v>
      </c>
      <c r="F42" s="188"/>
      <c r="G42" s="188"/>
    </row>
    <row r="43" spans="1:7" x14ac:dyDescent="0.25">
      <c r="B43" s="189" t="s">
        <v>195</v>
      </c>
      <c r="C43" s="189"/>
      <c r="D43" s="189"/>
      <c r="E43" s="189" t="s">
        <v>196</v>
      </c>
      <c r="F43" s="189"/>
      <c r="G43" s="189"/>
    </row>
    <row r="45" spans="1:7" ht="15.75" thickBot="1" x14ac:dyDescent="0.3"/>
    <row r="46" spans="1:7" ht="17.25" thickTop="1" thickBot="1" x14ac:dyDescent="0.3">
      <c r="A46" s="44" t="s">
        <v>197</v>
      </c>
      <c r="B46" s="44" t="s">
        <v>169</v>
      </c>
      <c r="C46" s="45" t="s">
        <v>198</v>
      </c>
      <c r="D46" s="45" t="s">
        <v>199</v>
      </c>
      <c r="E46" s="45" t="s">
        <v>200</v>
      </c>
    </row>
    <row r="47" spans="1:7" ht="31.5" thickTop="1" thickBot="1" x14ac:dyDescent="0.3">
      <c r="A47" s="46">
        <v>1</v>
      </c>
      <c r="B47" s="47" t="s">
        <v>201</v>
      </c>
      <c r="C47" s="48">
        <v>0</v>
      </c>
      <c r="D47" s="49">
        <v>0.1</v>
      </c>
      <c r="E47" s="48">
        <v>0.1</v>
      </c>
    </row>
    <row r="48" spans="1:7" ht="31.5" thickTop="1" thickBot="1" x14ac:dyDescent="0.3">
      <c r="A48" s="46">
        <v>2</v>
      </c>
      <c r="B48" s="47" t="s">
        <v>202</v>
      </c>
      <c r="C48" s="48" t="s">
        <v>203</v>
      </c>
      <c r="D48" s="49" t="s">
        <v>204</v>
      </c>
      <c r="E48" s="48">
        <v>0.3</v>
      </c>
    </row>
    <row r="49" spans="1:5" ht="61.5" thickTop="1" thickBot="1" x14ac:dyDescent="0.3">
      <c r="A49" s="46">
        <v>3</v>
      </c>
      <c r="B49" s="47" t="s">
        <v>205</v>
      </c>
      <c r="C49" s="48" t="s">
        <v>206</v>
      </c>
      <c r="D49" s="49" t="s">
        <v>207</v>
      </c>
      <c r="E49" s="48">
        <v>0.45</v>
      </c>
    </row>
    <row r="50" spans="1:5" ht="76.5" thickTop="1" thickBot="1" x14ac:dyDescent="0.3">
      <c r="A50" s="46">
        <v>4</v>
      </c>
      <c r="B50" s="47" t="s">
        <v>208</v>
      </c>
      <c r="C50" s="48" t="s">
        <v>209</v>
      </c>
      <c r="D50" s="49" t="s">
        <v>210</v>
      </c>
      <c r="E50" s="48">
        <v>0.7</v>
      </c>
    </row>
    <row r="51" spans="1:5" ht="76.5" thickTop="1" thickBot="1" x14ac:dyDescent="0.3">
      <c r="A51" s="46">
        <v>5</v>
      </c>
      <c r="B51" s="47" t="s">
        <v>211</v>
      </c>
      <c r="C51" s="48" t="s">
        <v>212</v>
      </c>
      <c r="D51" s="49" t="s">
        <v>213</v>
      </c>
      <c r="E51" s="48">
        <v>0.75</v>
      </c>
    </row>
    <row r="52" spans="1:5" ht="76.5" thickTop="1" thickBot="1" x14ac:dyDescent="0.3">
      <c r="A52" s="46">
        <v>6</v>
      </c>
      <c r="B52" s="47" t="s">
        <v>214</v>
      </c>
      <c r="C52" s="48" t="s">
        <v>215</v>
      </c>
      <c r="D52" s="49" t="s">
        <v>216</v>
      </c>
      <c r="E52" s="48">
        <v>0.8</v>
      </c>
    </row>
    <row r="53" spans="1:5" ht="121.5" thickTop="1" thickBot="1" x14ac:dyDescent="0.3">
      <c r="A53" s="46">
        <v>7</v>
      </c>
      <c r="B53" s="47" t="s">
        <v>217</v>
      </c>
      <c r="C53" s="48" t="s">
        <v>218</v>
      </c>
      <c r="D53" s="49" t="s">
        <v>219</v>
      </c>
      <c r="E53" s="48">
        <v>0.85</v>
      </c>
    </row>
    <row r="54" spans="1:5" ht="211.5" thickTop="1" thickBot="1" x14ac:dyDescent="0.3">
      <c r="A54" s="46">
        <v>8</v>
      </c>
      <c r="B54" s="47" t="s">
        <v>220</v>
      </c>
      <c r="C54" s="48" t="s">
        <v>221</v>
      </c>
      <c r="D54" s="49" t="s">
        <v>222</v>
      </c>
      <c r="E54" s="48">
        <v>0.95</v>
      </c>
    </row>
    <row r="55" spans="1:5" ht="91.5" thickTop="1" thickBot="1" x14ac:dyDescent="0.3">
      <c r="A55" s="46">
        <v>9</v>
      </c>
      <c r="B55" s="47" t="s">
        <v>223</v>
      </c>
      <c r="C55" s="48" t="s">
        <v>224</v>
      </c>
      <c r="D55" s="49" t="s">
        <v>225</v>
      </c>
      <c r="E55" s="48">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5" t="s">
        <v>244</v>
      </c>
    </row>
    <row r="3" spans="2:3" x14ac:dyDescent="0.25">
      <c r="B3" s="38">
        <v>2</v>
      </c>
      <c r="C3" s="56" t="s">
        <v>245</v>
      </c>
    </row>
    <row r="4" spans="2:3" x14ac:dyDescent="0.25">
      <c r="B4" s="38">
        <v>3</v>
      </c>
      <c r="C4" s="38" t="s">
        <v>246</v>
      </c>
    </row>
    <row r="5" spans="2:3" x14ac:dyDescent="0.25">
      <c r="B5" s="38">
        <v>4</v>
      </c>
      <c r="C5" s="56" t="s">
        <v>247</v>
      </c>
    </row>
    <row r="6" spans="2:3" x14ac:dyDescent="0.25">
      <c r="B6" s="38">
        <v>5</v>
      </c>
      <c r="C6" s="38" t="s">
        <v>248</v>
      </c>
    </row>
    <row r="7" spans="2:3" ht="30" x14ac:dyDescent="0.25">
      <c r="B7" s="38">
        <v>6</v>
      </c>
      <c r="C7" s="56" t="s">
        <v>249</v>
      </c>
    </row>
    <row r="8" spans="2:3" ht="75" x14ac:dyDescent="0.25">
      <c r="B8" s="38">
        <v>7</v>
      </c>
      <c r="C8" s="56" t="s">
        <v>250</v>
      </c>
    </row>
    <row r="9" spans="2:3" x14ac:dyDescent="0.25">
      <c r="B9" s="38">
        <v>8</v>
      </c>
      <c r="C9" s="38" t="s">
        <v>251</v>
      </c>
    </row>
    <row r="10" spans="2:3" x14ac:dyDescent="0.25">
      <c r="B10" s="38">
        <v>9</v>
      </c>
      <c r="C10" s="38" t="s">
        <v>252</v>
      </c>
    </row>
    <row r="11" spans="2:3" x14ac:dyDescent="0.25">
      <c r="B11" s="38">
        <v>10</v>
      </c>
      <c r="C11" s="38" t="s">
        <v>253</v>
      </c>
    </row>
    <row r="12" spans="2:3" x14ac:dyDescent="0.25">
      <c r="B12" s="38">
        <v>11</v>
      </c>
      <c r="C12" s="38" t="s">
        <v>254</v>
      </c>
    </row>
    <row r="13" spans="2:3" x14ac:dyDescent="0.25">
      <c r="B13" s="38">
        <v>12</v>
      </c>
      <c r="C13" s="38" t="s">
        <v>255</v>
      </c>
    </row>
    <row r="14" spans="2:3" x14ac:dyDescent="0.25">
      <c r="B14" s="38">
        <v>13</v>
      </c>
      <c r="C14" s="38" t="s">
        <v>256</v>
      </c>
    </row>
    <row r="15" spans="2:3" x14ac:dyDescent="0.25">
      <c r="B15" s="38">
        <v>14</v>
      </c>
      <c r="C15" s="38" t="s">
        <v>246</v>
      </c>
    </row>
    <row r="16" spans="2:3" x14ac:dyDescent="0.25">
      <c r="B16" s="38">
        <v>15</v>
      </c>
      <c r="C16" s="38" t="s">
        <v>238</v>
      </c>
    </row>
    <row r="17" spans="2:3" x14ac:dyDescent="0.25">
      <c r="B17" s="57">
        <v>16</v>
      </c>
      <c r="C17" s="58" t="s">
        <v>257</v>
      </c>
    </row>
    <row r="18" spans="2:3" x14ac:dyDescent="0.25">
      <c r="B18" s="59">
        <v>17</v>
      </c>
      <c r="C18" s="58" t="s">
        <v>258</v>
      </c>
    </row>
    <row r="19" spans="2:3" x14ac:dyDescent="0.25">
      <c r="B19" s="60">
        <v>18</v>
      </c>
      <c r="C19" s="38" t="s">
        <v>259</v>
      </c>
    </row>
    <row r="20" spans="2:3" x14ac:dyDescent="0.25">
      <c r="B20" s="59">
        <v>19</v>
      </c>
      <c r="C20" s="38" t="s">
        <v>260</v>
      </c>
    </row>
    <row r="21" spans="2:3" x14ac:dyDescent="0.25">
      <c r="B21" s="38">
        <v>20</v>
      </c>
      <c r="C21" s="38" t="s">
        <v>261</v>
      </c>
    </row>
    <row r="22" spans="2:3" x14ac:dyDescent="0.25">
      <c r="B22" s="59">
        <v>21</v>
      </c>
      <c r="C22" s="38" t="s">
        <v>259</v>
      </c>
    </row>
    <row r="23" spans="2:3" s="62" customFormat="1" ht="30" x14ac:dyDescent="0.25">
      <c r="B23" s="61">
        <v>22</v>
      </c>
      <c r="C23" s="55" t="s">
        <v>262</v>
      </c>
    </row>
    <row r="24" spans="2:3" s="62" customFormat="1" ht="30" x14ac:dyDescent="0.25">
      <c r="B24" s="63">
        <v>23</v>
      </c>
      <c r="C24" s="55" t="s">
        <v>263</v>
      </c>
    </row>
    <row r="25" spans="2:3" x14ac:dyDescent="0.25">
      <c r="B25" s="38">
        <v>24</v>
      </c>
      <c r="C25" s="38" t="s">
        <v>264</v>
      </c>
    </row>
    <row r="26" spans="2:3" x14ac:dyDescent="0.25">
      <c r="B26" s="59">
        <v>25</v>
      </c>
      <c r="C26" s="38" t="s">
        <v>265</v>
      </c>
    </row>
    <row r="27" spans="2:3" x14ac:dyDescent="0.25">
      <c r="B27" s="63">
        <v>26</v>
      </c>
      <c r="C27" s="38" t="s">
        <v>266</v>
      </c>
    </row>
    <row r="28" spans="2:3" x14ac:dyDescent="0.25">
      <c r="B28" s="59">
        <v>27</v>
      </c>
      <c r="C28" s="38" t="s">
        <v>267</v>
      </c>
    </row>
    <row r="29" spans="2:3" ht="60" x14ac:dyDescent="0.25">
      <c r="B29" s="64">
        <v>28</v>
      </c>
      <c r="C29" s="56" t="s">
        <v>268</v>
      </c>
    </row>
    <row r="30" spans="2:3" x14ac:dyDescent="0.25">
      <c r="B30" s="63">
        <v>29</v>
      </c>
      <c r="C30" s="38" t="s">
        <v>269</v>
      </c>
    </row>
    <row r="31" spans="2:3" ht="30" x14ac:dyDescent="0.25">
      <c r="B31" s="63">
        <v>30</v>
      </c>
      <c r="C31" s="56" t="s">
        <v>297</v>
      </c>
    </row>
    <row r="32" spans="2:3" x14ac:dyDescent="0.25">
      <c r="B32" s="63">
        <v>31</v>
      </c>
      <c r="C32" s="38" t="s">
        <v>298</v>
      </c>
    </row>
    <row r="33" spans="2:3" x14ac:dyDescent="0.25">
      <c r="B33" s="63">
        <v>32</v>
      </c>
      <c r="C33" s="38" t="s">
        <v>299</v>
      </c>
    </row>
    <row r="34" spans="2:3" ht="30" x14ac:dyDescent="0.25">
      <c r="B34" s="63">
        <v>33</v>
      </c>
      <c r="C34" s="58" t="s">
        <v>300</v>
      </c>
    </row>
    <row r="35" spans="2:3" x14ac:dyDescent="0.25">
      <c r="B35" s="63">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270</v>
      </c>
      <c r="C2" s="195"/>
      <c r="D2" s="195"/>
    </row>
    <row r="3" spans="1:12" x14ac:dyDescent="0.25">
      <c r="D3" s="67"/>
      <c r="E3" s="67"/>
      <c r="F3" s="67"/>
      <c r="G3" s="67"/>
      <c r="H3" s="67"/>
      <c r="I3" s="67"/>
    </row>
    <row r="4" spans="1:12" x14ac:dyDescent="0.25">
      <c r="A4" s="66" t="s">
        <v>271</v>
      </c>
      <c r="B4" s="54" t="s">
        <v>272</v>
      </c>
      <c r="C4" s="196" t="s">
        <v>273</v>
      </c>
      <c r="D4" s="196"/>
      <c r="E4" s="196"/>
      <c r="F4" s="54"/>
      <c r="G4" s="197" t="s">
        <v>274</v>
      </c>
      <c r="H4" s="197"/>
      <c r="I4" s="197"/>
      <c r="J4" s="198" t="s">
        <v>275</v>
      </c>
      <c r="K4" s="198"/>
      <c r="L4" s="198"/>
    </row>
    <row r="5" spans="1:12" x14ac:dyDescent="0.25">
      <c r="A5" s="66"/>
      <c r="B5" s="54"/>
      <c r="C5" s="54" t="s">
        <v>276</v>
      </c>
      <c r="D5" s="54" t="s">
        <v>277</v>
      </c>
      <c r="E5" s="54" t="s">
        <v>278</v>
      </c>
      <c r="F5" s="54"/>
      <c r="G5" s="54" t="s">
        <v>276</v>
      </c>
      <c r="H5" s="54" t="s">
        <v>277</v>
      </c>
      <c r="I5" s="54" t="s">
        <v>278</v>
      </c>
      <c r="J5" s="54" t="s">
        <v>276</v>
      </c>
      <c r="K5" s="54" t="s">
        <v>277</v>
      </c>
      <c r="L5" s="54" t="s">
        <v>278</v>
      </c>
    </row>
    <row r="6" spans="1:12" x14ac:dyDescent="0.25">
      <c r="B6" s="53" t="s">
        <v>279</v>
      </c>
      <c r="C6" s="53"/>
      <c r="D6" s="53"/>
      <c r="E6" s="53">
        <f>C6*D6</f>
        <v>0</v>
      </c>
      <c r="F6" s="53" t="s">
        <v>280</v>
      </c>
      <c r="G6" s="53"/>
      <c r="H6" s="53"/>
      <c r="I6" s="53">
        <f>G6*H6</f>
        <v>0</v>
      </c>
      <c r="J6" s="53"/>
      <c r="K6" s="53"/>
      <c r="L6" s="53">
        <f>J6*K6</f>
        <v>0</v>
      </c>
    </row>
    <row r="7" spans="1:12" x14ac:dyDescent="0.25">
      <c r="B7" s="53"/>
      <c r="C7" s="53"/>
      <c r="D7" s="53"/>
      <c r="E7" s="53">
        <f t="shared" ref="E7:E41" si="0">C7*D7</f>
        <v>0</v>
      </c>
      <c r="F7" s="53" t="s">
        <v>280</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281</v>
      </c>
      <c r="G9" s="53"/>
      <c r="H9" s="53"/>
      <c r="I9" s="53">
        <f t="shared" si="1"/>
        <v>0</v>
      </c>
      <c r="J9" s="53"/>
      <c r="K9" s="53"/>
      <c r="L9" s="53">
        <f t="shared" si="2"/>
        <v>0</v>
      </c>
    </row>
    <row r="10" spans="1:12" x14ac:dyDescent="0.25">
      <c r="B10" s="53" t="s">
        <v>282</v>
      </c>
      <c r="C10" s="53"/>
      <c r="D10" s="53"/>
      <c r="E10" s="53">
        <f t="shared" si="0"/>
        <v>0</v>
      </c>
      <c r="F10" s="53" t="s">
        <v>281</v>
      </c>
      <c r="G10" s="53"/>
      <c r="H10" s="53"/>
      <c r="I10" s="53">
        <f t="shared" si="1"/>
        <v>0</v>
      </c>
      <c r="J10" s="53"/>
      <c r="K10" s="53"/>
      <c r="L10" s="53">
        <f t="shared" si="2"/>
        <v>0</v>
      </c>
    </row>
    <row r="11" spans="1:12" x14ac:dyDescent="0.25">
      <c r="B11" s="53"/>
      <c r="C11" s="53"/>
      <c r="D11" s="53"/>
      <c r="E11" s="53">
        <f t="shared" si="0"/>
        <v>0</v>
      </c>
      <c r="F11" s="53" t="s">
        <v>283</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284</v>
      </c>
      <c r="C14" s="53"/>
      <c r="D14" s="53"/>
      <c r="E14" s="53">
        <f t="shared" si="0"/>
        <v>0</v>
      </c>
      <c r="F14" s="53" t="s">
        <v>281</v>
      </c>
      <c r="G14" s="53"/>
      <c r="H14" s="53"/>
      <c r="I14" s="53">
        <f t="shared" si="1"/>
        <v>0</v>
      </c>
      <c r="J14" s="53"/>
      <c r="K14" s="53"/>
      <c r="L14" s="53">
        <f t="shared" si="2"/>
        <v>0</v>
      </c>
    </row>
    <row r="15" spans="1:12" x14ac:dyDescent="0.25">
      <c r="B15" s="53"/>
      <c r="C15" s="53"/>
      <c r="D15" s="53"/>
      <c r="E15" s="53">
        <f t="shared" si="0"/>
        <v>0</v>
      </c>
      <c r="F15" s="53" t="s">
        <v>283</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285</v>
      </c>
      <c r="C18" s="53"/>
      <c r="D18" s="53"/>
      <c r="E18" s="53">
        <f t="shared" si="0"/>
        <v>0</v>
      </c>
      <c r="F18" s="53" t="s">
        <v>281</v>
      </c>
      <c r="G18" s="53"/>
      <c r="H18" s="53"/>
      <c r="I18" s="53">
        <f t="shared" si="1"/>
        <v>0</v>
      </c>
      <c r="J18" s="53"/>
      <c r="K18" s="53"/>
      <c r="L18" s="53">
        <f t="shared" si="2"/>
        <v>0</v>
      </c>
    </row>
    <row r="19" spans="2:12" x14ac:dyDescent="0.25">
      <c r="B19" s="53"/>
      <c r="C19" s="53"/>
      <c r="D19" s="53"/>
      <c r="E19" s="53">
        <f t="shared" si="0"/>
        <v>0</v>
      </c>
      <c r="F19" s="53" t="s">
        <v>283</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286</v>
      </c>
      <c r="C21" s="53"/>
      <c r="D21" s="53"/>
      <c r="E21" s="53">
        <f t="shared" si="0"/>
        <v>0</v>
      </c>
      <c r="F21" s="53" t="s">
        <v>281</v>
      </c>
      <c r="G21" s="53"/>
      <c r="H21" s="53"/>
      <c r="I21" s="53">
        <f t="shared" si="1"/>
        <v>0</v>
      </c>
      <c r="J21" s="53"/>
      <c r="K21" s="53"/>
      <c r="L21" s="53">
        <f t="shared" si="2"/>
        <v>0</v>
      </c>
    </row>
    <row r="22" spans="2:12" x14ac:dyDescent="0.25">
      <c r="B22" s="53"/>
      <c r="C22" s="53"/>
      <c r="D22" s="53"/>
      <c r="E22" s="53">
        <f t="shared" si="0"/>
        <v>0</v>
      </c>
      <c r="F22" s="53" t="s">
        <v>283</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287</v>
      </c>
      <c r="C24" s="53"/>
      <c r="D24" s="53"/>
      <c r="E24" s="53">
        <f t="shared" si="0"/>
        <v>0</v>
      </c>
      <c r="F24" s="53" t="s">
        <v>288</v>
      </c>
      <c r="G24" s="53"/>
      <c r="H24" s="53"/>
      <c r="I24" s="53">
        <f t="shared" si="1"/>
        <v>0</v>
      </c>
      <c r="J24" s="53"/>
      <c r="K24" s="53"/>
      <c r="L24" s="53">
        <f t="shared" si="2"/>
        <v>0</v>
      </c>
    </row>
    <row r="25" spans="2:12" x14ac:dyDescent="0.25">
      <c r="B25" s="53"/>
      <c r="C25" s="53"/>
      <c r="D25" s="53"/>
      <c r="E25" s="53">
        <f t="shared" si="0"/>
        <v>0</v>
      </c>
      <c r="F25" s="53" t="s">
        <v>288</v>
      </c>
      <c r="G25" s="53"/>
      <c r="H25" s="53"/>
      <c r="I25" s="53">
        <f t="shared" si="1"/>
        <v>0</v>
      </c>
      <c r="J25" s="53"/>
      <c r="K25" s="53"/>
      <c r="L25" s="53">
        <f t="shared" si="2"/>
        <v>0</v>
      </c>
    </row>
    <row r="26" spans="2:12" x14ac:dyDescent="0.25">
      <c r="B26" s="53"/>
      <c r="C26" s="53"/>
      <c r="D26" s="53"/>
      <c r="E26" s="53">
        <f t="shared" si="0"/>
        <v>0</v>
      </c>
      <c r="F26" s="53" t="s">
        <v>288</v>
      </c>
      <c r="G26" s="53"/>
      <c r="H26" s="53"/>
      <c r="I26" s="53">
        <f t="shared" si="1"/>
        <v>0</v>
      </c>
      <c r="J26" s="53"/>
      <c r="K26" s="53"/>
      <c r="L26" s="53">
        <f t="shared" si="2"/>
        <v>0</v>
      </c>
    </row>
    <row r="27" spans="2:12" x14ac:dyDescent="0.25">
      <c r="B27" s="53"/>
      <c r="C27" s="53"/>
      <c r="D27" s="53"/>
      <c r="E27" s="53">
        <f t="shared" si="0"/>
        <v>0</v>
      </c>
      <c r="F27" s="53" t="s">
        <v>288</v>
      </c>
      <c r="G27" s="53"/>
      <c r="H27" s="53"/>
      <c r="I27" s="53">
        <f t="shared" si="1"/>
        <v>0</v>
      </c>
      <c r="J27" s="53"/>
      <c r="K27" s="53"/>
      <c r="L27" s="53">
        <f t="shared" si="2"/>
        <v>0</v>
      </c>
    </row>
    <row r="28" spans="2:12" x14ac:dyDescent="0.25">
      <c r="B28" s="53" t="s">
        <v>289</v>
      </c>
      <c r="C28" s="53"/>
      <c r="D28" s="53"/>
      <c r="E28" s="53">
        <f t="shared" si="0"/>
        <v>0</v>
      </c>
      <c r="F28" s="53" t="s">
        <v>288</v>
      </c>
      <c r="G28" s="53"/>
      <c r="H28" s="53"/>
      <c r="I28" s="53">
        <f t="shared" si="1"/>
        <v>0</v>
      </c>
      <c r="J28" s="53"/>
      <c r="K28" s="53"/>
      <c r="L28" s="53">
        <f t="shared" si="2"/>
        <v>0</v>
      </c>
    </row>
    <row r="29" spans="2:12" x14ac:dyDescent="0.25">
      <c r="B29" s="53" t="s">
        <v>290</v>
      </c>
      <c r="C29" s="53"/>
      <c r="D29" s="53"/>
      <c r="E29" s="53">
        <f t="shared" si="0"/>
        <v>0</v>
      </c>
      <c r="F29" s="53" t="s">
        <v>288</v>
      </c>
      <c r="G29" s="53"/>
      <c r="H29" s="53"/>
      <c r="I29" s="53">
        <f t="shared" si="1"/>
        <v>0</v>
      </c>
      <c r="J29" s="53"/>
      <c r="K29" s="53"/>
      <c r="L29" s="53">
        <f t="shared" si="2"/>
        <v>0</v>
      </c>
    </row>
    <row r="30" spans="2:12" x14ac:dyDescent="0.25">
      <c r="B30" s="53" t="s">
        <v>291</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292</v>
      </c>
      <c r="C33" s="53"/>
      <c r="D33" s="53"/>
      <c r="E33" s="53">
        <f t="shared" si="0"/>
        <v>0</v>
      </c>
      <c r="F33" s="53"/>
      <c r="G33" s="53"/>
      <c r="H33" s="53"/>
      <c r="I33" s="53">
        <f t="shared" si="1"/>
        <v>0</v>
      </c>
      <c r="J33" s="53"/>
      <c r="K33" s="53"/>
      <c r="L33" s="53">
        <f t="shared" si="2"/>
        <v>0</v>
      </c>
    </row>
    <row r="34" spans="2:12" x14ac:dyDescent="0.25">
      <c r="B34" s="53" t="s">
        <v>293</v>
      </c>
      <c r="C34" s="53"/>
      <c r="D34" s="53"/>
      <c r="E34" s="53">
        <f t="shared" si="0"/>
        <v>0</v>
      </c>
      <c r="F34" s="53"/>
      <c r="G34" s="53"/>
      <c r="H34" s="53"/>
      <c r="I34" s="53">
        <f t="shared" si="1"/>
        <v>0</v>
      </c>
      <c r="J34" s="53"/>
      <c r="K34" s="53"/>
      <c r="L34" s="53">
        <f t="shared" si="2"/>
        <v>0</v>
      </c>
    </row>
    <row r="35" spans="2:12" x14ac:dyDescent="0.25">
      <c r="B35" s="53" t="s">
        <v>294</v>
      </c>
      <c r="C35" s="53"/>
      <c r="D35" s="53"/>
      <c r="E35" s="53">
        <f t="shared" si="0"/>
        <v>0</v>
      </c>
      <c r="F35" s="53"/>
      <c r="G35" s="53"/>
      <c r="H35" s="53"/>
      <c r="I35" s="53">
        <f t="shared" si="1"/>
        <v>0</v>
      </c>
      <c r="J35" s="53"/>
      <c r="K35" s="53"/>
      <c r="L35" s="53">
        <f t="shared" si="2"/>
        <v>0</v>
      </c>
    </row>
    <row r="36" spans="2:12" x14ac:dyDescent="0.25">
      <c r="B36" s="53" t="s">
        <v>295</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296</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153</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2025-09-25T05:29:55Z</cp:lastPrinted>
  <dcterms:created xsi:type="dcterms:W3CDTF">2010-11-23T11:42:48Z</dcterms:created>
  <dcterms:modified xsi:type="dcterms:W3CDTF">2025-09-25T05:38:09Z</dcterms:modified>
</cp:coreProperties>
</file>