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23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6" i="1" l="1"/>
  <c r="C99" i="1" l="1"/>
  <c r="H100" i="1"/>
  <c r="J99" i="1" l="1"/>
  <c r="J101" i="1" s="1"/>
  <c r="J102" i="1"/>
  <c r="J103" i="1"/>
  <c r="J104" i="1"/>
  <c r="C103" i="1" s="1"/>
  <c r="D103" i="1" s="1"/>
  <c r="D105" i="1"/>
  <c r="J105" i="1"/>
  <c r="J106" i="1" s="1"/>
  <c r="J111" i="1" s="1"/>
  <c r="J112" i="1" s="1"/>
  <c r="C104" i="1" s="1"/>
  <c r="D106" i="1"/>
  <c r="D107" i="1"/>
  <c r="J107" i="1"/>
  <c r="D108" i="1"/>
  <c r="J108" i="1"/>
  <c r="D109" i="1"/>
  <c r="J109" i="1"/>
  <c r="D110" i="1"/>
  <c r="J110" i="1"/>
  <c r="D111" i="1"/>
  <c r="D112" i="1"/>
  <c r="E103" i="1" l="1"/>
  <c r="D104" i="1"/>
  <c r="I100" i="1" s="1"/>
  <c r="I101" i="1" s="1"/>
  <c r="J100" i="1"/>
  <c r="G103" i="1"/>
  <c r="D271" i="1"/>
  <c r="F271" i="1" s="1"/>
  <c r="D270" i="1"/>
  <c r="F270" i="1" s="1"/>
  <c r="D269" i="1"/>
  <c r="F269" i="1" s="1"/>
  <c r="A269" i="1"/>
  <c r="A270" i="1" s="1"/>
  <c r="A271" i="1" s="1"/>
  <c r="G268" i="1"/>
  <c r="G269" i="1" s="1"/>
  <c r="G270" i="1" s="1"/>
  <c r="G271" i="1" s="1"/>
  <c r="D268" i="1"/>
  <c r="F268" i="1" s="1"/>
  <c r="D253" i="1"/>
  <c r="F253" i="1" s="1"/>
  <c r="D252" i="1"/>
  <c r="F252" i="1" s="1"/>
  <c r="A252" i="1"/>
  <c r="A253" i="1" s="1"/>
  <c r="G251" i="1"/>
  <c r="G252" i="1" s="1"/>
  <c r="G253" i="1" s="1"/>
  <c r="D251" i="1"/>
  <c r="F251" i="1" s="1"/>
  <c r="D229" i="1"/>
  <c r="F229" i="1" s="1"/>
  <c r="D228" i="1"/>
  <c r="F228" i="1" s="1"/>
  <c r="A228" i="1"/>
  <c r="A229" i="1" s="1"/>
  <c r="G227" i="1"/>
  <c r="G228" i="1" s="1"/>
  <c r="G229" i="1" s="1"/>
  <c r="D227" i="1"/>
  <c r="F227" i="1" s="1"/>
  <c r="D212" i="1"/>
  <c r="D203" i="1"/>
  <c r="F203" i="1" s="1"/>
  <c r="D202" i="1"/>
  <c r="F202" i="1" s="1"/>
  <c r="D201" i="1"/>
  <c r="F201" i="1" s="1"/>
  <c r="A201" i="1"/>
  <c r="A202" i="1" s="1"/>
  <c r="A203" i="1" s="1"/>
  <c r="G200" i="1"/>
  <c r="G201" i="1" s="1"/>
  <c r="G202" i="1" s="1"/>
  <c r="G203" i="1" s="1"/>
  <c r="D200" i="1"/>
  <c r="F200" i="1" s="1"/>
  <c r="D168" i="1"/>
  <c r="F168" i="1" s="1"/>
  <c r="D167" i="1"/>
  <c r="F167" i="1" s="1"/>
  <c r="D166" i="1"/>
  <c r="F166" i="1" s="1"/>
  <c r="A166" i="1"/>
  <c r="A167" i="1" s="1"/>
  <c r="A168" i="1" s="1"/>
  <c r="G165" i="1"/>
  <c r="G166" i="1" s="1"/>
  <c r="G167" i="1" s="1"/>
  <c r="G168" i="1" s="1"/>
  <c r="D165" i="1"/>
  <c r="F165" i="1" s="1"/>
  <c r="D311" i="1"/>
  <c r="D310" i="1"/>
  <c r="D309" i="1"/>
  <c r="D308" i="1"/>
  <c r="D306" i="1"/>
  <c r="D305" i="1"/>
  <c r="D304" i="1"/>
  <c r="D303" i="1"/>
  <c r="D301" i="1"/>
  <c r="D300" i="1"/>
  <c r="D299" i="1"/>
  <c r="D298" i="1"/>
  <c r="D296" i="1"/>
  <c r="D291" i="1"/>
  <c r="D286" i="1"/>
  <c r="D281" i="1"/>
  <c r="D280" i="1"/>
  <c r="D279" i="1"/>
  <c r="D278" i="1"/>
  <c r="D276" i="1"/>
  <c r="D275" i="1"/>
  <c r="D274" i="1"/>
  <c r="D273" i="1"/>
  <c r="D266" i="1"/>
  <c r="D257" i="1"/>
  <c r="D256" i="1"/>
  <c r="D255" i="1"/>
  <c r="D247" i="1"/>
  <c r="D220" i="1"/>
  <c r="D249" i="1"/>
  <c r="D248" i="1"/>
  <c r="D245" i="1"/>
  <c r="D244" i="1"/>
  <c r="D243" i="1"/>
  <c r="D241" i="1"/>
  <c r="D240" i="1"/>
  <c r="D237" i="1"/>
  <c r="D236" i="1"/>
  <c r="D235" i="1"/>
  <c r="D233" i="1"/>
  <c r="D232" i="1"/>
  <c r="D231" i="1"/>
  <c r="D225" i="1"/>
  <c r="D221" i="1"/>
  <c r="D211" i="1"/>
  <c r="D210" i="1"/>
  <c r="F210" i="1" s="1"/>
  <c r="D208" i="1"/>
  <c r="D207" i="1"/>
  <c r="D206" i="1"/>
  <c r="D205" i="1"/>
  <c r="D198" i="1"/>
  <c r="D195" i="1"/>
  <c r="D190" i="1"/>
  <c r="D185" i="1"/>
  <c r="D180" i="1"/>
  <c r="D175" i="1"/>
  <c r="D170" i="1"/>
  <c r="D160" i="1"/>
  <c r="I99" i="1" l="1"/>
  <c r="C101" i="1" s="1"/>
  <c r="C136" i="1"/>
  <c r="E136" i="1"/>
  <c r="D295" i="1"/>
  <c r="D294" i="1"/>
  <c r="D293" i="1"/>
  <c r="D290" i="1"/>
  <c r="D289" i="1"/>
  <c r="D285" i="1"/>
  <c r="D284" i="1"/>
  <c r="D283" i="1"/>
  <c r="D265" i="1"/>
  <c r="D264" i="1"/>
  <c r="D263" i="1"/>
  <c r="D223" i="1"/>
  <c r="D224" i="1"/>
  <c r="D193" i="1"/>
  <c r="D187" i="1"/>
  <c r="D197" i="1"/>
  <c r="D192" i="1"/>
  <c r="D196" i="1"/>
  <c r="D191" i="1"/>
  <c r="D186" i="1"/>
  <c r="D181" i="1"/>
  <c r="D183" i="1"/>
  <c r="D182" i="1"/>
  <c r="D178" i="1"/>
  <c r="D177" i="1"/>
  <c r="D176" i="1"/>
  <c r="D173" i="1"/>
  <c r="D172" i="1"/>
  <c r="D171" i="1"/>
  <c r="D163" i="1"/>
  <c r="D162" i="1"/>
  <c r="D161" i="1"/>
  <c r="G210" i="1"/>
  <c r="E137" i="1" l="1"/>
  <c r="C137" i="1"/>
  <c r="E135" i="1"/>
  <c r="E134" i="1"/>
  <c r="C134" i="1"/>
  <c r="C135" i="1"/>
  <c r="C138" i="1"/>
  <c r="E138" i="1"/>
  <c r="C139" i="1"/>
  <c r="E139" i="1"/>
  <c r="F311" i="1"/>
  <c r="F310" i="1"/>
  <c r="F309" i="1"/>
  <c r="A309" i="1"/>
  <c r="A310" i="1" s="1"/>
  <c r="A311" i="1" s="1"/>
  <c r="G308" i="1"/>
  <c r="G309" i="1" s="1"/>
  <c r="G310" i="1" s="1"/>
  <c r="G311" i="1" s="1"/>
  <c r="F308" i="1"/>
  <c r="F306" i="1"/>
  <c r="F305" i="1"/>
  <c r="F304" i="1"/>
  <c r="A304" i="1"/>
  <c r="A305" i="1" s="1"/>
  <c r="A306" i="1" s="1"/>
  <c r="G303" i="1"/>
  <c r="G304" i="1" s="1"/>
  <c r="G305" i="1" s="1"/>
  <c r="G306" i="1" s="1"/>
  <c r="F303" i="1"/>
  <c r="F301" i="1"/>
  <c r="F300" i="1"/>
  <c r="F299" i="1"/>
  <c r="A299" i="1"/>
  <c r="A300" i="1" s="1"/>
  <c r="A301" i="1" s="1"/>
  <c r="G298" i="1"/>
  <c r="G299" i="1" s="1"/>
  <c r="G300" i="1" s="1"/>
  <c r="G301" i="1" s="1"/>
  <c r="F298" i="1"/>
  <c r="F294" i="1"/>
  <c r="F296" i="1"/>
  <c r="F295" i="1"/>
  <c r="A294" i="1"/>
  <c r="A295" i="1" s="1"/>
  <c r="A296" i="1" s="1"/>
  <c r="G293" i="1"/>
  <c r="G294" i="1" s="1"/>
  <c r="G295" i="1" s="1"/>
  <c r="G296" i="1" s="1"/>
  <c r="F293" i="1"/>
  <c r="F290" i="1"/>
  <c r="F289" i="1"/>
  <c r="F291" i="1"/>
  <c r="A289" i="1"/>
  <c r="A290" i="1" s="1"/>
  <c r="A291" i="1" s="1"/>
  <c r="G288" i="1"/>
  <c r="G289" i="1" s="1"/>
  <c r="G290" i="1" s="1"/>
  <c r="G291" i="1" s="1"/>
  <c r="F285" i="1"/>
  <c r="F284" i="1"/>
  <c r="F286" i="1"/>
  <c r="A284" i="1"/>
  <c r="A285" i="1" s="1"/>
  <c r="A286" i="1" s="1"/>
  <c r="G283" i="1"/>
  <c r="G284" i="1" s="1"/>
  <c r="G285" i="1" s="1"/>
  <c r="G286" i="1" s="1"/>
  <c r="F283" i="1"/>
  <c r="F281" i="1"/>
  <c r="F280" i="1"/>
  <c r="F279" i="1"/>
  <c r="A279" i="1"/>
  <c r="A280" i="1" s="1"/>
  <c r="A281" i="1" s="1"/>
  <c r="G278" i="1"/>
  <c r="G279" i="1" s="1"/>
  <c r="G280" i="1" s="1"/>
  <c r="G281" i="1" s="1"/>
  <c r="F278" i="1"/>
  <c r="F276" i="1"/>
  <c r="F275" i="1"/>
  <c r="F274" i="1"/>
  <c r="A274" i="1"/>
  <c r="A275" i="1" s="1"/>
  <c r="A276" i="1" s="1"/>
  <c r="G273" i="1"/>
  <c r="G274" i="1" s="1"/>
  <c r="G275" i="1" s="1"/>
  <c r="G276" i="1" s="1"/>
  <c r="F273" i="1"/>
  <c r="F266" i="1"/>
  <c r="F265" i="1"/>
  <c r="F264" i="1"/>
  <c r="A264" i="1"/>
  <c r="A265" i="1" s="1"/>
  <c r="A266" i="1" s="1"/>
  <c r="G263" i="1"/>
  <c r="G264" i="1" s="1"/>
  <c r="G265" i="1" s="1"/>
  <c r="G266" i="1" s="1"/>
  <c r="F263" i="1"/>
  <c r="F257" i="1"/>
  <c r="F249" i="1"/>
  <c r="F245" i="1"/>
  <c r="F241" i="1"/>
  <c r="F237" i="1"/>
  <c r="F233" i="1"/>
  <c r="F225" i="1"/>
  <c r="F221" i="1"/>
  <c r="F255" i="1"/>
  <c r="F256" i="1"/>
  <c r="A256" i="1"/>
  <c r="A257" i="1" s="1"/>
  <c r="G255" i="1"/>
  <c r="G256" i="1" s="1"/>
  <c r="G257" i="1" s="1"/>
  <c r="F248" i="1"/>
  <c r="A248" i="1"/>
  <c r="A249" i="1" s="1"/>
  <c r="G247" i="1"/>
  <c r="G248" i="1" s="1"/>
  <c r="G249" i="1" s="1"/>
  <c r="F247" i="1"/>
  <c r="F244" i="1"/>
  <c r="A244" i="1"/>
  <c r="A245" i="1" s="1"/>
  <c r="G243" i="1"/>
  <c r="G244" i="1" s="1"/>
  <c r="G245" i="1" s="1"/>
  <c r="F243" i="1"/>
  <c r="F240" i="1"/>
  <c r="A240" i="1"/>
  <c r="A241" i="1" s="1"/>
  <c r="G239" i="1"/>
  <c r="G240" i="1" s="1"/>
  <c r="G241" i="1" s="1"/>
  <c r="F236" i="1"/>
  <c r="A236" i="1"/>
  <c r="A237" i="1" s="1"/>
  <c r="G235" i="1"/>
  <c r="G236" i="1" s="1"/>
  <c r="G237" i="1" s="1"/>
  <c r="F235" i="1"/>
  <c r="F232" i="1"/>
  <c r="A232" i="1"/>
  <c r="A233" i="1" s="1"/>
  <c r="G231" i="1"/>
  <c r="G232" i="1" s="1"/>
  <c r="G233" i="1" s="1"/>
  <c r="F231" i="1"/>
  <c r="F223" i="1"/>
  <c r="F224" i="1"/>
  <c r="A224" i="1"/>
  <c r="A225" i="1" s="1"/>
  <c r="G223" i="1"/>
  <c r="G224" i="1" s="1"/>
  <c r="G225" i="1" s="1"/>
  <c r="F220" i="1"/>
  <c r="A220" i="1"/>
  <c r="A221" i="1" s="1"/>
  <c r="I219" i="1"/>
  <c r="G219" i="1"/>
  <c r="G220" i="1" s="1"/>
  <c r="G221" i="1" s="1"/>
  <c r="F212" i="1"/>
  <c r="F205" i="1"/>
  <c r="F198" i="1"/>
  <c r="F197" i="1"/>
  <c r="F190" i="1"/>
  <c r="F187" i="1"/>
  <c r="F186" i="1"/>
  <c r="F178" i="1"/>
  <c r="F177" i="1"/>
  <c r="F176" i="1"/>
  <c r="F211" i="1"/>
  <c r="G211" i="1"/>
  <c r="G212" i="1" s="1"/>
  <c r="G213" i="1" s="1"/>
  <c r="A212" i="1"/>
  <c r="A213" i="1" s="1"/>
  <c r="F208" i="1"/>
  <c r="F207" i="1"/>
  <c r="F206" i="1"/>
  <c r="A206" i="1"/>
  <c r="A207" i="1" s="1"/>
  <c r="A208" i="1" s="1"/>
  <c r="G205" i="1"/>
  <c r="G206" i="1" s="1"/>
  <c r="G207" i="1" s="1"/>
  <c r="G208" i="1" s="1"/>
  <c r="F196" i="1"/>
  <c r="A196" i="1"/>
  <c r="A197" i="1" s="1"/>
  <c r="A198" i="1" s="1"/>
  <c r="G195" i="1"/>
  <c r="G196" i="1" s="1"/>
  <c r="G197" i="1" s="1"/>
  <c r="G198" i="1" s="1"/>
  <c r="F195" i="1"/>
  <c r="F193" i="1"/>
  <c r="F192" i="1"/>
  <c r="F191" i="1"/>
  <c r="A191" i="1"/>
  <c r="A192" i="1" s="1"/>
  <c r="A193" i="1" s="1"/>
  <c r="G190" i="1"/>
  <c r="G191" i="1" s="1"/>
  <c r="G192" i="1" s="1"/>
  <c r="G193" i="1" s="1"/>
  <c r="A186" i="1"/>
  <c r="A187" i="1" s="1"/>
  <c r="A188" i="1" s="1"/>
  <c r="G185" i="1"/>
  <c r="G186" i="1" s="1"/>
  <c r="G187" i="1" s="1"/>
  <c r="G188" i="1" s="1"/>
  <c r="F185" i="1"/>
  <c r="F181" i="1"/>
  <c r="F183" i="1"/>
  <c r="F182" i="1"/>
  <c r="A181" i="1"/>
  <c r="A182" i="1" s="1"/>
  <c r="A183" i="1" s="1"/>
  <c r="G180" i="1"/>
  <c r="G181" i="1" s="1"/>
  <c r="G182" i="1" s="1"/>
  <c r="G183" i="1" s="1"/>
  <c r="F180" i="1"/>
  <c r="A176" i="1"/>
  <c r="A177" i="1" s="1"/>
  <c r="A178" i="1" s="1"/>
  <c r="G175" i="1"/>
  <c r="G176" i="1" s="1"/>
  <c r="G177" i="1" s="1"/>
  <c r="G178" i="1" s="1"/>
  <c r="F175" i="1"/>
  <c r="F173" i="1"/>
  <c r="F172" i="1"/>
  <c r="F171" i="1"/>
  <c r="A171" i="1"/>
  <c r="A172" i="1" s="1"/>
  <c r="A173" i="1" s="1"/>
  <c r="G170" i="1"/>
  <c r="G171" i="1" s="1"/>
  <c r="G172" i="1" s="1"/>
  <c r="G173" i="1" s="1"/>
  <c r="F170" i="1"/>
  <c r="I160" i="1"/>
  <c r="E140" i="1" l="1"/>
  <c r="E141" i="1"/>
  <c r="G137" i="1"/>
  <c r="C140" i="1"/>
  <c r="G138" i="1"/>
  <c r="G136" i="1"/>
  <c r="G139" i="1"/>
  <c r="C141" i="1"/>
  <c r="C14" i="1"/>
  <c r="E142" i="1" l="1"/>
  <c r="C142" i="1"/>
  <c r="E29" i="1"/>
  <c r="F161" i="1" l="1"/>
  <c r="K161" i="1" s="1"/>
  <c r="F162" i="1"/>
  <c r="G134" i="1" s="1"/>
  <c r="F163" i="1"/>
  <c r="K163" i="1" s="1"/>
  <c r="F160" i="1"/>
  <c r="A161" i="1"/>
  <c r="A162" i="1" s="1"/>
  <c r="A163" i="1" s="1"/>
  <c r="G160" i="1"/>
  <c r="G161" i="1" s="1"/>
  <c r="G162" i="1" s="1"/>
  <c r="G163" i="1" s="1"/>
  <c r="G135" i="1" l="1"/>
  <c r="G141" i="1" s="1"/>
  <c r="K162" i="1"/>
  <c r="G140" i="1"/>
  <c r="K160" i="1"/>
  <c r="F126" i="1"/>
  <c r="G142" i="1" l="1"/>
  <c r="F149" i="1"/>
  <c r="F150" i="1"/>
  <c r="F151" i="1"/>
  <c r="F148" i="1"/>
  <c r="B314" i="1" l="1"/>
  <c r="B315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37" i="1"/>
  <c r="A149" i="1"/>
  <c r="A150" i="1" s="1"/>
  <c r="A151" i="1" s="1"/>
  <c r="G148" i="1"/>
  <c r="G149" i="1" s="1"/>
  <c r="G150" i="1" s="1"/>
  <c r="G151" i="1" s="1"/>
  <c r="J96" i="1"/>
  <c r="J95" i="1"/>
  <c r="J94" i="1"/>
  <c r="J93" i="1"/>
  <c r="J81" i="1"/>
  <c r="J80" i="1"/>
  <c r="J79" i="1"/>
  <c r="J78" i="1"/>
  <c r="C69" i="1"/>
  <c r="D56" i="1"/>
  <c r="C49" i="1"/>
  <c r="E42" i="1"/>
  <c r="E43" i="1" s="1"/>
  <c r="E26" i="1"/>
  <c r="E24" i="1"/>
  <c r="E7" i="1"/>
  <c r="E3" i="1"/>
  <c r="H70" i="1"/>
  <c r="H85" i="1"/>
  <c r="D91" i="1" l="1"/>
  <c r="D63" i="1"/>
  <c r="D96" i="1"/>
  <c r="D97" i="1"/>
  <c r="D98" i="1"/>
  <c r="D92" i="1"/>
  <c r="D93" i="1"/>
  <c r="D94" i="1"/>
  <c r="D95" i="1"/>
  <c r="J84" i="1"/>
  <c r="J86" i="1" s="1"/>
  <c r="D83" i="1"/>
  <c r="D81" i="1"/>
  <c r="D80" i="1"/>
  <c r="D79" i="1"/>
  <c r="D77" i="1"/>
  <c r="J69" i="1"/>
  <c r="D82" i="1"/>
  <c r="D78" i="1"/>
  <c r="J74" i="1"/>
  <c r="J75" i="1"/>
  <c r="C74" i="1" s="1"/>
  <c r="J73" i="1"/>
  <c r="J76" i="1"/>
  <c r="J77" i="1" s="1"/>
  <c r="J82" i="1" s="1"/>
  <c r="J91" i="1"/>
  <c r="J92" i="1" s="1"/>
  <c r="J97" i="1" s="1"/>
  <c r="J89" i="1"/>
  <c r="J90" i="1"/>
  <c r="C89" i="1" s="1"/>
  <c r="J88" i="1"/>
  <c r="J83" i="1" l="1"/>
  <c r="C75" i="1" s="1"/>
  <c r="E74" i="1" s="1"/>
  <c r="C72" i="1" s="1"/>
  <c r="J98" i="1"/>
  <c r="C90" i="1" s="1"/>
  <c r="E89" i="1" s="1"/>
  <c r="C87" i="1" s="1"/>
  <c r="D76" i="1"/>
  <c r="J71" i="1"/>
  <c r="D74" i="1"/>
  <c r="D89" i="1"/>
  <c r="G74" i="1" l="1"/>
  <c r="G72" i="1" s="1"/>
  <c r="D75" i="1"/>
  <c r="I70" i="1" s="1"/>
  <c r="J85" i="1"/>
  <c r="G89" i="1"/>
  <c r="D90" i="1"/>
  <c r="I85" i="1" s="1"/>
  <c r="J70" i="1"/>
  <c r="D67" i="1" l="1"/>
  <c r="D68" i="1" s="1"/>
  <c r="G87" i="1"/>
  <c r="I71" i="1"/>
  <c r="I69" i="1" s="1"/>
  <c r="I86" i="1"/>
  <c r="F68" i="1" l="1"/>
  <c r="I84" i="1"/>
</calcChain>
</file>

<file path=xl/sharedStrings.xml><?xml version="1.0" encoding="utf-8"?>
<sst xmlns="http://schemas.openxmlformats.org/spreadsheetml/2006/main" count="621" uniqueCount="262">
  <si>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</si>
  <si>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</si>
  <si>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</si>
  <si>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</si>
  <si>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</si>
  <si>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</si>
  <si>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</si>
  <si>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</si>
  <si>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</si>
  <si>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</si>
  <si>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</si>
  <si>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</si>
  <si>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</si>
  <si>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</si>
  <si>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</si>
  <si>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</si>
  <si>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</si>
  <si>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</si>
  <si>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</si>
  <si>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</si>
  <si>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</si>
  <si>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</si>
  <si>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</si>
  <si>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</si>
  <si>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</si>
  <si>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</si>
  <si>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</si>
  <si>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</si>
  <si>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</si>
  <si>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</si>
  <si>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</si>
  <si>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</si>
  <si>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</si>
  <si>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</si>
  <si>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</si>
  <si>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</si>
  <si>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</si>
  <si>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</si>
  <si>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</si>
  <si>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</si>
  <si>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</si>
  <si>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</si>
  <si>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</si>
  <si>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</si>
  <si>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</si>
  <si>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</si>
  <si>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</si>
  <si>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</si>
  <si>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</si>
  <si>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</si>
  <si>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</si>
  <si>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</si>
  <si>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</si>
  <si>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</si>
  <si>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</si>
  <si>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</si>
  <si>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</si>
  <si>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</si>
  <si>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</si>
  <si>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</si>
  <si>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</si>
  <si>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</si>
  <si>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</si>
  <si>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</si>
  <si>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</si>
  <si>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</si>
  <si>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</si>
  <si>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</si>
  <si>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</si>
  <si>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</si>
  <si>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</si>
  <si>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</si>
  <si>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</si>
  <si>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</si>
  <si>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</si>
  <si>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</si>
  <si>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</si>
  <si>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</si>
  <si>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</si>
  <si>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</si>
  <si>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</si>
  <si>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</si>
  <si>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</si>
  <si>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</si>
  <si>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</si>
  <si>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</si>
  <si>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</si>
  <si>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</si>
  <si>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</si>
  <si>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</si>
  <si>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</si>
  <si>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</si>
  <si>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</si>
  <si>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</si>
  <si>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</si>
  <si>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</si>
  <si>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</si>
  <si>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</si>
  <si>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</si>
  <si>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</si>
  <si>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</si>
  <si>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</si>
  <si>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</si>
  <si>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</si>
  <si>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</si>
  <si>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</si>
  <si>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</si>
  <si>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</si>
  <si>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</si>
  <si>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</si>
  <si>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</si>
  <si>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</si>
  <si>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</si>
  <si>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</si>
  <si>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</si>
  <si>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</si>
  <si>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</si>
  <si>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</si>
  <si>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</si>
  <si>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</si>
  <si>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</si>
  <si>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</si>
  <si>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</si>
  <si>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</si>
  <si>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</si>
  <si>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</si>
  <si>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</si>
  <si>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</si>
  <si>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</si>
  <si>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</si>
  <si>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</si>
  <si>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</si>
  <si>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</si>
  <si>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</si>
  <si>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</si>
  <si>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</si>
  <si>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</si>
  <si>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</si>
  <si>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</si>
  <si>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</si>
  <si>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</si>
  <si>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</si>
  <si>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</si>
  <si>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</si>
  <si>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</si>
  <si>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</si>
  <si>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</si>
  <si>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</si>
  <si>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</si>
  <si>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</si>
  <si>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</si>
  <si>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</si>
  <si>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</si>
  <si>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</si>
  <si>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</si>
  <si>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</si>
  <si>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</si>
  <si>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</si>
  <si>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</si>
  <si>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</si>
  <si>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</si>
  <si>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</si>
  <si>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</si>
  <si>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</si>
  <si>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</si>
  <si>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</si>
  <si>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</si>
  <si>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</si>
  <si>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</si>
  <si>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</si>
  <si>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</si>
  <si>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</si>
  <si>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</si>
  <si>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</si>
  <si>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Goregaon</t>
  </si>
  <si>
    <t>P51800046295</t>
  </si>
  <si>
    <t>Saujanya Rachanaa</t>
  </si>
  <si>
    <t>CTS No</t>
  </si>
  <si>
    <t>685, 685/1 to 3</t>
  </si>
  <si>
    <t>Ambivali</t>
  </si>
  <si>
    <t>Andheri West</t>
  </si>
  <si>
    <t>Mumbai</t>
  </si>
  <si>
    <t>https://goo.gl/maps/nTW4piPpCtmKVEDXA</t>
  </si>
  <si>
    <t>Navneeth Colony</t>
  </si>
  <si>
    <t>Bhardawadi Rd</t>
  </si>
  <si>
    <t>Andheri</t>
  </si>
  <si>
    <t xml:space="preserve">Vraj One </t>
  </si>
  <si>
    <t>1.1KM from Andheri Railway Station</t>
  </si>
  <si>
    <t>Vraj One</t>
  </si>
  <si>
    <t>Panchsheel CHSL</t>
  </si>
  <si>
    <t>Bhardawadi Rd/Bhardawadi Park</t>
  </si>
  <si>
    <t>Palavi Co-operative Housing Society</t>
  </si>
  <si>
    <t>MCGM</t>
  </si>
  <si>
    <t xml:space="preserve">Commencement-CC No
Valid Up to: </t>
  </si>
  <si>
    <t>STILT + P1 &amp; P2 + 1ST TO TO 11TH (PT) UPPER FLOOR</t>
  </si>
  <si>
    <t>Wing (A, B &amp; C) (Redevelopment Project)</t>
  </si>
  <si>
    <t>03 Wings</t>
  </si>
  <si>
    <t>A Wing</t>
  </si>
  <si>
    <t>1st Floor For Residential</t>
  </si>
  <si>
    <t xml:space="preserve">RehabFlat/
Sale Flats
</t>
  </si>
  <si>
    <t>Rehab</t>
  </si>
  <si>
    <t>Sale</t>
  </si>
  <si>
    <t>2BHK</t>
  </si>
  <si>
    <t>3BHK</t>
  </si>
  <si>
    <t>4th Floor</t>
  </si>
  <si>
    <t>5th Floor</t>
  </si>
  <si>
    <t>Refuge Area</t>
  </si>
  <si>
    <t>7th Floor</t>
  </si>
  <si>
    <t>8th Floor</t>
  </si>
  <si>
    <t>6th Floor (Part Refuge Area)</t>
  </si>
  <si>
    <t>B Wing</t>
  </si>
  <si>
    <t>2.5BHK</t>
  </si>
  <si>
    <t>Wing A</t>
  </si>
  <si>
    <t>Wing C</t>
  </si>
  <si>
    <t xml:space="preserve">Sale </t>
  </si>
  <si>
    <t>Wing B</t>
  </si>
  <si>
    <t>Total Sale</t>
  </si>
  <si>
    <t xml:space="preserve">Total Rehab </t>
  </si>
  <si>
    <t>Total Flats</t>
  </si>
  <si>
    <t>C Wing</t>
  </si>
  <si>
    <t>Approved Plans, CC, Cost Sheet</t>
  </si>
  <si>
    <t>-</t>
  </si>
  <si>
    <t>We considered Gross carpet area = Net carpet.</t>
  </si>
  <si>
    <t xml:space="preserve">P-8426/2021/(685)/K/W WARD/AMBIVALI </t>
  </si>
  <si>
    <t xml:space="preserve">Wing A = Gr + 2P + 1st to 11th + 12th (Pt) Floor </t>
  </si>
  <si>
    <t xml:space="preserve">Wing B = Gr + 2P + 1st to 11th Floor </t>
  </si>
  <si>
    <t xml:space="preserve">Wing C = Gr + 2P + 1st to 11th Floor </t>
  </si>
  <si>
    <t>12th Floor (Part Terrace Area)</t>
  </si>
  <si>
    <t>Ground Floor For Entrance Lobby &amp; Parking</t>
  </si>
  <si>
    <t>1st Podium Floor For Entrance Lobby &amp; Parking</t>
  </si>
  <si>
    <t>2nd Podium Floor For Entrance Lobby &amp; Amenities</t>
  </si>
  <si>
    <t>3rd Floor</t>
  </si>
  <si>
    <t>2nd Floor</t>
  </si>
  <si>
    <t>9th Floor</t>
  </si>
  <si>
    <t>10th &amp; 11th Floor</t>
  </si>
  <si>
    <t>Part Terrace Area</t>
  </si>
  <si>
    <t>Ground Floor For Entrance Lobby, Machine Room &amp; Parking</t>
  </si>
  <si>
    <t>1st Podium Floor For Drive Way &amp; Parking</t>
  </si>
  <si>
    <t>2nd Podium Floor For Entrance Lobby Double Height</t>
  </si>
  <si>
    <t>Entrance Lobby Double Height</t>
  </si>
  <si>
    <t>2nd Podium Floor For Society Office, Filtration Plant, Sub Station &amp; Balancing Tank</t>
  </si>
  <si>
    <t>Rehab Flats - 55, Sale Flats - 65</t>
  </si>
  <si>
    <t>We have updated revised approved floor plan &amp; layout plan (on 17/01/2023).</t>
  </si>
  <si>
    <t>Office No. 1031, Wing J, Akshar Business Park, Plot No. 03 Sector 25, Near APMC Market, Vashi, Navi Mumbai, Maharashtra 400703 TEL: 022-46090378/79/80                                                                                                                                      E mail : vsjcapf@gmail.com. Web site : www.vsjadon.com</t>
  </si>
  <si>
    <t>Wing A = Gr + 2P + 1st to 11th + 12th (Pt) Floor
Wing B &amp; C = Gr + 2P + 1st to 11th Floor</t>
  </si>
  <si>
    <t>Latitude,Longitude</t>
  </si>
  <si>
    <t>19.1260383,72.8434363</t>
  </si>
  <si>
    <t>P-8426/2021/(685)/K/W
Ward/AMBIVALI/FCC/1/Amend</t>
  </si>
  <si>
    <t>Re-endorsement of C.C. of wing `A, B &amp; C' and full C.C. for Wing `C' upto top of 11th floor (i.e. height up to 43.50mt. AGL) + LMR and OHT i.e. height up to 49.10 mt. AGL as per approved amended plan dated 17/05/2024 is approved.</t>
  </si>
  <si>
    <t>We have updated latest CC from MCGM site (On 12/07/2024).</t>
  </si>
  <si>
    <t>Terraferma Developers LLP</t>
  </si>
  <si>
    <t>Re-endorsement of earlier C.C. and further C.C. for building comprising of 3 Wings i.e. Full C.C. for ‘A’ Wing upto top of 12th (pt.) upper floor slab level + LMR and OHT (i.e. height up to 49.10 mt. AGL), Full C.C. for Wing ‘B’ upto top of 11th upper floor slab level (i.e. height up to 43.50mt. AGL) + LMR and OHT (i.e. height up to 49.10 mt. AGL) &amp; further C.C. of Wing ‘C’ up to top of 10th upper floor slab level (i.e. height up to 40.50mt. AGL) as per approved amended plan dated 23/12/2022.</t>
  </si>
  <si>
    <t>P-8426/2021/(685)/K/W
Ward/AMBIVALI/FCC/1/New</t>
  </si>
  <si>
    <t>Mr. Manish Vakharia 9821073583</t>
  </si>
  <si>
    <t xml:space="preserve">Wing B &amp; C = Gr + 2P + 1st to 11th Floor </t>
  </si>
  <si>
    <t>Ms. Priya : 8433904500</t>
  </si>
  <si>
    <t>Pooja Kawale</t>
  </si>
  <si>
    <t>Tushar Bhuwad</t>
  </si>
  <si>
    <r>
      <t xml:space="preserve">P-8426/2021/(685)/K/W WARD/AMBIVALI/OCC/1/NEW
Approved upto : </t>
    </r>
    <r>
      <rPr>
        <b/>
        <u/>
        <sz val="12"/>
        <color indexed="8"/>
        <rFont val="Times New Roman"/>
        <family val="1"/>
      </rPr>
      <t>Wing A</t>
    </r>
    <r>
      <rPr>
        <b/>
        <sz val="12"/>
        <color indexed="8"/>
        <rFont val="Times New Roman"/>
        <family val="1"/>
      </rPr>
      <t xml:space="preserve"> = Gr/St + 2P + 1st to 12th Floor
</t>
    </r>
    <r>
      <rPr>
        <b/>
        <u/>
        <sz val="12"/>
        <color indexed="8"/>
        <rFont val="Times New Roman"/>
        <family val="1"/>
      </rPr>
      <t>Wing B &amp; C</t>
    </r>
    <r>
      <rPr>
        <b/>
        <sz val="12"/>
        <color indexed="8"/>
        <rFont val="Times New Roman"/>
        <family val="1"/>
      </rPr>
      <t xml:space="preserve"> = Gr/St + 2P + 1st to 11th Floor</t>
    </r>
  </si>
  <si>
    <t>Completed</t>
  </si>
  <si>
    <t>All work Completed. OC Received.</t>
  </si>
  <si>
    <t>We have updated OC (On 23/09/2025).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</si>
</sst>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u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3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0" fontId="17" fillId="0" borderId="11" xfId="0" applyFont="1" applyFill="1" applyBorder="1" applyProtection="1">
      <protection hidden="1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12" fillId="0" borderId="5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10" xfId="1" applyFont="1" applyFill="1" applyBorder="1"/>
    <xf numFmtId="0" fontId="17" fillId="0" borderId="10" xfId="0" applyNumberFormat="1" applyFont="1" applyFill="1" applyBorder="1" applyProtection="1">
      <protection hidden="1"/>
    </xf>
    <xf numFmtId="1" fontId="0" fillId="0" borderId="10" xfId="0" applyNumberFormat="1" applyFill="1" applyBorder="1"/>
    <xf numFmtId="1" fontId="0" fillId="0" borderId="10" xfId="0" applyNumberFormat="1" applyFill="1" applyBorder="1" applyAlignment="1">
      <alignment horizontal="right"/>
    </xf>
    <xf numFmtId="1" fontId="0" fillId="0" borderId="12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7" xfId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24" fillId="2" borderId="30" xfId="0" applyFont="1" applyFill="1" applyBorder="1"/>
    <xf numFmtId="0" fontId="25" fillId="0" borderId="31" xfId="0" applyFont="1" applyFill="1" applyBorder="1"/>
    <xf numFmtId="0" fontId="25" fillId="0" borderId="1" xfId="0" applyFont="1" applyFill="1" applyBorder="1"/>
    <xf numFmtId="0" fontId="25" fillId="0" borderId="5" xfId="0" applyFont="1" applyFill="1" applyBorder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Fill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24" fillId="2" borderId="15" xfId="0" applyFont="1" applyFill="1" applyBorder="1"/>
    <xf numFmtId="0" fontId="25" fillId="0" borderId="9" xfId="0" applyFont="1" applyFill="1" applyBorder="1"/>
    <xf numFmtId="0" fontId="12" fillId="0" borderId="1" xfId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4" fontId="6" fillId="0" borderId="8" xfId="1" applyNumberFormat="1" applyFont="1" applyFill="1" applyBorder="1" applyAlignment="1" applyProtection="1">
      <alignment horizontal="left" vertical="top" wrapText="1"/>
      <protection locked="0"/>
    </xf>
    <xf numFmtId="0" fontId="6" fillId="0" borderId="9" xfId="1" applyFont="1" applyFill="1" applyBorder="1" applyAlignment="1" applyProtection="1">
      <alignment horizontal="left" vertical="top" wrapText="1"/>
      <protection locked="0"/>
    </xf>
    <xf numFmtId="0" fontId="6" fillId="0" borderId="8" xfId="1" applyFont="1" applyFill="1" applyBorder="1" applyAlignment="1" applyProtection="1">
      <alignment horizontal="left" vertical="top" wrapText="1"/>
      <protection locked="0"/>
    </xf>
    <xf numFmtId="0" fontId="6" fillId="0" borderId="21" xfId="1" applyFont="1" applyFill="1" applyBorder="1" applyAlignment="1" applyProtection="1">
      <alignment horizontal="left" vertical="top" wrapText="1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1" fontId="8" fillId="0" borderId="21" xfId="0" applyNumberFormat="1" applyFont="1" applyFill="1" applyBorder="1" applyAlignment="1" applyProtection="1">
      <alignment vertical="top" wrapText="1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1" fontId="13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9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16" xfId="1" applyNumberFormat="1" applyFont="1" applyFill="1" applyBorder="1" applyAlignment="1" applyProtection="1">
      <alignment horizontal="center" vertical="top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22" xfId="1" applyFont="1" applyFill="1" applyBorder="1" applyAlignment="1" applyProtection="1">
      <alignment horizontal="left" vertical="top" wrapText="1"/>
      <protection locked="0"/>
    </xf>
    <xf numFmtId="0" fontId="13" fillId="0" borderId="15" xfId="1" applyFont="1" applyFill="1" applyBorder="1" applyAlignment="1" applyProtection="1">
      <alignment horizontal="left" vertical="top" wrapText="1"/>
      <protection locked="0"/>
    </xf>
    <xf numFmtId="0" fontId="13" fillId="0" borderId="13" xfId="1" applyFont="1" applyFill="1" applyBorder="1" applyAlignment="1" applyProtection="1">
      <alignment horizontal="left" vertical="top" wrapText="1"/>
      <protection locked="0"/>
    </xf>
    <xf numFmtId="0" fontId="13" fillId="0" borderId="14" xfId="1" applyFont="1" applyFill="1" applyBorder="1" applyAlignment="1" applyProtection="1">
      <alignment horizontal="left" vertical="top" wrapText="1"/>
      <protection locked="0"/>
    </xf>
    <xf numFmtId="0" fontId="13" fillId="0" borderId="23" xfId="1" applyFont="1" applyFill="1" applyBorder="1" applyAlignment="1" applyProtection="1">
      <alignment horizontal="left" vertical="top" wrapText="1"/>
      <protection locked="0"/>
    </xf>
    <xf numFmtId="0" fontId="7" fillId="0" borderId="34" xfId="1" applyFont="1" applyFill="1" applyBorder="1" applyAlignment="1" applyProtection="1">
      <alignment horizontal="center" vertical="top" wrapText="1"/>
      <protection locked="0"/>
    </xf>
    <xf numFmtId="0" fontId="7" fillId="0" borderId="9" xfId="1" applyFont="1" applyFill="1" applyBorder="1" applyAlignment="1" applyProtection="1">
      <alignment horizontal="center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32" xfId="1" applyFont="1" applyFill="1" applyBorder="1" applyAlignment="1" applyProtection="1">
      <alignment horizontal="center" vertical="top" wrapText="1"/>
      <protection locked="0"/>
    </xf>
    <xf numFmtId="0" fontId="7" fillId="0" borderId="33" xfId="1" applyFont="1" applyFill="1" applyBorder="1" applyAlignment="1" applyProtection="1">
      <alignment horizontal="center" vertical="top" wrapText="1"/>
      <protection locked="0"/>
    </xf>
    <xf numFmtId="0" fontId="12" fillId="0" borderId="8" xfId="1" applyFont="1" applyFill="1" applyBorder="1" applyAlignment="1" applyProtection="1">
      <alignment horizontal="left" vertical="top" wrapText="1"/>
      <protection locked="0"/>
    </xf>
    <xf numFmtId="0" fontId="12" fillId="0" borderId="9" xfId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14" fontId="12" fillId="0" borderId="8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 wrapText="1"/>
      <protection locked="0"/>
    </xf>
    <xf numFmtId="0" fontId="12" fillId="0" borderId="24" xfId="1" applyFont="1" applyFill="1" applyBorder="1" applyAlignment="1" applyProtection="1">
      <alignment horizontal="left" vertical="top" wrapText="1"/>
      <protection locked="0"/>
    </xf>
    <xf numFmtId="0" fontId="12" fillId="0" borderId="25" xfId="1" applyFont="1" applyFill="1" applyBorder="1" applyAlignment="1" applyProtection="1">
      <alignment horizontal="left" vertical="top" wrapText="1"/>
      <protection locked="0"/>
    </xf>
    <xf numFmtId="0" fontId="12" fillId="0" borderId="0" xfId="1" applyFont="1" applyFill="1" applyBorder="1" applyAlignment="1" applyProtection="1">
      <alignment horizontal="left" vertical="top" wrapText="1"/>
      <protection locked="0"/>
    </xf>
    <xf numFmtId="0" fontId="12" fillId="0" borderId="19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6" fillId="0" borderId="17" xfId="1" applyFont="1" applyFill="1" applyBorder="1" applyAlignment="1" applyProtection="1">
      <alignment horizontal="left" vertical="top" wrapText="1"/>
      <protection locked="0"/>
    </xf>
    <xf numFmtId="0" fontId="6" fillId="0" borderId="18" xfId="1" applyFont="1" applyFill="1" applyBorder="1" applyAlignment="1" applyProtection="1">
      <alignment horizontal="left" vertical="top" wrapText="1"/>
      <protection locked="0"/>
    </xf>
    <xf numFmtId="0" fontId="6" fillId="0" borderId="19" xfId="1" applyFont="1" applyFill="1" applyBorder="1" applyAlignment="1" applyProtection="1">
      <alignment horizontal="left" vertical="top" wrapText="1"/>
      <protection locked="0"/>
    </xf>
    <xf numFmtId="0" fontId="6" fillId="0" borderId="20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0" fontId="6" fillId="0" borderId="3" xfId="1" applyFont="1" applyFill="1" applyBorder="1" applyAlignment="1" applyProtection="1">
      <alignment horizontal="left" vertical="top" wrapText="1"/>
      <protection locked="0"/>
    </xf>
    <xf numFmtId="0" fontId="6" fillId="0" borderId="3" xfId="1" applyFont="1" applyFill="1" applyBorder="1" applyAlignment="1" applyProtection="1">
      <alignment horizontal="left" vertical="top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14" fontId="7" fillId="0" borderId="1" xfId="1" applyNumberFormat="1" applyFont="1" applyFill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10" fillId="0" borderId="1" xfId="1" applyFont="1" applyFill="1" applyBorder="1" applyAlignment="1" applyProtection="1">
      <alignment horizontal="left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7" xfId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164" fontId="12" fillId="0" borderId="1" xfId="1" applyNumberFormat="1" applyFont="1" applyFill="1" applyBorder="1" applyAlignment="1" applyProtection="1">
      <alignment horizontal="left" vertical="top"/>
      <protection locked="0"/>
    </xf>
    <xf numFmtId="2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8" xfId="1" applyFont="1" applyFill="1" applyBorder="1" applyAlignment="1" applyProtection="1">
      <alignment horizontal="left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8" fillId="0" borderId="16" xfId="1" applyFont="1" applyFill="1" applyBorder="1" applyAlignment="1" applyProtection="1">
      <alignment horizontal="center" vertical="top"/>
      <protection locked="0"/>
    </xf>
    <xf numFmtId="0" fontId="7" fillId="0" borderId="8" xfId="1" applyFont="1" applyFill="1" applyBorder="1" applyAlignment="1" applyProtection="1">
      <alignment horizontal="center" vertical="top" wrapText="1"/>
      <protection locked="0"/>
    </xf>
    <xf numFmtId="0" fontId="7" fillId="0" borderId="35" xfId="1" applyFont="1" applyFill="1" applyBorder="1" applyAlignment="1" applyProtection="1">
      <alignment horizontal="center" vertical="top" wrapText="1"/>
      <protection locked="0"/>
    </xf>
    <xf numFmtId="0" fontId="13" fillId="0" borderId="8" xfId="1" applyFont="1" applyFill="1" applyBorder="1" applyAlignment="1" applyProtection="1">
      <alignment horizontal="left" vertical="top"/>
      <protection locked="0"/>
    </xf>
    <xf numFmtId="0" fontId="13" fillId="0" borderId="9" xfId="1" applyFont="1" applyFill="1" applyBorder="1" applyAlignment="1" applyProtection="1">
      <alignment horizontal="left" vertical="top"/>
      <protection locked="0"/>
    </xf>
    <xf numFmtId="0" fontId="13" fillId="0" borderId="8" xfId="1" applyFont="1" applyFill="1" applyBorder="1" applyAlignment="1" applyProtection="1">
      <alignment horizontal="left" vertical="top" wrapText="1"/>
      <protection locked="0"/>
    </xf>
    <xf numFmtId="0" fontId="13" fillId="0" borderId="21" xfId="1" applyFont="1" applyFill="1" applyBorder="1" applyAlignment="1" applyProtection="1">
      <alignment horizontal="left" vertical="top" wrapText="1"/>
      <protection locked="0"/>
    </xf>
    <xf numFmtId="0" fontId="13" fillId="0" borderId="9" xfId="1" applyFont="1" applyFill="1" applyBorder="1" applyAlignment="1" applyProtection="1">
      <alignment horizontal="left" vertical="top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8" fillId="0" borderId="16" xfId="1" applyFont="1" applyFill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21" xfId="1" applyFont="1" applyFill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14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horizontal="left" vertical="top" wrapText="1"/>
      <protection locked="0"/>
    </xf>
    <xf numFmtId="14" fontId="8" fillId="0" borderId="1" xfId="1" applyNumberFormat="1" applyFont="1" applyFill="1" applyBorder="1" applyAlignment="1" applyProtection="1">
      <alignment horizontal="left" vertical="top"/>
      <protection locked="0"/>
    </xf>
    <xf numFmtId="9" fontId="13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9" xfId="1" applyFont="1" applyFill="1" applyBorder="1" applyAlignment="1" applyProtection="1">
      <alignment horizontal="center" vertical="center" wrapText="1"/>
      <protection locked="0"/>
    </xf>
    <xf numFmtId="0" fontId="13" fillId="0" borderId="8" xfId="1" applyFont="1" applyFill="1" applyBorder="1" applyAlignment="1" applyProtection="1">
      <alignment horizontal="center" vertical="center" wrapText="1"/>
      <protection locked="0"/>
    </xf>
    <xf numFmtId="0" fontId="13" fillId="0" borderId="35" xfId="1" applyFont="1" applyFill="1" applyBorder="1" applyAlignment="1" applyProtection="1">
      <alignment horizontal="center" vertical="center" wrapText="1"/>
      <protection locked="0"/>
    </xf>
    <xf numFmtId="0" fontId="13" fillId="0" borderId="4" xfId="1" applyFont="1" applyFill="1" applyBorder="1" applyAlignment="1" applyProtection="1">
      <alignment horizontal="center" vertical="center"/>
      <protection locked="0"/>
    </xf>
    <xf numFmtId="0" fontId="13" fillId="0" borderId="1" xfId="1" applyFont="1" applyFill="1" applyBorder="1" applyAlignment="1" applyProtection="1">
      <alignment horizontal="center" vertical="center"/>
      <protection locked="0"/>
    </xf>
    <xf numFmtId="1" fontId="13" fillId="0" borderId="1" xfId="0" applyNumberFormat="1" applyFont="1" applyFill="1" applyBorder="1" applyAlignment="1" applyProtection="1">
      <alignment vertical="top" wrapText="1"/>
      <protection locked="0"/>
    </xf>
    <xf numFmtId="1" fontId="8" fillId="0" borderId="1" xfId="0" applyNumberFormat="1" applyFont="1" applyFill="1" applyBorder="1" applyAlignment="1" applyProtection="1">
      <alignment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338</xdr:row>
      <xdr:rowOff>9525</xdr:rowOff>
    </xdr:from>
    <xdr:to>
      <xdr:col>9</xdr:col>
      <xdr:colOff>152400</xdr:colOff>
      <xdr:row>340</xdr:row>
      <xdr:rowOff>180975</xdr:rowOff>
    </xdr:to>
    <xdr:cxnSp macro="">
      <xdr:nvCxnSpPr>
        <xdr:cNvPr id="9" name="Straight Arrow Connector 8"/>
        <xdr:cNvCxnSpPr/>
      </xdr:nvCxnSpPr>
      <xdr:spPr>
        <a:xfrm>
          <a:off x="7267575" y="59626500"/>
          <a:ext cx="1133475" cy="561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267820</xdr:colOff>
      <xdr:row>350</xdr:row>
      <xdr:rowOff>190501</xdr:rowOff>
    </xdr:from>
    <xdr:to>
      <xdr:col>13</xdr:col>
      <xdr:colOff>260536</xdr:colOff>
      <xdr:row>354</xdr:row>
      <xdr:rowOff>84045</xdr:rowOff>
    </xdr:to>
    <xdr:sp macro="" textlink="">
      <xdr:nvSpPr>
        <xdr:cNvPr id="13" name="Rectangle 12"/>
        <xdr:cNvSpPr/>
      </xdr:nvSpPr>
      <xdr:spPr>
        <a:xfrm>
          <a:off x="10095379" y="66708619"/>
          <a:ext cx="1595157" cy="70036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800" b="1">
              <a:ln>
                <a:noFill/>
              </a:ln>
              <a:solidFill>
                <a:srgbClr val="FFFF00"/>
              </a:solidFill>
            </a:rPr>
            <a:t>C Wing</a:t>
          </a:r>
        </a:p>
      </xdr:txBody>
    </xdr:sp>
    <xdr:clientData/>
  </xdr:twoCellAnchor>
  <xdr:twoCellAnchor editAs="oneCell">
    <xdr:from>
      <xdr:col>2</xdr:col>
      <xdr:colOff>16020</xdr:colOff>
      <xdr:row>401</xdr:row>
      <xdr:rowOff>131554</xdr:rowOff>
    </xdr:from>
    <xdr:to>
      <xdr:col>6</xdr:col>
      <xdr:colOff>16928</xdr:colOff>
      <xdr:row>421</xdr:row>
      <xdr:rowOff>91054</xdr:rowOff>
    </xdr:to>
    <xdr:pic>
      <xdr:nvPicPr>
        <xdr:cNvPr id="15" name="Picture 14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92420" y="71540479"/>
          <a:ext cx="3601358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11</xdr:col>
      <xdr:colOff>360828</xdr:colOff>
      <xdr:row>388</xdr:row>
      <xdr:rowOff>23532</xdr:rowOff>
    </xdr:from>
    <xdr:to>
      <xdr:col>13</xdr:col>
      <xdr:colOff>122703</xdr:colOff>
      <xdr:row>394</xdr:row>
      <xdr:rowOff>23532</xdr:rowOff>
    </xdr:to>
    <xdr:sp macro="" textlink="">
      <xdr:nvSpPr>
        <xdr:cNvPr id="8" name="Rectangle 7"/>
        <xdr:cNvSpPr/>
      </xdr:nvSpPr>
      <xdr:spPr>
        <a:xfrm>
          <a:off x="10188387" y="74408179"/>
          <a:ext cx="1364316" cy="1210235"/>
        </a:xfrm>
        <a:prstGeom prst="rect">
          <a:avLst/>
        </a:prstGeom>
        <a:noFill/>
        <a:ln w="28575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ln>
              <a:noFill/>
            </a:ln>
            <a:noFill/>
          </a:endParaRPr>
        </a:p>
      </xdr:txBody>
    </xdr:sp>
    <xdr:clientData/>
  </xdr:twoCellAnchor>
  <xdr:twoCellAnchor>
    <xdr:from>
      <xdr:col>9</xdr:col>
      <xdr:colOff>459441</xdr:colOff>
      <xdr:row>388</xdr:row>
      <xdr:rowOff>42582</xdr:rowOff>
    </xdr:from>
    <xdr:to>
      <xdr:col>11</xdr:col>
      <xdr:colOff>265579</xdr:colOff>
      <xdr:row>394</xdr:row>
      <xdr:rowOff>14007</xdr:rowOff>
    </xdr:to>
    <xdr:sp macro="" textlink="">
      <xdr:nvSpPr>
        <xdr:cNvPr id="16" name="Rectangle 15"/>
        <xdr:cNvSpPr/>
      </xdr:nvSpPr>
      <xdr:spPr>
        <a:xfrm>
          <a:off x="8718176" y="74427229"/>
          <a:ext cx="1374962" cy="1181660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ln>
              <a:noFill/>
            </a:ln>
            <a:noFill/>
          </a:endParaRPr>
        </a:p>
      </xdr:txBody>
    </xdr:sp>
    <xdr:clientData/>
  </xdr:twoCellAnchor>
  <xdr:twoCellAnchor>
    <xdr:from>
      <xdr:col>8</xdr:col>
      <xdr:colOff>1017494</xdr:colOff>
      <xdr:row>382</xdr:row>
      <xdr:rowOff>128307</xdr:rowOff>
    </xdr:from>
    <xdr:to>
      <xdr:col>10</xdr:col>
      <xdr:colOff>465044</xdr:colOff>
      <xdr:row>387</xdr:row>
      <xdr:rowOff>128307</xdr:rowOff>
    </xdr:to>
    <xdr:sp macro="" textlink="">
      <xdr:nvSpPr>
        <xdr:cNvPr id="17" name="Rectangle 16"/>
        <xdr:cNvSpPr/>
      </xdr:nvSpPr>
      <xdr:spPr>
        <a:xfrm>
          <a:off x="8032376" y="73302719"/>
          <a:ext cx="1509433" cy="1008529"/>
        </a:xfrm>
        <a:prstGeom prst="rect">
          <a:avLst/>
        </a:prstGeom>
        <a:noFill/>
        <a:ln w="28575">
          <a:solidFill>
            <a:srgbClr val="FF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ln>
              <a:noFill/>
            </a:ln>
            <a:noFill/>
          </a:endParaRPr>
        </a:p>
      </xdr:txBody>
    </xdr:sp>
    <xdr:clientData/>
  </xdr:twoCellAnchor>
  <xdr:twoCellAnchor>
    <xdr:from>
      <xdr:col>11</xdr:col>
      <xdr:colOff>665629</xdr:colOff>
      <xdr:row>388</xdr:row>
      <xdr:rowOff>128307</xdr:rowOff>
    </xdr:from>
    <xdr:to>
      <xdr:col>13</xdr:col>
      <xdr:colOff>658345</xdr:colOff>
      <xdr:row>392</xdr:row>
      <xdr:rowOff>23531</xdr:rowOff>
    </xdr:to>
    <xdr:sp macro="" textlink="">
      <xdr:nvSpPr>
        <xdr:cNvPr id="18" name="Rectangle 17"/>
        <xdr:cNvSpPr/>
      </xdr:nvSpPr>
      <xdr:spPr>
        <a:xfrm>
          <a:off x="10493188" y="74512954"/>
          <a:ext cx="1595157" cy="70204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600" b="1">
              <a:ln>
                <a:noFill/>
              </a:ln>
              <a:solidFill>
                <a:srgbClr val="FF0000"/>
              </a:solidFill>
            </a:rPr>
            <a:t>A Wing</a:t>
          </a:r>
        </a:p>
      </xdr:txBody>
    </xdr:sp>
    <xdr:clientData/>
  </xdr:twoCellAnchor>
  <xdr:twoCellAnchor>
    <xdr:from>
      <xdr:col>9</xdr:col>
      <xdr:colOff>797299</xdr:colOff>
      <xdr:row>388</xdr:row>
      <xdr:rowOff>90207</xdr:rowOff>
    </xdr:from>
    <xdr:to>
      <xdr:col>12</xdr:col>
      <xdr:colOff>67235</xdr:colOff>
      <xdr:row>391</xdr:row>
      <xdr:rowOff>187137</xdr:rowOff>
    </xdr:to>
    <xdr:sp macro="" textlink="">
      <xdr:nvSpPr>
        <xdr:cNvPr id="19" name="Rectangle 18"/>
        <xdr:cNvSpPr/>
      </xdr:nvSpPr>
      <xdr:spPr>
        <a:xfrm>
          <a:off x="9056034" y="74474854"/>
          <a:ext cx="1589554" cy="70204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600" b="1">
              <a:ln>
                <a:noFill/>
              </a:ln>
              <a:solidFill>
                <a:srgbClr val="FF0000"/>
              </a:solidFill>
            </a:rPr>
            <a:t>B</a:t>
          </a:r>
          <a:r>
            <a:rPr lang="en-IN" sz="1600" b="1" baseline="0">
              <a:ln>
                <a:noFill/>
              </a:ln>
              <a:solidFill>
                <a:srgbClr val="FF0000"/>
              </a:solidFill>
            </a:rPr>
            <a:t> </a:t>
          </a:r>
          <a:r>
            <a:rPr lang="en-IN" sz="1600" b="1">
              <a:ln>
                <a:noFill/>
              </a:ln>
              <a:solidFill>
                <a:srgbClr val="FF0000"/>
              </a:solidFill>
            </a:rPr>
            <a:t>Wing</a:t>
          </a:r>
        </a:p>
      </xdr:txBody>
    </xdr:sp>
    <xdr:clientData/>
  </xdr:twoCellAnchor>
  <xdr:twoCellAnchor>
    <xdr:from>
      <xdr:col>9</xdr:col>
      <xdr:colOff>59391</xdr:colOff>
      <xdr:row>383</xdr:row>
      <xdr:rowOff>118782</xdr:rowOff>
    </xdr:from>
    <xdr:to>
      <xdr:col>11</xdr:col>
      <xdr:colOff>84604</xdr:colOff>
      <xdr:row>387</xdr:row>
      <xdr:rowOff>14007</xdr:rowOff>
    </xdr:to>
    <xdr:sp macro="" textlink="">
      <xdr:nvSpPr>
        <xdr:cNvPr id="20" name="Rectangle 19"/>
        <xdr:cNvSpPr/>
      </xdr:nvSpPr>
      <xdr:spPr>
        <a:xfrm>
          <a:off x="8318126" y="73494900"/>
          <a:ext cx="1594037" cy="70204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600" b="1" baseline="0">
              <a:ln>
                <a:noFill/>
              </a:ln>
              <a:solidFill>
                <a:srgbClr val="FF0000"/>
              </a:solidFill>
            </a:rPr>
            <a:t>C </a:t>
          </a:r>
          <a:r>
            <a:rPr lang="en-IN" sz="1600" b="1">
              <a:ln>
                <a:noFill/>
              </a:ln>
              <a:solidFill>
                <a:srgbClr val="FF0000"/>
              </a:solidFill>
            </a:rPr>
            <a:t>Wing</a:t>
          </a:r>
        </a:p>
      </xdr:txBody>
    </xdr:sp>
    <xdr:clientData/>
  </xdr:twoCellAnchor>
  <xdr:twoCellAnchor>
    <xdr:from>
      <xdr:col>3</xdr:col>
      <xdr:colOff>542925</xdr:colOff>
      <xdr:row>420</xdr:row>
      <xdr:rowOff>0</xdr:rowOff>
    </xdr:from>
    <xdr:to>
      <xdr:col>5</xdr:col>
      <xdr:colOff>638175</xdr:colOff>
      <xdr:row>422</xdr:row>
      <xdr:rowOff>0</xdr:rowOff>
    </xdr:to>
    <xdr:sp macro="" textlink="">
      <xdr:nvSpPr>
        <xdr:cNvPr id="21" name="Rectangle 20"/>
        <xdr:cNvSpPr/>
      </xdr:nvSpPr>
      <xdr:spPr>
        <a:xfrm>
          <a:off x="3133725" y="75209400"/>
          <a:ext cx="1943100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400" b="1">
              <a:ln>
                <a:noFill/>
              </a:ln>
              <a:solidFill>
                <a:srgbClr val="7030A0"/>
              </a:solidFill>
            </a:rPr>
            <a:t>Saujanya Rachanaa</a:t>
          </a:r>
        </a:p>
      </xdr:txBody>
    </xdr:sp>
    <xdr:clientData/>
  </xdr:twoCellAnchor>
  <xdr:twoCellAnchor>
    <xdr:from>
      <xdr:col>3</xdr:col>
      <xdr:colOff>942975</xdr:colOff>
      <xdr:row>410</xdr:row>
      <xdr:rowOff>85725</xdr:rowOff>
    </xdr:from>
    <xdr:to>
      <xdr:col>4</xdr:col>
      <xdr:colOff>342900</xdr:colOff>
      <xdr:row>420</xdr:row>
      <xdr:rowOff>190500</xdr:rowOff>
    </xdr:to>
    <xdr:cxnSp macro="">
      <xdr:nvCxnSpPr>
        <xdr:cNvPr id="23" name="Straight Arrow Connector 22"/>
        <xdr:cNvCxnSpPr/>
      </xdr:nvCxnSpPr>
      <xdr:spPr>
        <a:xfrm flipH="1" flipV="1">
          <a:off x="3533775" y="73294875"/>
          <a:ext cx="409575" cy="2105025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705969</xdr:colOff>
      <xdr:row>424</xdr:row>
      <xdr:rowOff>22412</xdr:rowOff>
    </xdr:from>
    <xdr:to>
      <xdr:col>7</xdr:col>
      <xdr:colOff>270583</xdr:colOff>
      <xdr:row>441</xdr:row>
      <xdr:rowOff>193414</xdr:rowOff>
    </xdr:to>
    <xdr:pic>
      <xdr:nvPicPr>
        <xdr:cNvPr id="24" name="Picture 23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05969" y="76401706"/>
          <a:ext cx="5694232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201709</xdr:colOff>
      <xdr:row>382</xdr:row>
      <xdr:rowOff>179298</xdr:rowOff>
    </xdr:from>
    <xdr:to>
      <xdr:col>6</xdr:col>
      <xdr:colOff>617527</xdr:colOff>
      <xdr:row>400</xdr:row>
      <xdr:rowOff>180991</xdr:rowOff>
    </xdr:to>
    <xdr:pic>
      <xdr:nvPicPr>
        <xdr:cNvPr id="26" name="Picture 25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1049" t="25472" r="44530" b="15802"/>
        <a:stretch/>
      </xdr:blipFill>
      <xdr:spPr>
        <a:xfrm>
          <a:off x="1019738" y="73353710"/>
          <a:ext cx="4886965" cy="36324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378758</xdr:colOff>
      <xdr:row>390</xdr:row>
      <xdr:rowOff>97491</xdr:rowOff>
    </xdr:from>
    <xdr:to>
      <xdr:col>6</xdr:col>
      <xdr:colOff>62192</xdr:colOff>
      <xdr:row>396</xdr:row>
      <xdr:rowOff>97491</xdr:rowOff>
    </xdr:to>
    <xdr:sp macro="" textlink="">
      <xdr:nvSpPr>
        <xdr:cNvPr id="27" name="Rectangle 26"/>
        <xdr:cNvSpPr/>
      </xdr:nvSpPr>
      <xdr:spPr>
        <a:xfrm>
          <a:off x="3987052" y="74885550"/>
          <a:ext cx="1364316" cy="1210235"/>
        </a:xfrm>
        <a:prstGeom prst="rect">
          <a:avLst/>
        </a:prstGeom>
        <a:noFill/>
        <a:ln w="28575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ln>
              <a:noFill/>
            </a:ln>
            <a:noFill/>
          </a:endParaRPr>
        </a:p>
      </xdr:txBody>
    </xdr:sp>
    <xdr:clientData/>
  </xdr:twoCellAnchor>
  <xdr:twoCellAnchor>
    <xdr:from>
      <xdr:col>2</xdr:col>
      <xdr:colOff>835959</xdr:colOff>
      <xdr:row>390</xdr:row>
      <xdr:rowOff>116541</xdr:rowOff>
    </xdr:from>
    <xdr:to>
      <xdr:col>4</xdr:col>
      <xdr:colOff>283509</xdr:colOff>
      <xdr:row>396</xdr:row>
      <xdr:rowOff>87966</xdr:rowOff>
    </xdr:to>
    <xdr:sp macro="" textlink="">
      <xdr:nvSpPr>
        <xdr:cNvPr id="28" name="Rectangle 27"/>
        <xdr:cNvSpPr/>
      </xdr:nvSpPr>
      <xdr:spPr>
        <a:xfrm>
          <a:off x="2516841" y="74904600"/>
          <a:ext cx="1374962" cy="1181660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ln>
              <a:noFill/>
            </a:ln>
            <a:noFill/>
          </a:endParaRPr>
        </a:p>
      </xdr:txBody>
    </xdr:sp>
    <xdr:clientData/>
  </xdr:twoCellAnchor>
  <xdr:twoCellAnchor>
    <xdr:from>
      <xdr:col>2</xdr:col>
      <xdr:colOff>150159</xdr:colOff>
      <xdr:row>385</xdr:row>
      <xdr:rowOff>561</xdr:rowOff>
    </xdr:from>
    <xdr:to>
      <xdr:col>3</xdr:col>
      <xdr:colOff>740709</xdr:colOff>
      <xdr:row>390</xdr:row>
      <xdr:rowOff>67235</xdr:rowOff>
    </xdr:to>
    <xdr:sp macro="" textlink="">
      <xdr:nvSpPr>
        <xdr:cNvPr id="29" name="Rectangle 28"/>
        <xdr:cNvSpPr/>
      </xdr:nvSpPr>
      <xdr:spPr>
        <a:xfrm>
          <a:off x="1831041" y="73780090"/>
          <a:ext cx="1509433" cy="1075204"/>
        </a:xfrm>
        <a:prstGeom prst="rect">
          <a:avLst/>
        </a:prstGeom>
        <a:noFill/>
        <a:ln w="28575">
          <a:solidFill>
            <a:srgbClr val="FF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ln>
              <a:noFill/>
            </a:ln>
            <a:noFill/>
          </a:endParaRPr>
        </a:p>
      </xdr:txBody>
    </xdr:sp>
    <xdr:clientData/>
  </xdr:twoCellAnchor>
  <xdr:twoCellAnchor>
    <xdr:from>
      <xdr:col>4</xdr:col>
      <xdr:colOff>683559</xdr:colOff>
      <xdr:row>391</xdr:row>
      <xdr:rowOff>560</xdr:rowOff>
    </xdr:from>
    <xdr:to>
      <xdr:col>6</xdr:col>
      <xdr:colOff>597834</xdr:colOff>
      <xdr:row>394</xdr:row>
      <xdr:rowOff>97491</xdr:rowOff>
    </xdr:to>
    <xdr:sp macro="" textlink="">
      <xdr:nvSpPr>
        <xdr:cNvPr id="30" name="Rectangle 29"/>
        <xdr:cNvSpPr/>
      </xdr:nvSpPr>
      <xdr:spPr>
        <a:xfrm>
          <a:off x="4291853" y="74990325"/>
          <a:ext cx="1595157" cy="70204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600" b="1">
              <a:ln>
                <a:noFill/>
              </a:ln>
              <a:solidFill>
                <a:srgbClr val="FF0000"/>
              </a:solidFill>
            </a:rPr>
            <a:t>A Wing</a:t>
          </a:r>
        </a:p>
      </xdr:txBody>
    </xdr:sp>
    <xdr:clientData/>
  </xdr:twoCellAnchor>
  <xdr:twoCellAnchor>
    <xdr:from>
      <xdr:col>3</xdr:col>
      <xdr:colOff>254934</xdr:colOff>
      <xdr:row>390</xdr:row>
      <xdr:rowOff>164166</xdr:rowOff>
    </xdr:from>
    <xdr:to>
      <xdr:col>4</xdr:col>
      <xdr:colOff>835959</xdr:colOff>
      <xdr:row>394</xdr:row>
      <xdr:rowOff>59391</xdr:rowOff>
    </xdr:to>
    <xdr:sp macro="" textlink="">
      <xdr:nvSpPr>
        <xdr:cNvPr id="31" name="Rectangle 30"/>
        <xdr:cNvSpPr/>
      </xdr:nvSpPr>
      <xdr:spPr>
        <a:xfrm>
          <a:off x="2854699" y="74952225"/>
          <a:ext cx="1589554" cy="70204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600" b="1">
              <a:ln>
                <a:noFill/>
              </a:ln>
              <a:solidFill>
                <a:srgbClr val="FF0000"/>
              </a:solidFill>
            </a:rPr>
            <a:t>B</a:t>
          </a:r>
          <a:r>
            <a:rPr lang="en-IN" sz="1600" b="1" baseline="0">
              <a:ln>
                <a:noFill/>
              </a:ln>
              <a:solidFill>
                <a:srgbClr val="FF0000"/>
              </a:solidFill>
            </a:rPr>
            <a:t> </a:t>
          </a:r>
          <a:r>
            <a:rPr lang="en-IN" sz="1600" b="1">
              <a:ln>
                <a:noFill/>
              </a:ln>
              <a:solidFill>
                <a:srgbClr val="FF0000"/>
              </a:solidFill>
            </a:rPr>
            <a:t>Wing</a:t>
          </a:r>
        </a:p>
      </xdr:txBody>
    </xdr:sp>
    <xdr:clientData/>
  </xdr:twoCellAnchor>
  <xdr:twoCellAnchor>
    <xdr:from>
      <xdr:col>2</xdr:col>
      <xdr:colOff>435909</xdr:colOff>
      <xdr:row>385</xdr:row>
      <xdr:rowOff>192742</xdr:rowOff>
    </xdr:from>
    <xdr:to>
      <xdr:col>4</xdr:col>
      <xdr:colOff>102534</xdr:colOff>
      <xdr:row>389</xdr:row>
      <xdr:rowOff>87966</xdr:rowOff>
    </xdr:to>
    <xdr:sp macro="" textlink="">
      <xdr:nvSpPr>
        <xdr:cNvPr id="32" name="Rectangle 31"/>
        <xdr:cNvSpPr/>
      </xdr:nvSpPr>
      <xdr:spPr>
        <a:xfrm>
          <a:off x="2116791" y="73972271"/>
          <a:ext cx="1594037" cy="70204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600" b="1" baseline="0">
              <a:ln>
                <a:noFill/>
              </a:ln>
              <a:solidFill>
                <a:srgbClr val="FF0000"/>
              </a:solidFill>
            </a:rPr>
            <a:t>C </a:t>
          </a:r>
          <a:r>
            <a:rPr lang="en-IN" sz="1600" b="1">
              <a:ln>
                <a:noFill/>
              </a:ln>
              <a:solidFill>
                <a:srgbClr val="FF0000"/>
              </a:solidFill>
            </a:rPr>
            <a:t>Wing</a:t>
          </a:r>
        </a:p>
      </xdr:txBody>
    </xdr:sp>
    <xdr:clientData/>
  </xdr:twoCellAnchor>
  <xdr:twoCellAnchor editAs="oneCell">
    <xdr:from>
      <xdr:col>0</xdr:col>
      <xdr:colOff>593909</xdr:colOff>
      <xdr:row>442</xdr:row>
      <xdr:rowOff>123262</xdr:rowOff>
    </xdr:from>
    <xdr:to>
      <xdr:col>7</xdr:col>
      <xdr:colOff>382339</xdr:colOff>
      <xdr:row>464</xdr:row>
      <xdr:rowOff>5733</xdr:rowOff>
    </xdr:to>
    <xdr:pic>
      <xdr:nvPicPr>
        <xdr:cNvPr id="43" name="Picture 42"/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3909" y="88201497"/>
          <a:ext cx="5918048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661148</xdr:colOff>
      <xdr:row>453</xdr:row>
      <xdr:rowOff>145676</xdr:rowOff>
    </xdr:from>
    <xdr:to>
      <xdr:col>4</xdr:col>
      <xdr:colOff>56031</xdr:colOff>
      <xdr:row>456</xdr:row>
      <xdr:rowOff>44823</xdr:rowOff>
    </xdr:to>
    <xdr:sp macro="" textlink="">
      <xdr:nvSpPr>
        <xdr:cNvPr id="14" name="Rectangle 13"/>
        <xdr:cNvSpPr/>
      </xdr:nvSpPr>
      <xdr:spPr>
        <a:xfrm>
          <a:off x="3260913" y="90442676"/>
          <a:ext cx="403412" cy="504265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0</xdr:colOff>
      <xdr:row>453</xdr:row>
      <xdr:rowOff>123265</xdr:rowOff>
    </xdr:from>
    <xdr:to>
      <xdr:col>5</xdr:col>
      <xdr:colOff>425824</xdr:colOff>
      <xdr:row>453</xdr:row>
      <xdr:rowOff>134471</xdr:rowOff>
    </xdr:to>
    <xdr:cxnSp macro="">
      <xdr:nvCxnSpPr>
        <xdr:cNvPr id="44" name="Straight Connector 43"/>
        <xdr:cNvCxnSpPr/>
      </xdr:nvCxnSpPr>
      <xdr:spPr>
        <a:xfrm>
          <a:off x="3608294" y="90420265"/>
          <a:ext cx="1266265" cy="11206"/>
        </a:xfrm>
        <a:prstGeom prst="line">
          <a:avLst/>
        </a:prstGeom>
        <a:ln w="28575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436366</xdr:colOff>
      <xdr:row>336</xdr:row>
      <xdr:rowOff>40342</xdr:rowOff>
    </xdr:from>
    <xdr:to>
      <xdr:col>15</xdr:col>
      <xdr:colOff>418386</xdr:colOff>
      <xdr:row>339</xdr:row>
      <xdr:rowOff>135592</xdr:rowOff>
    </xdr:to>
    <xdr:sp macro="" textlink="">
      <xdr:nvSpPr>
        <xdr:cNvPr id="46" name="Rectangle 45"/>
        <xdr:cNvSpPr/>
      </xdr:nvSpPr>
      <xdr:spPr>
        <a:xfrm>
          <a:off x="11069730" y="65451115"/>
          <a:ext cx="1480042" cy="6927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800" b="1">
              <a:ln>
                <a:noFill/>
              </a:ln>
              <a:solidFill>
                <a:srgbClr val="FF0000"/>
              </a:solidFill>
            </a:rPr>
            <a:t>B Wing</a:t>
          </a:r>
        </a:p>
      </xdr:txBody>
    </xdr:sp>
    <xdr:clientData/>
  </xdr:twoCellAnchor>
  <xdr:twoCellAnchor>
    <xdr:from>
      <xdr:col>8</xdr:col>
      <xdr:colOff>99392</xdr:colOff>
      <xdr:row>340</xdr:row>
      <xdr:rowOff>165313</xdr:rowOff>
    </xdr:from>
    <xdr:to>
      <xdr:col>8</xdr:col>
      <xdr:colOff>530087</xdr:colOff>
      <xdr:row>342</xdr:row>
      <xdr:rowOff>140806</xdr:rowOff>
    </xdr:to>
    <xdr:sp macro="" textlink="">
      <xdr:nvSpPr>
        <xdr:cNvPr id="47" name="Rectangle 46"/>
        <xdr:cNvSpPr/>
      </xdr:nvSpPr>
      <xdr:spPr>
        <a:xfrm>
          <a:off x="6617805" y="70310726"/>
          <a:ext cx="430695" cy="37305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ln>
                <a:noFill/>
              </a:ln>
              <a:solidFill>
                <a:sysClr val="windowText" lastClr="000000"/>
              </a:solidFill>
            </a:rPr>
            <a:t>C </a:t>
          </a:r>
        </a:p>
      </xdr:txBody>
    </xdr:sp>
    <xdr:clientData/>
  </xdr:twoCellAnchor>
  <xdr:twoCellAnchor>
    <xdr:from>
      <xdr:col>12</xdr:col>
      <xdr:colOff>637206</xdr:colOff>
      <xdr:row>349</xdr:row>
      <xdr:rowOff>101974</xdr:rowOff>
    </xdr:from>
    <xdr:to>
      <xdr:col>14</xdr:col>
      <xdr:colOff>482209</xdr:colOff>
      <xdr:row>352</xdr:row>
      <xdr:rowOff>194678</xdr:rowOff>
    </xdr:to>
    <xdr:sp macro="" textlink="">
      <xdr:nvSpPr>
        <xdr:cNvPr id="48" name="Rectangle 47"/>
        <xdr:cNvSpPr/>
      </xdr:nvSpPr>
      <xdr:spPr>
        <a:xfrm>
          <a:off x="10482592" y="68093156"/>
          <a:ext cx="1472912" cy="69018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800" b="1">
              <a:ln>
                <a:noFill/>
              </a:ln>
              <a:solidFill>
                <a:srgbClr val="FF0000"/>
              </a:solidFill>
            </a:rPr>
            <a:t>C Wing</a:t>
          </a:r>
        </a:p>
      </xdr:txBody>
    </xdr:sp>
    <xdr:clientData/>
  </xdr:twoCellAnchor>
  <xdr:twoCellAnchor>
    <xdr:from>
      <xdr:col>9</xdr:col>
      <xdr:colOff>338385</xdr:colOff>
      <xdr:row>341</xdr:row>
      <xdr:rowOff>84482</xdr:rowOff>
    </xdr:from>
    <xdr:to>
      <xdr:col>17</xdr:col>
      <xdr:colOff>333205</xdr:colOff>
      <xdr:row>382</xdr:row>
      <xdr:rowOff>120649</xdr:rowOff>
    </xdr:to>
    <xdr:grpSp>
      <xdr:nvGrpSpPr>
        <xdr:cNvPr id="2" name="Group 1"/>
        <xdr:cNvGrpSpPr/>
      </xdr:nvGrpSpPr>
      <xdr:grpSpPr>
        <a:xfrm>
          <a:off x="8402885" y="63895632"/>
          <a:ext cx="6116220" cy="8107017"/>
          <a:chOff x="309152" y="69081650"/>
          <a:chExt cx="6134848" cy="8108950"/>
        </a:xfrm>
      </xdr:grpSpPr>
      <xdr:pic>
        <xdr:nvPicPr>
          <xdr:cNvPr id="63" name="Picture 62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77632" y="75853452"/>
            <a:ext cx="1078500" cy="133714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5" name="Picture 64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03638" y="74281270"/>
            <a:ext cx="1917334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6" name="Picture 65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31850" y="74261526"/>
            <a:ext cx="1078500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7" name="Picture 66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71547" y="72041460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8" name="Picture 67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88363" y="72041460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9" name="Picture 68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0484" y="72044288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0" name="Picture 69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20768" y="74287620"/>
            <a:ext cx="1917334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1" name="Picture 70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87000" y="69081650"/>
            <a:ext cx="215700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2" name="Picture 71"/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309152" y="69081650"/>
            <a:ext cx="3834667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3" name="Picture 72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7415" y="75853452"/>
            <a:ext cx="1078500" cy="1337148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8</xdr:col>
      <xdr:colOff>966108</xdr:colOff>
      <xdr:row>50</xdr:row>
      <xdr:rowOff>557893</xdr:rowOff>
    </xdr:from>
    <xdr:to>
      <xdr:col>15</xdr:col>
      <xdr:colOff>593977</xdr:colOff>
      <xdr:row>52</xdr:row>
      <xdr:rowOff>313976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470322" y="12409714"/>
          <a:ext cx="5247619" cy="2790476"/>
        </a:xfrm>
        <a:prstGeom prst="rect">
          <a:avLst/>
        </a:prstGeom>
      </xdr:spPr>
    </xdr:pic>
    <xdr:clientData/>
  </xdr:twoCellAnchor>
  <xdr:twoCellAnchor>
    <xdr:from>
      <xdr:col>0</xdr:col>
      <xdr:colOff>107950</xdr:colOff>
      <xdr:row>337</xdr:row>
      <xdr:rowOff>101600</xdr:rowOff>
    </xdr:from>
    <xdr:to>
      <xdr:col>7</xdr:col>
      <xdr:colOff>805165</xdr:colOff>
      <xdr:row>369</xdr:row>
      <xdr:rowOff>20919</xdr:rowOff>
    </xdr:to>
    <xdr:grpSp>
      <xdr:nvGrpSpPr>
        <xdr:cNvPr id="6" name="Group 5"/>
        <xdr:cNvGrpSpPr/>
      </xdr:nvGrpSpPr>
      <xdr:grpSpPr>
        <a:xfrm>
          <a:off x="107950" y="63131700"/>
          <a:ext cx="6672565" cy="6212169"/>
          <a:chOff x="107950" y="66490850"/>
          <a:chExt cx="6672565" cy="6212169"/>
        </a:xfrm>
      </xdr:grpSpPr>
      <xdr:pic>
        <xdr:nvPicPr>
          <xdr:cNvPr id="52" name="Picture 51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19760" y="70543019"/>
            <a:ext cx="1460755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04264" y="664908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7950" y="7054301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1767" y="664908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82490" y="7054301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2" name="Picture 61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45220" y="7054301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7</xdr:col>
      <xdr:colOff>150242</xdr:colOff>
      <xdr:row>37</xdr:row>
      <xdr:rowOff>171000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1882" y="36307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nTW4piPpCtmKVEDX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23"/>
  <sheetViews>
    <sheetView tabSelected="1" view="pageBreakPreview" topLeftCell="A306" zoomScaleNormal="100" zoomScaleSheetLayoutView="100" zoomScalePageLayoutView="85" workbookViewId="0">
      <selection activeCell="A307" sqref="A307:H319"/>
    </sheetView>
  </sheetViews>
  <sheetFormatPr defaultColWidth="9.1796875" defaultRowHeight="15.5" x14ac:dyDescent="0.35"/>
  <cols>
    <col min="1" max="1" width="11.453125" style="42" customWidth="1"/>
    <col min="2" max="2" width="12" style="42" customWidth="1"/>
    <col min="3" max="3" width="12.7265625" style="42" customWidth="1"/>
    <col min="4" max="4" width="14.1796875" style="42" customWidth="1"/>
    <col min="5" max="7" width="11.7265625" style="42" customWidth="1"/>
    <col min="8" max="8" width="12.453125" style="42" customWidth="1"/>
    <col min="9" max="9" width="17.453125" style="23" customWidth="1"/>
    <col min="10" max="10" width="11.453125" style="23" customWidth="1"/>
    <col min="11" max="11" width="10.54296875" style="23" bestFit="1" customWidth="1"/>
    <col min="12" max="12" width="10.54296875" style="23" customWidth="1"/>
    <col min="13" max="13" width="11.81640625" style="23" customWidth="1"/>
    <col min="14" max="14" width="12.54296875" style="23" customWidth="1"/>
    <col min="15" max="15" width="9.81640625" style="23" customWidth="1"/>
    <col min="16" max="16" width="11.7265625" style="23" customWidth="1"/>
    <col min="17" max="247" width="9.1796875" style="23"/>
    <col min="248" max="248" width="8.7265625" style="23" customWidth="1"/>
    <col min="249" max="249" width="9.81640625" style="23" customWidth="1"/>
    <col min="250" max="250" width="14.453125" style="23" customWidth="1"/>
    <col min="251" max="251" width="7.26953125" style="23" customWidth="1"/>
    <col min="252" max="252" width="5.54296875" style="23" customWidth="1"/>
    <col min="253" max="253" width="9" style="23" customWidth="1"/>
    <col min="254" max="255" width="9.81640625" style="23" customWidth="1"/>
    <col min="256" max="256" width="11.1796875" style="23" customWidth="1"/>
    <col min="257" max="257" width="2.81640625" style="23" customWidth="1"/>
    <col min="258" max="258" width="3.54296875" style="23" customWidth="1"/>
    <col min="259" max="503" width="9.1796875" style="23"/>
    <col min="504" max="504" width="8.7265625" style="23" customWidth="1"/>
    <col min="505" max="505" width="9.81640625" style="23" customWidth="1"/>
    <col min="506" max="506" width="14.453125" style="23" customWidth="1"/>
    <col min="507" max="507" width="7.26953125" style="23" customWidth="1"/>
    <col min="508" max="508" width="5.54296875" style="23" customWidth="1"/>
    <col min="509" max="509" width="9" style="23" customWidth="1"/>
    <col min="510" max="511" width="9.81640625" style="23" customWidth="1"/>
    <col min="512" max="512" width="11.1796875" style="23" customWidth="1"/>
    <col min="513" max="513" width="2.81640625" style="23" customWidth="1"/>
    <col min="514" max="514" width="3.54296875" style="23" customWidth="1"/>
    <col min="515" max="759" width="9.1796875" style="23"/>
    <col min="760" max="760" width="8.7265625" style="23" customWidth="1"/>
    <col min="761" max="761" width="9.81640625" style="23" customWidth="1"/>
    <col min="762" max="762" width="14.453125" style="23" customWidth="1"/>
    <col min="763" max="763" width="7.26953125" style="23" customWidth="1"/>
    <col min="764" max="764" width="5.54296875" style="23" customWidth="1"/>
    <col min="765" max="765" width="9" style="23" customWidth="1"/>
    <col min="766" max="767" width="9.81640625" style="23" customWidth="1"/>
    <col min="768" max="768" width="11.1796875" style="23" customWidth="1"/>
    <col min="769" max="769" width="2.81640625" style="23" customWidth="1"/>
    <col min="770" max="770" width="3.54296875" style="23" customWidth="1"/>
    <col min="771" max="1015" width="9.1796875" style="23"/>
    <col min="1016" max="1016" width="8.7265625" style="23" customWidth="1"/>
    <col min="1017" max="1017" width="9.81640625" style="23" customWidth="1"/>
    <col min="1018" max="1018" width="14.453125" style="23" customWidth="1"/>
    <col min="1019" max="1019" width="7.26953125" style="23" customWidth="1"/>
    <col min="1020" max="1020" width="5.54296875" style="23" customWidth="1"/>
    <col min="1021" max="1021" width="9" style="23" customWidth="1"/>
    <col min="1022" max="1023" width="9.81640625" style="23" customWidth="1"/>
    <col min="1024" max="1024" width="11.1796875" style="23" customWidth="1"/>
    <col min="1025" max="1025" width="2.81640625" style="23" customWidth="1"/>
    <col min="1026" max="1026" width="3.54296875" style="23" customWidth="1"/>
    <col min="1027" max="1271" width="9.1796875" style="23"/>
    <col min="1272" max="1272" width="8.7265625" style="23" customWidth="1"/>
    <col min="1273" max="1273" width="9.81640625" style="23" customWidth="1"/>
    <col min="1274" max="1274" width="14.453125" style="23" customWidth="1"/>
    <col min="1275" max="1275" width="7.26953125" style="23" customWidth="1"/>
    <col min="1276" max="1276" width="5.54296875" style="23" customWidth="1"/>
    <col min="1277" max="1277" width="9" style="23" customWidth="1"/>
    <col min="1278" max="1279" width="9.81640625" style="23" customWidth="1"/>
    <col min="1280" max="1280" width="11.1796875" style="23" customWidth="1"/>
    <col min="1281" max="1281" width="2.81640625" style="23" customWidth="1"/>
    <col min="1282" max="1282" width="3.54296875" style="23" customWidth="1"/>
    <col min="1283" max="1527" width="9.1796875" style="23"/>
    <col min="1528" max="1528" width="8.7265625" style="23" customWidth="1"/>
    <col min="1529" max="1529" width="9.81640625" style="23" customWidth="1"/>
    <col min="1530" max="1530" width="14.453125" style="23" customWidth="1"/>
    <col min="1531" max="1531" width="7.26953125" style="23" customWidth="1"/>
    <col min="1532" max="1532" width="5.54296875" style="23" customWidth="1"/>
    <col min="1533" max="1533" width="9" style="23" customWidth="1"/>
    <col min="1534" max="1535" width="9.81640625" style="23" customWidth="1"/>
    <col min="1536" max="1536" width="11.1796875" style="23" customWidth="1"/>
    <col min="1537" max="1537" width="2.81640625" style="23" customWidth="1"/>
    <col min="1538" max="1538" width="3.54296875" style="23" customWidth="1"/>
    <col min="1539" max="1783" width="9.1796875" style="23"/>
    <col min="1784" max="1784" width="8.7265625" style="23" customWidth="1"/>
    <col min="1785" max="1785" width="9.81640625" style="23" customWidth="1"/>
    <col min="1786" max="1786" width="14.453125" style="23" customWidth="1"/>
    <col min="1787" max="1787" width="7.26953125" style="23" customWidth="1"/>
    <col min="1788" max="1788" width="5.54296875" style="23" customWidth="1"/>
    <col min="1789" max="1789" width="9" style="23" customWidth="1"/>
    <col min="1790" max="1791" width="9.81640625" style="23" customWidth="1"/>
    <col min="1792" max="1792" width="11.1796875" style="23" customWidth="1"/>
    <col min="1793" max="1793" width="2.81640625" style="23" customWidth="1"/>
    <col min="1794" max="1794" width="3.54296875" style="23" customWidth="1"/>
    <col min="1795" max="2039" width="9.1796875" style="23"/>
    <col min="2040" max="2040" width="8.7265625" style="23" customWidth="1"/>
    <col min="2041" max="2041" width="9.81640625" style="23" customWidth="1"/>
    <col min="2042" max="2042" width="14.453125" style="23" customWidth="1"/>
    <col min="2043" max="2043" width="7.26953125" style="23" customWidth="1"/>
    <col min="2044" max="2044" width="5.54296875" style="23" customWidth="1"/>
    <col min="2045" max="2045" width="9" style="23" customWidth="1"/>
    <col min="2046" max="2047" width="9.81640625" style="23" customWidth="1"/>
    <col min="2048" max="2048" width="11.1796875" style="23" customWidth="1"/>
    <col min="2049" max="2049" width="2.81640625" style="23" customWidth="1"/>
    <col min="2050" max="2050" width="3.54296875" style="23" customWidth="1"/>
    <col min="2051" max="2295" width="9.1796875" style="23"/>
    <col min="2296" max="2296" width="8.7265625" style="23" customWidth="1"/>
    <col min="2297" max="2297" width="9.81640625" style="23" customWidth="1"/>
    <col min="2298" max="2298" width="14.453125" style="23" customWidth="1"/>
    <col min="2299" max="2299" width="7.26953125" style="23" customWidth="1"/>
    <col min="2300" max="2300" width="5.54296875" style="23" customWidth="1"/>
    <col min="2301" max="2301" width="9" style="23" customWidth="1"/>
    <col min="2302" max="2303" width="9.81640625" style="23" customWidth="1"/>
    <col min="2304" max="2304" width="11.1796875" style="23" customWidth="1"/>
    <col min="2305" max="2305" width="2.81640625" style="23" customWidth="1"/>
    <col min="2306" max="2306" width="3.54296875" style="23" customWidth="1"/>
    <col min="2307" max="2551" width="9.1796875" style="23"/>
    <col min="2552" max="2552" width="8.7265625" style="23" customWidth="1"/>
    <col min="2553" max="2553" width="9.81640625" style="23" customWidth="1"/>
    <col min="2554" max="2554" width="14.453125" style="23" customWidth="1"/>
    <col min="2555" max="2555" width="7.26953125" style="23" customWidth="1"/>
    <col min="2556" max="2556" width="5.54296875" style="23" customWidth="1"/>
    <col min="2557" max="2557" width="9" style="23" customWidth="1"/>
    <col min="2558" max="2559" width="9.81640625" style="23" customWidth="1"/>
    <col min="2560" max="2560" width="11.1796875" style="23" customWidth="1"/>
    <col min="2561" max="2561" width="2.81640625" style="23" customWidth="1"/>
    <col min="2562" max="2562" width="3.54296875" style="23" customWidth="1"/>
    <col min="2563" max="2807" width="9.1796875" style="23"/>
    <col min="2808" max="2808" width="8.7265625" style="23" customWidth="1"/>
    <col min="2809" max="2809" width="9.81640625" style="23" customWidth="1"/>
    <col min="2810" max="2810" width="14.453125" style="23" customWidth="1"/>
    <col min="2811" max="2811" width="7.26953125" style="23" customWidth="1"/>
    <col min="2812" max="2812" width="5.54296875" style="23" customWidth="1"/>
    <col min="2813" max="2813" width="9" style="23" customWidth="1"/>
    <col min="2814" max="2815" width="9.81640625" style="23" customWidth="1"/>
    <col min="2816" max="2816" width="11.1796875" style="23" customWidth="1"/>
    <col min="2817" max="2817" width="2.81640625" style="23" customWidth="1"/>
    <col min="2818" max="2818" width="3.54296875" style="23" customWidth="1"/>
    <col min="2819" max="3063" width="9.1796875" style="23"/>
    <col min="3064" max="3064" width="8.7265625" style="23" customWidth="1"/>
    <col min="3065" max="3065" width="9.81640625" style="23" customWidth="1"/>
    <col min="3066" max="3066" width="14.453125" style="23" customWidth="1"/>
    <col min="3067" max="3067" width="7.26953125" style="23" customWidth="1"/>
    <col min="3068" max="3068" width="5.54296875" style="23" customWidth="1"/>
    <col min="3069" max="3069" width="9" style="23" customWidth="1"/>
    <col min="3070" max="3071" width="9.81640625" style="23" customWidth="1"/>
    <col min="3072" max="3072" width="11.1796875" style="23" customWidth="1"/>
    <col min="3073" max="3073" width="2.81640625" style="23" customWidth="1"/>
    <col min="3074" max="3074" width="3.54296875" style="23" customWidth="1"/>
    <col min="3075" max="3319" width="9.1796875" style="23"/>
    <col min="3320" max="3320" width="8.7265625" style="23" customWidth="1"/>
    <col min="3321" max="3321" width="9.81640625" style="23" customWidth="1"/>
    <col min="3322" max="3322" width="14.453125" style="23" customWidth="1"/>
    <col min="3323" max="3323" width="7.26953125" style="23" customWidth="1"/>
    <col min="3324" max="3324" width="5.54296875" style="23" customWidth="1"/>
    <col min="3325" max="3325" width="9" style="23" customWidth="1"/>
    <col min="3326" max="3327" width="9.81640625" style="23" customWidth="1"/>
    <col min="3328" max="3328" width="11.1796875" style="23" customWidth="1"/>
    <col min="3329" max="3329" width="2.81640625" style="23" customWidth="1"/>
    <col min="3330" max="3330" width="3.54296875" style="23" customWidth="1"/>
    <col min="3331" max="3575" width="9.1796875" style="23"/>
    <col min="3576" max="3576" width="8.7265625" style="23" customWidth="1"/>
    <col min="3577" max="3577" width="9.81640625" style="23" customWidth="1"/>
    <col min="3578" max="3578" width="14.453125" style="23" customWidth="1"/>
    <col min="3579" max="3579" width="7.26953125" style="23" customWidth="1"/>
    <col min="3580" max="3580" width="5.54296875" style="23" customWidth="1"/>
    <col min="3581" max="3581" width="9" style="23" customWidth="1"/>
    <col min="3582" max="3583" width="9.81640625" style="23" customWidth="1"/>
    <col min="3584" max="3584" width="11.1796875" style="23" customWidth="1"/>
    <col min="3585" max="3585" width="2.81640625" style="23" customWidth="1"/>
    <col min="3586" max="3586" width="3.54296875" style="23" customWidth="1"/>
    <col min="3587" max="3831" width="9.1796875" style="23"/>
    <col min="3832" max="3832" width="8.7265625" style="23" customWidth="1"/>
    <col min="3833" max="3833" width="9.81640625" style="23" customWidth="1"/>
    <col min="3834" max="3834" width="14.453125" style="23" customWidth="1"/>
    <col min="3835" max="3835" width="7.26953125" style="23" customWidth="1"/>
    <col min="3836" max="3836" width="5.54296875" style="23" customWidth="1"/>
    <col min="3837" max="3837" width="9" style="23" customWidth="1"/>
    <col min="3838" max="3839" width="9.81640625" style="23" customWidth="1"/>
    <col min="3840" max="3840" width="11.1796875" style="23" customWidth="1"/>
    <col min="3841" max="3841" width="2.81640625" style="23" customWidth="1"/>
    <col min="3842" max="3842" width="3.54296875" style="23" customWidth="1"/>
    <col min="3843" max="4087" width="9.1796875" style="23"/>
    <col min="4088" max="4088" width="8.7265625" style="23" customWidth="1"/>
    <col min="4089" max="4089" width="9.81640625" style="23" customWidth="1"/>
    <col min="4090" max="4090" width="14.453125" style="23" customWidth="1"/>
    <col min="4091" max="4091" width="7.26953125" style="23" customWidth="1"/>
    <col min="4092" max="4092" width="5.54296875" style="23" customWidth="1"/>
    <col min="4093" max="4093" width="9" style="23" customWidth="1"/>
    <col min="4094" max="4095" width="9.81640625" style="23" customWidth="1"/>
    <col min="4096" max="4096" width="11.1796875" style="23" customWidth="1"/>
    <col min="4097" max="4097" width="2.81640625" style="23" customWidth="1"/>
    <col min="4098" max="4098" width="3.54296875" style="23" customWidth="1"/>
    <col min="4099" max="4343" width="9.1796875" style="23"/>
    <col min="4344" max="4344" width="8.7265625" style="23" customWidth="1"/>
    <col min="4345" max="4345" width="9.81640625" style="23" customWidth="1"/>
    <col min="4346" max="4346" width="14.453125" style="23" customWidth="1"/>
    <col min="4347" max="4347" width="7.26953125" style="23" customWidth="1"/>
    <col min="4348" max="4348" width="5.54296875" style="23" customWidth="1"/>
    <col min="4349" max="4349" width="9" style="23" customWidth="1"/>
    <col min="4350" max="4351" width="9.81640625" style="23" customWidth="1"/>
    <col min="4352" max="4352" width="11.1796875" style="23" customWidth="1"/>
    <col min="4353" max="4353" width="2.81640625" style="23" customWidth="1"/>
    <col min="4354" max="4354" width="3.54296875" style="23" customWidth="1"/>
    <col min="4355" max="4599" width="9.1796875" style="23"/>
    <col min="4600" max="4600" width="8.7265625" style="23" customWidth="1"/>
    <col min="4601" max="4601" width="9.81640625" style="23" customWidth="1"/>
    <col min="4602" max="4602" width="14.453125" style="23" customWidth="1"/>
    <col min="4603" max="4603" width="7.26953125" style="23" customWidth="1"/>
    <col min="4604" max="4604" width="5.54296875" style="23" customWidth="1"/>
    <col min="4605" max="4605" width="9" style="23" customWidth="1"/>
    <col min="4606" max="4607" width="9.81640625" style="23" customWidth="1"/>
    <col min="4608" max="4608" width="11.1796875" style="23" customWidth="1"/>
    <col min="4609" max="4609" width="2.81640625" style="23" customWidth="1"/>
    <col min="4610" max="4610" width="3.54296875" style="23" customWidth="1"/>
    <col min="4611" max="4855" width="9.1796875" style="23"/>
    <col min="4856" max="4856" width="8.7265625" style="23" customWidth="1"/>
    <col min="4857" max="4857" width="9.81640625" style="23" customWidth="1"/>
    <col min="4858" max="4858" width="14.453125" style="23" customWidth="1"/>
    <col min="4859" max="4859" width="7.26953125" style="23" customWidth="1"/>
    <col min="4860" max="4860" width="5.54296875" style="23" customWidth="1"/>
    <col min="4861" max="4861" width="9" style="23" customWidth="1"/>
    <col min="4862" max="4863" width="9.81640625" style="23" customWidth="1"/>
    <col min="4864" max="4864" width="11.1796875" style="23" customWidth="1"/>
    <col min="4865" max="4865" width="2.81640625" style="23" customWidth="1"/>
    <col min="4866" max="4866" width="3.54296875" style="23" customWidth="1"/>
    <col min="4867" max="5111" width="9.1796875" style="23"/>
    <col min="5112" max="5112" width="8.7265625" style="23" customWidth="1"/>
    <col min="5113" max="5113" width="9.81640625" style="23" customWidth="1"/>
    <col min="5114" max="5114" width="14.453125" style="23" customWidth="1"/>
    <col min="5115" max="5115" width="7.26953125" style="23" customWidth="1"/>
    <col min="5116" max="5116" width="5.54296875" style="23" customWidth="1"/>
    <col min="5117" max="5117" width="9" style="23" customWidth="1"/>
    <col min="5118" max="5119" width="9.81640625" style="23" customWidth="1"/>
    <col min="5120" max="5120" width="11.1796875" style="23" customWidth="1"/>
    <col min="5121" max="5121" width="2.81640625" style="23" customWidth="1"/>
    <col min="5122" max="5122" width="3.54296875" style="23" customWidth="1"/>
    <col min="5123" max="5367" width="9.1796875" style="23"/>
    <col min="5368" max="5368" width="8.7265625" style="23" customWidth="1"/>
    <col min="5369" max="5369" width="9.81640625" style="23" customWidth="1"/>
    <col min="5370" max="5370" width="14.453125" style="23" customWidth="1"/>
    <col min="5371" max="5371" width="7.26953125" style="23" customWidth="1"/>
    <col min="5372" max="5372" width="5.54296875" style="23" customWidth="1"/>
    <col min="5373" max="5373" width="9" style="23" customWidth="1"/>
    <col min="5374" max="5375" width="9.81640625" style="23" customWidth="1"/>
    <col min="5376" max="5376" width="11.1796875" style="23" customWidth="1"/>
    <col min="5377" max="5377" width="2.81640625" style="23" customWidth="1"/>
    <col min="5378" max="5378" width="3.54296875" style="23" customWidth="1"/>
    <col min="5379" max="5623" width="9.1796875" style="23"/>
    <col min="5624" max="5624" width="8.7265625" style="23" customWidth="1"/>
    <col min="5625" max="5625" width="9.81640625" style="23" customWidth="1"/>
    <col min="5626" max="5626" width="14.453125" style="23" customWidth="1"/>
    <col min="5627" max="5627" width="7.26953125" style="23" customWidth="1"/>
    <col min="5628" max="5628" width="5.54296875" style="23" customWidth="1"/>
    <col min="5629" max="5629" width="9" style="23" customWidth="1"/>
    <col min="5630" max="5631" width="9.81640625" style="23" customWidth="1"/>
    <col min="5632" max="5632" width="11.1796875" style="23" customWidth="1"/>
    <col min="5633" max="5633" width="2.81640625" style="23" customWidth="1"/>
    <col min="5634" max="5634" width="3.54296875" style="23" customWidth="1"/>
    <col min="5635" max="5879" width="9.1796875" style="23"/>
    <col min="5880" max="5880" width="8.7265625" style="23" customWidth="1"/>
    <col min="5881" max="5881" width="9.81640625" style="23" customWidth="1"/>
    <col min="5882" max="5882" width="14.453125" style="23" customWidth="1"/>
    <col min="5883" max="5883" width="7.26953125" style="23" customWidth="1"/>
    <col min="5884" max="5884" width="5.54296875" style="23" customWidth="1"/>
    <col min="5885" max="5885" width="9" style="23" customWidth="1"/>
    <col min="5886" max="5887" width="9.81640625" style="23" customWidth="1"/>
    <col min="5888" max="5888" width="11.1796875" style="23" customWidth="1"/>
    <col min="5889" max="5889" width="2.81640625" style="23" customWidth="1"/>
    <col min="5890" max="5890" width="3.54296875" style="23" customWidth="1"/>
    <col min="5891" max="6135" width="9.1796875" style="23"/>
    <col min="6136" max="6136" width="8.7265625" style="23" customWidth="1"/>
    <col min="6137" max="6137" width="9.81640625" style="23" customWidth="1"/>
    <col min="6138" max="6138" width="14.453125" style="23" customWidth="1"/>
    <col min="6139" max="6139" width="7.26953125" style="23" customWidth="1"/>
    <col min="6140" max="6140" width="5.54296875" style="23" customWidth="1"/>
    <col min="6141" max="6141" width="9" style="23" customWidth="1"/>
    <col min="6142" max="6143" width="9.81640625" style="23" customWidth="1"/>
    <col min="6144" max="6144" width="11.1796875" style="23" customWidth="1"/>
    <col min="6145" max="6145" width="2.81640625" style="23" customWidth="1"/>
    <col min="6146" max="6146" width="3.54296875" style="23" customWidth="1"/>
    <col min="6147" max="6391" width="9.1796875" style="23"/>
    <col min="6392" max="6392" width="8.7265625" style="23" customWidth="1"/>
    <col min="6393" max="6393" width="9.81640625" style="23" customWidth="1"/>
    <col min="6394" max="6394" width="14.453125" style="23" customWidth="1"/>
    <col min="6395" max="6395" width="7.26953125" style="23" customWidth="1"/>
    <col min="6396" max="6396" width="5.54296875" style="23" customWidth="1"/>
    <col min="6397" max="6397" width="9" style="23" customWidth="1"/>
    <col min="6398" max="6399" width="9.81640625" style="23" customWidth="1"/>
    <col min="6400" max="6400" width="11.1796875" style="23" customWidth="1"/>
    <col min="6401" max="6401" width="2.81640625" style="23" customWidth="1"/>
    <col min="6402" max="6402" width="3.54296875" style="23" customWidth="1"/>
    <col min="6403" max="6647" width="9.1796875" style="23"/>
    <col min="6648" max="6648" width="8.7265625" style="23" customWidth="1"/>
    <col min="6649" max="6649" width="9.81640625" style="23" customWidth="1"/>
    <col min="6650" max="6650" width="14.453125" style="23" customWidth="1"/>
    <col min="6651" max="6651" width="7.26953125" style="23" customWidth="1"/>
    <col min="6652" max="6652" width="5.54296875" style="23" customWidth="1"/>
    <col min="6653" max="6653" width="9" style="23" customWidth="1"/>
    <col min="6654" max="6655" width="9.81640625" style="23" customWidth="1"/>
    <col min="6656" max="6656" width="11.1796875" style="23" customWidth="1"/>
    <col min="6657" max="6657" width="2.81640625" style="23" customWidth="1"/>
    <col min="6658" max="6658" width="3.54296875" style="23" customWidth="1"/>
    <col min="6659" max="6903" width="9.1796875" style="23"/>
    <col min="6904" max="6904" width="8.7265625" style="23" customWidth="1"/>
    <col min="6905" max="6905" width="9.81640625" style="23" customWidth="1"/>
    <col min="6906" max="6906" width="14.453125" style="23" customWidth="1"/>
    <col min="6907" max="6907" width="7.26953125" style="23" customWidth="1"/>
    <col min="6908" max="6908" width="5.54296875" style="23" customWidth="1"/>
    <col min="6909" max="6909" width="9" style="23" customWidth="1"/>
    <col min="6910" max="6911" width="9.81640625" style="23" customWidth="1"/>
    <col min="6912" max="6912" width="11.1796875" style="23" customWidth="1"/>
    <col min="6913" max="6913" width="2.81640625" style="23" customWidth="1"/>
    <col min="6914" max="6914" width="3.54296875" style="23" customWidth="1"/>
    <col min="6915" max="7159" width="9.1796875" style="23"/>
    <col min="7160" max="7160" width="8.7265625" style="23" customWidth="1"/>
    <col min="7161" max="7161" width="9.81640625" style="23" customWidth="1"/>
    <col min="7162" max="7162" width="14.453125" style="23" customWidth="1"/>
    <col min="7163" max="7163" width="7.26953125" style="23" customWidth="1"/>
    <col min="7164" max="7164" width="5.54296875" style="23" customWidth="1"/>
    <col min="7165" max="7165" width="9" style="23" customWidth="1"/>
    <col min="7166" max="7167" width="9.81640625" style="23" customWidth="1"/>
    <col min="7168" max="7168" width="11.1796875" style="23" customWidth="1"/>
    <col min="7169" max="7169" width="2.81640625" style="23" customWidth="1"/>
    <col min="7170" max="7170" width="3.54296875" style="23" customWidth="1"/>
    <col min="7171" max="7415" width="9.1796875" style="23"/>
    <col min="7416" max="7416" width="8.7265625" style="23" customWidth="1"/>
    <col min="7417" max="7417" width="9.81640625" style="23" customWidth="1"/>
    <col min="7418" max="7418" width="14.453125" style="23" customWidth="1"/>
    <col min="7419" max="7419" width="7.26953125" style="23" customWidth="1"/>
    <col min="7420" max="7420" width="5.54296875" style="23" customWidth="1"/>
    <col min="7421" max="7421" width="9" style="23" customWidth="1"/>
    <col min="7422" max="7423" width="9.81640625" style="23" customWidth="1"/>
    <col min="7424" max="7424" width="11.1796875" style="23" customWidth="1"/>
    <col min="7425" max="7425" width="2.81640625" style="23" customWidth="1"/>
    <col min="7426" max="7426" width="3.54296875" style="23" customWidth="1"/>
    <col min="7427" max="7671" width="9.1796875" style="23"/>
    <col min="7672" max="7672" width="8.7265625" style="23" customWidth="1"/>
    <col min="7673" max="7673" width="9.81640625" style="23" customWidth="1"/>
    <col min="7674" max="7674" width="14.453125" style="23" customWidth="1"/>
    <col min="7675" max="7675" width="7.26953125" style="23" customWidth="1"/>
    <col min="7676" max="7676" width="5.54296875" style="23" customWidth="1"/>
    <col min="7677" max="7677" width="9" style="23" customWidth="1"/>
    <col min="7678" max="7679" width="9.81640625" style="23" customWidth="1"/>
    <col min="7680" max="7680" width="11.1796875" style="23" customWidth="1"/>
    <col min="7681" max="7681" width="2.81640625" style="23" customWidth="1"/>
    <col min="7682" max="7682" width="3.54296875" style="23" customWidth="1"/>
    <col min="7683" max="7927" width="9.1796875" style="23"/>
    <col min="7928" max="7928" width="8.7265625" style="23" customWidth="1"/>
    <col min="7929" max="7929" width="9.81640625" style="23" customWidth="1"/>
    <col min="7930" max="7930" width="14.453125" style="23" customWidth="1"/>
    <col min="7931" max="7931" width="7.26953125" style="23" customWidth="1"/>
    <col min="7932" max="7932" width="5.54296875" style="23" customWidth="1"/>
    <col min="7933" max="7933" width="9" style="23" customWidth="1"/>
    <col min="7934" max="7935" width="9.81640625" style="23" customWidth="1"/>
    <col min="7936" max="7936" width="11.1796875" style="23" customWidth="1"/>
    <col min="7937" max="7937" width="2.81640625" style="23" customWidth="1"/>
    <col min="7938" max="7938" width="3.54296875" style="23" customWidth="1"/>
    <col min="7939" max="8183" width="9.1796875" style="23"/>
    <col min="8184" max="8184" width="8.7265625" style="23" customWidth="1"/>
    <col min="8185" max="8185" width="9.81640625" style="23" customWidth="1"/>
    <col min="8186" max="8186" width="14.453125" style="23" customWidth="1"/>
    <col min="8187" max="8187" width="7.26953125" style="23" customWidth="1"/>
    <col min="8188" max="8188" width="5.54296875" style="23" customWidth="1"/>
    <col min="8189" max="8189" width="9" style="23" customWidth="1"/>
    <col min="8190" max="8191" width="9.81640625" style="23" customWidth="1"/>
    <col min="8192" max="8192" width="11.1796875" style="23" customWidth="1"/>
    <col min="8193" max="8193" width="2.81640625" style="23" customWidth="1"/>
    <col min="8194" max="8194" width="3.54296875" style="23" customWidth="1"/>
    <col min="8195" max="8439" width="9.1796875" style="23"/>
    <col min="8440" max="8440" width="8.7265625" style="23" customWidth="1"/>
    <col min="8441" max="8441" width="9.81640625" style="23" customWidth="1"/>
    <col min="8442" max="8442" width="14.453125" style="23" customWidth="1"/>
    <col min="8443" max="8443" width="7.26953125" style="23" customWidth="1"/>
    <col min="8444" max="8444" width="5.54296875" style="23" customWidth="1"/>
    <col min="8445" max="8445" width="9" style="23" customWidth="1"/>
    <col min="8446" max="8447" width="9.81640625" style="23" customWidth="1"/>
    <col min="8448" max="8448" width="11.1796875" style="23" customWidth="1"/>
    <col min="8449" max="8449" width="2.81640625" style="23" customWidth="1"/>
    <col min="8450" max="8450" width="3.54296875" style="23" customWidth="1"/>
    <col min="8451" max="8695" width="9.1796875" style="23"/>
    <col min="8696" max="8696" width="8.7265625" style="23" customWidth="1"/>
    <col min="8697" max="8697" width="9.81640625" style="23" customWidth="1"/>
    <col min="8698" max="8698" width="14.453125" style="23" customWidth="1"/>
    <col min="8699" max="8699" width="7.26953125" style="23" customWidth="1"/>
    <col min="8700" max="8700" width="5.54296875" style="23" customWidth="1"/>
    <col min="8701" max="8701" width="9" style="23" customWidth="1"/>
    <col min="8702" max="8703" width="9.81640625" style="23" customWidth="1"/>
    <col min="8704" max="8704" width="11.1796875" style="23" customWidth="1"/>
    <col min="8705" max="8705" width="2.81640625" style="23" customWidth="1"/>
    <col min="8706" max="8706" width="3.54296875" style="23" customWidth="1"/>
    <col min="8707" max="8951" width="9.1796875" style="23"/>
    <col min="8952" max="8952" width="8.7265625" style="23" customWidth="1"/>
    <col min="8953" max="8953" width="9.81640625" style="23" customWidth="1"/>
    <col min="8954" max="8954" width="14.453125" style="23" customWidth="1"/>
    <col min="8955" max="8955" width="7.26953125" style="23" customWidth="1"/>
    <col min="8956" max="8956" width="5.54296875" style="23" customWidth="1"/>
    <col min="8957" max="8957" width="9" style="23" customWidth="1"/>
    <col min="8958" max="8959" width="9.81640625" style="23" customWidth="1"/>
    <col min="8960" max="8960" width="11.1796875" style="23" customWidth="1"/>
    <col min="8961" max="8961" width="2.81640625" style="23" customWidth="1"/>
    <col min="8962" max="8962" width="3.54296875" style="23" customWidth="1"/>
    <col min="8963" max="9207" width="9.1796875" style="23"/>
    <col min="9208" max="9208" width="8.7265625" style="23" customWidth="1"/>
    <col min="9209" max="9209" width="9.81640625" style="23" customWidth="1"/>
    <col min="9210" max="9210" width="14.453125" style="23" customWidth="1"/>
    <col min="9211" max="9211" width="7.26953125" style="23" customWidth="1"/>
    <col min="9212" max="9212" width="5.54296875" style="23" customWidth="1"/>
    <col min="9213" max="9213" width="9" style="23" customWidth="1"/>
    <col min="9214" max="9215" width="9.81640625" style="23" customWidth="1"/>
    <col min="9216" max="9216" width="11.1796875" style="23" customWidth="1"/>
    <col min="9217" max="9217" width="2.81640625" style="23" customWidth="1"/>
    <col min="9218" max="9218" width="3.54296875" style="23" customWidth="1"/>
    <col min="9219" max="9463" width="9.1796875" style="23"/>
    <col min="9464" max="9464" width="8.7265625" style="23" customWidth="1"/>
    <col min="9465" max="9465" width="9.81640625" style="23" customWidth="1"/>
    <col min="9466" max="9466" width="14.453125" style="23" customWidth="1"/>
    <col min="9467" max="9467" width="7.26953125" style="23" customWidth="1"/>
    <col min="9468" max="9468" width="5.54296875" style="23" customWidth="1"/>
    <col min="9469" max="9469" width="9" style="23" customWidth="1"/>
    <col min="9470" max="9471" width="9.81640625" style="23" customWidth="1"/>
    <col min="9472" max="9472" width="11.1796875" style="23" customWidth="1"/>
    <col min="9473" max="9473" width="2.81640625" style="23" customWidth="1"/>
    <col min="9474" max="9474" width="3.54296875" style="23" customWidth="1"/>
    <col min="9475" max="9719" width="9.1796875" style="23"/>
    <col min="9720" max="9720" width="8.7265625" style="23" customWidth="1"/>
    <col min="9721" max="9721" width="9.81640625" style="23" customWidth="1"/>
    <col min="9722" max="9722" width="14.453125" style="23" customWidth="1"/>
    <col min="9723" max="9723" width="7.26953125" style="23" customWidth="1"/>
    <col min="9724" max="9724" width="5.54296875" style="23" customWidth="1"/>
    <col min="9725" max="9725" width="9" style="23" customWidth="1"/>
    <col min="9726" max="9727" width="9.81640625" style="23" customWidth="1"/>
    <col min="9728" max="9728" width="11.1796875" style="23" customWidth="1"/>
    <col min="9729" max="9729" width="2.81640625" style="23" customWidth="1"/>
    <col min="9730" max="9730" width="3.54296875" style="23" customWidth="1"/>
    <col min="9731" max="9975" width="9.1796875" style="23"/>
    <col min="9976" max="9976" width="8.7265625" style="23" customWidth="1"/>
    <col min="9977" max="9977" width="9.81640625" style="23" customWidth="1"/>
    <col min="9978" max="9978" width="14.453125" style="23" customWidth="1"/>
    <col min="9979" max="9979" width="7.26953125" style="23" customWidth="1"/>
    <col min="9980" max="9980" width="5.54296875" style="23" customWidth="1"/>
    <col min="9981" max="9981" width="9" style="23" customWidth="1"/>
    <col min="9982" max="9983" width="9.81640625" style="23" customWidth="1"/>
    <col min="9984" max="9984" width="11.1796875" style="23" customWidth="1"/>
    <col min="9985" max="9985" width="2.81640625" style="23" customWidth="1"/>
    <col min="9986" max="9986" width="3.54296875" style="23" customWidth="1"/>
    <col min="9987" max="10231" width="9.1796875" style="23"/>
    <col min="10232" max="10232" width="8.7265625" style="23" customWidth="1"/>
    <col min="10233" max="10233" width="9.81640625" style="23" customWidth="1"/>
    <col min="10234" max="10234" width="14.453125" style="23" customWidth="1"/>
    <col min="10235" max="10235" width="7.26953125" style="23" customWidth="1"/>
    <col min="10236" max="10236" width="5.54296875" style="23" customWidth="1"/>
    <col min="10237" max="10237" width="9" style="23" customWidth="1"/>
    <col min="10238" max="10239" width="9.81640625" style="23" customWidth="1"/>
    <col min="10240" max="10240" width="11.1796875" style="23" customWidth="1"/>
    <col min="10241" max="10241" width="2.81640625" style="23" customWidth="1"/>
    <col min="10242" max="10242" width="3.54296875" style="23" customWidth="1"/>
    <col min="10243" max="10487" width="9.1796875" style="23"/>
    <col min="10488" max="10488" width="8.7265625" style="23" customWidth="1"/>
    <col min="10489" max="10489" width="9.81640625" style="23" customWidth="1"/>
    <col min="10490" max="10490" width="14.453125" style="23" customWidth="1"/>
    <col min="10491" max="10491" width="7.26953125" style="23" customWidth="1"/>
    <col min="10492" max="10492" width="5.54296875" style="23" customWidth="1"/>
    <col min="10493" max="10493" width="9" style="23" customWidth="1"/>
    <col min="10494" max="10495" width="9.81640625" style="23" customWidth="1"/>
    <col min="10496" max="10496" width="11.1796875" style="23" customWidth="1"/>
    <col min="10497" max="10497" width="2.81640625" style="23" customWidth="1"/>
    <col min="10498" max="10498" width="3.54296875" style="23" customWidth="1"/>
    <col min="10499" max="10743" width="9.1796875" style="23"/>
    <col min="10744" max="10744" width="8.7265625" style="23" customWidth="1"/>
    <col min="10745" max="10745" width="9.81640625" style="23" customWidth="1"/>
    <col min="10746" max="10746" width="14.453125" style="23" customWidth="1"/>
    <col min="10747" max="10747" width="7.26953125" style="23" customWidth="1"/>
    <col min="10748" max="10748" width="5.54296875" style="23" customWidth="1"/>
    <col min="10749" max="10749" width="9" style="23" customWidth="1"/>
    <col min="10750" max="10751" width="9.81640625" style="23" customWidth="1"/>
    <col min="10752" max="10752" width="11.1796875" style="23" customWidth="1"/>
    <col min="10753" max="10753" width="2.81640625" style="23" customWidth="1"/>
    <col min="10754" max="10754" width="3.54296875" style="23" customWidth="1"/>
    <col min="10755" max="10999" width="9.1796875" style="23"/>
    <col min="11000" max="11000" width="8.7265625" style="23" customWidth="1"/>
    <col min="11001" max="11001" width="9.81640625" style="23" customWidth="1"/>
    <col min="11002" max="11002" width="14.453125" style="23" customWidth="1"/>
    <col min="11003" max="11003" width="7.26953125" style="23" customWidth="1"/>
    <col min="11004" max="11004" width="5.54296875" style="23" customWidth="1"/>
    <col min="11005" max="11005" width="9" style="23" customWidth="1"/>
    <col min="11006" max="11007" width="9.81640625" style="23" customWidth="1"/>
    <col min="11008" max="11008" width="11.1796875" style="23" customWidth="1"/>
    <col min="11009" max="11009" width="2.81640625" style="23" customWidth="1"/>
    <col min="11010" max="11010" width="3.54296875" style="23" customWidth="1"/>
    <col min="11011" max="11255" width="9.1796875" style="23"/>
    <col min="11256" max="11256" width="8.7265625" style="23" customWidth="1"/>
    <col min="11257" max="11257" width="9.81640625" style="23" customWidth="1"/>
    <col min="11258" max="11258" width="14.453125" style="23" customWidth="1"/>
    <col min="11259" max="11259" width="7.26953125" style="23" customWidth="1"/>
    <col min="11260" max="11260" width="5.54296875" style="23" customWidth="1"/>
    <col min="11261" max="11261" width="9" style="23" customWidth="1"/>
    <col min="11262" max="11263" width="9.81640625" style="23" customWidth="1"/>
    <col min="11264" max="11264" width="11.1796875" style="23" customWidth="1"/>
    <col min="11265" max="11265" width="2.81640625" style="23" customWidth="1"/>
    <col min="11266" max="11266" width="3.54296875" style="23" customWidth="1"/>
    <col min="11267" max="11511" width="9.1796875" style="23"/>
    <col min="11512" max="11512" width="8.7265625" style="23" customWidth="1"/>
    <col min="11513" max="11513" width="9.81640625" style="23" customWidth="1"/>
    <col min="11514" max="11514" width="14.453125" style="23" customWidth="1"/>
    <col min="11515" max="11515" width="7.26953125" style="23" customWidth="1"/>
    <col min="11516" max="11516" width="5.54296875" style="23" customWidth="1"/>
    <col min="11517" max="11517" width="9" style="23" customWidth="1"/>
    <col min="11518" max="11519" width="9.81640625" style="23" customWidth="1"/>
    <col min="11520" max="11520" width="11.1796875" style="23" customWidth="1"/>
    <col min="11521" max="11521" width="2.81640625" style="23" customWidth="1"/>
    <col min="11522" max="11522" width="3.54296875" style="23" customWidth="1"/>
    <col min="11523" max="11767" width="9.1796875" style="23"/>
    <col min="11768" max="11768" width="8.7265625" style="23" customWidth="1"/>
    <col min="11769" max="11769" width="9.81640625" style="23" customWidth="1"/>
    <col min="11770" max="11770" width="14.453125" style="23" customWidth="1"/>
    <col min="11771" max="11771" width="7.26953125" style="23" customWidth="1"/>
    <col min="11772" max="11772" width="5.54296875" style="23" customWidth="1"/>
    <col min="11773" max="11773" width="9" style="23" customWidth="1"/>
    <col min="11774" max="11775" width="9.81640625" style="23" customWidth="1"/>
    <col min="11776" max="11776" width="11.1796875" style="23" customWidth="1"/>
    <col min="11777" max="11777" width="2.81640625" style="23" customWidth="1"/>
    <col min="11778" max="11778" width="3.54296875" style="23" customWidth="1"/>
    <col min="11779" max="12023" width="9.1796875" style="23"/>
    <col min="12024" max="12024" width="8.7265625" style="23" customWidth="1"/>
    <col min="12025" max="12025" width="9.81640625" style="23" customWidth="1"/>
    <col min="12026" max="12026" width="14.453125" style="23" customWidth="1"/>
    <col min="12027" max="12027" width="7.26953125" style="23" customWidth="1"/>
    <col min="12028" max="12028" width="5.54296875" style="23" customWidth="1"/>
    <col min="12029" max="12029" width="9" style="23" customWidth="1"/>
    <col min="12030" max="12031" width="9.81640625" style="23" customWidth="1"/>
    <col min="12032" max="12032" width="11.1796875" style="23" customWidth="1"/>
    <col min="12033" max="12033" width="2.81640625" style="23" customWidth="1"/>
    <col min="12034" max="12034" width="3.54296875" style="23" customWidth="1"/>
    <col min="12035" max="12279" width="9.1796875" style="23"/>
    <col min="12280" max="12280" width="8.7265625" style="23" customWidth="1"/>
    <col min="12281" max="12281" width="9.81640625" style="23" customWidth="1"/>
    <col min="12282" max="12282" width="14.453125" style="23" customWidth="1"/>
    <col min="12283" max="12283" width="7.26953125" style="23" customWidth="1"/>
    <col min="12284" max="12284" width="5.54296875" style="23" customWidth="1"/>
    <col min="12285" max="12285" width="9" style="23" customWidth="1"/>
    <col min="12286" max="12287" width="9.81640625" style="23" customWidth="1"/>
    <col min="12288" max="12288" width="11.1796875" style="23" customWidth="1"/>
    <col min="12289" max="12289" width="2.81640625" style="23" customWidth="1"/>
    <col min="12290" max="12290" width="3.54296875" style="23" customWidth="1"/>
    <col min="12291" max="12535" width="9.1796875" style="23"/>
    <col min="12536" max="12536" width="8.7265625" style="23" customWidth="1"/>
    <col min="12537" max="12537" width="9.81640625" style="23" customWidth="1"/>
    <col min="12538" max="12538" width="14.453125" style="23" customWidth="1"/>
    <col min="12539" max="12539" width="7.26953125" style="23" customWidth="1"/>
    <col min="12540" max="12540" width="5.54296875" style="23" customWidth="1"/>
    <col min="12541" max="12541" width="9" style="23" customWidth="1"/>
    <col min="12542" max="12543" width="9.81640625" style="23" customWidth="1"/>
    <col min="12544" max="12544" width="11.1796875" style="23" customWidth="1"/>
    <col min="12545" max="12545" width="2.81640625" style="23" customWidth="1"/>
    <col min="12546" max="12546" width="3.54296875" style="23" customWidth="1"/>
    <col min="12547" max="12791" width="9.1796875" style="23"/>
    <col min="12792" max="12792" width="8.7265625" style="23" customWidth="1"/>
    <col min="12793" max="12793" width="9.81640625" style="23" customWidth="1"/>
    <col min="12794" max="12794" width="14.453125" style="23" customWidth="1"/>
    <col min="12795" max="12795" width="7.26953125" style="23" customWidth="1"/>
    <col min="12796" max="12796" width="5.54296875" style="23" customWidth="1"/>
    <col min="12797" max="12797" width="9" style="23" customWidth="1"/>
    <col min="12798" max="12799" width="9.81640625" style="23" customWidth="1"/>
    <col min="12800" max="12800" width="11.1796875" style="23" customWidth="1"/>
    <col min="12801" max="12801" width="2.81640625" style="23" customWidth="1"/>
    <col min="12802" max="12802" width="3.54296875" style="23" customWidth="1"/>
    <col min="12803" max="13047" width="9.1796875" style="23"/>
    <col min="13048" max="13048" width="8.7265625" style="23" customWidth="1"/>
    <col min="13049" max="13049" width="9.81640625" style="23" customWidth="1"/>
    <col min="13050" max="13050" width="14.453125" style="23" customWidth="1"/>
    <col min="13051" max="13051" width="7.26953125" style="23" customWidth="1"/>
    <col min="13052" max="13052" width="5.54296875" style="23" customWidth="1"/>
    <col min="13053" max="13053" width="9" style="23" customWidth="1"/>
    <col min="13054" max="13055" width="9.81640625" style="23" customWidth="1"/>
    <col min="13056" max="13056" width="11.1796875" style="23" customWidth="1"/>
    <col min="13057" max="13057" width="2.81640625" style="23" customWidth="1"/>
    <col min="13058" max="13058" width="3.54296875" style="23" customWidth="1"/>
    <col min="13059" max="13303" width="9.1796875" style="23"/>
    <col min="13304" max="13304" width="8.7265625" style="23" customWidth="1"/>
    <col min="13305" max="13305" width="9.81640625" style="23" customWidth="1"/>
    <col min="13306" max="13306" width="14.453125" style="23" customWidth="1"/>
    <col min="13307" max="13307" width="7.26953125" style="23" customWidth="1"/>
    <col min="13308" max="13308" width="5.54296875" style="23" customWidth="1"/>
    <col min="13309" max="13309" width="9" style="23" customWidth="1"/>
    <col min="13310" max="13311" width="9.81640625" style="23" customWidth="1"/>
    <col min="13312" max="13312" width="11.1796875" style="23" customWidth="1"/>
    <col min="13313" max="13313" width="2.81640625" style="23" customWidth="1"/>
    <col min="13314" max="13314" width="3.54296875" style="23" customWidth="1"/>
    <col min="13315" max="13559" width="9.1796875" style="23"/>
    <col min="13560" max="13560" width="8.7265625" style="23" customWidth="1"/>
    <col min="13561" max="13561" width="9.81640625" style="23" customWidth="1"/>
    <col min="13562" max="13562" width="14.453125" style="23" customWidth="1"/>
    <col min="13563" max="13563" width="7.26953125" style="23" customWidth="1"/>
    <col min="13564" max="13564" width="5.54296875" style="23" customWidth="1"/>
    <col min="13565" max="13565" width="9" style="23" customWidth="1"/>
    <col min="13566" max="13567" width="9.81640625" style="23" customWidth="1"/>
    <col min="13568" max="13568" width="11.1796875" style="23" customWidth="1"/>
    <col min="13569" max="13569" width="2.81640625" style="23" customWidth="1"/>
    <col min="13570" max="13570" width="3.54296875" style="23" customWidth="1"/>
    <col min="13571" max="13815" width="9.1796875" style="23"/>
    <col min="13816" max="13816" width="8.7265625" style="23" customWidth="1"/>
    <col min="13817" max="13817" width="9.81640625" style="23" customWidth="1"/>
    <col min="13818" max="13818" width="14.453125" style="23" customWidth="1"/>
    <col min="13819" max="13819" width="7.26953125" style="23" customWidth="1"/>
    <col min="13820" max="13820" width="5.54296875" style="23" customWidth="1"/>
    <col min="13821" max="13821" width="9" style="23" customWidth="1"/>
    <col min="13822" max="13823" width="9.81640625" style="23" customWidth="1"/>
    <col min="13824" max="13824" width="11.1796875" style="23" customWidth="1"/>
    <col min="13825" max="13825" width="2.81640625" style="23" customWidth="1"/>
    <col min="13826" max="13826" width="3.54296875" style="23" customWidth="1"/>
    <col min="13827" max="14071" width="9.1796875" style="23"/>
    <col min="14072" max="14072" width="8.7265625" style="23" customWidth="1"/>
    <col min="14073" max="14073" width="9.81640625" style="23" customWidth="1"/>
    <col min="14074" max="14074" width="14.453125" style="23" customWidth="1"/>
    <col min="14075" max="14075" width="7.26953125" style="23" customWidth="1"/>
    <col min="14076" max="14076" width="5.54296875" style="23" customWidth="1"/>
    <col min="14077" max="14077" width="9" style="23" customWidth="1"/>
    <col min="14078" max="14079" width="9.81640625" style="23" customWidth="1"/>
    <col min="14080" max="14080" width="11.1796875" style="23" customWidth="1"/>
    <col min="14081" max="14081" width="2.81640625" style="23" customWidth="1"/>
    <col min="14082" max="14082" width="3.54296875" style="23" customWidth="1"/>
    <col min="14083" max="14327" width="9.1796875" style="23"/>
    <col min="14328" max="14328" width="8.7265625" style="23" customWidth="1"/>
    <col min="14329" max="14329" width="9.81640625" style="23" customWidth="1"/>
    <col min="14330" max="14330" width="14.453125" style="23" customWidth="1"/>
    <col min="14331" max="14331" width="7.26953125" style="23" customWidth="1"/>
    <col min="14332" max="14332" width="5.54296875" style="23" customWidth="1"/>
    <col min="14333" max="14333" width="9" style="23" customWidth="1"/>
    <col min="14334" max="14335" width="9.81640625" style="23" customWidth="1"/>
    <col min="14336" max="14336" width="11.1796875" style="23" customWidth="1"/>
    <col min="14337" max="14337" width="2.81640625" style="23" customWidth="1"/>
    <col min="14338" max="14338" width="3.54296875" style="23" customWidth="1"/>
    <col min="14339" max="14583" width="9.1796875" style="23"/>
    <col min="14584" max="14584" width="8.7265625" style="23" customWidth="1"/>
    <col min="14585" max="14585" width="9.81640625" style="23" customWidth="1"/>
    <col min="14586" max="14586" width="14.453125" style="23" customWidth="1"/>
    <col min="14587" max="14587" width="7.26953125" style="23" customWidth="1"/>
    <col min="14588" max="14588" width="5.54296875" style="23" customWidth="1"/>
    <col min="14589" max="14589" width="9" style="23" customWidth="1"/>
    <col min="14590" max="14591" width="9.81640625" style="23" customWidth="1"/>
    <col min="14592" max="14592" width="11.1796875" style="23" customWidth="1"/>
    <col min="14593" max="14593" width="2.81640625" style="23" customWidth="1"/>
    <col min="14594" max="14594" width="3.54296875" style="23" customWidth="1"/>
    <col min="14595" max="14839" width="9.1796875" style="23"/>
    <col min="14840" max="14840" width="8.7265625" style="23" customWidth="1"/>
    <col min="14841" max="14841" width="9.81640625" style="23" customWidth="1"/>
    <col min="14842" max="14842" width="14.453125" style="23" customWidth="1"/>
    <col min="14843" max="14843" width="7.26953125" style="23" customWidth="1"/>
    <col min="14844" max="14844" width="5.54296875" style="23" customWidth="1"/>
    <col min="14845" max="14845" width="9" style="23" customWidth="1"/>
    <col min="14846" max="14847" width="9.81640625" style="23" customWidth="1"/>
    <col min="14848" max="14848" width="11.1796875" style="23" customWidth="1"/>
    <col min="14849" max="14849" width="2.81640625" style="23" customWidth="1"/>
    <col min="14850" max="14850" width="3.54296875" style="23" customWidth="1"/>
    <col min="14851" max="15095" width="9.1796875" style="23"/>
    <col min="15096" max="15096" width="8.7265625" style="23" customWidth="1"/>
    <col min="15097" max="15097" width="9.81640625" style="23" customWidth="1"/>
    <col min="15098" max="15098" width="14.453125" style="23" customWidth="1"/>
    <col min="15099" max="15099" width="7.26953125" style="23" customWidth="1"/>
    <col min="15100" max="15100" width="5.54296875" style="23" customWidth="1"/>
    <col min="15101" max="15101" width="9" style="23" customWidth="1"/>
    <col min="15102" max="15103" width="9.81640625" style="23" customWidth="1"/>
    <col min="15104" max="15104" width="11.1796875" style="23" customWidth="1"/>
    <col min="15105" max="15105" width="2.81640625" style="23" customWidth="1"/>
    <col min="15106" max="15106" width="3.54296875" style="23" customWidth="1"/>
    <col min="15107" max="15351" width="9.1796875" style="23"/>
    <col min="15352" max="15352" width="8.7265625" style="23" customWidth="1"/>
    <col min="15353" max="15353" width="9.81640625" style="23" customWidth="1"/>
    <col min="15354" max="15354" width="14.453125" style="23" customWidth="1"/>
    <col min="15355" max="15355" width="7.26953125" style="23" customWidth="1"/>
    <col min="15356" max="15356" width="5.54296875" style="23" customWidth="1"/>
    <col min="15357" max="15357" width="9" style="23" customWidth="1"/>
    <col min="15358" max="15359" width="9.81640625" style="23" customWidth="1"/>
    <col min="15360" max="15360" width="11.1796875" style="23" customWidth="1"/>
    <col min="15361" max="15361" width="2.81640625" style="23" customWidth="1"/>
    <col min="15362" max="15362" width="3.54296875" style="23" customWidth="1"/>
    <col min="15363" max="15607" width="9.1796875" style="23"/>
    <col min="15608" max="15608" width="8.7265625" style="23" customWidth="1"/>
    <col min="15609" max="15609" width="9.81640625" style="23" customWidth="1"/>
    <col min="15610" max="15610" width="14.453125" style="23" customWidth="1"/>
    <col min="15611" max="15611" width="7.26953125" style="23" customWidth="1"/>
    <col min="15612" max="15612" width="5.54296875" style="23" customWidth="1"/>
    <col min="15613" max="15613" width="9" style="23" customWidth="1"/>
    <col min="15614" max="15615" width="9.81640625" style="23" customWidth="1"/>
    <col min="15616" max="15616" width="11.1796875" style="23" customWidth="1"/>
    <col min="15617" max="15617" width="2.81640625" style="23" customWidth="1"/>
    <col min="15618" max="15618" width="3.54296875" style="23" customWidth="1"/>
    <col min="15619" max="15863" width="9.1796875" style="23"/>
    <col min="15864" max="15864" width="8.7265625" style="23" customWidth="1"/>
    <col min="15865" max="15865" width="9.81640625" style="23" customWidth="1"/>
    <col min="15866" max="15866" width="14.453125" style="23" customWidth="1"/>
    <col min="15867" max="15867" width="7.26953125" style="23" customWidth="1"/>
    <col min="15868" max="15868" width="5.54296875" style="23" customWidth="1"/>
    <col min="15869" max="15869" width="9" style="23" customWidth="1"/>
    <col min="15870" max="15871" width="9.81640625" style="23" customWidth="1"/>
    <col min="15872" max="15872" width="11.1796875" style="23" customWidth="1"/>
    <col min="15873" max="15873" width="2.81640625" style="23" customWidth="1"/>
    <col min="15874" max="15874" width="3.54296875" style="23" customWidth="1"/>
    <col min="15875" max="16119" width="9.1796875" style="23"/>
    <col min="16120" max="16120" width="8.7265625" style="23" customWidth="1"/>
    <col min="16121" max="16121" width="9.81640625" style="23" customWidth="1"/>
    <col min="16122" max="16122" width="14.453125" style="23" customWidth="1"/>
    <col min="16123" max="16123" width="7.26953125" style="23" customWidth="1"/>
    <col min="16124" max="16124" width="5.54296875" style="23" customWidth="1"/>
    <col min="16125" max="16125" width="9" style="23" customWidth="1"/>
    <col min="16126" max="16127" width="9.81640625" style="23" customWidth="1"/>
    <col min="16128" max="16128" width="11.1796875" style="23" customWidth="1"/>
    <col min="16129" max="16129" width="2.81640625" style="23" customWidth="1"/>
    <col min="16130" max="16130" width="3.54296875" style="23" customWidth="1"/>
    <col min="16131" max="16384" width="9.1796875" style="23"/>
  </cols>
  <sheetData>
    <row r="1" spans="1:8" ht="46.5" customHeight="1" x14ac:dyDescent="0.35">
      <c r="A1" s="164" t="s">
        <v>243</v>
      </c>
      <c r="B1" s="164"/>
      <c r="C1" s="164"/>
      <c r="D1" s="164"/>
      <c r="E1" s="164"/>
      <c r="F1" s="164"/>
      <c r="G1" s="164"/>
      <c r="H1" s="164"/>
    </row>
    <row r="2" spans="1:8" ht="16.5" customHeight="1" x14ac:dyDescent="0.35">
      <c r="A2" s="150" t="s">
        <v>0</v>
      </c>
      <c r="B2" s="150"/>
      <c r="C2" s="150"/>
      <c r="D2" s="150"/>
      <c r="E2" s="150"/>
      <c r="F2" s="150"/>
      <c r="G2" s="150"/>
      <c r="H2" s="150"/>
    </row>
    <row r="3" spans="1:8" x14ac:dyDescent="0.35">
      <c r="A3" s="134" t="s">
        <v>1</v>
      </c>
      <c r="B3" s="134"/>
      <c r="C3" s="134"/>
      <c r="D3" s="134"/>
      <c r="E3" s="134" t="str">
        <f ca="1">TEXT(TODAY(),"DD/MM/YYYY")</f>
        <v>23/09/2025</v>
      </c>
      <c r="F3" s="134"/>
      <c r="G3" s="134"/>
      <c r="H3" s="134"/>
    </row>
    <row r="4" spans="1:8" ht="15" customHeight="1" x14ac:dyDescent="0.35">
      <c r="A4" s="134" t="s">
        <v>2</v>
      </c>
      <c r="B4" s="134"/>
      <c r="C4" s="134"/>
      <c r="D4" s="134"/>
      <c r="E4" s="134" t="s">
        <v>174</v>
      </c>
      <c r="F4" s="134"/>
      <c r="G4" s="134"/>
      <c r="H4" s="134"/>
    </row>
    <row r="5" spans="1:8" x14ac:dyDescent="0.35">
      <c r="A5" s="134" t="s">
        <v>3</v>
      </c>
      <c r="B5" s="134"/>
      <c r="C5" s="134"/>
      <c r="D5" s="134"/>
      <c r="E5" s="165">
        <v>45923</v>
      </c>
      <c r="F5" s="166"/>
      <c r="G5" s="166"/>
      <c r="H5" s="166"/>
    </row>
    <row r="6" spans="1:8" ht="16.5" customHeight="1" x14ac:dyDescent="0.35">
      <c r="A6" s="134" t="s">
        <v>4</v>
      </c>
      <c r="B6" s="134"/>
      <c r="C6" s="134"/>
      <c r="D6" s="134"/>
      <c r="E6" s="134" t="s">
        <v>250</v>
      </c>
      <c r="F6" s="134"/>
      <c r="G6" s="134"/>
      <c r="H6" s="134"/>
    </row>
    <row r="7" spans="1:8" ht="15" customHeight="1" x14ac:dyDescent="0.35">
      <c r="A7" s="134" t="s">
        <v>5</v>
      </c>
      <c r="B7" s="134"/>
      <c r="C7" s="134"/>
      <c r="D7" s="134"/>
      <c r="E7" s="134" t="str">
        <f>E6</f>
        <v>Terraferma Developers LLP</v>
      </c>
      <c r="F7" s="134"/>
      <c r="G7" s="134"/>
      <c r="H7" s="134"/>
    </row>
    <row r="8" spans="1:8" x14ac:dyDescent="0.35">
      <c r="A8" s="134" t="s">
        <v>6</v>
      </c>
      <c r="B8" s="134"/>
      <c r="C8" s="134"/>
      <c r="D8" s="134"/>
      <c r="E8" s="158" t="s">
        <v>176</v>
      </c>
      <c r="F8" s="158"/>
      <c r="G8" s="158"/>
      <c r="H8" s="158"/>
    </row>
    <row r="9" spans="1:8" x14ac:dyDescent="0.35">
      <c r="A9" s="134" t="s">
        <v>171</v>
      </c>
      <c r="B9" s="134"/>
      <c r="C9" s="134"/>
      <c r="D9" s="134"/>
      <c r="E9" s="145" t="s">
        <v>253</v>
      </c>
      <c r="F9" s="134"/>
      <c r="G9" s="134"/>
      <c r="H9" s="134"/>
    </row>
    <row r="10" spans="1:8" x14ac:dyDescent="0.35">
      <c r="A10" s="134" t="s">
        <v>172</v>
      </c>
      <c r="B10" s="134"/>
      <c r="C10" s="134"/>
      <c r="D10" s="134"/>
      <c r="E10" s="134" t="s">
        <v>255</v>
      </c>
      <c r="F10" s="134"/>
      <c r="G10" s="134"/>
      <c r="H10" s="134"/>
    </row>
    <row r="11" spans="1:8" x14ac:dyDescent="0.35">
      <c r="A11" s="134" t="s">
        <v>7</v>
      </c>
      <c r="B11" s="134"/>
      <c r="C11" s="134"/>
      <c r="D11" s="134"/>
      <c r="E11" s="134" t="s">
        <v>195</v>
      </c>
      <c r="F11" s="134"/>
      <c r="G11" s="134"/>
      <c r="H11" s="134"/>
    </row>
    <row r="12" spans="1:8" ht="15.75" customHeight="1" x14ac:dyDescent="0.35">
      <c r="A12" s="134" t="s">
        <v>8</v>
      </c>
      <c r="B12" s="134"/>
      <c r="C12" s="134"/>
      <c r="D12" s="134"/>
      <c r="E12" s="145" t="s">
        <v>220</v>
      </c>
      <c r="F12" s="145"/>
      <c r="G12" s="145"/>
      <c r="H12" s="145"/>
    </row>
    <row r="13" spans="1:8" x14ac:dyDescent="0.35">
      <c r="A13" s="134" t="s">
        <v>9</v>
      </c>
      <c r="B13" s="134"/>
      <c r="C13" s="134"/>
      <c r="D13" s="134"/>
      <c r="E13" s="145" t="s">
        <v>175</v>
      </c>
      <c r="F13" s="134"/>
      <c r="G13" s="134"/>
      <c r="H13" s="134"/>
    </row>
    <row r="14" spans="1:8" ht="36" customHeight="1" x14ac:dyDescent="0.35">
      <c r="A14" s="145" t="s">
        <v>10</v>
      </c>
      <c r="B14" s="145"/>
      <c r="C14" s="145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Saujanya Rachanaa, CTS No.685, 685/1 to 3, near Vraj One , Bhardawadi Rd, Navneeth Colony, Ambivali, Andheri West, Andheri, Mumbai - 400058.</v>
      </c>
      <c r="D14" s="145"/>
      <c r="E14" s="145"/>
      <c r="F14" s="145"/>
      <c r="G14" s="145"/>
      <c r="H14" s="145"/>
    </row>
    <row r="15" spans="1:8" x14ac:dyDescent="0.35">
      <c r="A15" s="145" t="s">
        <v>177</v>
      </c>
      <c r="B15" s="145"/>
      <c r="C15" s="145" t="s">
        <v>178</v>
      </c>
      <c r="D15" s="145"/>
      <c r="E15" s="145"/>
      <c r="F15" s="145"/>
      <c r="G15" s="145"/>
      <c r="H15" s="145"/>
    </row>
    <row r="16" spans="1:8" ht="15.75" customHeight="1" x14ac:dyDescent="0.35">
      <c r="A16" s="145" t="s">
        <v>170</v>
      </c>
      <c r="B16" s="145"/>
      <c r="C16" s="145" t="s">
        <v>183</v>
      </c>
      <c r="D16" s="145"/>
      <c r="E16" s="145"/>
      <c r="F16" s="145"/>
      <c r="G16" s="145"/>
      <c r="H16" s="145"/>
    </row>
    <row r="17" spans="1:8" ht="15.75" customHeight="1" x14ac:dyDescent="0.35">
      <c r="A17" s="145" t="s">
        <v>11</v>
      </c>
      <c r="B17" s="145"/>
      <c r="C17" s="134" t="s">
        <v>184</v>
      </c>
      <c r="D17" s="134"/>
      <c r="E17" s="145" t="s">
        <v>75</v>
      </c>
      <c r="F17" s="145"/>
      <c r="G17" s="145" t="s">
        <v>179</v>
      </c>
      <c r="H17" s="145"/>
    </row>
    <row r="18" spans="1:8" x14ac:dyDescent="0.35">
      <c r="A18" s="134" t="s">
        <v>13</v>
      </c>
      <c r="B18" s="134"/>
      <c r="C18" s="145" t="s">
        <v>180</v>
      </c>
      <c r="D18" s="145"/>
      <c r="E18" s="145" t="s">
        <v>12</v>
      </c>
      <c r="F18" s="145"/>
      <c r="G18" s="167" t="s">
        <v>181</v>
      </c>
      <c r="H18" s="167"/>
    </row>
    <row r="19" spans="1:8" x14ac:dyDescent="0.35">
      <c r="A19" s="134" t="s">
        <v>76</v>
      </c>
      <c r="B19" s="134"/>
      <c r="C19" s="145" t="s">
        <v>185</v>
      </c>
      <c r="D19" s="145"/>
      <c r="E19" s="145" t="s">
        <v>14</v>
      </c>
      <c r="F19" s="145"/>
      <c r="G19" s="145">
        <v>400058</v>
      </c>
      <c r="H19" s="145"/>
    </row>
    <row r="20" spans="1:8" ht="32.25" customHeight="1" x14ac:dyDescent="0.35">
      <c r="A20" s="134" t="s">
        <v>127</v>
      </c>
      <c r="B20" s="134"/>
      <c r="C20" s="145" t="s">
        <v>186</v>
      </c>
      <c r="D20" s="145"/>
      <c r="E20" s="145" t="s">
        <v>15</v>
      </c>
      <c r="F20" s="145"/>
      <c r="G20" s="145" t="s">
        <v>187</v>
      </c>
      <c r="H20" s="145"/>
    </row>
    <row r="21" spans="1:8" ht="15" customHeight="1" x14ac:dyDescent="0.35">
      <c r="A21" s="144" t="s">
        <v>79</v>
      </c>
      <c r="B21" s="144"/>
      <c r="C21" s="144"/>
      <c r="D21" s="144"/>
      <c r="E21" s="134" t="s">
        <v>16</v>
      </c>
      <c r="F21" s="134"/>
      <c r="G21" s="134"/>
      <c r="H21" s="134"/>
    </row>
    <row r="22" spans="1:8" ht="18.75" customHeight="1" x14ac:dyDescent="0.35">
      <c r="A22" s="144"/>
      <c r="B22" s="144"/>
      <c r="C22" s="144"/>
      <c r="D22" s="144"/>
      <c r="E22" s="134"/>
      <c r="F22" s="134"/>
      <c r="G22" s="134"/>
      <c r="H22" s="134"/>
    </row>
    <row r="23" spans="1:8" ht="15" customHeight="1" x14ac:dyDescent="0.35">
      <c r="A23" s="144" t="s">
        <v>17</v>
      </c>
      <c r="B23" s="144"/>
      <c r="C23" s="144"/>
      <c r="D23" s="144"/>
      <c r="E23" s="145" t="s">
        <v>18</v>
      </c>
      <c r="F23" s="145"/>
      <c r="G23" s="145"/>
      <c r="H23" s="145"/>
    </row>
    <row r="24" spans="1:8" ht="15" customHeight="1" x14ac:dyDescent="0.35">
      <c r="A24" s="101" t="s">
        <v>19</v>
      </c>
      <c r="B24" s="101"/>
      <c r="C24" s="101"/>
      <c r="D24" s="101"/>
      <c r="E24" s="145" t="str">
        <f>IF(AND(G18="Mumbai"),"Upper Class","Middle Class")</f>
        <v>Upper Class</v>
      </c>
      <c r="F24" s="145"/>
      <c r="G24" s="145"/>
      <c r="H24" s="145"/>
    </row>
    <row r="25" spans="1:8" x14ac:dyDescent="0.35">
      <c r="A25" s="101" t="s">
        <v>20</v>
      </c>
      <c r="B25" s="101"/>
      <c r="C25" s="101"/>
      <c r="D25" s="101"/>
      <c r="E25" s="145" t="s">
        <v>21</v>
      </c>
      <c r="F25" s="145"/>
      <c r="G25" s="145"/>
      <c r="H25" s="145"/>
    </row>
    <row r="26" spans="1:8" ht="15.75" customHeight="1" x14ac:dyDescent="0.35">
      <c r="A26" s="101" t="s">
        <v>22</v>
      </c>
      <c r="B26" s="101"/>
      <c r="C26" s="101"/>
      <c r="D26" s="101"/>
      <c r="E26" s="145" t="str">
        <f>IF(AND(G18="Mumbai"),"Developed","Developing")</f>
        <v>Developed</v>
      </c>
      <c r="F26" s="145"/>
      <c r="G26" s="145"/>
      <c r="H26" s="145"/>
    </row>
    <row r="27" spans="1:8" x14ac:dyDescent="0.35">
      <c r="A27" s="101" t="s">
        <v>23</v>
      </c>
      <c r="B27" s="101"/>
      <c r="C27" s="101"/>
      <c r="D27" s="101"/>
      <c r="E27" s="145" t="s">
        <v>24</v>
      </c>
      <c r="F27" s="145"/>
      <c r="G27" s="145"/>
      <c r="H27" s="145"/>
    </row>
    <row r="28" spans="1:8" ht="15.75" customHeight="1" x14ac:dyDescent="0.35">
      <c r="A28" s="101" t="s">
        <v>84</v>
      </c>
      <c r="B28" s="101"/>
      <c r="C28" s="101"/>
      <c r="D28" s="101"/>
      <c r="E28" s="145" t="s">
        <v>85</v>
      </c>
      <c r="F28" s="145"/>
      <c r="G28" s="145"/>
      <c r="H28" s="145"/>
    </row>
    <row r="29" spans="1:8" ht="15" customHeight="1" x14ac:dyDescent="0.35">
      <c r="A29" s="101" t="s">
        <v>33</v>
      </c>
      <c r="B29" s="101"/>
      <c r="C29" s="101"/>
      <c r="D29" s="101"/>
      <c r="E29" s="145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</v>
      </c>
      <c r="F29" s="145"/>
      <c r="G29" s="145"/>
      <c r="H29" s="145"/>
    </row>
    <row r="30" spans="1:8" ht="15.75" customHeight="1" x14ac:dyDescent="0.35">
      <c r="A30" s="101" t="s">
        <v>96</v>
      </c>
      <c r="B30" s="101"/>
      <c r="C30" s="101"/>
      <c r="D30" s="101"/>
      <c r="E30" s="145" t="s">
        <v>34</v>
      </c>
      <c r="F30" s="145"/>
      <c r="G30" s="145"/>
      <c r="H30" s="145"/>
    </row>
    <row r="31" spans="1:8" s="24" customFormat="1" x14ac:dyDescent="0.35">
      <c r="A31" s="171" t="s">
        <v>97</v>
      </c>
      <c r="B31" s="171"/>
      <c r="C31" s="170" t="s">
        <v>29</v>
      </c>
      <c r="D31" s="170"/>
      <c r="E31" s="170"/>
      <c r="F31" s="170" t="s">
        <v>31</v>
      </c>
      <c r="G31" s="170"/>
      <c r="H31" s="170"/>
    </row>
    <row r="32" spans="1:8" s="24" customFormat="1" x14ac:dyDescent="0.35">
      <c r="A32" s="168" t="s">
        <v>25</v>
      </c>
      <c r="B32" s="168" t="s">
        <v>30</v>
      </c>
      <c r="C32" s="169" t="s">
        <v>30</v>
      </c>
      <c r="D32" s="169"/>
      <c r="E32" s="169"/>
      <c r="F32" s="169" t="s">
        <v>188</v>
      </c>
      <c r="G32" s="169"/>
      <c r="H32" s="169"/>
    </row>
    <row r="33" spans="1:8" x14ac:dyDescent="0.35">
      <c r="A33" s="168" t="s">
        <v>26</v>
      </c>
      <c r="B33" s="168" t="s">
        <v>30</v>
      </c>
      <c r="C33" s="169" t="s">
        <v>30</v>
      </c>
      <c r="D33" s="169"/>
      <c r="E33" s="169"/>
      <c r="F33" s="169" t="s">
        <v>189</v>
      </c>
      <c r="G33" s="169"/>
      <c r="H33" s="169"/>
    </row>
    <row r="34" spans="1:8" s="24" customFormat="1" x14ac:dyDescent="0.35">
      <c r="A34" s="168" t="s">
        <v>28</v>
      </c>
      <c r="B34" s="168" t="s">
        <v>30</v>
      </c>
      <c r="C34" s="169" t="s">
        <v>30</v>
      </c>
      <c r="D34" s="169"/>
      <c r="E34" s="169"/>
      <c r="F34" s="169" t="s">
        <v>190</v>
      </c>
      <c r="G34" s="169"/>
      <c r="H34" s="169"/>
    </row>
    <row r="35" spans="1:8" x14ac:dyDescent="0.35">
      <c r="A35" s="168" t="s">
        <v>27</v>
      </c>
      <c r="B35" s="168" t="s">
        <v>30</v>
      </c>
      <c r="C35" s="169" t="s">
        <v>30</v>
      </c>
      <c r="D35" s="169"/>
      <c r="E35" s="169"/>
      <c r="F35" s="169" t="s">
        <v>191</v>
      </c>
      <c r="G35" s="169"/>
      <c r="H35" s="169"/>
    </row>
    <row r="36" spans="1:8" x14ac:dyDescent="0.35">
      <c r="A36" s="101" t="s">
        <v>32</v>
      </c>
      <c r="B36" s="101"/>
      <c r="C36" s="101"/>
      <c r="D36" s="101"/>
      <c r="E36" s="101"/>
      <c r="F36" s="101"/>
      <c r="G36" s="101"/>
      <c r="H36" s="101"/>
    </row>
    <row r="37" spans="1:8" ht="15.75" customHeight="1" x14ac:dyDescent="0.35">
      <c r="A37" s="101" t="s">
        <v>245</v>
      </c>
      <c r="B37" s="101"/>
      <c r="C37" s="172" t="s">
        <v>246</v>
      </c>
      <c r="D37" s="172"/>
      <c r="E37" s="172"/>
      <c r="F37" s="172"/>
      <c r="G37" s="172"/>
      <c r="H37" s="172"/>
    </row>
    <row r="38" spans="1:8" x14ac:dyDescent="0.35">
      <c r="A38" s="101" t="s">
        <v>169</v>
      </c>
      <c r="B38" s="101"/>
      <c r="C38" s="209" t="s">
        <v>182</v>
      </c>
      <c r="D38" s="145"/>
      <c r="E38" s="145"/>
      <c r="F38" s="145"/>
      <c r="G38" s="145"/>
      <c r="H38" s="145"/>
    </row>
    <row r="39" spans="1:8" x14ac:dyDescent="0.35">
      <c r="A39" s="155" t="s">
        <v>35</v>
      </c>
      <c r="B39" s="155"/>
      <c r="C39" s="155"/>
      <c r="D39" s="155"/>
      <c r="E39" s="155"/>
      <c r="F39" s="155"/>
      <c r="G39" s="155"/>
      <c r="H39" s="155"/>
    </row>
    <row r="40" spans="1:8" x14ac:dyDescent="0.35">
      <c r="A40" s="101" t="s">
        <v>36</v>
      </c>
      <c r="B40" s="101"/>
      <c r="C40" s="101"/>
      <c r="D40" s="101"/>
      <c r="E40" s="173">
        <v>3156.39</v>
      </c>
      <c r="F40" s="173"/>
      <c r="G40" s="173"/>
      <c r="H40" s="173"/>
    </row>
    <row r="41" spans="1:8" x14ac:dyDescent="0.35">
      <c r="A41" s="101" t="s">
        <v>37</v>
      </c>
      <c r="B41" s="101"/>
      <c r="C41" s="101"/>
      <c r="D41" s="101"/>
      <c r="E41" s="100">
        <v>1</v>
      </c>
      <c r="F41" s="100"/>
      <c r="G41" s="100"/>
      <c r="H41" s="100"/>
    </row>
    <row r="42" spans="1:8" x14ac:dyDescent="0.35">
      <c r="A42" s="134" t="s">
        <v>38</v>
      </c>
      <c r="B42" s="134"/>
      <c r="C42" s="134"/>
      <c r="D42" s="134"/>
      <c r="E42" s="186">
        <f>E44/E40-E41</f>
        <v>1.2000006336352609</v>
      </c>
      <c r="F42" s="186"/>
      <c r="G42" s="186"/>
      <c r="H42" s="186"/>
    </row>
    <row r="43" spans="1:8" x14ac:dyDescent="0.35">
      <c r="A43" s="134" t="s">
        <v>39</v>
      </c>
      <c r="B43" s="134"/>
      <c r="C43" s="134"/>
      <c r="D43" s="134"/>
      <c r="E43" s="186">
        <f>E41+E42</f>
        <v>2.2000006336352609</v>
      </c>
      <c r="F43" s="186"/>
      <c r="G43" s="186"/>
      <c r="H43" s="186"/>
    </row>
    <row r="44" spans="1:8" x14ac:dyDescent="0.35">
      <c r="A44" s="134" t="s">
        <v>95</v>
      </c>
      <c r="B44" s="134"/>
      <c r="C44" s="134"/>
      <c r="D44" s="134"/>
      <c r="E44" s="187">
        <v>6944.06</v>
      </c>
      <c r="F44" s="187"/>
      <c r="G44" s="187"/>
      <c r="H44" s="187"/>
    </row>
    <row r="45" spans="1:8" x14ac:dyDescent="0.35">
      <c r="A45" s="134" t="s">
        <v>40</v>
      </c>
      <c r="B45" s="134"/>
      <c r="C45" s="134"/>
      <c r="D45" s="134"/>
      <c r="E45" s="134" t="s">
        <v>196</v>
      </c>
      <c r="F45" s="134"/>
      <c r="G45" s="134"/>
      <c r="H45" s="134"/>
    </row>
    <row r="46" spans="1:8" x14ac:dyDescent="0.35">
      <c r="A46" s="158" t="s">
        <v>41</v>
      </c>
      <c r="B46" s="158"/>
      <c r="C46" s="158"/>
      <c r="D46" s="158"/>
      <c r="E46" s="158"/>
      <c r="F46" s="158"/>
      <c r="G46" s="158"/>
      <c r="H46" s="158"/>
    </row>
    <row r="47" spans="1:8" ht="33.75" customHeight="1" x14ac:dyDescent="0.35">
      <c r="A47" s="125" t="s">
        <v>157</v>
      </c>
      <c r="B47" s="126"/>
      <c r="C47" s="199" t="s">
        <v>192</v>
      </c>
      <c r="D47" s="210"/>
      <c r="E47" s="210"/>
      <c r="F47" s="210"/>
      <c r="G47" s="210"/>
      <c r="H47" s="200"/>
    </row>
    <row r="48" spans="1:8" ht="32.25" customHeight="1" x14ac:dyDescent="0.35">
      <c r="A48" s="125" t="s">
        <v>42</v>
      </c>
      <c r="B48" s="126"/>
      <c r="C48" s="125" t="s">
        <v>223</v>
      </c>
      <c r="D48" s="127"/>
      <c r="E48" s="126"/>
      <c r="F48" s="62" t="s">
        <v>43</v>
      </c>
      <c r="G48" s="133">
        <v>44918</v>
      </c>
      <c r="H48" s="126"/>
    </row>
    <row r="49" spans="1:14" ht="32.25" customHeight="1" x14ac:dyDescent="0.35">
      <c r="A49" s="81" t="s">
        <v>44</v>
      </c>
      <c r="B49" s="80"/>
      <c r="C49" s="81" t="str">
        <f>C48</f>
        <v xml:space="preserve">P-8426/2021/(685)/K/W WARD/AMBIVALI </v>
      </c>
      <c r="D49" s="82"/>
      <c r="E49" s="80"/>
      <c r="F49" s="20" t="s">
        <v>43</v>
      </c>
      <c r="G49" s="79">
        <v>44918</v>
      </c>
      <c r="H49" s="80"/>
    </row>
    <row r="50" spans="1:14" s="25" customFormat="1" ht="32.25" customHeight="1" x14ac:dyDescent="0.35">
      <c r="A50" s="146" t="s">
        <v>193</v>
      </c>
      <c r="B50" s="147"/>
      <c r="C50" s="81" t="s">
        <v>252</v>
      </c>
      <c r="D50" s="82"/>
      <c r="E50" s="80"/>
      <c r="F50" s="20" t="s">
        <v>43</v>
      </c>
      <c r="G50" s="79">
        <v>45084</v>
      </c>
      <c r="H50" s="80"/>
    </row>
    <row r="51" spans="1:14" s="25" customFormat="1" ht="207" customHeight="1" x14ac:dyDescent="0.35">
      <c r="A51" s="148"/>
      <c r="B51" s="149"/>
      <c r="C51" s="81" t="s">
        <v>251</v>
      </c>
      <c r="D51" s="82"/>
      <c r="E51" s="80"/>
      <c r="F51" s="20" t="s">
        <v>126</v>
      </c>
      <c r="G51" s="79">
        <v>45449</v>
      </c>
      <c r="H51" s="80"/>
    </row>
    <row r="52" spans="1:14" s="25" customFormat="1" ht="32.25" customHeight="1" x14ac:dyDescent="0.35">
      <c r="A52" s="144" t="s">
        <v>193</v>
      </c>
      <c r="B52" s="144"/>
      <c r="C52" s="144" t="s">
        <v>247</v>
      </c>
      <c r="D52" s="144"/>
      <c r="E52" s="144"/>
      <c r="F52" s="20" t="s">
        <v>43</v>
      </c>
      <c r="G52" s="212">
        <v>45453</v>
      </c>
      <c r="H52" s="144"/>
    </row>
    <row r="53" spans="1:14" s="25" customFormat="1" ht="96" customHeight="1" x14ac:dyDescent="0.35">
      <c r="A53" s="144"/>
      <c r="B53" s="144"/>
      <c r="C53" s="144" t="s">
        <v>248</v>
      </c>
      <c r="D53" s="144"/>
      <c r="E53" s="144"/>
      <c r="F53" s="20" t="s">
        <v>126</v>
      </c>
      <c r="G53" s="212">
        <v>46185</v>
      </c>
      <c r="H53" s="144"/>
    </row>
    <row r="54" spans="1:14" ht="92.5" customHeight="1" x14ac:dyDescent="0.35">
      <c r="A54" s="213" t="s">
        <v>45</v>
      </c>
      <c r="B54" s="213"/>
      <c r="C54" s="213" t="s">
        <v>258</v>
      </c>
      <c r="D54" s="213"/>
      <c r="E54" s="213"/>
      <c r="F54" s="78" t="s">
        <v>43</v>
      </c>
      <c r="G54" s="214">
        <v>45898</v>
      </c>
      <c r="H54" s="214"/>
    </row>
    <row r="55" spans="1:14" x14ac:dyDescent="0.35">
      <c r="A55" s="143" t="s">
        <v>47</v>
      </c>
      <c r="B55" s="143"/>
      <c r="C55" s="143"/>
      <c r="D55" s="143"/>
      <c r="E55" s="143"/>
      <c r="F55" s="143"/>
      <c r="G55" s="143"/>
      <c r="H55" s="143"/>
      <c r="I55" t="s">
        <v>194</v>
      </c>
    </row>
    <row r="56" spans="1:14" x14ac:dyDescent="0.35">
      <c r="A56" s="144" t="s">
        <v>94</v>
      </c>
      <c r="B56" s="144"/>
      <c r="C56" s="144"/>
      <c r="D56" s="134">
        <f>E44</f>
        <v>6944.06</v>
      </c>
      <c r="E56" s="134"/>
      <c r="F56" s="134"/>
      <c r="G56" s="134"/>
      <c r="H56" s="134"/>
    </row>
    <row r="57" spans="1:14" x14ac:dyDescent="0.35">
      <c r="A57" s="145" t="s">
        <v>48</v>
      </c>
      <c r="B57" s="134"/>
      <c r="C57" s="134"/>
      <c r="D57" s="134" t="s">
        <v>241</v>
      </c>
      <c r="E57" s="134"/>
      <c r="F57" s="134"/>
      <c r="G57" s="134"/>
      <c r="H57" s="134"/>
      <c r="I57" s="26"/>
    </row>
    <row r="58" spans="1:14" ht="32.25" customHeight="1" x14ac:dyDescent="0.35">
      <c r="A58" s="135" t="s">
        <v>49</v>
      </c>
      <c r="B58" s="136"/>
      <c r="C58" s="188"/>
      <c r="D58" s="141" t="s">
        <v>244</v>
      </c>
      <c r="E58" s="142"/>
      <c r="F58" s="142"/>
      <c r="G58" s="142"/>
      <c r="H58" s="142"/>
      <c r="I58" s="27"/>
    </row>
    <row r="59" spans="1:14" ht="15.75" customHeight="1" x14ac:dyDescent="0.35">
      <c r="A59" s="135" t="s">
        <v>92</v>
      </c>
      <c r="B59" s="136"/>
      <c r="C59" s="136"/>
      <c r="D59" s="141" t="s">
        <v>224</v>
      </c>
      <c r="E59" s="142"/>
      <c r="F59" s="142"/>
      <c r="G59" s="142"/>
      <c r="H59" s="142"/>
      <c r="I59" s="27"/>
    </row>
    <row r="60" spans="1:14" ht="15.75" customHeight="1" x14ac:dyDescent="0.35">
      <c r="A60" s="137"/>
      <c r="B60" s="138"/>
      <c r="C60" s="138"/>
      <c r="D60" s="141" t="s">
        <v>225</v>
      </c>
      <c r="E60" s="142"/>
      <c r="F60" s="142"/>
      <c r="G60" s="142"/>
      <c r="H60" s="142"/>
      <c r="I60" s="27"/>
    </row>
    <row r="61" spans="1:14" ht="15.75" customHeight="1" x14ac:dyDescent="0.35">
      <c r="A61" s="139"/>
      <c r="B61" s="140"/>
      <c r="C61" s="140"/>
      <c r="D61" s="134" t="s">
        <v>226</v>
      </c>
      <c r="E61" s="134"/>
      <c r="F61" s="134"/>
      <c r="G61" s="134"/>
      <c r="H61" s="134"/>
      <c r="I61" s="27"/>
    </row>
    <row r="62" spans="1:14" ht="15.75" customHeight="1" x14ac:dyDescent="0.35">
      <c r="A62" s="101" t="s">
        <v>46</v>
      </c>
      <c r="B62" s="101"/>
      <c r="C62" s="101"/>
      <c r="D62" s="144" t="s">
        <v>259</v>
      </c>
      <c r="E62" s="144"/>
      <c r="F62" s="144"/>
      <c r="G62" s="144"/>
      <c r="H62" s="144"/>
      <c r="J62" s="28"/>
      <c r="K62" s="26"/>
      <c r="N62" s="26"/>
    </row>
    <row r="63" spans="1:14" ht="15.75" customHeight="1" x14ac:dyDescent="0.35">
      <c r="A63" s="101" t="s">
        <v>90</v>
      </c>
      <c r="B63" s="101"/>
      <c r="C63" s="101"/>
      <c r="D63" s="185" t="str">
        <f ca="1">(IF(G54="NA","60 Years After Completion",IF(G54&lt;&gt;"NA",""&amp;60-ROUNDDOWN((E3-G54)/360,0)&amp;" Years"," ")))</f>
        <v>60 Years</v>
      </c>
      <c r="E63" s="185"/>
      <c r="F63" s="185"/>
      <c r="G63" s="185"/>
      <c r="H63" s="185"/>
      <c r="N63" s="26"/>
    </row>
    <row r="64" spans="1:14" ht="15.75" customHeight="1" x14ac:dyDescent="0.35">
      <c r="A64" s="101" t="s">
        <v>91</v>
      </c>
      <c r="B64" s="101"/>
      <c r="C64" s="101"/>
      <c r="D64" s="144" t="s">
        <v>24</v>
      </c>
      <c r="E64" s="144"/>
      <c r="F64" s="144"/>
      <c r="G64" s="144"/>
      <c r="H64" s="144"/>
      <c r="J64" s="29"/>
      <c r="K64" s="29"/>
    </row>
    <row r="65" spans="1:14" ht="15" hidden="1" customHeight="1" x14ac:dyDescent="0.35">
      <c r="A65" s="101" t="s">
        <v>77</v>
      </c>
      <c r="B65" s="101"/>
      <c r="C65" s="101"/>
      <c r="D65" s="145" t="s">
        <v>153</v>
      </c>
      <c r="E65" s="144"/>
      <c r="F65" s="144"/>
      <c r="G65" s="144"/>
      <c r="H65" s="144"/>
    </row>
    <row r="66" spans="1:14" x14ac:dyDescent="0.35">
      <c r="A66" s="144" t="s">
        <v>154</v>
      </c>
      <c r="B66" s="144"/>
      <c r="C66" s="144"/>
      <c r="D66" s="144" t="s">
        <v>30</v>
      </c>
      <c r="E66" s="144"/>
      <c r="F66" s="144"/>
      <c r="G66" s="144"/>
      <c r="H66" s="144"/>
      <c r="I66" s="30"/>
      <c r="J66" s="30"/>
      <c r="K66" s="30"/>
      <c r="L66" s="30"/>
      <c r="M66" s="30"/>
      <c r="N66" s="30"/>
    </row>
    <row r="67" spans="1:14" ht="15.75" customHeight="1" x14ac:dyDescent="0.35">
      <c r="A67" s="162" t="s">
        <v>89</v>
      </c>
      <c r="B67" s="162"/>
      <c r="C67" s="162"/>
      <c r="D67" s="141" t="str">
        <f ca="1">(IF(G89&gt;95%,"Nothing",IF(G89&gt;0%,"Cement, Aggregate, Steel, etc",IF(G89=0%,"Work not yet Started"))))</f>
        <v>Nothing</v>
      </c>
      <c r="E67" s="141"/>
      <c r="F67" s="141"/>
      <c r="G67" s="141"/>
      <c r="H67" s="141"/>
      <c r="J67" s="29"/>
    </row>
    <row r="68" spans="1:14" ht="33.75" customHeight="1" thickBot="1" x14ac:dyDescent="0.4">
      <c r="A68" s="161" t="s">
        <v>121</v>
      </c>
      <c r="B68" s="161"/>
      <c r="C68" s="161"/>
      <c r="D68" s="141" t="str">
        <f ca="1">(IF(D67="Nothing","Yes",IF(D67="Cement, Aggregate, Steel, etc","Under Construction",IF(D67="Work not yet Started","Work not yet Started"))))</f>
        <v>Yes</v>
      </c>
      <c r="E68" s="141"/>
      <c r="F68" s="141" t="str">
        <f ca="1">(IF(D67="Nothing","Yes",IF(D67="Cement, Aggregate, Steel, etc","Under Construction",IF(D67="Work not yet Started","Work not yet Started"))))</f>
        <v>Yes</v>
      </c>
      <c r="G68" s="141"/>
      <c r="H68" s="141"/>
    </row>
    <row r="69" spans="1:14" ht="15.75" customHeight="1" x14ac:dyDescent="0.35">
      <c r="A69" s="113" t="s">
        <v>145</v>
      </c>
      <c r="B69" s="114"/>
      <c r="C69" s="115" t="str">
        <f>D59</f>
        <v xml:space="preserve">Wing A = Gr + 2P + 1st to 11th + 12th (Pt) Floor </v>
      </c>
      <c r="D69" s="116"/>
      <c r="E69" s="116"/>
      <c r="F69" s="116"/>
      <c r="G69" s="116"/>
      <c r="H69" s="117"/>
      <c r="I69" s="50" t="str">
        <f ca="1">IF(D83=100%,"All work Completed. Possession granted to the Building.",IF(D82=100%,"All work Completed, Waiting for OC",I70&amp;""&amp;I71&amp;""&amp;J70&amp;""&amp;J69&amp;" "&amp;J71))</f>
        <v>All work Completed. Possession granted to the Building.</v>
      </c>
      <c r="J69" s="51" t="str">
        <f ca="1">(IF(C76=(D70+F70+H70),"",IF(C76&gt;0,", RCC upto "&amp;C76&amp;" Slab","")))&amp;(IF(C77=H70,"",IF(C77&gt;0,", Brickwork upto "&amp;C77&amp;" Floor","")))&amp;(IF(C78=H70,"",IF(C78&gt;0,", Internal Plaster upto "&amp;C78&amp;" Floor","")))&amp;(IF(C79=H70,"",IF(C79&gt;0,", External Plaster upto "&amp;C79&amp;" Floor","")))&amp;(IF(C80=H70,"",IF(C80&gt;0,", Flooring upto "&amp;C80&amp;" Floor","")))&amp;(IF(C81=H70,"",IF(C81&gt;0,", Painting upto "&amp;C81&amp;" Floor","")))&amp;(IF(C82=H70,"",IF(C82&gt;0,", Finishing upto "&amp;C82&amp;" Floor","")))&amp;(IF(C83=H70,"",IF(C83&gt;0,", Possession upto "&amp;C83&amp;" Floor","")))</f>
        <v/>
      </c>
    </row>
    <row r="70" spans="1:14" x14ac:dyDescent="0.35">
      <c r="A70" s="18" t="s">
        <v>147</v>
      </c>
      <c r="B70" s="59">
        <v>0</v>
      </c>
      <c r="C70" s="59" t="s">
        <v>74</v>
      </c>
      <c r="D70" s="59">
        <v>1</v>
      </c>
      <c r="E70" s="59" t="s">
        <v>73</v>
      </c>
      <c r="F70" s="59">
        <v>2</v>
      </c>
      <c r="G70" s="59" t="s">
        <v>83</v>
      </c>
      <c r="H70" s="19">
        <f ca="1">--TRIM(RIGHT(SUBSTITUTE(LEFT(C69,_xlfn.AGGREGATE(16,6,FIND({0,1,2,3,4,5,6,7,8,9},C69,ROW(INDIRECT("1:"&amp;LEN(C69)))),1))," ",REPT(" ",LEN(C69))),LEN(C69)))</f>
        <v>12</v>
      </c>
      <c r="I70" s="52" t="str">
        <f ca="1">IF(D74=100%,"Excavation","")&amp;IF(D75=100%,", Plinth","")&amp;IF(D76=100%,", RCC Slab","")&amp;IF(D77=100%,", Brickwork","")&amp;IF(D78=100%,", Internal Plaster","")&amp;IF(D79=100%,", External Plaster","")&amp;IF(D80=100%,", Flooring","")&amp;IF(D81=100%,", Painting","")&amp;IF(D82=100%,", Building common Amenities","")</f>
        <v>Excavation, Plinth, RCC Slab, Brickwork, Internal Plaster, External Plaster, Flooring, Painting, Building common Amenities</v>
      </c>
      <c r="J70" s="53" t="str">
        <f ca="1">(IF(C74=0,"Work not yet Started.",IF(D74=25%,"Piling work in process",IF(D74=50%,"Excavation work in process",IF(D74=100%,"","0")))))&amp;(IF(C75=0%,"",IF(C75=J76,", Footing work is process",IF(C75=J77,", Footing work Completed",IF(C75=J78,", 1st Basement Completed",IF(C75=J79,", 1st &amp; 2nd Basement Completed",IF(C75=J80,", 1st to 3rd Basement Completed",IF(C75=J81,", 1st to 4th Basement Completed",IF(C75=J82,", Plinth work is process",IF(C75=J83,"","0"))))))))))</f>
        <v/>
      </c>
    </row>
    <row r="71" spans="1:14" ht="17.5" customHeight="1" x14ac:dyDescent="0.35">
      <c r="A71" s="157" t="s">
        <v>93</v>
      </c>
      <c r="B71" s="158"/>
      <c r="C71" s="159" t="s">
        <v>260</v>
      </c>
      <c r="D71" s="159"/>
      <c r="E71" s="159"/>
      <c r="F71" s="159"/>
      <c r="G71" s="159"/>
      <c r="H71" s="160"/>
      <c r="I71" s="52" t="str">
        <f ca="1">IF(I70&lt;&gt;""," Completed","")</f>
        <v xml:space="preserve"> Completed</v>
      </c>
      <c r="J71" s="53" t="str">
        <f ca="1">IF(J69&lt;&gt;"","Completed","")</f>
        <v/>
      </c>
    </row>
    <row r="72" spans="1:14" ht="32" customHeight="1" thickBot="1" x14ac:dyDescent="0.4">
      <c r="A72" s="219" t="s">
        <v>88</v>
      </c>
      <c r="B72" s="220"/>
      <c r="C72" s="215">
        <f ca="1">E74</f>
        <v>1</v>
      </c>
      <c r="D72" s="216"/>
      <c r="E72" s="217" t="s">
        <v>87</v>
      </c>
      <c r="F72" s="216"/>
      <c r="G72" s="215">
        <f ca="1">G74</f>
        <v>1</v>
      </c>
      <c r="H72" s="218"/>
      <c r="I72" s="52"/>
      <c r="J72" s="53"/>
    </row>
    <row r="73" spans="1:14" ht="15.75" hidden="1" customHeight="1" x14ac:dyDescent="0.35">
      <c r="A73" s="120" t="s">
        <v>50</v>
      </c>
      <c r="B73" s="112"/>
      <c r="C73" s="63" t="s">
        <v>144</v>
      </c>
      <c r="D73" s="63" t="s">
        <v>86</v>
      </c>
      <c r="E73" s="112" t="s">
        <v>88</v>
      </c>
      <c r="F73" s="112"/>
      <c r="G73" s="112" t="s">
        <v>87</v>
      </c>
      <c r="H73" s="163"/>
      <c r="I73" s="16" t="s">
        <v>146</v>
      </c>
      <c r="J73" s="31">
        <f ca="1">H70*25%</f>
        <v>3</v>
      </c>
    </row>
    <row r="74" spans="1:14" hidden="1" x14ac:dyDescent="0.35">
      <c r="A74" s="120" t="s">
        <v>133</v>
      </c>
      <c r="B74" s="112"/>
      <c r="C74" s="63">
        <f ca="1">J75</f>
        <v>12</v>
      </c>
      <c r="D74" s="64">
        <f ca="1">((100/H70)*C74)/100</f>
        <v>1</v>
      </c>
      <c r="E74" s="174">
        <f ca="1">(((C75/H70*10)+(40/(D70+F70+H70)*C76)+(7.5/(H70)*C77)+(7.5/(H70)*C78)+(10/H70*C79)+(10/H70*C80)+(5/H70*C81)+(5/H70*C82)+(5/H70*C83))/100)</f>
        <v>1</v>
      </c>
      <c r="F74" s="175"/>
      <c r="G74" s="174">
        <f ca="1">((((C74/H70)*20)+((C75/H70)*25)+(30/(H70+F70+D70)*C76)+(5/H70*C77)+(5/H70*C78)+(5/H70*C79)+(5/H70*C80)+(0/H70*C81)+(0/H70*C82)+(5/H70*C83))/100)</f>
        <v>1</v>
      </c>
      <c r="H74" s="180"/>
      <c r="I74" s="16" t="s">
        <v>104</v>
      </c>
      <c r="J74" s="32">
        <f ca="1">H70*50%</f>
        <v>6</v>
      </c>
    </row>
    <row r="75" spans="1:14" hidden="1" x14ac:dyDescent="0.35">
      <c r="A75" s="120" t="s">
        <v>51</v>
      </c>
      <c r="B75" s="112"/>
      <c r="C75" s="67">
        <f ca="1">J83</f>
        <v>12</v>
      </c>
      <c r="D75" s="64">
        <f ca="1">((100/H70)*C75)/100</f>
        <v>1</v>
      </c>
      <c r="E75" s="176"/>
      <c r="F75" s="177"/>
      <c r="G75" s="176"/>
      <c r="H75" s="181"/>
      <c r="I75" s="16" t="s">
        <v>105</v>
      </c>
      <c r="J75" s="32">
        <f ca="1">H70</f>
        <v>12</v>
      </c>
    </row>
    <row r="76" spans="1:14" ht="15.75" hidden="1" customHeight="1" x14ac:dyDescent="0.35">
      <c r="A76" s="120" t="s">
        <v>134</v>
      </c>
      <c r="B76" s="112"/>
      <c r="C76" s="63">
        <v>15</v>
      </c>
      <c r="D76" s="64">
        <f ca="1">((100/(D70+F70+H70))*C76)/100</f>
        <v>1</v>
      </c>
      <c r="E76" s="176"/>
      <c r="F76" s="177"/>
      <c r="G76" s="176"/>
      <c r="H76" s="181"/>
      <c r="I76" s="16" t="s">
        <v>106</v>
      </c>
      <c r="J76" s="33">
        <f ca="1">(IF(B70&gt;1,(H70/(B70+2)),H70/4))</f>
        <v>3</v>
      </c>
    </row>
    <row r="77" spans="1:14" ht="15.75" hidden="1" customHeight="1" x14ac:dyDescent="0.35">
      <c r="A77" s="120" t="s">
        <v>141</v>
      </c>
      <c r="B77" s="112" t="s">
        <v>135</v>
      </c>
      <c r="C77" s="63">
        <v>12</v>
      </c>
      <c r="D77" s="64">
        <f ca="1">((100/H70)*C77)/100</f>
        <v>1</v>
      </c>
      <c r="E77" s="176"/>
      <c r="F77" s="177"/>
      <c r="G77" s="176"/>
      <c r="H77" s="181"/>
      <c r="I77" s="16" t="s">
        <v>107</v>
      </c>
      <c r="J77" s="33">
        <f ca="1">(IF(B70&gt;1,(H70/(B70+2)+J76),H70/4+J76))</f>
        <v>6</v>
      </c>
    </row>
    <row r="78" spans="1:14" ht="15.75" hidden="1" customHeight="1" x14ac:dyDescent="0.35">
      <c r="A78" s="120" t="s">
        <v>142</v>
      </c>
      <c r="B78" s="112" t="s">
        <v>135</v>
      </c>
      <c r="C78" s="63">
        <v>12</v>
      </c>
      <c r="D78" s="64">
        <f ca="1">((100/H70)*C78)/100</f>
        <v>1</v>
      </c>
      <c r="E78" s="176"/>
      <c r="F78" s="177"/>
      <c r="G78" s="176"/>
      <c r="H78" s="181"/>
      <c r="I78" s="16" t="s">
        <v>151</v>
      </c>
      <c r="J78" s="33">
        <f>(IF(B70&gt;1,(H70/(B70+2)+J77),0))</f>
        <v>0</v>
      </c>
    </row>
    <row r="79" spans="1:14" ht="15" hidden="1" customHeight="1" x14ac:dyDescent="0.35">
      <c r="A79" s="120" t="s">
        <v>140</v>
      </c>
      <c r="B79" s="112" t="s">
        <v>137</v>
      </c>
      <c r="C79" s="63">
        <v>12</v>
      </c>
      <c r="D79" s="64">
        <f ca="1">((100/(H70))*C79)/100</f>
        <v>1</v>
      </c>
      <c r="E79" s="176"/>
      <c r="F79" s="177"/>
      <c r="G79" s="176"/>
      <c r="H79" s="181"/>
      <c r="I79" s="16" t="s">
        <v>148</v>
      </c>
      <c r="J79" s="33">
        <f>(IF(B70&gt;2,(H70/(B70+2)+J78),0))</f>
        <v>0</v>
      </c>
    </row>
    <row r="80" spans="1:14" ht="15.75" hidden="1" customHeight="1" x14ac:dyDescent="0.35">
      <c r="A80" s="120" t="s">
        <v>136</v>
      </c>
      <c r="B80" s="112" t="s">
        <v>136</v>
      </c>
      <c r="C80" s="75">
        <v>12</v>
      </c>
      <c r="D80" s="64">
        <f ca="1">((100/H70)*C80)/100</f>
        <v>1</v>
      </c>
      <c r="E80" s="176"/>
      <c r="F80" s="177"/>
      <c r="G80" s="176"/>
      <c r="H80" s="181"/>
      <c r="I80" s="16" t="s">
        <v>149</v>
      </c>
      <c r="J80" s="34">
        <f>(IF(B70&gt;3,(H70/(B70+2)+J79),0))</f>
        <v>0</v>
      </c>
    </row>
    <row r="81" spans="1:10" ht="15.75" hidden="1" customHeight="1" x14ac:dyDescent="0.35">
      <c r="A81" s="120" t="s">
        <v>143</v>
      </c>
      <c r="B81" s="112"/>
      <c r="C81" s="75">
        <v>12</v>
      </c>
      <c r="D81" s="64">
        <f ca="1">((100/H70)*C81)/100</f>
        <v>1</v>
      </c>
      <c r="E81" s="176"/>
      <c r="F81" s="177"/>
      <c r="G81" s="176"/>
      <c r="H81" s="181"/>
      <c r="I81" s="16" t="s">
        <v>150</v>
      </c>
      <c r="J81" s="33">
        <f>(IF(B70&gt;4,(H70/(B70+2)+J80),0))</f>
        <v>0</v>
      </c>
    </row>
    <row r="82" spans="1:10" ht="15.75" hidden="1" customHeight="1" x14ac:dyDescent="0.35">
      <c r="A82" s="120" t="s">
        <v>138</v>
      </c>
      <c r="B82" s="112" t="s">
        <v>138</v>
      </c>
      <c r="C82" s="75">
        <v>12</v>
      </c>
      <c r="D82" s="64">
        <f ca="1">((100/(H70))*C82)/100</f>
        <v>1</v>
      </c>
      <c r="E82" s="176"/>
      <c r="F82" s="177"/>
      <c r="G82" s="176"/>
      <c r="H82" s="181"/>
      <c r="I82" s="16" t="s">
        <v>152</v>
      </c>
      <c r="J82" s="33">
        <f ca="1">(IF(B70=1,(H70/(B70+3)+J77),IF(B70=0,(H70/4+J77),IF(B70&gt;1,0))))</f>
        <v>9</v>
      </c>
    </row>
    <row r="83" spans="1:10" ht="16" hidden="1" thickBot="1" x14ac:dyDescent="0.4">
      <c r="A83" s="183" t="s">
        <v>139</v>
      </c>
      <c r="B83" s="184"/>
      <c r="C83" s="65">
        <v>12</v>
      </c>
      <c r="D83" s="66">
        <f ca="1">((100/(H70))*C83)/100</f>
        <v>1</v>
      </c>
      <c r="E83" s="178"/>
      <c r="F83" s="179"/>
      <c r="G83" s="178"/>
      <c r="H83" s="182"/>
      <c r="I83" s="17" t="s">
        <v>108</v>
      </c>
      <c r="J83" s="35">
        <f ca="1">(IF(B70&gt;1.5,(H70/(B70+2)+J77+MAX(0,J78-J77)+MAX(0,J79-J78)+MAX(0,J80-J79)+MAX(0,J81-J80)+MAX(0,J82-J81)),IF(B70=1,(H70/(B70+3)+J82),IF(B70=0,H70/4+J82))))</f>
        <v>12</v>
      </c>
    </row>
    <row r="84" spans="1:10" ht="15.75" customHeight="1" x14ac:dyDescent="0.35">
      <c r="A84" s="113" t="s">
        <v>145</v>
      </c>
      <c r="B84" s="114"/>
      <c r="C84" s="115" t="s">
        <v>254</v>
      </c>
      <c r="D84" s="116"/>
      <c r="E84" s="116"/>
      <c r="F84" s="116"/>
      <c r="G84" s="116"/>
      <c r="H84" s="117"/>
      <c r="I84" s="50" t="str">
        <f ca="1">IF(D98=100%,"All work Completed. Possession granted to the Building.",IF(D97=100%,"All work Completed, Waiting for OC",I85&amp;""&amp;I86&amp;""&amp;J85&amp;""&amp;J84&amp;" "&amp;J86))</f>
        <v>All work Completed. Possession granted to the Building.</v>
      </c>
      <c r="J84" s="51" t="str">
        <f ca="1">(IF(C91=(D85+F85+H85),"",IF(C91&gt;0,", RCC upto "&amp;C91&amp;" Slab","")))&amp;(IF(C92=H85,"",IF(C92&gt;0,", Brickwork upto "&amp;C92&amp;" Floor","")))&amp;(IF(C93=H85,"",IF(C93&gt;0,", Internal Plaster upto "&amp;C93&amp;" Floor","")))&amp;(IF(C94=H85,"",IF(C94&gt;0,", External Plaster upto "&amp;C94&amp;" Floor","")))&amp;(IF(C95=H85,"",IF(C95&gt;0,", Flooring upto "&amp;C95&amp;" Floor","")))&amp;(IF(C96=H85,"",IF(C96&gt;0,", Painting upto "&amp;C96&amp;" Floor","")))&amp;(IF(C97=H85,"",IF(C97&gt;0,", Finishing upto "&amp;C97&amp;" Floor","")))&amp;(IF(C98=H85,"",IF(C98&gt;0,", Possession upto "&amp;C98&amp;" Floor","")))</f>
        <v/>
      </c>
    </row>
    <row r="85" spans="1:10" x14ac:dyDescent="0.35">
      <c r="A85" s="18" t="s">
        <v>147</v>
      </c>
      <c r="B85" s="59">
        <v>0</v>
      </c>
      <c r="C85" s="59" t="s">
        <v>74</v>
      </c>
      <c r="D85" s="59">
        <v>1</v>
      </c>
      <c r="E85" s="59" t="s">
        <v>73</v>
      </c>
      <c r="F85" s="59">
        <v>2</v>
      </c>
      <c r="G85" s="59" t="s">
        <v>83</v>
      </c>
      <c r="H85" s="19">
        <f ca="1">--TRIM(RIGHT(SUBSTITUTE(LEFT(C84,_xlfn.AGGREGATE(16,6,FIND({0,1,2,3,4,5,6,7,8,9},C84,ROW(INDIRECT("1:"&amp;LEN(C84)))),1))," ",REPT(" ",LEN(C84))),LEN(C84)))</f>
        <v>11</v>
      </c>
      <c r="I85" s="52" t="str">
        <f ca="1">IF(D89=100%,"Excavation","")&amp;IF(D90=100%,", Plinth","")&amp;IF(D91=100%,", RCC Slab","")&amp;IF(D92=100%,", Brickwork","")&amp;IF(D93=100%,", Internal Plaster","")&amp;IF(D94=100%,", External Plaster","")&amp;IF(D95=100%,", Flooring","")&amp;IF(D96=100%,", Painting","")&amp;IF(D97=100%,", Building common Amenities","")</f>
        <v>Excavation, Plinth, RCC Slab, Brickwork, Internal Plaster, External Plaster, Flooring, Painting, Building common Amenities</v>
      </c>
      <c r="J85" s="53" t="str">
        <f ca="1">(IF(C89=0,"Work not yet Started.",IF(D89=25%,"Piling work in process",IF(D89=50%,"Excavation work in process",IF(D89=100%,"","0")))))&amp;(IF(C90=0%,"",IF(C90=J91,", Footing work is process",IF(C90=J92,", Footing work Completed",IF(C90=J93,", 1st Basement Completed",IF(C90=J94,", 1st &amp; 2nd Basement Completed",IF(C90=J95,", 1st to 3rd Basement Completed",IF(C90=J96,", 1st to 4th Basement Completed",IF(C90=J97,", Plinth work is process",IF(C90=J98,"","0"))))))))))</f>
        <v/>
      </c>
    </row>
    <row r="86" spans="1:10" x14ac:dyDescent="0.35">
      <c r="A86" s="157" t="s">
        <v>93</v>
      </c>
      <c r="B86" s="158"/>
      <c r="C86" s="159" t="str">
        <f>(IF($G$54="NA",I84,"All work Completed. OC Received."))</f>
        <v>All work Completed. OC Received.</v>
      </c>
      <c r="D86" s="159"/>
      <c r="E86" s="159"/>
      <c r="F86" s="159"/>
      <c r="G86" s="159"/>
      <c r="H86" s="160"/>
      <c r="I86" s="52" t="str">
        <f ca="1">IF(I85&lt;&gt;""," Completed","")</f>
        <v xml:space="preserve"> Completed</v>
      </c>
      <c r="J86" s="53" t="str">
        <f ca="1">IF(J84&lt;&gt;"","Completed","")</f>
        <v/>
      </c>
    </row>
    <row r="87" spans="1:10" ht="32" customHeight="1" x14ac:dyDescent="0.35">
      <c r="A87" s="219" t="s">
        <v>88</v>
      </c>
      <c r="B87" s="220"/>
      <c r="C87" s="215">
        <f ca="1">E89</f>
        <v>1</v>
      </c>
      <c r="D87" s="216"/>
      <c r="E87" s="217" t="s">
        <v>87</v>
      </c>
      <c r="F87" s="216"/>
      <c r="G87" s="215">
        <f ca="1">G89</f>
        <v>1</v>
      </c>
      <c r="H87" s="218"/>
      <c r="I87" s="52"/>
      <c r="J87" s="53"/>
    </row>
    <row r="88" spans="1:10" ht="15.75" hidden="1" customHeight="1" x14ac:dyDescent="0.35">
      <c r="A88" s="120" t="s">
        <v>50</v>
      </c>
      <c r="B88" s="112"/>
      <c r="C88" s="63" t="s">
        <v>144</v>
      </c>
      <c r="D88" s="63" t="s">
        <v>86</v>
      </c>
      <c r="E88" s="112" t="s">
        <v>88</v>
      </c>
      <c r="F88" s="112"/>
      <c r="G88" s="112" t="s">
        <v>87</v>
      </c>
      <c r="H88" s="163"/>
      <c r="I88" s="16" t="s">
        <v>146</v>
      </c>
      <c r="J88" s="31">
        <f ca="1">H85*25%</f>
        <v>2.75</v>
      </c>
    </row>
    <row r="89" spans="1:10" hidden="1" x14ac:dyDescent="0.35">
      <c r="A89" s="112" t="s">
        <v>133</v>
      </c>
      <c r="B89" s="112"/>
      <c r="C89" s="71">
        <f ca="1">J90</f>
        <v>11</v>
      </c>
      <c r="D89" s="64">
        <f ca="1">((100/H85)*C89)/100</f>
        <v>1.0000000000000002</v>
      </c>
      <c r="E89" s="189">
        <f ca="1">(((C90/H85*10)+(40/(D85+F85+H85)*C91)+(7.5/(H85)*C92)+(7.5/(H85)*C93)+(10/H85*C94)+(10/H85*C95)+(5/H85*C96)+(5/H85*C97)+(5/H85*C98))/100)</f>
        <v>1</v>
      </c>
      <c r="F89" s="189"/>
      <c r="G89" s="189">
        <f ca="1">((((C89/H85)*20)+((C90/H85)*25)+(30/(H85+F85+D85)*C91)+(5/H85*C92)+(5/H85*C93)+(5/H85*C94)+(5/H85*C95)+(0/H85*C96)+(0/H85*C97)+(5/H85*C98))/100)</f>
        <v>1</v>
      </c>
      <c r="H89" s="189"/>
      <c r="I89" s="16" t="s">
        <v>104</v>
      </c>
      <c r="J89" s="32">
        <f ca="1">H85*50%</f>
        <v>5.5</v>
      </c>
    </row>
    <row r="90" spans="1:10" hidden="1" x14ac:dyDescent="0.35">
      <c r="A90" s="112" t="s">
        <v>51</v>
      </c>
      <c r="B90" s="112"/>
      <c r="C90" s="67">
        <f ca="1">J98</f>
        <v>11</v>
      </c>
      <c r="D90" s="64">
        <f ca="1">((100/H85)*C90)/100</f>
        <v>1.0000000000000002</v>
      </c>
      <c r="E90" s="189"/>
      <c r="F90" s="189"/>
      <c r="G90" s="189"/>
      <c r="H90" s="189"/>
      <c r="I90" s="16" t="s">
        <v>105</v>
      </c>
      <c r="J90" s="32">
        <f ca="1">H85</f>
        <v>11</v>
      </c>
    </row>
    <row r="91" spans="1:10" ht="15.75" hidden="1" customHeight="1" x14ac:dyDescent="0.35">
      <c r="A91" s="112" t="s">
        <v>134</v>
      </c>
      <c r="B91" s="112"/>
      <c r="C91" s="71">
        <v>14</v>
      </c>
      <c r="D91" s="64">
        <f ca="1">((100/(D85+F85+H85))*C91)/100</f>
        <v>1</v>
      </c>
      <c r="E91" s="189"/>
      <c r="F91" s="189"/>
      <c r="G91" s="189"/>
      <c r="H91" s="189"/>
      <c r="I91" s="16" t="s">
        <v>106</v>
      </c>
      <c r="J91" s="33">
        <f ca="1">(IF(B85&gt;1,(H85/(B85+2)),H85/4))</f>
        <v>2.75</v>
      </c>
    </row>
    <row r="92" spans="1:10" ht="15.75" hidden="1" customHeight="1" x14ac:dyDescent="0.35">
      <c r="A92" s="112" t="s">
        <v>141</v>
      </c>
      <c r="B92" s="112" t="s">
        <v>135</v>
      </c>
      <c r="C92" s="71">
        <v>11</v>
      </c>
      <c r="D92" s="64">
        <f ca="1">((100/H85)*C92)/100</f>
        <v>1.0000000000000002</v>
      </c>
      <c r="E92" s="189"/>
      <c r="F92" s="189"/>
      <c r="G92" s="189"/>
      <c r="H92" s="189"/>
      <c r="I92" s="16" t="s">
        <v>107</v>
      </c>
      <c r="J92" s="33">
        <f ca="1">(IF(B85&gt;1,(H85/(B85+2)+J91),H85/4+J91))</f>
        <v>5.5</v>
      </c>
    </row>
    <row r="93" spans="1:10" ht="15.75" hidden="1" customHeight="1" x14ac:dyDescent="0.35">
      <c r="A93" s="112" t="s">
        <v>142</v>
      </c>
      <c r="B93" s="112" t="s">
        <v>135</v>
      </c>
      <c r="C93" s="71">
        <v>11</v>
      </c>
      <c r="D93" s="64">
        <f ca="1">((100/H85)*C93)/100</f>
        <v>1.0000000000000002</v>
      </c>
      <c r="E93" s="189"/>
      <c r="F93" s="189"/>
      <c r="G93" s="189"/>
      <c r="H93" s="189"/>
      <c r="I93" s="16" t="s">
        <v>151</v>
      </c>
      <c r="J93" s="33">
        <f>(IF(B85&gt;1,(H85/(B85+2)+J92),0))</f>
        <v>0</v>
      </c>
    </row>
    <row r="94" spans="1:10" ht="15" hidden="1" customHeight="1" x14ac:dyDescent="0.35">
      <c r="A94" s="112" t="s">
        <v>140</v>
      </c>
      <c r="B94" s="112" t="s">
        <v>137</v>
      </c>
      <c r="C94" s="71">
        <v>11</v>
      </c>
      <c r="D94" s="64">
        <f ca="1">((100/(H85))*C94)/100</f>
        <v>1.0000000000000002</v>
      </c>
      <c r="E94" s="189"/>
      <c r="F94" s="189"/>
      <c r="G94" s="189"/>
      <c r="H94" s="189"/>
      <c r="I94" s="16" t="s">
        <v>148</v>
      </c>
      <c r="J94" s="33">
        <f>(IF(B85&gt;2,(H85/(B85+2)+J93),0))</f>
        <v>0</v>
      </c>
    </row>
    <row r="95" spans="1:10" ht="15.75" hidden="1" customHeight="1" x14ac:dyDescent="0.35">
      <c r="A95" s="112" t="s">
        <v>136</v>
      </c>
      <c r="B95" s="112" t="s">
        <v>136</v>
      </c>
      <c r="C95" s="75">
        <v>11</v>
      </c>
      <c r="D95" s="64">
        <f ca="1">((100/H85)*C95)/100</f>
        <v>1.0000000000000002</v>
      </c>
      <c r="E95" s="189"/>
      <c r="F95" s="189"/>
      <c r="G95" s="189"/>
      <c r="H95" s="189"/>
      <c r="I95" s="16" t="s">
        <v>149</v>
      </c>
      <c r="J95" s="34">
        <f>(IF(B85&gt;3,(H85/(B85+2)+J94),0))</f>
        <v>0</v>
      </c>
    </row>
    <row r="96" spans="1:10" ht="15.75" hidden="1" customHeight="1" x14ac:dyDescent="0.35">
      <c r="A96" s="112" t="s">
        <v>143</v>
      </c>
      <c r="B96" s="112"/>
      <c r="C96" s="75">
        <v>11</v>
      </c>
      <c r="D96" s="64">
        <f ca="1">((100/H85)*C96)/100</f>
        <v>1.0000000000000002</v>
      </c>
      <c r="E96" s="189"/>
      <c r="F96" s="189"/>
      <c r="G96" s="189"/>
      <c r="H96" s="189"/>
      <c r="I96" s="16" t="s">
        <v>150</v>
      </c>
      <c r="J96" s="33">
        <f>(IF(B85&gt;4,(H85/(B85+2)+J95),0))</f>
        <v>0</v>
      </c>
    </row>
    <row r="97" spans="1:10" ht="15.75" hidden="1" customHeight="1" x14ac:dyDescent="0.35">
      <c r="A97" s="112" t="s">
        <v>138</v>
      </c>
      <c r="B97" s="112" t="s">
        <v>138</v>
      </c>
      <c r="C97" s="75">
        <v>11</v>
      </c>
      <c r="D97" s="64">
        <f ca="1">((100/(H85))*C97)/100</f>
        <v>1.0000000000000002</v>
      </c>
      <c r="E97" s="189"/>
      <c r="F97" s="189"/>
      <c r="G97" s="189"/>
      <c r="H97" s="189"/>
      <c r="I97" s="16" t="s">
        <v>152</v>
      </c>
      <c r="J97" s="33">
        <f ca="1">(IF(B85=1,(H85/(B85+3)+J92),IF(B85=0,(H85/4+J92),IF(B85&gt;1,0))))</f>
        <v>8.25</v>
      </c>
    </row>
    <row r="98" spans="1:10" ht="16" hidden="1" thickBot="1" x14ac:dyDescent="0.4">
      <c r="A98" s="112" t="s">
        <v>139</v>
      </c>
      <c r="B98" s="112"/>
      <c r="C98" s="71">
        <v>11</v>
      </c>
      <c r="D98" s="64">
        <f ca="1">((100/(H85))*C98)/100</f>
        <v>1.0000000000000002</v>
      </c>
      <c r="E98" s="189"/>
      <c r="F98" s="189"/>
      <c r="G98" s="189"/>
      <c r="H98" s="189"/>
      <c r="I98" s="17" t="s">
        <v>108</v>
      </c>
      <c r="J98" s="35">
        <f ca="1">(IF(B85&gt;1.5,(H85/(B85+2)+J92+MAX(0,J93-J92)+MAX(0,J94-J93)+MAX(0,J95-J94)+MAX(0,J96-J95)+MAX(0,J97-J96)),IF(B85=1,(H85/(B85+3)+J97),IF(B85=0,H85/4+J97))))</f>
        <v>11</v>
      </c>
    </row>
    <row r="99" spans="1:10" ht="15.75" hidden="1" customHeight="1" x14ac:dyDescent="0.35">
      <c r="A99" s="201" t="s">
        <v>145</v>
      </c>
      <c r="B99" s="203"/>
      <c r="C99" s="201" t="str">
        <f>D61</f>
        <v xml:space="preserve">Wing C = Gr + 2P + 1st to 11th Floor </v>
      </c>
      <c r="D99" s="202"/>
      <c r="E99" s="202"/>
      <c r="F99" s="202"/>
      <c r="G99" s="202"/>
      <c r="H99" s="203"/>
      <c r="I99" s="73" t="str">
        <f ca="1">IF(D112=100%,"All work Completed. Possession granted to the Building.",IF(D111=100%,"All work Completed, Waiting for OC",I100&amp;""&amp;I101&amp;""&amp;J100&amp;""&amp;J99&amp;" "&amp;J101))</f>
        <v>Excavation, Plinth, RCC Slab, Brickwork, Internal Plaster, External Plaster Completed, Flooring upto 7 Floor, Painting upto 7 Floor Completed</v>
      </c>
      <c r="J99" s="51" t="str">
        <f ca="1">(IF(C105=(D100+F100+H100),"",IF(C105&gt;0,", RCC upto "&amp;C105&amp;" Slab","")))&amp;(IF(C106=H100,"",IF(C106&gt;0,", Brickwork upto "&amp;C106&amp;" Floor","")))&amp;(IF(C107=H100,"",IF(C107&gt;0,", Internal Plaster upto "&amp;C107&amp;" Floor","")))&amp;(IF(C108=H100,"",IF(C108&gt;0,", External Plaster upto "&amp;C108&amp;" Floor","")))&amp;(IF(C109=H100,"",IF(C109&gt;0,", Flooring upto "&amp;C109&amp;" Floor","")))&amp;(IF(C110=H100,"",IF(C110&gt;0,", Painting upto "&amp;C110&amp;" Floor","")))&amp;(IF(C111=H100,"",IF(C111&gt;0,", Finishing upto "&amp;C111&amp;" Floor","")))&amp;(IF(C112=H100,"",IF(C112&gt;0,", Possession upto "&amp;C112&amp;" Floor","")))</f>
        <v>, Flooring upto 7 Floor, Painting upto 7 Floor</v>
      </c>
    </row>
    <row r="100" spans="1:10" hidden="1" x14ac:dyDescent="0.35">
      <c r="A100" s="72" t="s">
        <v>147</v>
      </c>
      <c r="B100" s="72">
        <v>0</v>
      </c>
      <c r="C100" s="72" t="s">
        <v>74</v>
      </c>
      <c r="D100" s="72">
        <v>1</v>
      </c>
      <c r="E100" s="72" t="s">
        <v>73</v>
      </c>
      <c r="F100" s="72">
        <v>2</v>
      </c>
      <c r="G100" s="72" t="s">
        <v>83</v>
      </c>
      <c r="H100" s="72">
        <f ca="1">--TRIM(RIGHT(SUBSTITUTE(LEFT(C99,_xlfn.AGGREGATE(16,6,FIND({0,1,2,3,4,5,6,7,8,9},C99,ROW(INDIRECT("1:"&amp;LEN(C99)))),1))," ",REPT(" ",LEN(C99))),LEN(C99)))</f>
        <v>11</v>
      </c>
      <c r="I100" s="74" t="str">
        <f ca="1">IF(D103=100%,"Excavation","")&amp;IF(D104=100%,", Plinth","")&amp;IF(D105=100%,", RCC Slab","")&amp;IF(D106=100%,", Brickwork","")&amp;IF(D107=100%,", Internal Plaster","")&amp;IF(D108=100%,", External Plaster","")&amp;IF(D109=100%,", Flooring","")&amp;IF(D110=100%,", Painting","")&amp;IF(D111=100%,", Building common Amenities","")</f>
        <v>Excavation, Plinth, RCC Slab, Brickwork, Internal Plaster, External Plaster</v>
      </c>
      <c r="J100" s="53" t="str">
        <f ca="1">(IF(C103=0,"Work not yet Started.",IF(D103=25%,"Piling work in process",IF(D103=50%,"Excavation work in process",IF(D103=100%,"","0")))))&amp;(IF(C104=0%,"",IF(C104=J105,", Footing work is process",IF(C104=J106,", Footing work Completed",IF(C104=J107,", 1st Basement Completed",IF(C104=J108,", 1st &amp; 2nd Basement Completed",IF(C104=J109,", 1st to 3rd Basement Completed",IF(C104=J110,", 1st to 4th Basement Completed",IF(C104=J111,", Plinth work is process",IF(C104=J112,"","0"))))))))))</f>
        <v/>
      </c>
    </row>
    <row r="101" spans="1:10" ht="34.5" hidden="1" customHeight="1" x14ac:dyDescent="0.35">
      <c r="A101" s="199" t="s">
        <v>93</v>
      </c>
      <c r="B101" s="200"/>
      <c r="C101" s="201" t="str">
        <f>(IF($G$54="NA",I99,"All work Completed. OC Received."))</f>
        <v>All work Completed. OC Received.</v>
      </c>
      <c r="D101" s="202"/>
      <c r="E101" s="202"/>
      <c r="F101" s="202"/>
      <c r="G101" s="202"/>
      <c r="H101" s="203"/>
      <c r="I101" s="74" t="str">
        <f ca="1">IF(I100&lt;&gt;""," Completed","")</f>
        <v xml:space="preserve"> Completed</v>
      </c>
      <c r="J101" s="53" t="str">
        <f ca="1">IF(J99&lt;&gt;"","Completed","")</f>
        <v>Completed</v>
      </c>
    </row>
    <row r="102" spans="1:10" ht="15.75" hidden="1" customHeight="1" x14ac:dyDescent="0.35">
      <c r="A102" s="118" t="s">
        <v>50</v>
      </c>
      <c r="B102" s="119"/>
      <c r="C102" s="46" t="s">
        <v>144</v>
      </c>
      <c r="D102" s="46" t="s">
        <v>86</v>
      </c>
      <c r="E102" s="197" t="s">
        <v>88</v>
      </c>
      <c r="F102" s="119"/>
      <c r="G102" s="197" t="s">
        <v>87</v>
      </c>
      <c r="H102" s="198"/>
      <c r="I102" s="16" t="s">
        <v>146</v>
      </c>
      <c r="J102" s="31">
        <f ca="1">H100*25%</f>
        <v>2.75</v>
      </c>
    </row>
    <row r="103" spans="1:10" hidden="1" x14ac:dyDescent="0.35">
      <c r="A103" s="118" t="s">
        <v>133</v>
      </c>
      <c r="B103" s="119"/>
      <c r="C103" s="46">
        <f ca="1">J104</f>
        <v>11</v>
      </c>
      <c r="D103" s="21">
        <f ca="1">((100/H100)*C103)/100</f>
        <v>1.0000000000000002</v>
      </c>
      <c r="E103" s="190">
        <f ca="1">(((C104/H100*10)+(40/(D100+F100+H100)*C105)+(7.5/(H100)*C106)+(7.5/(H100)*C107)+(10/H100*C108)+(10/H100*C109)+(5/H100*C110)+(5/H100*C111)+(5/H100*C112))/100)</f>
        <v>0.84545454545454546</v>
      </c>
      <c r="F103" s="191"/>
      <c r="G103" s="190">
        <f ca="1">((((C103/H100)*20)+((C104/H100)*25)+(30/(H100+F100+D100)*C105)+(5/H100*C106)+(5/H100*C107)+(5/H100*C108)+(5/H100*C109)+(0/H100*C110)+(0/H100*C111)+(5/H100*C112))/100)</f>
        <v>0.93181818181818188</v>
      </c>
      <c r="H103" s="204"/>
      <c r="I103" s="16" t="s">
        <v>104</v>
      </c>
      <c r="J103" s="32">
        <f ca="1">H100*50%</f>
        <v>5.5</v>
      </c>
    </row>
    <row r="104" spans="1:10" hidden="1" x14ac:dyDescent="0.35">
      <c r="A104" s="118" t="s">
        <v>51</v>
      </c>
      <c r="B104" s="119"/>
      <c r="C104" s="46">
        <f ca="1">J112</f>
        <v>11</v>
      </c>
      <c r="D104" s="21">
        <f ca="1">((100/H100)*C104)/100</f>
        <v>1.0000000000000002</v>
      </c>
      <c r="E104" s="192"/>
      <c r="F104" s="193"/>
      <c r="G104" s="192"/>
      <c r="H104" s="205"/>
      <c r="I104" s="16" t="s">
        <v>105</v>
      </c>
      <c r="J104" s="32">
        <f ca="1">H100</f>
        <v>11</v>
      </c>
    </row>
    <row r="105" spans="1:10" ht="15.75" hidden="1" customHeight="1" x14ac:dyDescent="0.35">
      <c r="A105" s="118" t="s">
        <v>134</v>
      </c>
      <c r="B105" s="119"/>
      <c r="C105" s="46">
        <v>14</v>
      </c>
      <c r="D105" s="21">
        <f ca="1">((100/(D100+F100+H100))*C105)/100</f>
        <v>1</v>
      </c>
      <c r="E105" s="192"/>
      <c r="F105" s="193"/>
      <c r="G105" s="192"/>
      <c r="H105" s="205"/>
      <c r="I105" s="16" t="s">
        <v>106</v>
      </c>
      <c r="J105" s="33">
        <f ca="1">(IF(B100&gt;1,(H100/(B100+2)),H100/4))</f>
        <v>2.75</v>
      </c>
    </row>
    <row r="106" spans="1:10" ht="15.75" hidden="1" customHeight="1" x14ac:dyDescent="0.35">
      <c r="A106" s="118" t="s">
        <v>141</v>
      </c>
      <c r="B106" s="119"/>
      <c r="C106" s="46">
        <v>11</v>
      </c>
      <c r="D106" s="21">
        <f ca="1">((100/H100)*C106)/100</f>
        <v>1.0000000000000002</v>
      </c>
      <c r="E106" s="192"/>
      <c r="F106" s="193"/>
      <c r="G106" s="192"/>
      <c r="H106" s="205"/>
      <c r="I106" s="16" t="s">
        <v>107</v>
      </c>
      <c r="J106" s="33">
        <f ca="1">(IF(B100&gt;1,(H100/(B100+2)+J105),H100/4+J105))</f>
        <v>5.5</v>
      </c>
    </row>
    <row r="107" spans="1:10" ht="15.75" hidden="1" customHeight="1" x14ac:dyDescent="0.35">
      <c r="A107" s="118" t="s">
        <v>142</v>
      </c>
      <c r="B107" s="119"/>
      <c r="C107" s="46">
        <v>11</v>
      </c>
      <c r="D107" s="21">
        <f ca="1">((100/H100)*C107)/100</f>
        <v>1.0000000000000002</v>
      </c>
      <c r="E107" s="192"/>
      <c r="F107" s="193"/>
      <c r="G107" s="192"/>
      <c r="H107" s="205"/>
      <c r="I107" s="16" t="s">
        <v>151</v>
      </c>
      <c r="J107" s="33">
        <f>(IF(B100&gt;1,(H100/(B100+2)+J106),0))</f>
        <v>0</v>
      </c>
    </row>
    <row r="108" spans="1:10" ht="15" hidden="1" customHeight="1" x14ac:dyDescent="0.35">
      <c r="A108" s="118" t="s">
        <v>140</v>
      </c>
      <c r="B108" s="119"/>
      <c r="C108" s="46">
        <v>11</v>
      </c>
      <c r="D108" s="21">
        <f ca="1">((100/(H100))*C108)/100</f>
        <v>1.0000000000000002</v>
      </c>
      <c r="E108" s="192"/>
      <c r="F108" s="193"/>
      <c r="G108" s="192"/>
      <c r="H108" s="205"/>
      <c r="I108" s="16" t="s">
        <v>148</v>
      </c>
      <c r="J108" s="33">
        <f>(IF(B100&gt;2,(H100/(B100+2)+J107),0))</f>
        <v>0</v>
      </c>
    </row>
    <row r="109" spans="1:10" ht="15.75" hidden="1" customHeight="1" x14ac:dyDescent="0.35">
      <c r="A109" s="118" t="s">
        <v>136</v>
      </c>
      <c r="B109" s="119"/>
      <c r="C109" s="46">
        <v>7</v>
      </c>
      <c r="D109" s="21">
        <f ca="1">((100/H100)*C109)/100</f>
        <v>0.63636363636363635</v>
      </c>
      <c r="E109" s="192"/>
      <c r="F109" s="193"/>
      <c r="G109" s="192"/>
      <c r="H109" s="205"/>
      <c r="I109" s="16" t="s">
        <v>149</v>
      </c>
      <c r="J109" s="34">
        <f>(IF(B100&gt;3,(H100/(B100+2)+J108),0))</f>
        <v>0</v>
      </c>
    </row>
    <row r="110" spans="1:10" ht="15.75" hidden="1" customHeight="1" x14ac:dyDescent="0.35">
      <c r="A110" s="118" t="s">
        <v>143</v>
      </c>
      <c r="B110" s="119"/>
      <c r="C110" s="46">
        <v>7</v>
      </c>
      <c r="D110" s="21">
        <f ca="1">((100/H100)*C110)/100</f>
        <v>0.63636363636363635</v>
      </c>
      <c r="E110" s="192"/>
      <c r="F110" s="193"/>
      <c r="G110" s="192"/>
      <c r="H110" s="205"/>
      <c r="I110" s="16" t="s">
        <v>150</v>
      </c>
      <c r="J110" s="33">
        <f>(IF(B100&gt;4,(H100/(B100+2)+J109),0))</f>
        <v>0</v>
      </c>
    </row>
    <row r="111" spans="1:10" ht="15.75" hidden="1" customHeight="1" x14ac:dyDescent="0.35">
      <c r="A111" s="118" t="s">
        <v>138</v>
      </c>
      <c r="B111" s="119"/>
      <c r="C111" s="46">
        <v>0</v>
      </c>
      <c r="D111" s="21">
        <f ca="1">((100/(H100))*C111)/100</f>
        <v>0</v>
      </c>
      <c r="E111" s="192"/>
      <c r="F111" s="193"/>
      <c r="G111" s="192"/>
      <c r="H111" s="205"/>
      <c r="I111" s="16" t="s">
        <v>152</v>
      </c>
      <c r="J111" s="33">
        <f ca="1">(IF(B100=1,(H100/(B100+3)+J106),IF(B100=0,(H100/4+J106),IF(B100&gt;1,0))))</f>
        <v>8.25</v>
      </c>
    </row>
    <row r="112" spans="1:10" ht="16" hidden="1" thickBot="1" x14ac:dyDescent="0.4">
      <c r="A112" s="123" t="s">
        <v>139</v>
      </c>
      <c r="B112" s="124"/>
      <c r="C112" s="47">
        <v>0</v>
      </c>
      <c r="D112" s="22">
        <f ca="1">((100/(H100))*C112)/100</f>
        <v>0</v>
      </c>
      <c r="E112" s="194"/>
      <c r="F112" s="195"/>
      <c r="G112" s="194"/>
      <c r="H112" s="206"/>
      <c r="I112" s="17" t="s">
        <v>108</v>
      </c>
      <c r="J112" s="35">
        <f ca="1">(IF(B100&gt;1.5,(H100/(B100+2)+J106+MAX(0,J107-J106)+MAX(0,J108-J107)+MAX(0,J109-J108)+MAX(0,J110-J109)+MAX(0,J111-J110)),IF(B100=1,(H100/(B100+3)+J111),IF(B100=0,H100/4+J111))))</f>
        <v>11</v>
      </c>
    </row>
    <row r="113" spans="1:8" x14ac:dyDescent="0.35">
      <c r="A113" s="208" t="s">
        <v>162</v>
      </c>
      <c r="B113" s="208"/>
      <c r="C113" s="208"/>
      <c r="D113" s="208"/>
      <c r="E113" s="208"/>
      <c r="F113" s="196" t="s">
        <v>167</v>
      </c>
      <c r="G113" s="196"/>
      <c r="H113" s="196"/>
    </row>
    <row r="114" spans="1:8" x14ac:dyDescent="0.35">
      <c r="A114" s="101" t="s">
        <v>165</v>
      </c>
      <c r="B114" s="101"/>
      <c r="C114" s="101"/>
      <c r="D114" s="101"/>
      <c r="E114" s="101"/>
      <c r="F114" s="121">
        <v>21500</v>
      </c>
      <c r="G114" s="121"/>
      <c r="H114" s="121"/>
    </row>
    <row r="115" spans="1:8" hidden="1" x14ac:dyDescent="0.35">
      <c r="A115" s="101" t="s">
        <v>164</v>
      </c>
      <c r="B115" s="101"/>
      <c r="C115" s="101"/>
      <c r="D115" s="101"/>
      <c r="E115" s="101"/>
      <c r="F115" s="121"/>
      <c r="G115" s="121"/>
      <c r="H115" s="121"/>
    </row>
    <row r="116" spans="1:8" hidden="1" x14ac:dyDescent="0.35">
      <c r="A116" s="101" t="s">
        <v>166</v>
      </c>
      <c r="B116" s="101"/>
      <c r="C116" s="101"/>
      <c r="D116" s="101"/>
      <c r="E116" s="101"/>
      <c r="F116" s="121"/>
      <c r="G116" s="121"/>
      <c r="H116" s="121"/>
    </row>
    <row r="117" spans="1:8" s="36" customFormat="1" hidden="1" x14ac:dyDescent="0.3">
      <c r="A117" s="101" t="s">
        <v>163</v>
      </c>
      <c r="B117" s="101"/>
      <c r="C117" s="101"/>
      <c r="D117" s="101"/>
      <c r="E117" s="101"/>
      <c r="F117" s="121"/>
      <c r="G117" s="121"/>
      <c r="H117" s="121"/>
    </row>
    <row r="118" spans="1:8" s="36" customFormat="1" hidden="1" x14ac:dyDescent="0.3">
      <c r="A118" s="101" t="s">
        <v>98</v>
      </c>
      <c r="B118" s="101"/>
      <c r="C118" s="101"/>
      <c r="D118" s="101"/>
      <c r="E118" s="101"/>
      <c r="F118" s="121"/>
      <c r="G118" s="121"/>
      <c r="H118" s="121"/>
    </row>
    <row r="119" spans="1:8" s="36" customFormat="1" hidden="1" x14ac:dyDescent="0.3">
      <c r="A119" s="101" t="s">
        <v>99</v>
      </c>
      <c r="B119" s="101"/>
      <c r="C119" s="101"/>
      <c r="D119" s="101"/>
      <c r="E119" s="101"/>
      <c r="F119" s="121"/>
      <c r="G119" s="121"/>
      <c r="H119" s="121"/>
    </row>
    <row r="120" spans="1:8" s="36" customFormat="1" hidden="1" x14ac:dyDescent="0.3">
      <c r="A120" s="101" t="s">
        <v>168</v>
      </c>
      <c r="B120" s="101"/>
      <c r="C120" s="101"/>
      <c r="D120" s="101"/>
      <c r="E120" s="101"/>
      <c r="F120" s="121"/>
      <c r="G120" s="121"/>
      <c r="H120" s="121"/>
    </row>
    <row r="121" spans="1:8" s="36" customFormat="1" hidden="1" x14ac:dyDescent="0.3">
      <c r="A121" s="101" t="s">
        <v>100</v>
      </c>
      <c r="B121" s="101"/>
      <c r="C121" s="101"/>
      <c r="D121" s="101"/>
      <c r="E121" s="101"/>
      <c r="F121" s="121"/>
      <c r="G121" s="121"/>
      <c r="H121" s="121"/>
    </row>
    <row r="122" spans="1:8" s="36" customFormat="1" x14ac:dyDescent="0.3">
      <c r="A122" s="101" t="s">
        <v>101</v>
      </c>
      <c r="B122" s="101"/>
      <c r="C122" s="101"/>
      <c r="D122" s="101"/>
      <c r="E122" s="101"/>
      <c r="F122" s="121">
        <v>50000</v>
      </c>
      <c r="G122" s="121"/>
      <c r="H122" s="121"/>
    </row>
    <row r="123" spans="1:8" s="36" customFormat="1" x14ac:dyDescent="0.3">
      <c r="A123" s="101" t="s">
        <v>102</v>
      </c>
      <c r="B123" s="101"/>
      <c r="C123" s="101"/>
      <c r="D123" s="101"/>
      <c r="E123" s="101"/>
      <c r="F123" s="121">
        <v>200000</v>
      </c>
      <c r="G123" s="121"/>
      <c r="H123" s="121"/>
    </row>
    <row r="124" spans="1:8" s="36" customFormat="1" x14ac:dyDescent="0.3">
      <c r="A124" s="101" t="s">
        <v>103</v>
      </c>
      <c r="B124" s="101"/>
      <c r="C124" s="101"/>
      <c r="D124" s="101"/>
      <c r="E124" s="101"/>
      <c r="F124" s="121">
        <v>200000</v>
      </c>
      <c r="G124" s="121"/>
      <c r="H124" s="121"/>
    </row>
    <row r="125" spans="1:8" x14ac:dyDescent="0.35">
      <c r="A125" s="101" t="s">
        <v>52</v>
      </c>
      <c r="B125" s="101"/>
      <c r="C125" s="101"/>
      <c r="D125" s="101"/>
      <c r="E125" s="101"/>
      <c r="F125" s="121">
        <v>800000</v>
      </c>
      <c r="G125" s="121"/>
      <c r="H125" s="121"/>
    </row>
    <row r="126" spans="1:8" s="37" customFormat="1" x14ac:dyDescent="0.35">
      <c r="A126" s="155" t="s">
        <v>53</v>
      </c>
      <c r="B126" s="155"/>
      <c r="C126" s="155"/>
      <c r="D126" s="155"/>
      <c r="E126" s="155"/>
      <c r="F126" s="121">
        <f>F114*0.8</f>
        <v>17200</v>
      </c>
      <c r="G126" s="121"/>
      <c r="H126" s="121"/>
    </row>
    <row r="127" spans="1:8" s="38" customFormat="1" ht="15.75" hidden="1" customHeight="1" x14ac:dyDescent="0.35">
      <c r="A127" s="128" t="s">
        <v>78</v>
      </c>
      <c r="B127" s="128"/>
      <c r="C127" s="128"/>
      <c r="D127" s="128"/>
      <c r="E127" s="128"/>
      <c r="F127" s="128"/>
      <c r="G127" s="128"/>
      <c r="H127" s="128"/>
    </row>
    <row r="128" spans="1:8" s="38" customFormat="1" ht="15.75" hidden="1" customHeight="1" x14ac:dyDescent="0.35">
      <c r="A128" s="103" t="s">
        <v>54</v>
      </c>
      <c r="B128" s="103"/>
      <c r="C128" s="130" t="s">
        <v>81</v>
      </c>
      <c r="D128" s="130"/>
      <c r="E128" s="132" t="s">
        <v>55</v>
      </c>
      <c r="F128" s="132"/>
      <c r="G128" s="103" t="s">
        <v>56</v>
      </c>
      <c r="H128" s="103"/>
    </row>
    <row r="129" spans="1:8" s="38" customFormat="1" hidden="1" x14ac:dyDescent="0.35">
      <c r="A129" s="156"/>
      <c r="B129" s="156"/>
      <c r="C129" s="151"/>
      <c r="D129" s="151"/>
      <c r="E129" s="152"/>
      <c r="F129" s="152"/>
      <c r="G129" s="122"/>
      <c r="H129" s="122"/>
    </row>
    <row r="130" spans="1:8" s="38" customFormat="1" hidden="1" x14ac:dyDescent="0.35">
      <c r="A130" s="156"/>
      <c r="B130" s="156"/>
      <c r="C130" s="151"/>
      <c r="D130" s="151"/>
      <c r="E130" s="152"/>
      <c r="F130" s="152"/>
      <c r="G130" s="122"/>
      <c r="H130" s="122"/>
    </row>
    <row r="131" spans="1:8" s="38" customFormat="1" hidden="1" x14ac:dyDescent="0.35">
      <c r="A131" s="128" t="s">
        <v>156</v>
      </c>
      <c r="B131" s="128"/>
      <c r="C131" s="130"/>
      <c r="D131" s="130"/>
      <c r="E131" s="132"/>
      <c r="F131" s="132"/>
      <c r="G131" s="103"/>
      <c r="H131" s="103"/>
    </row>
    <row r="132" spans="1:8" s="38" customFormat="1" x14ac:dyDescent="0.35">
      <c r="A132" s="128" t="s">
        <v>72</v>
      </c>
      <c r="B132" s="128"/>
      <c r="C132" s="128"/>
      <c r="D132" s="128"/>
      <c r="E132" s="128"/>
      <c r="F132" s="128"/>
      <c r="G132" s="128"/>
      <c r="H132" s="128"/>
    </row>
    <row r="133" spans="1:8" s="38" customFormat="1" ht="15.75" customHeight="1" x14ac:dyDescent="0.35">
      <c r="A133" s="103" t="s">
        <v>54</v>
      </c>
      <c r="B133" s="103"/>
      <c r="C133" s="130" t="s">
        <v>81</v>
      </c>
      <c r="D133" s="130"/>
      <c r="E133" s="132" t="s">
        <v>55</v>
      </c>
      <c r="F133" s="132"/>
      <c r="G133" s="103" t="s">
        <v>56</v>
      </c>
      <c r="H133" s="103"/>
    </row>
    <row r="134" spans="1:8" s="38" customFormat="1" x14ac:dyDescent="0.35">
      <c r="A134" s="156" t="s">
        <v>212</v>
      </c>
      <c r="B134" s="77" t="s">
        <v>214</v>
      </c>
      <c r="C134" s="95">
        <f>COUNT(D162)+COUNT(D165,D167)+COUNT(D172)+COUNT(D177)+COUNT(D182:D183)+COUNT(D186:D187)+COUNT(D192)+COUNT(D198)+COUNT(D200:D203)+COUNT(D205:D208)*2+COUNT(D210:D212)</f>
        <v>26</v>
      </c>
      <c r="D134" s="95"/>
      <c r="E134" s="96">
        <f>SUM(D162)+SUM(D165,D167)+SUM(D172)+SUM(D177)+SUM(D182:D183)+SUM(D186:D187)+SUM(D192)+SUM(D198)+SUM(D200:D203)+SUM(D205:D208)*2+SUM(D210:D212)</f>
        <v>23969.05992</v>
      </c>
      <c r="F134" s="96"/>
      <c r="G134" s="96">
        <f>SUM(F162)+SUM(F165,F167)+SUM(F172)+SUM(F177)+SUM(F182:F183)+SUM(F186:F187)+SUM(F192)+SUM(F198)+SUM(F200:F203)+SUM(F205:F208)*2+SUM(F210:F212)</f>
        <v>37152.042876</v>
      </c>
      <c r="H134" s="96"/>
    </row>
    <row r="135" spans="1:8" s="38" customFormat="1" x14ac:dyDescent="0.35">
      <c r="A135" s="156"/>
      <c r="B135" s="77" t="s">
        <v>200</v>
      </c>
      <c r="C135" s="95">
        <f>COUNT(D160:D161,D163)+COUNT(D166,D168)+COUNT(D170:D171,D173)+COUNT(D175:D176,D178)+COUNT(D180:D181)+COUNT(D185)+COUNT(D190:D191,D193)+COUNT(D195:D197)</f>
        <v>20</v>
      </c>
      <c r="D135" s="95"/>
      <c r="E135" s="96">
        <f>SUM(D160:D161,D163)+SUM(D166,D168)+SUM(D170:D171,D173)+SUM(D175:D176,D178)+SUM(D180:D181)+SUM(D185)+SUM(D190:D191,D193)+SUM(D195:D197)</f>
        <v>14146.587</v>
      </c>
      <c r="F135" s="96"/>
      <c r="G135" s="96">
        <f>SUM(F160:F161,F163)+SUM(F166,F168)+SUM(F170:F171,F173)+SUM(F175:F176,F178)+SUM(F180:F181)+SUM(F185)+SUM(F190:F191,F193)+SUM(F195:F197)</f>
        <v>21927.209849999999</v>
      </c>
      <c r="H135" s="96"/>
    </row>
    <row r="136" spans="1:8" s="38" customFormat="1" x14ac:dyDescent="0.35">
      <c r="A136" s="156" t="s">
        <v>215</v>
      </c>
      <c r="B136" s="77" t="s">
        <v>214</v>
      </c>
      <c r="C136" s="95">
        <f>COUNT(D221)+COUNT(D233)+COUNT(D243,D245)+COUNT(D249)+COUNT(D251:D253)+COUNT(D255:D257)*2</f>
        <v>14</v>
      </c>
      <c r="D136" s="95"/>
      <c r="E136" s="96">
        <f>SUM(D221)+SUM(D233)+SUM(D243,D245)+SUM(D249)+SUM(D251:D253)+SUM(D255:D257)*2</f>
        <v>12633.49152</v>
      </c>
      <c r="F136" s="96"/>
      <c r="G136" s="96">
        <f>SUM(F221)+SUM(F233)+SUM(F243,F245)+SUM(F249)+SUM(F251:F253)+SUM(F255:F257)*2</f>
        <v>19581.911855999999</v>
      </c>
      <c r="H136" s="96"/>
    </row>
    <row r="137" spans="1:8" s="38" customFormat="1" x14ac:dyDescent="0.35">
      <c r="A137" s="156"/>
      <c r="B137" s="77" t="s">
        <v>200</v>
      </c>
      <c r="C137" s="95">
        <f>COUNT(D220)+COUNT(D223:D225)+COUNT(D227:D229)+COUNT(D231:D232)+COUNT(D235:D237)+COUNT(D240:D241)+COUNT(D244)+COUNT(D247:D248)</f>
        <v>17</v>
      </c>
      <c r="D137" s="95"/>
      <c r="E137" s="96">
        <f>SUM(D220)+SUM(D223:D225)+SUM(D227:D229)+SUM(D231:D232)+SUM(D235:D237)+SUM(D240:D241)+SUM(D244)+SUM(D247:D248)</f>
        <v>12877.61904</v>
      </c>
      <c r="F137" s="96"/>
      <c r="G137" s="96">
        <f>SUM(F220)+SUM(F223:F225)+SUM(F227:F229)+SUM(F231:F232)+SUM(F235:F237)+SUM(F240:F241)+SUM(F244)+SUM(F247:F248)</f>
        <v>19960.309512</v>
      </c>
      <c r="H137" s="96"/>
    </row>
    <row r="138" spans="1:8" s="38" customFormat="1" x14ac:dyDescent="0.35">
      <c r="A138" s="156" t="s">
        <v>213</v>
      </c>
      <c r="B138" s="77" t="s">
        <v>214</v>
      </c>
      <c r="C138" s="95">
        <f>COUNT(D263)+COUNT(D268)+COUNT(D273:D274)+COUNT(D278,D281)+COUNT(D283)+COUNT(D289)+COUNT(D293:D294,D296)+COUNT(D298:D299,D301)+COUNT(D303:D305)+COUNT(D308:D311)*2</f>
        <v>25</v>
      </c>
      <c r="D138" s="95"/>
      <c r="E138" s="96">
        <f>SUM(D263)+SUM(D268)+SUM(D273:D274)+SUM(D278,D281)+SUM(D283)+SUM(D289)+SUM(D293:D294,D296)+SUM(D298:D299,D301)+SUM(D303:D305)+SUM(D308:D311)*2</f>
        <v>19410.50592</v>
      </c>
      <c r="F138" s="96"/>
      <c r="G138" s="96">
        <f>SUM(F263)+SUM(F268)+SUM(F273:F274)+SUM(F278,F281)+SUM(F283)+SUM(F289)+SUM(F293:F294,F296)+SUM(F298:F299,F301)+SUM(F303:F305)+SUM(F308:F311)*2</f>
        <v>30086.284176000001</v>
      </c>
      <c r="H138" s="96"/>
    </row>
    <row r="139" spans="1:8" s="38" customFormat="1" x14ac:dyDescent="0.35">
      <c r="A139" s="156"/>
      <c r="B139" s="77" t="s">
        <v>200</v>
      </c>
      <c r="C139" s="95">
        <f>COUNT(D264:D266)+COUNT(D269:D271)+COUNT(D275:D276)+COUNT(D279:D280)+COUNT(D284:D286)+COUNT(D290:D291)+COUNT(D295)+COUNT(D300)+COUNT(D306)</f>
        <v>18</v>
      </c>
      <c r="D139" s="95"/>
      <c r="E139" s="96">
        <f>SUM(D264:D266)+SUM(D269:D271)+SUM(D275:D276)+SUM(D279:D280)+SUM(D284:D286)+SUM(D290:D291)+SUM(D295)+SUM(D300)+SUM(D306)</f>
        <v>14034.641399999997</v>
      </c>
      <c r="F139" s="96"/>
      <c r="G139" s="96">
        <f>SUM(F264:F266)+SUM(F269:F271)+SUM(F275:F276)+SUM(F279:F280)+SUM(F284:F286)+SUM(F290:F291)+SUM(F295)+SUM(F300)+SUM(F306)</f>
        <v>21753.694169999999</v>
      </c>
      <c r="H139" s="96"/>
    </row>
    <row r="140" spans="1:8" s="38" customFormat="1" x14ac:dyDescent="0.35">
      <c r="A140" s="128" t="s">
        <v>216</v>
      </c>
      <c r="B140" s="128"/>
      <c r="C140" s="129">
        <f>SUM(C134,C136,C138)</f>
        <v>65</v>
      </c>
      <c r="D140" s="130"/>
      <c r="E140" s="131">
        <f>SUM(E134,E136,E138)</f>
        <v>56013.057359999992</v>
      </c>
      <c r="F140" s="132"/>
      <c r="G140" s="131">
        <f>SUM(G134,G136,G138)</f>
        <v>86820.238907999999</v>
      </c>
      <c r="H140" s="132"/>
    </row>
    <row r="141" spans="1:8" s="38" customFormat="1" x14ac:dyDescent="0.35">
      <c r="A141" s="128" t="s">
        <v>217</v>
      </c>
      <c r="B141" s="128"/>
      <c r="C141" s="129">
        <f>SUM(C135,C137,C139)</f>
        <v>55</v>
      </c>
      <c r="D141" s="130"/>
      <c r="E141" s="131">
        <f>SUM(E135,E137,E139)</f>
        <v>41058.847439999998</v>
      </c>
      <c r="F141" s="132"/>
      <c r="G141" s="103">
        <f>SUM(G135,G137,G139)</f>
        <v>63641.213531999994</v>
      </c>
      <c r="H141" s="103"/>
    </row>
    <row r="142" spans="1:8" s="38" customFormat="1" x14ac:dyDescent="0.35">
      <c r="A142" s="128" t="s">
        <v>218</v>
      </c>
      <c r="B142" s="128"/>
      <c r="C142" s="129">
        <f>SUM(C140:C141)</f>
        <v>120</v>
      </c>
      <c r="D142" s="130"/>
      <c r="E142" s="131">
        <f>SUM(E140:E141)</f>
        <v>97071.904799999989</v>
      </c>
      <c r="F142" s="132"/>
      <c r="G142" s="103">
        <f>SUM(G140:G141)</f>
        <v>150461.45243999999</v>
      </c>
      <c r="H142" s="103"/>
    </row>
    <row r="143" spans="1:8" s="37" customFormat="1" x14ac:dyDescent="0.35">
      <c r="A143" s="150" t="s">
        <v>57</v>
      </c>
      <c r="B143" s="150"/>
      <c r="C143" s="150"/>
      <c r="D143" s="150"/>
      <c r="E143" s="150"/>
      <c r="F143" s="150"/>
      <c r="G143" s="150"/>
      <c r="H143" s="150"/>
    </row>
    <row r="144" spans="1:8" x14ac:dyDescent="0.35">
      <c r="A144" s="150" t="s">
        <v>58</v>
      </c>
      <c r="B144" s="150"/>
      <c r="C144" s="150"/>
      <c r="D144" s="150"/>
      <c r="E144" s="150"/>
      <c r="F144" s="150"/>
      <c r="G144" s="150"/>
      <c r="H144" s="150"/>
    </row>
    <row r="145" spans="1:14" ht="47.25" hidden="1" customHeight="1" x14ac:dyDescent="0.35">
      <c r="A145" s="104" t="s">
        <v>124</v>
      </c>
      <c r="B145" s="104" t="s">
        <v>123</v>
      </c>
      <c r="C145" s="104" t="s">
        <v>59</v>
      </c>
      <c r="D145" s="104" t="s">
        <v>60</v>
      </c>
      <c r="E145" s="106" t="s">
        <v>161</v>
      </c>
      <c r="F145" s="45" t="s">
        <v>155</v>
      </c>
      <c r="G145" s="108" t="s">
        <v>62</v>
      </c>
      <c r="H145" s="109"/>
    </row>
    <row r="146" spans="1:14" s="49" customFormat="1" hidden="1" x14ac:dyDescent="0.35">
      <c r="A146" s="105"/>
      <c r="B146" s="105"/>
      <c r="C146" s="105"/>
      <c r="D146" s="105"/>
      <c r="E146" s="107"/>
      <c r="F146" s="15">
        <v>0.6</v>
      </c>
      <c r="G146" s="110"/>
      <c r="H146" s="111"/>
    </row>
    <row r="147" spans="1:14" s="49" customFormat="1" hidden="1" x14ac:dyDescent="0.35">
      <c r="A147" s="86" t="s">
        <v>122</v>
      </c>
      <c r="B147" s="87"/>
      <c r="C147" s="87"/>
      <c r="D147" s="87"/>
      <c r="E147" s="87"/>
      <c r="F147" s="87"/>
      <c r="G147" s="87"/>
      <c r="H147" s="88"/>
      <c r="J147" s="39"/>
    </row>
    <row r="148" spans="1:14" s="49" customFormat="1" hidden="1" x14ac:dyDescent="0.35">
      <c r="A148" s="89">
        <v>1</v>
      </c>
      <c r="B148" s="90"/>
      <c r="C148" s="44"/>
      <c r="D148" s="44"/>
      <c r="E148" s="44">
        <v>0</v>
      </c>
      <c r="F148" s="44">
        <f>(D148+E148)*(($F$146)+1)</f>
        <v>0</v>
      </c>
      <c r="G148" s="89" t="str">
        <f>A147</f>
        <v>Ground Floor</v>
      </c>
      <c r="H148" s="90"/>
      <c r="I148" s="39"/>
      <c r="L148" s="91"/>
      <c r="M148" s="91"/>
      <c r="N148" s="39"/>
    </row>
    <row r="149" spans="1:14" s="49" customFormat="1" hidden="1" x14ac:dyDescent="0.35">
      <c r="A149" s="89">
        <f t="shared" ref="A149:A151" si="0">A148+1</f>
        <v>2</v>
      </c>
      <c r="B149" s="90"/>
      <c r="C149" s="44"/>
      <c r="D149" s="44"/>
      <c r="E149" s="44">
        <v>0</v>
      </c>
      <c r="F149" s="44">
        <f t="shared" ref="F149:F151" si="1">(D149+E149)*(($F$146)+1)</f>
        <v>0</v>
      </c>
      <c r="G149" s="89" t="str">
        <f t="shared" ref="G149:G151" si="2">G148</f>
        <v>Ground Floor</v>
      </c>
      <c r="H149" s="90"/>
      <c r="I149" s="39"/>
      <c r="L149" s="91"/>
      <c r="M149" s="91"/>
      <c r="N149" s="39"/>
    </row>
    <row r="150" spans="1:14" s="49" customFormat="1" hidden="1" x14ac:dyDescent="0.35">
      <c r="A150" s="89">
        <f t="shared" si="0"/>
        <v>3</v>
      </c>
      <c r="B150" s="90"/>
      <c r="C150" s="44"/>
      <c r="D150" s="44"/>
      <c r="E150" s="44">
        <v>0</v>
      </c>
      <c r="F150" s="44">
        <f t="shared" si="1"/>
        <v>0</v>
      </c>
      <c r="G150" s="89" t="str">
        <f t="shared" si="2"/>
        <v>Ground Floor</v>
      </c>
      <c r="H150" s="90"/>
      <c r="I150" s="39"/>
      <c r="L150" s="91"/>
      <c r="M150" s="91"/>
      <c r="N150" s="39"/>
    </row>
    <row r="151" spans="1:14" s="49" customFormat="1" hidden="1" x14ac:dyDescent="0.35">
      <c r="A151" s="89">
        <f t="shared" si="0"/>
        <v>4</v>
      </c>
      <c r="B151" s="90"/>
      <c r="C151" s="44"/>
      <c r="D151" s="44"/>
      <c r="E151" s="44">
        <v>0</v>
      </c>
      <c r="F151" s="44">
        <f t="shared" si="1"/>
        <v>0</v>
      </c>
      <c r="G151" s="89" t="str">
        <f t="shared" si="2"/>
        <v>Ground Floor</v>
      </c>
      <c r="H151" s="90"/>
      <c r="I151" s="39"/>
      <c r="L151" s="91"/>
      <c r="M151" s="91"/>
      <c r="N151" s="39"/>
    </row>
    <row r="152" spans="1:14" s="49" customFormat="1" hidden="1" x14ac:dyDescent="0.35">
      <c r="A152" s="89"/>
      <c r="B152" s="94"/>
      <c r="C152" s="94"/>
      <c r="D152" s="94"/>
      <c r="E152" s="94"/>
      <c r="F152" s="94"/>
      <c r="G152" s="94"/>
      <c r="H152" s="90"/>
      <c r="I152" s="39"/>
      <c r="N152" s="39"/>
    </row>
    <row r="153" spans="1:14" ht="47.25" customHeight="1" x14ac:dyDescent="0.35">
      <c r="A153" s="108" t="s">
        <v>125</v>
      </c>
      <c r="B153" s="108" t="s">
        <v>199</v>
      </c>
      <c r="C153" s="104" t="s">
        <v>59</v>
      </c>
      <c r="D153" s="104" t="s">
        <v>60</v>
      </c>
      <c r="E153" s="106" t="s">
        <v>61</v>
      </c>
      <c r="F153" s="45" t="s">
        <v>155</v>
      </c>
      <c r="G153" s="108" t="s">
        <v>62</v>
      </c>
      <c r="H153" s="109"/>
      <c r="I153" s="39"/>
    </row>
    <row r="154" spans="1:14" s="49" customFormat="1" x14ac:dyDescent="0.35">
      <c r="A154" s="110"/>
      <c r="B154" s="110"/>
      <c r="C154" s="105"/>
      <c r="D154" s="105"/>
      <c r="E154" s="107"/>
      <c r="F154" s="15">
        <v>0.55000000000000004</v>
      </c>
      <c r="G154" s="110"/>
      <c r="H154" s="111"/>
      <c r="I154" s="39"/>
    </row>
    <row r="155" spans="1:14" s="55" customFormat="1" x14ac:dyDescent="0.35">
      <c r="A155" s="92" t="s">
        <v>197</v>
      </c>
      <c r="B155" s="92"/>
      <c r="C155" s="92"/>
      <c r="D155" s="92"/>
      <c r="E155" s="92"/>
      <c r="F155" s="92"/>
      <c r="G155" s="92"/>
      <c r="H155" s="92"/>
      <c r="J155" s="39"/>
    </row>
    <row r="156" spans="1:14" s="55" customFormat="1" x14ac:dyDescent="0.35">
      <c r="A156" s="92" t="s">
        <v>228</v>
      </c>
      <c r="B156" s="92"/>
      <c r="C156" s="92"/>
      <c r="D156" s="92"/>
      <c r="E156" s="92"/>
      <c r="F156" s="92"/>
      <c r="G156" s="92"/>
      <c r="H156" s="92"/>
      <c r="J156" s="39"/>
    </row>
    <row r="157" spans="1:14" s="55" customFormat="1" x14ac:dyDescent="0.35">
      <c r="A157" s="92" t="s">
        <v>229</v>
      </c>
      <c r="B157" s="92"/>
      <c r="C157" s="92"/>
      <c r="D157" s="92"/>
      <c r="E157" s="92"/>
      <c r="F157" s="92"/>
      <c r="G157" s="92"/>
      <c r="H157" s="92"/>
      <c r="J157" s="39"/>
    </row>
    <row r="158" spans="1:14" s="55" customFormat="1" x14ac:dyDescent="0.35">
      <c r="A158" s="92" t="s">
        <v>230</v>
      </c>
      <c r="B158" s="92"/>
      <c r="C158" s="92"/>
      <c r="D158" s="92"/>
      <c r="E158" s="92"/>
      <c r="F158" s="92"/>
      <c r="G158" s="92"/>
      <c r="H158" s="92"/>
      <c r="J158" s="39"/>
    </row>
    <row r="159" spans="1:14" s="49" customFormat="1" x14ac:dyDescent="0.35">
      <c r="A159" s="92" t="s">
        <v>198</v>
      </c>
      <c r="B159" s="92"/>
      <c r="C159" s="92"/>
      <c r="D159" s="92"/>
      <c r="E159" s="92"/>
      <c r="F159" s="92"/>
      <c r="G159" s="92"/>
      <c r="H159" s="92"/>
      <c r="J159" s="39"/>
    </row>
    <row r="160" spans="1:14" s="49" customFormat="1" x14ac:dyDescent="0.35">
      <c r="A160" s="54">
        <v>1</v>
      </c>
      <c r="B160" s="54" t="s">
        <v>200</v>
      </c>
      <c r="C160" s="54" t="s">
        <v>202</v>
      </c>
      <c r="D160" s="57">
        <f>(60.43)*10.764</f>
        <v>650.46852000000001</v>
      </c>
      <c r="E160" s="54">
        <v>0</v>
      </c>
      <c r="F160" s="54">
        <f>D160*(($F$154)+1)+(IF(E160&lt;101,E160,IF(E160&lt;201,E160/2,IF(E160&lt;=301,E160/3,E160/4))))</f>
        <v>1008.226206</v>
      </c>
      <c r="G160" s="93" t="str">
        <f>A159</f>
        <v>1st Floor For Residential</v>
      </c>
      <c r="H160" s="93"/>
      <c r="I160" s="39">
        <f>3.2*4.85+2.25*3.35+3.05*3.35+3.4*3.35+2.35*1.35+2.1*1.35+5.6*1+0.9*1.15</f>
        <v>57.307499999999997</v>
      </c>
      <c r="J160" s="57">
        <v>10.763999999999999</v>
      </c>
      <c r="K160" s="49">
        <f>28000*F160</f>
        <v>28230333.768000003</v>
      </c>
      <c r="L160" s="91"/>
      <c r="M160" s="91"/>
      <c r="N160" s="39"/>
    </row>
    <row r="161" spans="1:14" s="49" customFormat="1" x14ac:dyDescent="0.35">
      <c r="A161" s="54">
        <f t="shared" ref="A161:A163" si="3">A160+1</f>
        <v>2</v>
      </c>
      <c r="B161" s="54" t="s">
        <v>200</v>
      </c>
      <c r="C161" s="54" t="s">
        <v>202</v>
      </c>
      <c r="D161" s="57">
        <f>(62.25)*10.764</f>
        <v>670.05899999999997</v>
      </c>
      <c r="E161" s="54">
        <v>0</v>
      </c>
      <c r="F161" s="54">
        <f>D161*(($F$154)+1)+(IF(E161&lt;101,E161,IF(E161&lt;201,E161/2,IF(E161&lt;=301,E161/3,E161/4))))</f>
        <v>1038.5914499999999</v>
      </c>
      <c r="G161" s="93" t="str">
        <f t="shared" ref="G161:G163" si="4">G160</f>
        <v>1st Floor For Residential</v>
      </c>
      <c r="H161" s="93"/>
      <c r="I161" s="39"/>
      <c r="K161" s="56">
        <f t="shared" ref="K161:K163" si="5">28000*F161</f>
        <v>29080560.599999998</v>
      </c>
      <c r="L161" s="91"/>
      <c r="M161" s="91"/>
      <c r="N161" s="39"/>
    </row>
    <row r="162" spans="1:14" s="49" customFormat="1" x14ac:dyDescent="0.35">
      <c r="A162" s="54">
        <f t="shared" si="3"/>
        <v>3</v>
      </c>
      <c r="B162" s="54" t="s">
        <v>201</v>
      </c>
      <c r="C162" s="44" t="s">
        <v>203</v>
      </c>
      <c r="D162" s="57">
        <f>(106.63)*10.764</f>
        <v>1147.76532</v>
      </c>
      <c r="E162" s="44">
        <v>0</v>
      </c>
      <c r="F162" s="44">
        <f>D162*(($F$154)+1)+(IF(E162&lt;101,E162,IF(E162&lt;201,E162/2,IF(E162&lt;=301,E162/3,E162/4))))</f>
        <v>1779.0362460000001</v>
      </c>
      <c r="G162" s="89" t="str">
        <f t="shared" si="4"/>
        <v>1st Floor For Residential</v>
      </c>
      <c r="H162" s="90"/>
      <c r="I162" s="39"/>
      <c r="K162" s="56">
        <f t="shared" si="5"/>
        <v>49813014.888000004</v>
      </c>
      <c r="L162" s="91"/>
      <c r="M162" s="91"/>
      <c r="N162" s="39"/>
    </row>
    <row r="163" spans="1:14" s="49" customFormat="1" x14ac:dyDescent="0.35">
      <c r="A163" s="54">
        <f t="shared" si="3"/>
        <v>4</v>
      </c>
      <c r="B163" s="54" t="s">
        <v>200</v>
      </c>
      <c r="C163" s="44" t="s">
        <v>202</v>
      </c>
      <c r="D163" s="57">
        <f>(60.5)*10.764</f>
        <v>651.22199999999998</v>
      </c>
      <c r="E163" s="44">
        <v>0</v>
      </c>
      <c r="F163" s="44">
        <f>D163*(($F$154)+1)+(IF(E163&lt;101,E163,IF(E163&lt;201,E163/2,IF(E163&lt;=301,E163/3,E163/4))))</f>
        <v>1009.3941</v>
      </c>
      <c r="G163" s="89" t="str">
        <f t="shared" si="4"/>
        <v>1st Floor For Residential</v>
      </c>
      <c r="H163" s="90"/>
      <c r="I163" s="39"/>
      <c r="K163" s="56">
        <f t="shared" si="5"/>
        <v>28263034.800000001</v>
      </c>
      <c r="L163" s="91"/>
      <c r="M163" s="91"/>
      <c r="N163" s="39"/>
    </row>
    <row r="164" spans="1:14" s="60" customFormat="1" x14ac:dyDescent="0.35">
      <c r="A164" s="86" t="s">
        <v>232</v>
      </c>
      <c r="B164" s="87"/>
      <c r="C164" s="87"/>
      <c r="D164" s="87"/>
      <c r="E164" s="87"/>
      <c r="F164" s="87"/>
      <c r="G164" s="87"/>
      <c r="H164" s="88"/>
      <c r="J164" s="39"/>
    </row>
    <row r="165" spans="1:14" s="60" customFormat="1" x14ac:dyDescent="0.35">
      <c r="A165" s="54">
        <v>1</v>
      </c>
      <c r="B165" s="69" t="s">
        <v>201</v>
      </c>
      <c r="C165" s="69" t="s">
        <v>202</v>
      </c>
      <c r="D165" s="70">
        <f>(60.43)*10.764</f>
        <v>650.46852000000001</v>
      </c>
      <c r="E165" s="54">
        <v>0</v>
      </c>
      <c r="F165" s="54">
        <f>D165*(($F$154)+1)+(IF(E165&lt;101,E165,IF(E165&lt;201,E165/2,IF(E165&lt;=301,E165/3,E165/4))))</f>
        <v>1008.226206</v>
      </c>
      <c r="G165" s="89" t="str">
        <f>A164</f>
        <v>2nd Floor</v>
      </c>
      <c r="H165" s="90"/>
      <c r="I165" s="39"/>
      <c r="L165" s="91"/>
      <c r="M165" s="91"/>
      <c r="N165" s="39"/>
    </row>
    <row r="166" spans="1:14" s="60" customFormat="1" x14ac:dyDescent="0.35">
      <c r="A166" s="54">
        <f t="shared" ref="A166:A168" si="6">A165+1</f>
        <v>2</v>
      </c>
      <c r="B166" s="54" t="s">
        <v>200</v>
      </c>
      <c r="C166" s="54" t="s">
        <v>202</v>
      </c>
      <c r="D166" s="57">
        <f>(62.25)*10.764</f>
        <v>670.05899999999997</v>
      </c>
      <c r="E166" s="54">
        <v>0</v>
      </c>
      <c r="F166" s="54">
        <f>D166*(($F$154)+1)+(IF(E166&lt;101,E166,IF(E166&lt;201,E166/2,IF(E166&lt;=301,E166/3,E166/4))))</f>
        <v>1038.5914499999999</v>
      </c>
      <c r="G166" s="89" t="str">
        <f t="shared" ref="G166:G168" si="7">G165</f>
        <v>2nd Floor</v>
      </c>
      <c r="H166" s="90"/>
      <c r="I166" s="39"/>
      <c r="L166" s="91"/>
      <c r="M166" s="91"/>
      <c r="N166" s="39"/>
    </row>
    <row r="167" spans="1:14" s="60" customFormat="1" x14ac:dyDescent="0.35">
      <c r="A167" s="54">
        <f t="shared" si="6"/>
        <v>3</v>
      </c>
      <c r="B167" s="54" t="s">
        <v>201</v>
      </c>
      <c r="C167" s="54" t="s">
        <v>203</v>
      </c>
      <c r="D167" s="57">
        <f>(106.63)*10.764</f>
        <v>1147.76532</v>
      </c>
      <c r="E167" s="54">
        <v>0</v>
      </c>
      <c r="F167" s="54">
        <f>D167*(($F$154)+1)+(IF(E167&lt;101,E167,IF(E167&lt;201,E167/2,IF(E167&lt;=301,E167/3,E167/4))))</f>
        <v>1779.0362460000001</v>
      </c>
      <c r="G167" s="89" t="str">
        <f t="shared" si="7"/>
        <v>2nd Floor</v>
      </c>
      <c r="H167" s="90"/>
      <c r="I167" s="39"/>
      <c r="L167" s="91"/>
      <c r="M167" s="91"/>
      <c r="N167" s="39"/>
    </row>
    <row r="168" spans="1:14" s="60" customFormat="1" x14ac:dyDescent="0.35">
      <c r="A168" s="54">
        <f t="shared" si="6"/>
        <v>4</v>
      </c>
      <c r="B168" s="54" t="s">
        <v>200</v>
      </c>
      <c r="C168" s="54" t="s">
        <v>202</v>
      </c>
      <c r="D168" s="57">
        <f>(60.5)*10.764</f>
        <v>651.22199999999998</v>
      </c>
      <c r="E168" s="54">
        <v>0</v>
      </c>
      <c r="F168" s="54">
        <f>D168*(($F$154)+1)+(IF(E168&lt;101,E168,IF(E168&lt;201,E168/2,IF(E168&lt;=301,E168/3,E168/4))))</f>
        <v>1009.3941</v>
      </c>
      <c r="G168" s="89" t="str">
        <f t="shared" si="7"/>
        <v>2nd Floor</v>
      </c>
      <c r="H168" s="90"/>
      <c r="I168" s="39"/>
      <c r="L168" s="91"/>
      <c r="M168" s="91"/>
      <c r="N168" s="39"/>
    </row>
    <row r="169" spans="1:14" s="55" customFormat="1" x14ac:dyDescent="0.35">
      <c r="A169" s="86" t="s">
        <v>231</v>
      </c>
      <c r="B169" s="87"/>
      <c r="C169" s="87"/>
      <c r="D169" s="87"/>
      <c r="E169" s="87"/>
      <c r="F169" s="87"/>
      <c r="G169" s="87"/>
      <c r="H169" s="88"/>
      <c r="J169" s="39"/>
    </row>
    <row r="170" spans="1:14" s="55" customFormat="1" x14ac:dyDescent="0.35">
      <c r="A170" s="54">
        <v>1</v>
      </c>
      <c r="B170" s="54" t="s">
        <v>200</v>
      </c>
      <c r="C170" s="54" t="s">
        <v>202</v>
      </c>
      <c r="D170" s="57">
        <f>(60.43)*10.764</f>
        <v>650.46852000000001</v>
      </c>
      <c r="E170" s="54">
        <v>0</v>
      </c>
      <c r="F170" s="54">
        <f>D170*(($F$154)+1)+(IF(E170&lt;101,E170,IF(E170&lt;201,E170/2,IF(E170&lt;=301,E170/3,E170/4))))</f>
        <v>1008.226206</v>
      </c>
      <c r="G170" s="89" t="str">
        <f>A169</f>
        <v>3rd Floor</v>
      </c>
      <c r="H170" s="90"/>
      <c r="I170" s="39"/>
      <c r="L170" s="91"/>
      <c r="M170" s="91"/>
      <c r="N170" s="39"/>
    </row>
    <row r="171" spans="1:14" s="55" customFormat="1" x14ac:dyDescent="0.35">
      <c r="A171" s="54">
        <f t="shared" ref="A171:A173" si="8">A170+1</f>
        <v>2</v>
      </c>
      <c r="B171" s="54" t="s">
        <v>200</v>
      </c>
      <c r="C171" s="54" t="s">
        <v>202</v>
      </c>
      <c r="D171" s="57">
        <f>(62.25)*10.764</f>
        <v>670.05899999999997</v>
      </c>
      <c r="E171" s="54">
        <v>0</v>
      </c>
      <c r="F171" s="54">
        <f>D171*(($F$154)+1)+(IF(E171&lt;101,E171,IF(E171&lt;201,E171/2,IF(E171&lt;=301,E171/3,E171/4))))</f>
        <v>1038.5914499999999</v>
      </c>
      <c r="G171" s="89" t="str">
        <f t="shared" ref="G171:G173" si="9">G170</f>
        <v>3rd Floor</v>
      </c>
      <c r="H171" s="90"/>
      <c r="I171" s="39"/>
      <c r="L171" s="91"/>
      <c r="M171" s="91"/>
      <c r="N171" s="39"/>
    </row>
    <row r="172" spans="1:14" s="55" customFormat="1" x14ac:dyDescent="0.35">
      <c r="A172" s="54">
        <f t="shared" si="8"/>
        <v>3</v>
      </c>
      <c r="B172" s="54" t="s">
        <v>201</v>
      </c>
      <c r="C172" s="54" t="s">
        <v>203</v>
      </c>
      <c r="D172" s="57">
        <f>(106.63)*10.764</f>
        <v>1147.76532</v>
      </c>
      <c r="E172" s="54">
        <v>0</v>
      </c>
      <c r="F172" s="54">
        <f>D172*(($F$154)+1)+(IF(E172&lt;101,E172,IF(E172&lt;201,E172/2,IF(E172&lt;=301,E172/3,E172/4))))</f>
        <v>1779.0362460000001</v>
      </c>
      <c r="G172" s="89" t="str">
        <f t="shared" si="9"/>
        <v>3rd Floor</v>
      </c>
      <c r="H172" s="90"/>
      <c r="I172" s="39"/>
      <c r="L172" s="91"/>
      <c r="M172" s="91"/>
      <c r="N172" s="39"/>
    </row>
    <row r="173" spans="1:14" s="55" customFormat="1" x14ac:dyDescent="0.35">
      <c r="A173" s="54">
        <f t="shared" si="8"/>
        <v>4</v>
      </c>
      <c r="B173" s="54" t="s">
        <v>200</v>
      </c>
      <c r="C173" s="54" t="s">
        <v>202</v>
      </c>
      <c r="D173" s="57">
        <f>(60.5)*10.764</f>
        <v>651.22199999999998</v>
      </c>
      <c r="E173" s="54">
        <v>0</v>
      </c>
      <c r="F173" s="54">
        <f>D173*(($F$154)+1)+(IF(E173&lt;101,E173,IF(E173&lt;201,E173/2,IF(E173&lt;=301,E173/3,E173/4))))</f>
        <v>1009.3941</v>
      </c>
      <c r="G173" s="89" t="str">
        <f t="shared" si="9"/>
        <v>3rd Floor</v>
      </c>
      <c r="H173" s="90"/>
      <c r="I173" s="39"/>
      <c r="L173" s="91"/>
      <c r="M173" s="91"/>
      <c r="N173" s="39"/>
    </row>
    <row r="174" spans="1:14" s="55" customFormat="1" x14ac:dyDescent="0.35">
      <c r="A174" s="86" t="s">
        <v>204</v>
      </c>
      <c r="B174" s="87"/>
      <c r="C174" s="87"/>
      <c r="D174" s="87"/>
      <c r="E174" s="87"/>
      <c r="F174" s="87"/>
      <c r="G174" s="87"/>
      <c r="H174" s="88"/>
      <c r="J174" s="39"/>
    </row>
    <row r="175" spans="1:14" s="55" customFormat="1" x14ac:dyDescent="0.35">
      <c r="A175" s="54">
        <v>1</v>
      </c>
      <c r="B175" s="54" t="s">
        <v>200</v>
      </c>
      <c r="C175" s="54" t="s">
        <v>202</v>
      </c>
      <c r="D175" s="57">
        <f>(60.43)*10.764</f>
        <v>650.46852000000001</v>
      </c>
      <c r="E175" s="54">
        <v>0</v>
      </c>
      <c r="F175" s="54">
        <f>D175*(($F$154)+1)+(IF(E175&lt;101,E175,IF(E175&lt;201,E175/2,IF(E175&lt;=301,E175/3,E175/4))))</f>
        <v>1008.226206</v>
      </c>
      <c r="G175" s="89" t="str">
        <f>A174</f>
        <v>4th Floor</v>
      </c>
      <c r="H175" s="90"/>
      <c r="I175" s="39"/>
      <c r="L175" s="91"/>
      <c r="M175" s="91"/>
      <c r="N175" s="39"/>
    </row>
    <row r="176" spans="1:14" s="55" customFormat="1" x14ac:dyDescent="0.35">
      <c r="A176" s="54">
        <f t="shared" ref="A176:A178" si="10">A175+1</f>
        <v>2</v>
      </c>
      <c r="B176" s="54" t="s">
        <v>200</v>
      </c>
      <c r="C176" s="54" t="s">
        <v>202</v>
      </c>
      <c r="D176" s="57">
        <f>(71.18)*10.764</f>
        <v>766.18151999999998</v>
      </c>
      <c r="E176" s="54">
        <v>0</v>
      </c>
      <c r="F176" s="54">
        <f>D176*(($F$154)+1)+(IF(E176&lt;101,E176,IF(E176&lt;201,E176/2,IF(E176&lt;=301,E176/3,E176/4))))</f>
        <v>1187.5813559999999</v>
      </c>
      <c r="G176" s="89" t="str">
        <f t="shared" ref="G176:G178" si="11">G175</f>
        <v>4th Floor</v>
      </c>
      <c r="H176" s="90"/>
      <c r="I176" s="39"/>
      <c r="L176" s="91"/>
      <c r="M176" s="91"/>
      <c r="N176" s="39"/>
    </row>
    <row r="177" spans="1:14" s="55" customFormat="1" x14ac:dyDescent="0.35">
      <c r="A177" s="54">
        <f t="shared" si="10"/>
        <v>3</v>
      </c>
      <c r="B177" s="54" t="s">
        <v>201</v>
      </c>
      <c r="C177" s="54" t="s">
        <v>203</v>
      </c>
      <c r="D177" s="57">
        <f>(106.63)*10.764</f>
        <v>1147.76532</v>
      </c>
      <c r="E177" s="54">
        <v>0</v>
      </c>
      <c r="F177" s="54">
        <f>D177*(($F$154)+1)+(IF(E177&lt;101,E177,IF(E177&lt;201,E177/2,IF(E177&lt;=301,E177/3,E177/4))))</f>
        <v>1779.0362460000001</v>
      </c>
      <c r="G177" s="89" t="str">
        <f t="shared" si="11"/>
        <v>4th Floor</v>
      </c>
      <c r="H177" s="90"/>
      <c r="I177" s="39"/>
      <c r="L177" s="91"/>
      <c r="M177" s="91"/>
      <c r="N177" s="39"/>
    </row>
    <row r="178" spans="1:14" s="55" customFormat="1" x14ac:dyDescent="0.35">
      <c r="A178" s="54">
        <f t="shared" si="10"/>
        <v>4</v>
      </c>
      <c r="B178" s="54" t="s">
        <v>200</v>
      </c>
      <c r="C178" s="54" t="s">
        <v>202</v>
      </c>
      <c r="D178" s="57">
        <f>(60.5)*10.764</f>
        <v>651.22199999999998</v>
      </c>
      <c r="E178" s="54">
        <v>0</v>
      </c>
      <c r="F178" s="54">
        <f>D178*(($F$154)+1)+(IF(E178&lt;101,E178,IF(E178&lt;201,E178/2,IF(E178&lt;=301,E178/3,E178/4))))</f>
        <v>1009.3941</v>
      </c>
      <c r="G178" s="89" t="str">
        <f t="shared" si="11"/>
        <v>4th Floor</v>
      </c>
      <c r="H178" s="90"/>
      <c r="I178" s="39"/>
      <c r="L178" s="91"/>
      <c r="M178" s="91"/>
      <c r="N178" s="39"/>
    </row>
    <row r="179" spans="1:14" s="55" customFormat="1" x14ac:dyDescent="0.35">
      <c r="A179" s="86" t="s">
        <v>205</v>
      </c>
      <c r="B179" s="87"/>
      <c r="C179" s="87"/>
      <c r="D179" s="87"/>
      <c r="E179" s="87"/>
      <c r="F179" s="87"/>
      <c r="G179" s="87"/>
      <c r="H179" s="88"/>
      <c r="J179" s="39"/>
    </row>
    <row r="180" spans="1:14" s="55" customFormat="1" x14ac:dyDescent="0.35">
      <c r="A180" s="54">
        <v>1</v>
      </c>
      <c r="B180" s="54" t="s">
        <v>200</v>
      </c>
      <c r="C180" s="54" t="s">
        <v>202</v>
      </c>
      <c r="D180" s="57">
        <f>(60.43)*10.764</f>
        <v>650.46852000000001</v>
      </c>
      <c r="E180" s="54">
        <v>0</v>
      </c>
      <c r="F180" s="54">
        <f>D180*(($F$154)+1)+(IF(E180&lt;101,E180,IF(E180&lt;201,E180/2,IF(E180&lt;=301,E180/3,E180/4))))</f>
        <v>1008.226206</v>
      </c>
      <c r="G180" s="89" t="str">
        <f>A179</f>
        <v>5th Floor</v>
      </c>
      <c r="H180" s="90"/>
      <c r="I180" s="39"/>
      <c r="L180" s="91"/>
      <c r="M180" s="91"/>
      <c r="N180" s="39"/>
    </row>
    <row r="181" spans="1:14" s="55" customFormat="1" x14ac:dyDescent="0.35">
      <c r="A181" s="54">
        <f t="shared" ref="A181:A183" si="12">A180+1</f>
        <v>2</v>
      </c>
      <c r="B181" s="54" t="s">
        <v>200</v>
      </c>
      <c r="C181" s="54" t="s">
        <v>202</v>
      </c>
      <c r="D181" s="57">
        <f>(71.18)*10.764</f>
        <v>766.18151999999998</v>
      </c>
      <c r="E181" s="54">
        <v>0</v>
      </c>
      <c r="F181" s="54">
        <f>D181*(($F$154)+1)+(IF(E181&lt;101,E181,IF(E181&lt;201,E181/2,IF(E181&lt;=301,E181/3,E181/4))))</f>
        <v>1187.5813559999999</v>
      </c>
      <c r="G181" s="89" t="str">
        <f t="shared" ref="G181:G183" si="13">G180</f>
        <v>5th Floor</v>
      </c>
      <c r="H181" s="90"/>
      <c r="I181" s="39"/>
      <c r="L181" s="91"/>
      <c r="M181" s="91"/>
      <c r="N181" s="39"/>
    </row>
    <row r="182" spans="1:14" s="55" customFormat="1" x14ac:dyDescent="0.35">
      <c r="A182" s="54">
        <f t="shared" si="12"/>
        <v>3</v>
      </c>
      <c r="B182" s="54" t="s">
        <v>201</v>
      </c>
      <c r="C182" s="54" t="s">
        <v>203</v>
      </c>
      <c r="D182" s="57">
        <f>(106.63)*10.764</f>
        <v>1147.76532</v>
      </c>
      <c r="E182" s="54">
        <v>0</v>
      </c>
      <c r="F182" s="54">
        <f>D182*(($F$154)+1)+(IF(E182&lt;101,E182,IF(E182&lt;201,E182/2,IF(E182&lt;=301,E182/3,E182/4))))</f>
        <v>1779.0362460000001</v>
      </c>
      <c r="G182" s="89" t="str">
        <f t="shared" si="13"/>
        <v>5th Floor</v>
      </c>
      <c r="H182" s="90"/>
      <c r="I182" s="39"/>
      <c r="L182" s="91"/>
      <c r="M182" s="91"/>
      <c r="N182" s="39"/>
    </row>
    <row r="183" spans="1:14" s="55" customFormat="1" x14ac:dyDescent="0.35">
      <c r="A183" s="54">
        <f t="shared" si="12"/>
        <v>4</v>
      </c>
      <c r="B183" s="54" t="s">
        <v>201</v>
      </c>
      <c r="C183" s="54" t="s">
        <v>202</v>
      </c>
      <c r="D183" s="57">
        <f>(60.5)*10.764</f>
        <v>651.22199999999998</v>
      </c>
      <c r="E183" s="54">
        <v>0</v>
      </c>
      <c r="F183" s="54">
        <f>D183*(($F$154)+1)+(IF(E183&lt;101,E183,IF(E183&lt;201,E183/2,IF(E183&lt;=301,E183/3,E183/4))))</f>
        <v>1009.3941</v>
      </c>
      <c r="G183" s="89" t="str">
        <f t="shared" si="13"/>
        <v>5th Floor</v>
      </c>
      <c r="H183" s="90"/>
      <c r="I183" s="39"/>
      <c r="L183" s="91"/>
      <c r="M183" s="91"/>
      <c r="N183" s="39"/>
    </row>
    <row r="184" spans="1:14" s="55" customFormat="1" x14ac:dyDescent="0.35">
      <c r="A184" s="86" t="s">
        <v>209</v>
      </c>
      <c r="B184" s="87"/>
      <c r="C184" s="87"/>
      <c r="D184" s="87"/>
      <c r="E184" s="87"/>
      <c r="F184" s="87"/>
      <c r="G184" s="87"/>
      <c r="H184" s="88"/>
      <c r="J184" s="39"/>
    </row>
    <row r="185" spans="1:14" s="55" customFormat="1" x14ac:dyDescent="0.35">
      <c r="A185" s="54">
        <v>1</v>
      </c>
      <c r="B185" s="54" t="s">
        <v>200</v>
      </c>
      <c r="C185" s="54" t="s">
        <v>202</v>
      </c>
      <c r="D185" s="57">
        <f>(60.43)*10.764</f>
        <v>650.46852000000001</v>
      </c>
      <c r="E185" s="54">
        <v>0</v>
      </c>
      <c r="F185" s="54">
        <f>D185*(($F$154)+1)+(IF(E185&lt;101,E185,IF(E185&lt;201,E185/2,IF(E185&lt;=301,E185/3,E185/4))))</f>
        <v>1008.226206</v>
      </c>
      <c r="G185" s="89" t="str">
        <f>A184</f>
        <v>6th Floor (Part Refuge Area)</v>
      </c>
      <c r="H185" s="90"/>
      <c r="I185" s="39"/>
      <c r="L185" s="91"/>
      <c r="M185" s="91"/>
      <c r="N185" s="39"/>
    </row>
    <row r="186" spans="1:14" s="55" customFormat="1" x14ac:dyDescent="0.35">
      <c r="A186" s="54">
        <f t="shared" ref="A186:A188" si="14">A185+1</f>
        <v>2</v>
      </c>
      <c r="B186" s="54" t="s">
        <v>201</v>
      </c>
      <c r="C186" s="54" t="s">
        <v>202</v>
      </c>
      <c r="D186" s="57">
        <f>(71.18)*10.764</f>
        <v>766.18151999999998</v>
      </c>
      <c r="E186" s="54">
        <v>0</v>
      </c>
      <c r="F186" s="54">
        <f>D186*(($F$154)+1)+(IF(E186&lt;101,E186,IF(E186&lt;201,E186/2,IF(E186&lt;=301,E186/3,E186/4))))</f>
        <v>1187.5813559999999</v>
      </c>
      <c r="G186" s="89" t="str">
        <f t="shared" ref="G186:G188" si="15">G185</f>
        <v>6th Floor (Part Refuge Area)</v>
      </c>
      <c r="H186" s="90"/>
      <c r="I186" s="39"/>
      <c r="L186" s="91"/>
      <c r="M186" s="91"/>
      <c r="N186" s="39"/>
    </row>
    <row r="187" spans="1:14" s="55" customFormat="1" x14ac:dyDescent="0.35">
      <c r="A187" s="54">
        <f t="shared" si="14"/>
        <v>3</v>
      </c>
      <c r="B187" s="54" t="s">
        <v>201</v>
      </c>
      <c r="C187" s="54" t="s">
        <v>203</v>
      </c>
      <c r="D187" s="57">
        <f>(106.63)*10.764</f>
        <v>1147.76532</v>
      </c>
      <c r="E187" s="54">
        <v>0</v>
      </c>
      <c r="F187" s="54">
        <f>D187*(($F$154)+1)+(IF(E187&lt;101,E187,IF(E187&lt;201,E187/2,IF(E187&lt;=301,E187/3,E187/4))))</f>
        <v>1779.0362460000001</v>
      </c>
      <c r="G187" s="89" t="str">
        <f t="shared" si="15"/>
        <v>6th Floor (Part Refuge Area)</v>
      </c>
      <c r="H187" s="90"/>
      <c r="I187" s="39"/>
      <c r="L187" s="91"/>
      <c r="M187" s="91"/>
      <c r="N187" s="39"/>
    </row>
    <row r="188" spans="1:14" s="55" customFormat="1" x14ac:dyDescent="0.35">
      <c r="A188" s="54">
        <f t="shared" si="14"/>
        <v>4</v>
      </c>
      <c r="B188" s="89" t="s">
        <v>206</v>
      </c>
      <c r="C188" s="94"/>
      <c r="D188" s="94"/>
      <c r="E188" s="94"/>
      <c r="F188" s="90"/>
      <c r="G188" s="89" t="str">
        <f t="shared" si="15"/>
        <v>6th Floor (Part Refuge Area)</v>
      </c>
      <c r="H188" s="90"/>
      <c r="I188" s="39"/>
      <c r="L188" s="91"/>
      <c r="M188" s="91"/>
      <c r="N188" s="39"/>
    </row>
    <row r="189" spans="1:14" s="55" customFormat="1" x14ac:dyDescent="0.35">
      <c r="A189" s="86" t="s">
        <v>207</v>
      </c>
      <c r="B189" s="87"/>
      <c r="C189" s="87"/>
      <c r="D189" s="87"/>
      <c r="E189" s="87"/>
      <c r="F189" s="87"/>
      <c r="G189" s="87"/>
      <c r="H189" s="88"/>
      <c r="J189" s="39"/>
    </row>
    <row r="190" spans="1:14" s="55" customFormat="1" x14ac:dyDescent="0.35">
      <c r="A190" s="54">
        <v>1</v>
      </c>
      <c r="B190" s="54" t="s">
        <v>200</v>
      </c>
      <c r="C190" s="54" t="s">
        <v>202</v>
      </c>
      <c r="D190" s="57">
        <f>(60.43)*10.764</f>
        <v>650.46852000000001</v>
      </c>
      <c r="E190" s="54">
        <v>0</v>
      </c>
      <c r="F190" s="54">
        <f>D190*(($F$154)+1)+(IF(E190&lt;101,E190,IF(E190&lt;201,E190/2,IF(E190&lt;=301,E190/3,E190/4))))</f>
        <v>1008.226206</v>
      </c>
      <c r="G190" s="89" t="str">
        <f>A189</f>
        <v>7th Floor</v>
      </c>
      <c r="H190" s="90"/>
      <c r="I190" s="39"/>
      <c r="L190" s="91"/>
      <c r="M190" s="91"/>
      <c r="N190" s="39"/>
    </row>
    <row r="191" spans="1:14" s="55" customFormat="1" x14ac:dyDescent="0.35">
      <c r="A191" s="54">
        <f t="shared" ref="A191:A193" si="16">A190+1</f>
        <v>2</v>
      </c>
      <c r="B191" s="54" t="s">
        <v>200</v>
      </c>
      <c r="C191" s="54" t="s">
        <v>202</v>
      </c>
      <c r="D191" s="57">
        <f>(71.18)*10.764</f>
        <v>766.18151999999998</v>
      </c>
      <c r="E191" s="54">
        <v>0</v>
      </c>
      <c r="F191" s="54">
        <f>D191*(($F$154)+1)+(IF(E191&lt;101,E191,IF(E191&lt;201,E191/2,IF(E191&lt;=301,E191/3,E191/4))))</f>
        <v>1187.5813559999999</v>
      </c>
      <c r="G191" s="89" t="str">
        <f t="shared" ref="G191:G193" si="17">G190</f>
        <v>7th Floor</v>
      </c>
      <c r="H191" s="90"/>
      <c r="I191" s="39"/>
      <c r="L191" s="91"/>
      <c r="M191" s="91"/>
      <c r="N191" s="39"/>
    </row>
    <row r="192" spans="1:14" s="55" customFormat="1" x14ac:dyDescent="0.35">
      <c r="A192" s="54">
        <f t="shared" si="16"/>
        <v>3</v>
      </c>
      <c r="B192" s="54" t="s">
        <v>201</v>
      </c>
      <c r="C192" s="54" t="s">
        <v>203</v>
      </c>
      <c r="D192" s="57">
        <f>(106.63)*10.764</f>
        <v>1147.76532</v>
      </c>
      <c r="E192" s="54">
        <v>0</v>
      </c>
      <c r="F192" s="54">
        <f>D192*(($F$154)+1)+(IF(E192&lt;101,E192,IF(E192&lt;201,E192/2,IF(E192&lt;=301,E192/3,E192/4))))</f>
        <v>1779.0362460000001</v>
      </c>
      <c r="G192" s="89" t="str">
        <f t="shared" si="17"/>
        <v>7th Floor</v>
      </c>
      <c r="H192" s="90"/>
      <c r="I192" s="39"/>
      <c r="L192" s="91"/>
      <c r="M192" s="91"/>
      <c r="N192" s="39"/>
    </row>
    <row r="193" spans="1:14" s="55" customFormat="1" x14ac:dyDescent="0.35">
      <c r="A193" s="54">
        <f t="shared" si="16"/>
        <v>4</v>
      </c>
      <c r="B193" s="54" t="s">
        <v>200</v>
      </c>
      <c r="C193" s="54" t="s">
        <v>202</v>
      </c>
      <c r="D193" s="57">
        <f>(60.5)*10.764</f>
        <v>651.22199999999998</v>
      </c>
      <c r="E193" s="54">
        <v>0</v>
      </c>
      <c r="F193" s="54">
        <f>D193*(($F$154)+1)+(IF(E193&lt;101,E193,IF(E193&lt;201,E193/2,IF(E193&lt;=301,E193/3,E193/4))))</f>
        <v>1009.3941</v>
      </c>
      <c r="G193" s="89" t="str">
        <f t="shared" si="17"/>
        <v>7th Floor</v>
      </c>
      <c r="H193" s="90"/>
      <c r="I193" s="39"/>
      <c r="L193" s="91"/>
      <c r="M193" s="91"/>
      <c r="N193" s="39"/>
    </row>
    <row r="194" spans="1:14" s="55" customFormat="1" x14ac:dyDescent="0.35">
      <c r="A194" s="86" t="s">
        <v>208</v>
      </c>
      <c r="B194" s="87"/>
      <c r="C194" s="87"/>
      <c r="D194" s="87"/>
      <c r="E194" s="87"/>
      <c r="F194" s="87"/>
      <c r="G194" s="87"/>
      <c r="H194" s="88"/>
      <c r="J194" s="39"/>
    </row>
    <row r="195" spans="1:14" s="55" customFormat="1" x14ac:dyDescent="0.35">
      <c r="A195" s="54">
        <v>1</v>
      </c>
      <c r="B195" s="54" t="s">
        <v>200</v>
      </c>
      <c r="C195" s="54" t="s">
        <v>202</v>
      </c>
      <c r="D195" s="57">
        <f>(71.07)*10.764</f>
        <v>764.99747999999988</v>
      </c>
      <c r="E195" s="54">
        <v>0</v>
      </c>
      <c r="F195" s="54">
        <f>D195*(($F$154)+1)+(IF(E195&lt;101,E195,IF(E195&lt;201,E195/2,IF(E195&lt;=301,E195/3,E195/4))))</f>
        <v>1185.7460939999999</v>
      </c>
      <c r="G195" s="89" t="str">
        <f>A194</f>
        <v>8th Floor</v>
      </c>
      <c r="H195" s="90"/>
      <c r="I195" s="39"/>
      <c r="L195" s="91"/>
      <c r="M195" s="91"/>
      <c r="N195" s="39"/>
    </row>
    <row r="196" spans="1:14" s="55" customFormat="1" x14ac:dyDescent="0.35">
      <c r="A196" s="54">
        <f t="shared" ref="A196:A198" si="18">A195+1</f>
        <v>2</v>
      </c>
      <c r="B196" s="54" t="s">
        <v>200</v>
      </c>
      <c r="C196" s="54" t="s">
        <v>202</v>
      </c>
      <c r="D196" s="57">
        <f>(71.18)*10.764</f>
        <v>766.18151999999998</v>
      </c>
      <c r="E196" s="54">
        <v>0</v>
      </c>
      <c r="F196" s="54">
        <f>D196*(($F$154)+1)+(IF(E196&lt;101,E196,IF(E196&lt;201,E196/2,IF(E196&lt;=301,E196/3,E196/4))))</f>
        <v>1187.5813559999999</v>
      </c>
      <c r="G196" s="89" t="str">
        <f t="shared" ref="G196:G198" si="19">G195</f>
        <v>8th Floor</v>
      </c>
      <c r="H196" s="90"/>
      <c r="I196" s="39"/>
      <c r="L196" s="91"/>
      <c r="M196" s="91"/>
      <c r="N196" s="39"/>
    </row>
    <row r="197" spans="1:14" s="55" customFormat="1" x14ac:dyDescent="0.35">
      <c r="A197" s="54">
        <f t="shared" si="18"/>
        <v>3</v>
      </c>
      <c r="B197" s="54" t="s">
        <v>200</v>
      </c>
      <c r="C197" s="54" t="s">
        <v>203</v>
      </c>
      <c r="D197" s="57">
        <f>(106.63)*10.764</f>
        <v>1147.76532</v>
      </c>
      <c r="E197" s="54">
        <v>0</v>
      </c>
      <c r="F197" s="54">
        <f>D197*(($F$154)+1)+(IF(E197&lt;101,E197,IF(E197&lt;201,E197/2,IF(E197&lt;=301,E197/3,E197/4))))</f>
        <v>1779.0362460000001</v>
      </c>
      <c r="G197" s="89" t="str">
        <f t="shared" si="19"/>
        <v>8th Floor</v>
      </c>
      <c r="H197" s="90"/>
      <c r="I197" s="39"/>
      <c r="L197" s="91"/>
      <c r="M197" s="91"/>
      <c r="N197" s="39"/>
    </row>
    <row r="198" spans="1:14" s="55" customFormat="1" x14ac:dyDescent="0.35">
      <c r="A198" s="54">
        <f t="shared" si="18"/>
        <v>4</v>
      </c>
      <c r="B198" s="54" t="s">
        <v>201</v>
      </c>
      <c r="C198" s="54" t="s">
        <v>202</v>
      </c>
      <c r="D198" s="57">
        <f>(69.06)*10.764</f>
        <v>743.36184000000003</v>
      </c>
      <c r="E198" s="54">
        <v>0</v>
      </c>
      <c r="F198" s="54">
        <f>D198*(($F$154)+1)+(IF(E198&lt;101,E198,IF(E198&lt;201,E198/2,IF(E198&lt;=301,E198/3,E198/4))))</f>
        <v>1152.2108520000002</v>
      </c>
      <c r="G198" s="89" t="str">
        <f t="shared" si="19"/>
        <v>8th Floor</v>
      </c>
      <c r="H198" s="90"/>
      <c r="I198" s="39"/>
      <c r="L198" s="91"/>
      <c r="M198" s="91"/>
      <c r="N198" s="39"/>
    </row>
    <row r="199" spans="1:14" s="60" customFormat="1" x14ac:dyDescent="0.35">
      <c r="A199" s="92" t="s">
        <v>233</v>
      </c>
      <c r="B199" s="92"/>
      <c r="C199" s="92"/>
      <c r="D199" s="92"/>
      <c r="E199" s="92"/>
      <c r="F199" s="92"/>
      <c r="G199" s="92"/>
      <c r="H199" s="92"/>
      <c r="J199" s="39"/>
    </row>
    <row r="200" spans="1:14" s="60" customFormat="1" x14ac:dyDescent="0.35">
      <c r="A200" s="54">
        <v>1</v>
      </c>
      <c r="B200" s="54" t="s">
        <v>201</v>
      </c>
      <c r="C200" s="54" t="s">
        <v>202</v>
      </c>
      <c r="D200" s="57">
        <f>(71.07)*10.764</f>
        <v>764.99747999999988</v>
      </c>
      <c r="E200" s="54">
        <v>0</v>
      </c>
      <c r="F200" s="54">
        <f>D200*(($F$154)+1)+(IF(E200&lt;101,E200,IF(E200&lt;201,E200/2,IF(E200&lt;=301,E200/3,E200/4))))</f>
        <v>1185.7460939999999</v>
      </c>
      <c r="G200" s="93" t="str">
        <f>A199</f>
        <v>9th Floor</v>
      </c>
      <c r="H200" s="93"/>
      <c r="I200" s="39"/>
      <c r="L200" s="91"/>
      <c r="M200" s="91"/>
      <c r="N200" s="39"/>
    </row>
    <row r="201" spans="1:14" s="60" customFormat="1" x14ac:dyDescent="0.35">
      <c r="A201" s="54">
        <f t="shared" ref="A201:A203" si="20">A200+1</f>
        <v>2</v>
      </c>
      <c r="B201" s="54" t="s">
        <v>201</v>
      </c>
      <c r="C201" s="54" t="s">
        <v>202</v>
      </c>
      <c r="D201" s="57">
        <f>(71.18)*10.764</f>
        <v>766.18151999999998</v>
      </c>
      <c r="E201" s="54">
        <v>0</v>
      </c>
      <c r="F201" s="54">
        <f>D201*(($F$154)+1)+(IF(E201&lt;101,E201,IF(E201&lt;201,E201/2,IF(E201&lt;=301,E201/3,E201/4))))</f>
        <v>1187.5813559999999</v>
      </c>
      <c r="G201" s="93" t="str">
        <f t="shared" ref="G201:G203" si="21">G200</f>
        <v>9th Floor</v>
      </c>
      <c r="H201" s="93"/>
      <c r="I201" s="39"/>
      <c r="L201" s="91"/>
      <c r="M201" s="91"/>
      <c r="N201" s="39"/>
    </row>
    <row r="202" spans="1:14" s="60" customFormat="1" x14ac:dyDescent="0.35">
      <c r="A202" s="54">
        <f t="shared" si="20"/>
        <v>3</v>
      </c>
      <c r="B202" s="54" t="s">
        <v>201</v>
      </c>
      <c r="C202" s="54" t="s">
        <v>203</v>
      </c>
      <c r="D202" s="57">
        <f>(106.63)*10.764</f>
        <v>1147.76532</v>
      </c>
      <c r="E202" s="54">
        <v>0</v>
      </c>
      <c r="F202" s="54">
        <f>D202*(($F$154)+1)+(IF(E202&lt;101,E202,IF(E202&lt;201,E202/2,IF(E202&lt;=301,E202/3,E202/4))))</f>
        <v>1779.0362460000001</v>
      </c>
      <c r="G202" s="93" t="str">
        <f t="shared" si="21"/>
        <v>9th Floor</v>
      </c>
      <c r="H202" s="93"/>
      <c r="I202" s="39"/>
      <c r="L202" s="91"/>
      <c r="M202" s="91"/>
      <c r="N202" s="39"/>
    </row>
    <row r="203" spans="1:14" s="60" customFormat="1" x14ac:dyDescent="0.35">
      <c r="A203" s="54">
        <f t="shared" si="20"/>
        <v>4</v>
      </c>
      <c r="B203" s="54" t="s">
        <v>201</v>
      </c>
      <c r="C203" s="54" t="s">
        <v>202</v>
      </c>
      <c r="D203" s="57">
        <f>(69.06)*10.764</f>
        <v>743.36184000000003</v>
      </c>
      <c r="E203" s="54">
        <v>0</v>
      </c>
      <c r="F203" s="54">
        <f>D203*(($F$154)+1)+(IF(E203&lt;101,E203,IF(E203&lt;201,E203/2,IF(E203&lt;=301,E203/3,E203/4))))</f>
        <v>1152.2108520000002</v>
      </c>
      <c r="G203" s="93" t="str">
        <f t="shared" si="21"/>
        <v>9th Floor</v>
      </c>
      <c r="H203" s="93"/>
      <c r="I203" s="39"/>
      <c r="L203" s="91"/>
      <c r="M203" s="91"/>
      <c r="N203" s="39"/>
    </row>
    <row r="204" spans="1:14" s="55" customFormat="1" x14ac:dyDescent="0.35">
      <c r="A204" s="92" t="s">
        <v>234</v>
      </c>
      <c r="B204" s="92"/>
      <c r="C204" s="92"/>
      <c r="D204" s="92"/>
      <c r="E204" s="92"/>
      <c r="F204" s="92"/>
      <c r="G204" s="92"/>
      <c r="H204" s="92"/>
      <c r="J204" s="39"/>
    </row>
    <row r="205" spans="1:14" s="55" customFormat="1" x14ac:dyDescent="0.35">
      <c r="A205" s="54">
        <v>1</v>
      </c>
      <c r="B205" s="54" t="s">
        <v>201</v>
      </c>
      <c r="C205" s="54" t="s">
        <v>202</v>
      </c>
      <c r="D205" s="57">
        <f>(71.07)*10.764</f>
        <v>764.99747999999988</v>
      </c>
      <c r="E205" s="54">
        <v>0</v>
      </c>
      <c r="F205" s="54">
        <f>D205*(($F$154)+1)+(IF(E205&lt;101,E205,IF(E205&lt;201,E205/2,IF(E205&lt;=301,E205/3,E205/4))))</f>
        <v>1185.7460939999999</v>
      </c>
      <c r="G205" s="93" t="str">
        <f>A204</f>
        <v>10th &amp; 11th Floor</v>
      </c>
      <c r="H205" s="93"/>
      <c r="I205" s="39"/>
      <c r="L205" s="91"/>
      <c r="M205" s="91"/>
      <c r="N205" s="39"/>
    </row>
    <row r="206" spans="1:14" s="55" customFormat="1" x14ac:dyDescent="0.35">
      <c r="A206" s="54">
        <f t="shared" ref="A206:A208" si="22">A205+1</f>
        <v>2</v>
      </c>
      <c r="B206" s="54" t="s">
        <v>201</v>
      </c>
      <c r="C206" s="54" t="s">
        <v>202</v>
      </c>
      <c r="D206" s="57">
        <f>(71.18)*10.764</f>
        <v>766.18151999999998</v>
      </c>
      <c r="E206" s="54">
        <v>0</v>
      </c>
      <c r="F206" s="54">
        <f>D206*(($F$154)+1)+(IF(E206&lt;101,E206,IF(E206&lt;201,E206/2,IF(E206&lt;=301,E206/3,E206/4))))</f>
        <v>1187.5813559999999</v>
      </c>
      <c r="G206" s="89" t="str">
        <f t="shared" ref="G206:G208" si="23">G205</f>
        <v>10th &amp; 11th Floor</v>
      </c>
      <c r="H206" s="90"/>
      <c r="I206" s="39"/>
      <c r="L206" s="91"/>
      <c r="M206" s="91"/>
      <c r="N206" s="39"/>
    </row>
    <row r="207" spans="1:14" s="55" customFormat="1" x14ac:dyDescent="0.35">
      <c r="A207" s="54">
        <f t="shared" si="22"/>
        <v>3</v>
      </c>
      <c r="B207" s="54" t="s">
        <v>201</v>
      </c>
      <c r="C207" s="54" t="s">
        <v>203</v>
      </c>
      <c r="D207" s="57">
        <f>(106.63)*10.764</f>
        <v>1147.76532</v>
      </c>
      <c r="E207" s="54">
        <v>0</v>
      </c>
      <c r="F207" s="54">
        <f>D207*(($F$154)+1)+(IF(E207&lt;101,E207,IF(E207&lt;201,E207/2,IF(E207&lt;=301,E207/3,E207/4))))</f>
        <v>1779.0362460000001</v>
      </c>
      <c r="G207" s="89" t="str">
        <f t="shared" si="23"/>
        <v>10th &amp; 11th Floor</v>
      </c>
      <c r="H207" s="90"/>
      <c r="I207" s="39"/>
      <c r="L207" s="91"/>
      <c r="M207" s="91"/>
      <c r="N207" s="39"/>
    </row>
    <row r="208" spans="1:14" s="55" customFormat="1" x14ac:dyDescent="0.35">
      <c r="A208" s="54">
        <f t="shared" si="22"/>
        <v>4</v>
      </c>
      <c r="B208" s="54" t="s">
        <v>201</v>
      </c>
      <c r="C208" s="54" t="s">
        <v>202</v>
      </c>
      <c r="D208" s="57">
        <f>(69.06)*10.764</f>
        <v>743.36184000000003</v>
      </c>
      <c r="E208" s="54">
        <v>0</v>
      </c>
      <c r="F208" s="54">
        <f>D208*(($F$154)+1)+(IF(E208&lt;101,E208,IF(E208&lt;201,E208/2,IF(E208&lt;=301,E208/3,E208/4))))</f>
        <v>1152.2108520000002</v>
      </c>
      <c r="G208" s="89" t="str">
        <f t="shared" si="23"/>
        <v>10th &amp; 11th Floor</v>
      </c>
      <c r="H208" s="90"/>
      <c r="I208" s="39"/>
      <c r="L208" s="91"/>
      <c r="M208" s="91"/>
      <c r="N208" s="39"/>
    </row>
    <row r="209" spans="1:14" s="55" customFormat="1" x14ac:dyDescent="0.35">
      <c r="A209" s="86" t="s">
        <v>227</v>
      </c>
      <c r="B209" s="87"/>
      <c r="C209" s="87"/>
      <c r="D209" s="87"/>
      <c r="E209" s="87"/>
      <c r="F209" s="87"/>
      <c r="G209" s="87"/>
      <c r="H209" s="88"/>
      <c r="J209" s="39"/>
    </row>
    <row r="210" spans="1:14" s="58" customFormat="1" x14ac:dyDescent="0.35">
      <c r="A210" s="54">
        <v>1</v>
      </c>
      <c r="B210" s="54" t="s">
        <v>201</v>
      </c>
      <c r="C210" s="54" t="s">
        <v>202</v>
      </c>
      <c r="D210" s="57">
        <f>(71.07)*10.764</f>
        <v>764.99747999999988</v>
      </c>
      <c r="E210" s="54">
        <v>0</v>
      </c>
      <c r="F210" s="54">
        <f>D210*(($F$154)+1)+(IF(E210&lt;101,E210,IF(E210&lt;201,E210/2,IF(E210&lt;=301,E210/3,E210/4))))</f>
        <v>1185.7460939999999</v>
      </c>
      <c r="G210" s="89" t="str">
        <f>A209</f>
        <v>12th Floor (Part Terrace Area)</v>
      </c>
      <c r="H210" s="90"/>
      <c r="I210" s="39"/>
      <c r="L210" s="91"/>
      <c r="M210" s="91"/>
      <c r="N210" s="39"/>
    </row>
    <row r="211" spans="1:14" s="55" customFormat="1" x14ac:dyDescent="0.35">
      <c r="A211" s="54">
        <v>2</v>
      </c>
      <c r="B211" s="54" t="s">
        <v>201</v>
      </c>
      <c r="C211" s="54" t="s">
        <v>202</v>
      </c>
      <c r="D211" s="57">
        <f>(71.18)*10.764</f>
        <v>766.18151999999998</v>
      </c>
      <c r="E211" s="54">
        <v>0</v>
      </c>
      <c r="F211" s="54">
        <f>D211*(($F$154)+1)+(IF(E211&lt;101,E211,IF(E211&lt;201,E211/2,IF(E211&lt;=301,E211/3,E211/4))))</f>
        <v>1187.5813559999999</v>
      </c>
      <c r="G211" s="89" t="str">
        <f>A209</f>
        <v>12th Floor (Part Terrace Area)</v>
      </c>
      <c r="H211" s="90"/>
      <c r="I211" s="39"/>
      <c r="L211" s="91"/>
      <c r="M211" s="91"/>
      <c r="N211" s="39"/>
    </row>
    <row r="212" spans="1:14" s="55" customFormat="1" x14ac:dyDescent="0.35">
      <c r="A212" s="54">
        <f t="shared" ref="A212:A213" si="24">A211+1</f>
        <v>3</v>
      </c>
      <c r="B212" s="54" t="s">
        <v>201</v>
      </c>
      <c r="C212" s="54" t="s">
        <v>203</v>
      </c>
      <c r="D212" s="57">
        <f>(123.13)*10.764</f>
        <v>1325.37132</v>
      </c>
      <c r="E212" s="54">
        <v>0</v>
      </c>
      <c r="F212" s="54">
        <f>D212*(($F$154)+1)+(IF(E212&lt;101,E212,IF(E212&lt;201,E212/2,IF(E212&lt;=301,E212/3,E212/4))))</f>
        <v>2054.325546</v>
      </c>
      <c r="G212" s="89" t="str">
        <f t="shared" ref="G212:G213" si="25">G211</f>
        <v>12th Floor (Part Terrace Area)</v>
      </c>
      <c r="H212" s="90"/>
      <c r="I212" s="39"/>
      <c r="L212" s="91"/>
      <c r="M212" s="91"/>
      <c r="N212" s="39"/>
    </row>
    <row r="213" spans="1:14" s="55" customFormat="1" x14ac:dyDescent="0.35">
      <c r="A213" s="54">
        <f t="shared" si="24"/>
        <v>4</v>
      </c>
      <c r="B213" s="54" t="s">
        <v>221</v>
      </c>
      <c r="C213" s="89" t="s">
        <v>235</v>
      </c>
      <c r="D213" s="94"/>
      <c r="E213" s="94"/>
      <c r="F213" s="90"/>
      <c r="G213" s="89" t="str">
        <f t="shared" si="25"/>
        <v>12th Floor (Part Terrace Area)</v>
      </c>
      <c r="H213" s="90"/>
      <c r="I213" s="39"/>
      <c r="L213" s="91"/>
      <c r="M213" s="91"/>
      <c r="N213" s="39"/>
    </row>
    <row r="214" spans="1:14" s="55" customFormat="1" x14ac:dyDescent="0.35">
      <c r="A214" s="86" t="s">
        <v>210</v>
      </c>
      <c r="B214" s="87"/>
      <c r="C214" s="87"/>
      <c r="D214" s="87"/>
      <c r="E214" s="87"/>
      <c r="F214" s="87"/>
      <c r="G214" s="87"/>
      <c r="H214" s="88"/>
      <c r="J214" s="39"/>
    </row>
    <row r="215" spans="1:14" s="55" customFormat="1" ht="15.75" customHeight="1" x14ac:dyDescent="0.35">
      <c r="A215" s="86" t="s">
        <v>236</v>
      </c>
      <c r="B215" s="87"/>
      <c r="C215" s="87"/>
      <c r="D215" s="87"/>
      <c r="E215" s="87"/>
      <c r="F215" s="87"/>
      <c r="G215" s="87"/>
      <c r="H215" s="88"/>
      <c r="J215" s="39"/>
    </row>
    <row r="216" spans="1:14" s="55" customFormat="1" ht="15.75" customHeight="1" x14ac:dyDescent="0.35">
      <c r="A216" s="86" t="s">
        <v>237</v>
      </c>
      <c r="B216" s="87"/>
      <c r="C216" s="87"/>
      <c r="D216" s="87"/>
      <c r="E216" s="87"/>
      <c r="F216" s="87"/>
      <c r="G216" s="87"/>
      <c r="H216" s="88"/>
      <c r="J216" s="39"/>
    </row>
    <row r="217" spans="1:14" s="55" customFormat="1" ht="15.75" customHeight="1" x14ac:dyDescent="0.35">
      <c r="A217" s="97" t="s">
        <v>238</v>
      </c>
      <c r="B217" s="98"/>
      <c r="C217" s="98"/>
      <c r="D217" s="98"/>
      <c r="E217" s="98"/>
      <c r="F217" s="98"/>
      <c r="G217" s="98"/>
      <c r="H217" s="99"/>
      <c r="J217" s="39"/>
    </row>
    <row r="218" spans="1:14" s="55" customFormat="1" x14ac:dyDescent="0.35">
      <c r="A218" s="86" t="s">
        <v>198</v>
      </c>
      <c r="B218" s="87"/>
      <c r="C218" s="87"/>
      <c r="D218" s="87"/>
      <c r="E218" s="87"/>
      <c r="F218" s="87"/>
      <c r="G218" s="87"/>
      <c r="H218" s="88"/>
      <c r="J218" s="39"/>
    </row>
    <row r="219" spans="1:14" s="55" customFormat="1" x14ac:dyDescent="0.35">
      <c r="A219" s="54">
        <v>1</v>
      </c>
      <c r="B219" s="54" t="s">
        <v>221</v>
      </c>
      <c r="C219" s="89" t="s">
        <v>239</v>
      </c>
      <c r="D219" s="94"/>
      <c r="E219" s="94"/>
      <c r="F219" s="90"/>
      <c r="G219" s="89" t="str">
        <f>A218</f>
        <v>1st Floor For Residential</v>
      </c>
      <c r="H219" s="90"/>
      <c r="I219" s="39">
        <f>3.2*4.85+2.25*3.35+3.05*3.35+3.4*3.35+2.35*1.35+2.1*1.35+5.6*1+0.9*1.15</f>
        <v>57.307499999999997</v>
      </c>
      <c r="J219" s="57">
        <v>10.763999999999999</v>
      </c>
      <c r="L219" s="91"/>
      <c r="M219" s="91"/>
      <c r="N219" s="39"/>
    </row>
    <row r="220" spans="1:14" s="55" customFormat="1" x14ac:dyDescent="0.35">
      <c r="A220" s="54">
        <f t="shared" ref="A220:A221" si="26">A219+1</f>
        <v>2</v>
      </c>
      <c r="B220" s="54" t="s">
        <v>200</v>
      </c>
      <c r="C220" s="54" t="s">
        <v>202</v>
      </c>
      <c r="D220" s="57">
        <f>(60.62)*10.764</f>
        <v>652.51367999999991</v>
      </c>
      <c r="E220" s="54">
        <v>0</v>
      </c>
      <c r="F220" s="54">
        <f>D220*(($F$154)+1)+(IF(E220&lt;101,E220,IF(E220&lt;201,E220/2,IF(E220&lt;=301,E220/3,E220/4))))</f>
        <v>1011.3962039999999</v>
      </c>
      <c r="G220" s="89" t="str">
        <f t="shared" ref="G220:G221" si="27">G219</f>
        <v>1st Floor For Residential</v>
      </c>
      <c r="H220" s="90"/>
      <c r="I220" s="39"/>
      <c r="L220" s="91"/>
      <c r="M220" s="91"/>
      <c r="N220" s="39"/>
    </row>
    <row r="221" spans="1:14" s="55" customFormat="1" x14ac:dyDescent="0.35">
      <c r="A221" s="54">
        <f t="shared" si="26"/>
        <v>3</v>
      </c>
      <c r="B221" s="54" t="s">
        <v>201</v>
      </c>
      <c r="C221" s="54" t="s">
        <v>203</v>
      </c>
      <c r="D221" s="57">
        <f>(101.55)*10.764</f>
        <v>1093.0842</v>
      </c>
      <c r="E221" s="54">
        <v>0</v>
      </c>
      <c r="F221" s="54">
        <f>D221*(($F$154)+1)+(IF(E221&lt;101,E221,IF(E221&lt;201,E221/2,IF(E221&lt;=301,E221/3,E221/4))))</f>
        <v>1694.28051</v>
      </c>
      <c r="G221" s="89" t="str">
        <f t="shared" si="27"/>
        <v>1st Floor For Residential</v>
      </c>
      <c r="H221" s="90"/>
      <c r="I221" s="39"/>
      <c r="L221" s="91"/>
      <c r="M221" s="91"/>
      <c r="N221" s="39"/>
    </row>
    <row r="222" spans="1:14" s="55" customFormat="1" x14ac:dyDescent="0.35">
      <c r="A222" s="86" t="s">
        <v>232</v>
      </c>
      <c r="B222" s="87"/>
      <c r="C222" s="87"/>
      <c r="D222" s="87"/>
      <c r="E222" s="87"/>
      <c r="F222" s="87"/>
      <c r="G222" s="87"/>
      <c r="H222" s="88"/>
    </row>
    <row r="223" spans="1:14" s="55" customFormat="1" x14ac:dyDescent="0.35">
      <c r="A223" s="54">
        <v>1</v>
      </c>
      <c r="B223" s="54" t="s">
        <v>200</v>
      </c>
      <c r="C223" s="54" t="s">
        <v>202</v>
      </c>
      <c r="D223" s="57">
        <f>(61.04)*10.764</f>
        <v>657.03455999999994</v>
      </c>
      <c r="E223" s="54">
        <v>0</v>
      </c>
      <c r="F223" s="54">
        <f>D223*(($F$154)+1)+(IF(E223&lt;101,E223,IF(E223&lt;201,E223/2,IF(E223&lt;=301,E223/3,E223/4))))</f>
        <v>1018.403568</v>
      </c>
      <c r="G223" s="89" t="str">
        <f>A222</f>
        <v>2nd Floor</v>
      </c>
      <c r="H223" s="90"/>
      <c r="I223" s="39"/>
      <c r="L223" s="91"/>
      <c r="M223" s="91"/>
      <c r="N223" s="39"/>
    </row>
    <row r="224" spans="1:14" s="55" customFormat="1" x14ac:dyDescent="0.35">
      <c r="A224" s="54">
        <f t="shared" ref="A224:A225" si="28">A223+1</f>
        <v>2</v>
      </c>
      <c r="B224" s="54" t="s">
        <v>200</v>
      </c>
      <c r="C224" s="54" t="s">
        <v>202</v>
      </c>
      <c r="D224" s="57">
        <f>(60.62)*10.764</f>
        <v>652.51367999999991</v>
      </c>
      <c r="E224" s="54">
        <v>0</v>
      </c>
      <c r="F224" s="54">
        <f>D224*(($F$154)+1)+(IF(E224&lt;101,E224,IF(E224&lt;201,E224/2,IF(E224&lt;=301,E224/3,E224/4))))</f>
        <v>1011.3962039999999</v>
      </c>
      <c r="G224" s="89" t="str">
        <f t="shared" ref="G224:G225" si="29">G223</f>
        <v>2nd Floor</v>
      </c>
      <c r="H224" s="90"/>
      <c r="I224" s="39"/>
      <c r="L224" s="91"/>
      <c r="M224" s="91"/>
      <c r="N224" s="39"/>
    </row>
    <row r="225" spans="1:14" s="55" customFormat="1" x14ac:dyDescent="0.35">
      <c r="A225" s="54">
        <f t="shared" si="28"/>
        <v>3</v>
      </c>
      <c r="B225" s="54" t="s">
        <v>200</v>
      </c>
      <c r="C225" s="54" t="s">
        <v>203</v>
      </c>
      <c r="D225" s="57">
        <f>(101.55)*10.764</f>
        <v>1093.0842</v>
      </c>
      <c r="E225" s="54">
        <v>0</v>
      </c>
      <c r="F225" s="54">
        <f>D225*(($F$154)+1)+(IF(E225&lt;101,E225,IF(E225&lt;201,E225/2,IF(E225&lt;=301,E225/3,E225/4))))</f>
        <v>1694.28051</v>
      </c>
      <c r="G225" s="89" t="str">
        <f t="shared" si="29"/>
        <v>2nd Floor</v>
      </c>
      <c r="H225" s="90"/>
      <c r="I225" s="39"/>
      <c r="L225" s="91"/>
      <c r="M225" s="91"/>
      <c r="N225" s="39"/>
    </row>
    <row r="226" spans="1:14" s="60" customFormat="1" x14ac:dyDescent="0.35">
      <c r="A226" s="86" t="s">
        <v>231</v>
      </c>
      <c r="B226" s="87"/>
      <c r="C226" s="87"/>
      <c r="D226" s="87"/>
      <c r="E226" s="87"/>
      <c r="F226" s="87"/>
      <c r="G226" s="87"/>
      <c r="H226" s="88"/>
    </row>
    <row r="227" spans="1:14" s="60" customFormat="1" x14ac:dyDescent="0.35">
      <c r="A227" s="54">
        <v>1</v>
      </c>
      <c r="B227" s="54" t="s">
        <v>200</v>
      </c>
      <c r="C227" s="54" t="s">
        <v>202</v>
      </c>
      <c r="D227" s="57">
        <f>(61.04)*10.764</f>
        <v>657.03455999999994</v>
      </c>
      <c r="E227" s="54">
        <v>0</v>
      </c>
      <c r="F227" s="54">
        <f>D227*(($F$154)+1)+(IF(E227&lt;101,E227,IF(E227&lt;201,E227/2,IF(E227&lt;=301,E227/3,E227/4))))</f>
        <v>1018.403568</v>
      </c>
      <c r="G227" s="89" t="str">
        <f>A226</f>
        <v>3rd Floor</v>
      </c>
      <c r="H227" s="90"/>
      <c r="I227" s="39"/>
      <c r="L227" s="91"/>
      <c r="M227" s="91"/>
      <c r="N227" s="39"/>
    </row>
    <row r="228" spans="1:14" s="60" customFormat="1" x14ac:dyDescent="0.35">
      <c r="A228" s="54">
        <f t="shared" ref="A228:A229" si="30">A227+1</f>
        <v>2</v>
      </c>
      <c r="B228" s="54" t="s">
        <v>200</v>
      </c>
      <c r="C228" s="54" t="s">
        <v>202</v>
      </c>
      <c r="D228" s="57">
        <f>(60.62)*10.764</f>
        <v>652.51367999999991</v>
      </c>
      <c r="E228" s="54">
        <v>0</v>
      </c>
      <c r="F228" s="54">
        <f>D228*(($F$154)+1)+(IF(E228&lt;101,E228,IF(E228&lt;201,E228/2,IF(E228&lt;=301,E228/3,E228/4))))</f>
        <v>1011.3962039999999</v>
      </c>
      <c r="G228" s="89" t="str">
        <f t="shared" ref="G228:G229" si="31">G227</f>
        <v>3rd Floor</v>
      </c>
      <c r="H228" s="90"/>
      <c r="I228" s="39"/>
      <c r="L228" s="91"/>
      <c r="M228" s="91"/>
      <c r="N228" s="39"/>
    </row>
    <row r="229" spans="1:14" s="60" customFormat="1" x14ac:dyDescent="0.35">
      <c r="A229" s="54">
        <f t="shared" si="30"/>
        <v>3</v>
      </c>
      <c r="B229" s="54" t="s">
        <v>200</v>
      </c>
      <c r="C229" s="54" t="s">
        <v>203</v>
      </c>
      <c r="D229" s="57">
        <f>(101.55)*10.764</f>
        <v>1093.0842</v>
      </c>
      <c r="E229" s="54">
        <v>0</v>
      </c>
      <c r="F229" s="54">
        <f>D229*(($F$154)+1)+(IF(E229&lt;101,E229,IF(E229&lt;201,E229/2,IF(E229&lt;=301,E229/3,E229/4))))</f>
        <v>1694.28051</v>
      </c>
      <c r="G229" s="89" t="str">
        <f t="shared" si="31"/>
        <v>3rd Floor</v>
      </c>
      <c r="H229" s="90"/>
      <c r="I229" s="39"/>
      <c r="L229" s="91"/>
      <c r="M229" s="91"/>
      <c r="N229" s="39"/>
    </row>
    <row r="230" spans="1:14" s="55" customFormat="1" x14ac:dyDescent="0.35">
      <c r="A230" s="86" t="s">
        <v>204</v>
      </c>
      <c r="B230" s="87"/>
      <c r="C230" s="87"/>
      <c r="D230" s="87"/>
      <c r="E230" s="87"/>
      <c r="F230" s="87"/>
      <c r="G230" s="87"/>
      <c r="H230" s="88"/>
    </row>
    <row r="231" spans="1:14" s="55" customFormat="1" x14ac:dyDescent="0.35">
      <c r="A231" s="54">
        <v>1</v>
      </c>
      <c r="B231" s="54" t="s">
        <v>200</v>
      </c>
      <c r="C231" s="54" t="s">
        <v>202</v>
      </c>
      <c r="D231" s="57">
        <f>(61.04)*10.764</f>
        <v>657.03455999999994</v>
      </c>
      <c r="E231" s="54">
        <v>0</v>
      </c>
      <c r="F231" s="54">
        <f>D231*(($F$154)+1)+(IF(E231&lt;101,E231,IF(E231&lt;201,E231/2,IF(E231&lt;=301,E231/3,E231/4))))</f>
        <v>1018.403568</v>
      </c>
      <c r="G231" s="89" t="str">
        <f>A230</f>
        <v>4th Floor</v>
      </c>
      <c r="H231" s="90"/>
      <c r="I231" s="39"/>
      <c r="L231" s="91"/>
      <c r="M231" s="91"/>
      <c r="N231" s="39"/>
    </row>
    <row r="232" spans="1:14" s="55" customFormat="1" x14ac:dyDescent="0.35">
      <c r="A232" s="54">
        <f t="shared" ref="A232:A233" si="32">A231+1</f>
        <v>2</v>
      </c>
      <c r="B232" s="54" t="s">
        <v>200</v>
      </c>
      <c r="C232" s="54" t="s">
        <v>202</v>
      </c>
      <c r="D232" s="57">
        <f>(60.62)*10.764</f>
        <v>652.51367999999991</v>
      </c>
      <c r="E232" s="54">
        <v>0</v>
      </c>
      <c r="F232" s="54">
        <f>D232*(($F$154)+1)+(IF(E232&lt;101,E232,IF(E232&lt;201,E232/2,IF(E232&lt;=301,E232/3,E232/4))))</f>
        <v>1011.3962039999999</v>
      </c>
      <c r="G232" s="89" t="str">
        <f t="shared" ref="G232:G233" si="33">G231</f>
        <v>4th Floor</v>
      </c>
      <c r="H232" s="90"/>
      <c r="I232" s="39"/>
      <c r="L232" s="91"/>
      <c r="M232" s="91"/>
      <c r="N232" s="39"/>
    </row>
    <row r="233" spans="1:14" s="55" customFormat="1" x14ac:dyDescent="0.35">
      <c r="A233" s="54">
        <f t="shared" si="32"/>
        <v>3</v>
      </c>
      <c r="B233" s="54" t="s">
        <v>201</v>
      </c>
      <c r="C233" s="54" t="s">
        <v>203</v>
      </c>
      <c r="D233" s="57">
        <f>(101.55)*10.764</f>
        <v>1093.0842</v>
      </c>
      <c r="E233" s="54">
        <v>0</v>
      </c>
      <c r="F233" s="54">
        <f>D233*(($F$154)+1)+(IF(E233&lt;101,E233,IF(E233&lt;201,E233/2,IF(E233&lt;=301,E233/3,E233/4))))</f>
        <v>1694.28051</v>
      </c>
      <c r="G233" s="89" t="str">
        <f t="shared" si="33"/>
        <v>4th Floor</v>
      </c>
      <c r="H233" s="90"/>
      <c r="I233" s="39"/>
      <c r="L233" s="91"/>
      <c r="M233" s="91"/>
      <c r="N233" s="39"/>
    </row>
    <row r="234" spans="1:14" s="55" customFormat="1" x14ac:dyDescent="0.35">
      <c r="A234" s="86" t="s">
        <v>205</v>
      </c>
      <c r="B234" s="87"/>
      <c r="C234" s="87"/>
      <c r="D234" s="87"/>
      <c r="E234" s="87"/>
      <c r="F234" s="87"/>
      <c r="G234" s="87"/>
      <c r="H234" s="88"/>
    </row>
    <row r="235" spans="1:14" s="55" customFormat="1" x14ac:dyDescent="0.35">
      <c r="A235" s="54">
        <v>1</v>
      </c>
      <c r="B235" s="54" t="s">
        <v>200</v>
      </c>
      <c r="C235" s="54" t="s">
        <v>202</v>
      </c>
      <c r="D235" s="57">
        <f>(61.04)*10.764</f>
        <v>657.03455999999994</v>
      </c>
      <c r="E235" s="54">
        <v>0</v>
      </c>
      <c r="F235" s="54">
        <f>D235*(($F$154)+1)+(IF(E235&lt;101,E235,IF(E235&lt;201,E235/2,IF(E235&lt;=301,E235/3,E235/4))))</f>
        <v>1018.403568</v>
      </c>
      <c r="G235" s="89" t="str">
        <f>A234</f>
        <v>5th Floor</v>
      </c>
      <c r="H235" s="90"/>
      <c r="I235" s="39"/>
      <c r="L235" s="91"/>
      <c r="M235" s="91"/>
      <c r="N235" s="39"/>
    </row>
    <row r="236" spans="1:14" s="55" customFormat="1" x14ac:dyDescent="0.35">
      <c r="A236" s="54">
        <f t="shared" ref="A236:A237" si="34">A235+1</f>
        <v>2</v>
      </c>
      <c r="B236" s="54" t="s">
        <v>200</v>
      </c>
      <c r="C236" s="54" t="s">
        <v>202</v>
      </c>
      <c r="D236" s="57">
        <f>(60.62)*10.764</f>
        <v>652.51367999999991</v>
      </c>
      <c r="E236" s="54">
        <v>0</v>
      </c>
      <c r="F236" s="54">
        <f>D236*(($F$154)+1)+(IF(E236&lt;101,E236,IF(E236&lt;201,E236/2,IF(E236&lt;=301,E236/3,E236/4))))</f>
        <v>1011.3962039999999</v>
      </c>
      <c r="G236" s="89" t="str">
        <f t="shared" ref="G236:G237" si="35">G235</f>
        <v>5th Floor</v>
      </c>
      <c r="H236" s="90"/>
      <c r="I236" s="39"/>
      <c r="L236" s="91"/>
      <c r="M236" s="91"/>
      <c r="N236" s="39"/>
    </row>
    <row r="237" spans="1:14" s="55" customFormat="1" x14ac:dyDescent="0.35">
      <c r="A237" s="54">
        <f t="shared" si="34"/>
        <v>3</v>
      </c>
      <c r="B237" s="54" t="s">
        <v>200</v>
      </c>
      <c r="C237" s="54" t="s">
        <v>203</v>
      </c>
      <c r="D237" s="57">
        <f>(101.55)*10.764</f>
        <v>1093.0842</v>
      </c>
      <c r="E237" s="54">
        <v>0</v>
      </c>
      <c r="F237" s="54">
        <f>D237*(($F$154)+1)+(IF(E237&lt;101,E237,IF(E237&lt;201,E237/2,IF(E237&lt;=301,E237/3,E237/4))))</f>
        <v>1694.28051</v>
      </c>
      <c r="G237" s="89" t="str">
        <f t="shared" si="35"/>
        <v>5th Floor</v>
      </c>
      <c r="H237" s="90"/>
      <c r="I237" s="39"/>
      <c r="L237" s="91"/>
      <c r="M237" s="91"/>
      <c r="N237" s="39"/>
    </row>
    <row r="238" spans="1:14" s="55" customFormat="1" x14ac:dyDescent="0.35">
      <c r="A238" s="86" t="s">
        <v>209</v>
      </c>
      <c r="B238" s="87"/>
      <c r="C238" s="87"/>
      <c r="D238" s="87"/>
      <c r="E238" s="87"/>
      <c r="F238" s="87"/>
      <c r="G238" s="87"/>
      <c r="H238" s="88"/>
    </row>
    <row r="239" spans="1:14" s="55" customFormat="1" x14ac:dyDescent="0.35">
      <c r="A239" s="54">
        <v>1</v>
      </c>
      <c r="B239" s="89" t="s">
        <v>206</v>
      </c>
      <c r="C239" s="94"/>
      <c r="D239" s="94"/>
      <c r="E239" s="94"/>
      <c r="F239" s="90"/>
      <c r="G239" s="89" t="str">
        <f>A238</f>
        <v>6th Floor (Part Refuge Area)</v>
      </c>
      <c r="H239" s="90"/>
      <c r="I239" s="39"/>
      <c r="L239" s="91"/>
      <c r="M239" s="91"/>
      <c r="N239" s="39"/>
    </row>
    <row r="240" spans="1:14" s="55" customFormat="1" x14ac:dyDescent="0.35">
      <c r="A240" s="54">
        <f t="shared" ref="A240:A241" si="36">A239+1</f>
        <v>2</v>
      </c>
      <c r="B240" s="54" t="s">
        <v>200</v>
      </c>
      <c r="C240" s="54" t="s">
        <v>202</v>
      </c>
      <c r="D240" s="57">
        <f>(60.62)*10.764</f>
        <v>652.51367999999991</v>
      </c>
      <c r="E240" s="54">
        <v>0</v>
      </c>
      <c r="F240" s="54">
        <f>D240*(($F$154)+1)+(IF(E240&lt;101,E240,IF(E240&lt;201,E240/2,IF(E240&lt;=301,E240/3,E240/4))))</f>
        <v>1011.3962039999999</v>
      </c>
      <c r="G240" s="89" t="str">
        <f t="shared" ref="G240:G241" si="37">G239</f>
        <v>6th Floor (Part Refuge Area)</v>
      </c>
      <c r="H240" s="90"/>
      <c r="I240" s="39"/>
      <c r="L240" s="91"/>
      <c r="M240" s="91"/>
      <c r="N240" s="39"/>
    </row>
    <row r="241" spans="1:14" s="55" customFormat="1" x14ac:dyDescent="0.35">
      <c r="A241" s="54">
        <f t="shared" si="36"/>
        <v>3</v>
      </c>
      <c r="B241" s="54" t="s">
        <v>200</v>
      </c>
      <c r="C241" s="54" t="s">
        <v>203</v>
      </c>
      <c r="D241" s="57">
        <f>(101.55)*10.764</f>
        <v>1093.0842</v>
      </c>
      <c r="E241" s="54">
        <v>0</v>
      </c>
      <c r="F241" s="54">
        <f>D241*(($F$154)+1)+(IF(E241&lt;101,E241,IF(E241&lt;201,E241/2,IF(E241&lt;=301,E241/3,E241/4))))</f>
        <v>1694.28051</v>
      </c>
      <c r="G241" s="89" t="str">
        <f t="shared" si="37"/>
        <v>6th Floor (Part Refuge Area)</v>
      </c>
      <c r="H241" s="90"/>
      <c r="I241" s="39"/>
      <c r="L241" s="91"/>
      <c r="M241" s="91"/>
      <c r="N241" s="39"/>
    </row>
    <row r="242" spans="1:14" s="55" customFormat="1" x14ac:dyDescent="0.35">
      <c r="A242" s="92" t="s">
        <v>207</v>
      </c>
      <c r="B242" s="92"/>
      <c r="C242" s="92"/>
      <c r="D242" s="92"/>
      <c r="E242" s="92"/>
      <c r="F242" s="92"/>
      <c r="G242" s="92"/>
      <c r="H242" s="92"/>
    </row>
    <row r="243" spans="1:14" s="55" customFormat="1" x14ac:dyDescent="0.35">
      <c r="A243" s="54">
        <v>1</v>
      </c>
      <c r="B243" s="54" t="s">
        <v>201</v>
      </c>
      <c r="C243" s="54" t="s">
        <v>202</v>
      </c>
      <c r="D243" s="57">
        <f>(61.04)*10.764</f>
        <v>657.03455999999994</v>
      </c>
      <c r="E243" s="54">
        <v>0</v>
      </c>
      <c r="F243" s="54">
        <f>D243*(($F$154)+1)+(IF(E243&lt;101,E243,IF(E243&lt;201,E243/2,IF(E243&lt;=301,E243/3,E243/4))))</f>
        <v>1018.403568</v>
      </c>
      <c r="G243" s="93" t="str">
        <f>A242</f>
        <v>7th Floor</v>
      </c>
      <c r="H243" s="93"/>
      <c r="I243" s="39"/>
      <c r="L243" s="91"/>
      <c r="M243" s="91"/>
      <c r="N243" s="39"/>
    </row>
    <row r="244" spans="1:14" s="55" customFormat="1" x14ac:dyDescent="0.35">
      <c r="A244" s="54">
        <f t="shared" ref="A244:A245" si="38">A243+1</f>
        <v>2</v>
      </c>
      <c r="B244" s="54" t="s">
        <v>200</v>
      </c>
      <c r="C244" s="54" t="s">
        <v>202</v>
      </c>
      <c r="D244" s="57">
        <f>(60.62)*10.764</f>
        <v>652.51367999999991</v>
      </c>
      <c r="E244" s="54">
        <v>0</v>
      </c>
      <c r="F244" s="54">
        <f>D244*(($F$154)+1)+(IF(E244&lt;101,E244,IF(E244&lt;201,E244/2,IF(E244&lt;=301,E244/3,E244/4))))</f>
        <v>1011.3962039999999</v>
      </c>
      <c r="G244" s="93" t="str">
        <f t="shared" ref="G244:G245" si="39">G243</f>
        <v>7th Floor</v>
      </c>
      <c r="H244" s="93"/>
      <c r="I244" s="39"/>
      <c r="L244" s="91"/>
      <c r="M244" s="91"/>
      <c r="N244" s="39"/>
    </row>
    <row r="245" spans="1:14" s="55" customFormat="1" x14ac:dyDescent="0.35">
      <c r="A245" s="54">
        <f t="shared" si="38"/>
        <v>3</v>
      </c>
      <c r="B245" s="54" t="s">
        <v>201</v>
      </c>
      <c r="C245" s="54" t="s">
        <v>203</v>
      </c>
      <c r="D245" s="57">
        <f>(101.55)*10.764</f>
        <v>1093.0842</v>
      </c>
      <c r="E245" s="54">
        <v>0</v>
      </c>
      <c r="F245" s="54">
        <f>D245*(($F$154)+1)+(IF(E245&lt;101,E245,IF(E245&lt;201,E245/2,IF(E245&lt;=301,E245/3,E245/4))))</f>
        <v>1694.28051</v>
      </c>
      <c r="G245" s="93" t="str">
        <f t="shared" si="39"/>
        <v>7th Floor</v>
      </c>
      <c r="H245" s="93"/>
      <c r="I245" s="39"/>
      <c r="L245" s="91"/>
      <c r="M245" s="91"/>
      <c r="N245" s="39"/>
    </row>
    <row r="246" spans="1:14" s="55" customFormat="1" x14ac:dyDescent="0.35">
      <c r="A246" s="92" t="s">
        <v>208</v>
      </c>
      <c r="B246" s="92"/>
      <c r="C246" s="92"/>
      <c r="D246" s="92"/>
      <c r="E246" s="92"/>
      <c r="F246" s="92"/>
      <c r="G246" s="92"/>
      <c r="H246" s="92"/>
    </row>
    <row r="247" spans="1:14" s="55" customFormat="1" x14ac:dyDescent="0.35">
      <c r="A247" s="54">
        <v>1</v>
      </c>
      <c r="B247" s="54" t="s">
        <v>200</v>
      </c>
      <c r="C247" s="54" t="s">
        <v>202</v>
      </c>
      <c r="D247" s="57">
        <f>(61.04)*10.764</f>
        <v>657.03455999999994</v>
      </c>
      <c r="E247" s="54">
        <v>0</v>
      </c>
      <c r="F247" s="54">
        <f>D247*(($F$154)+1)+(IF(E247&lt;101,E247,IF(E247&lt;201,E247/2,IF(E247&lt;=301,E247/3,E247/4))))</f>
        <v>1018.403568</v>
      </c>
      <c r="G247" s="89" t="str">
        <f>A246</f>
        <v>8th Floor</v>
      </c>
      <c r="H247" s="90"/>
      <c r="I247" s="39"/>
      <c r="L247" s="91"/>
      <c r="M247" s="91"/>
      <c r="N247" s="39"/>
    </row>
    <row r="248" spans="1:14" s="55" customFormat="1" x14ac:dyDescent="0.35">
      <c r="A248" s="54">
        <f t="shared" ref="A248:A249" si="40">A247+1</f>
        <v>2</v>
      </c>
      <c r="B248" s="54" t="s">
        <v>200</v>
      </c>
      <c r="C248" s="54" t="s">
        <v>202</v>
      </c>
      <c r="D248" s="57">
        <f>(60.62)*10.764</f>
        <v>652.51367999999991</v>
      </c>
      <c r="E248" s="54">
        <v>0</v>
      </c>
      <c r="F248" s="54">
        <f>D248*(($F$154)+1)+(IF(E248&lt;101,E248,IF(E248&lt;201,E248/2,IF(E248&lt;=301,E248/3,E248/4))))</f>
        <v>1011.3962039999999</v>
      </c>
      <c r="G248" s="89" t="str">
        <f t="shared" ref="G248:G249" si="41">G247</f>
        <v>8th Floor</v>
      </c>
      <c r="H248" s="90"/>
      <c r="I248" s="39"/>
      <c r="L248" s="91"/>
      <c r="M248" s="91"/>
      <c r="N248" s="39"/>
    </row>
    <row r="249" spans="1:14" s="55" customFormat="1" x14ac:dyDescent="0.35">
      <c r="A249" s="54">
        <f t="shared" si="40"/>
        <v>3</v>
      </c>
      <c r="B249" s="54" t="s">
        <v>201</v>
      </c>
      <c r="C249" s="54" t="s">
        <v>203</v>
      </c>
      <c r="D249" s="57">
        <f>(101.55)*10.764</f>
        <v>1093.0842</v>
      </c>
      <c r="E249" s="54">
        <v>0</v>
      </c>
      <c r="F249" s="54">
        <f>D249*(($F$154)+1)+(IF(E249&lt;101,E249,IF(E249&lt;201,E249/2,IF(E249&lt;=301,E249/3,E249/4))))</f>
        <v>1694.28051</v>
      </c>
      <c r="G249" s="89" t="str">
        <f t="shared" si="41"/>
        <v>8th Floor</v>
      </c>
      <c r="H249" s="90"/>
      <c r="I249" s="39"/>
      <c r="L249" s="91"/>
      <c r="M249" s="91"/>
      <c r="N249" s="39"/>
    </row>
    <row r="250" spans="1:14" s="60" customFormat="1" x14ac:dyDescent="0.35">
      <c r="A250" s="86" t="s">
        <v>233</v>
      </c>
      <c r="B250" s="87"/>
      <c r="C250" s="87"/>
      <c r="D250" s="87"/>
      <c r="E250" s="87"/>
      <c r="F250" s="87"/>
      <c r="G250" s="87"/>
      <c r="H250" s="88"/>
    </row>
    <row r="251" spans="1:14" s="60" customFormat="1" x14ac:dyDescent="0.35">
      <c r="A251" s="54">
        <v>1</v>
      </c>
      <c r="B251" s="54" t="s">
        <v>201</v>
      </c>
      <c r="C251" s="54" t="s">
        <v>202</v>
      </c>
      <c r="D251" s="57">
        <f>(66.6)*10.764</f>
        <v>716.88239999999985</v>
      </c>
      <c r="E251" s="54">
        <v>0</v>
      </c>
      <c r="F251" s="54">
        <f>D251*(($F$154)+1)+(IF(E251&lt;101,E251,IF(E251&lt;201,E251/2,IF(E251&lt;=301,E251/3,E251/4))))</f>
        <v>1111.1677199999997</v>
      </c>
      <c r="G251" s="89" t="str">
        <f>A250</f>
        <v>9th Floor</v>
      </c>
      <c r="H251" s="90"/>
      <c r="I251" s="39"/>
      <c r="L251" s="91"/>
      <c r="M251" s="91"/>
      <c r="N251" s="39"/>
    </row>
    <row r="252" spans="1:14" s="60" customFormat="1" x14ac:dyDescent="0.35">
      <c r="A252" s="54">
        <f t="shared" ref="A252:A253" si="42">A251+1</f>
        <v>2</v>
      </c>
      <c r="B252" s="54" t="s">
        <v>201</v>
      </c>
      <c r="C252" s="54" t="s">
        <v>202</v>
      </c>
      <c r="D252" s="57">
        <f>(67.33)*10.764</f>
        <v>724.74011999999993</v>
      </c>
      <c r="E252" s="54">
        <v>0</v>
      </c>
      <c r="F252" s="54">
        <f>D252*(($F$154)+1)+(IF(E252&lt;101,E252,IF(E252&lt;201,E252/2,IF(E252&lt;=301,E252/3,E252/4))))</f>
        <v>1123.347186</v>
      </c>
      <c r="G252" s="89" t="str">
        <f t="shared" ref="G252:G253" si="43">G251</f>
        <v>9th Floor</v>
      </c>
      <c r="H252" s="90"/>
      <c r="I252" s="39"/>
      <c r="L252" s="91"/>
      <c r="M252" s="91"/>
      <c r="N252" s="39"/>
    </row>
    <row r="253" spans="1:14" s="60" customFormat="1" x14ac:dyDescent="0.35">
      <c r="A253" s="54">
        <f t="shared" si="42"/>
        <v>3</v>
      </c>
      <c r="B253" s="54" t="s">
        <v>201</v>
      </c>
      <c r="C253" s="54" t="s">
        <v>203</v>
      </c>
      <c r="D253" s="57">
        <f>(101.55)*10.764</f>
        <v>1093.0842</v>
      </c>
      <c r="E253" s="54">
        <v>0</v>
      </c>
      <c r="F253" s="54">
        <f>D253*(($F$154)+1)+(IF(E253&lt;101,E253,IF(E253&lt;201,E253/2,IF(E253&lt;=301,E253/3,E253/4))))</f>
        <v>1694.28051</v>
      </c>
      <c r="G253" s="89" t="str">
        <f t="shared" si="43"/>
        <v>9th Floor</v>
      </c>
      <c r="H253" s="90"/>
      <c r="I253" s="39"/>
      <c r="L253" s="91"/>
      <c r="M253" s="91"/>
      <c r="N253" s="39"/>
    </row>
    <row r="254" spans="1:14" s="55" customFormat="1" x14ac:dyDescent="0.35">
      <c r="A254" s="86" t="s">
        <v>234</v>
      </c>
      <c r="B254" s="87"/>
      <c r="C254" s="87"/>
      <c r="D254" s="87"/>
      <c r="E254" s="87"/>
      <c r="F254" s="87"/>
      <c r="G254" s="87"/>
      <c r="H254" s="88"/>
    </row>
    <row r="255" spans="1:14" s="55" customFormat="1" x14ac:dyDescent="0.35">
      <c r="A255" s="54">
        <v>1</v>
      </c>
      <c r="B255" s="54" t="s">
        <v>201</v>
      </c>
      <c r="C255" s="54" t="s">
        <v>202</v>
      </c>
      <c r="D255" s="57">
        <f>(66.6)*10.764</f>
        <v>716.88239999999985</v>
      </c>
      <c r="E255" s="54">
        <v>0</v>
      </c>
      <c r="F255" s="54">
        <f>D255*(($F$154)+1)+(IF(E255&lt;101,E255,IF(E255&lt;201,E255/2,IF(E255&lt;=301,E255/3,E255/4))))</f>
        <v>1111.1677199999997</v>
      </c>
      <c r="G255" s="89" t="str">
        <f>A254</f>
        <v>10th &amp; 11th Floor</v>
      </c>
      <c r="H255" s="90"/>
      <c r="I255" s="39"/>
      <c r="L255" s="91"/>
      <c r="M255" s="91"/>
      <c r="N255" s="39"/>
    </row>
    <row r="256" spans="1:14" s="55" customFormat="1" x14ac:dyDescent="0.35">
      <c r="A256" s="54">
        <f t="shared" ref="A256:A257" si="44">A255+1</f>
        <v>2</v>
      </c>
      <c r="B256" s="54" t="s">
        <v>201</v>
      </c>
      <c r="C256" s="54" t="s">
        <v>202</v>
      </c>
      <c r="D256" s="57">
        <f>(67.33)*10.764</f>
        <v>724.74011999999993</v>
      </c>
      <c r="E256" s="54">
        <v>0</v>
      </c>
      <c r="F256" s="54">
        <f>D256*(($F$154)+1)+(IF(E256&lt;101,E256,IF(E256&lt;201,E256/2,IF(E256&lt;=301,E256/3,E256/4))))</f>
        <v>1123.347186</v>
      </c>
      <c r="G256" s="89" t="str">
        <f t="shared" ref="G256:G257" si="45">G255</f>
        <v>10th &amp; 11th Floor</v>
      </c>
      <c r="H256" s="90"/>
      <c r="I256" s="39"/>
      <c r="L256" s="91"/>
      <c r="M256" s="91"/>
      <c r="N256" s="39"/>
    </row>
    <row r="257" spans="1:14" s="55" customFormat="1" x14ac:dyDescent="0.35">
      <c r="A257" s="54">
        <f t="shared" si="44"/>
        <v>3</v>
      </c>
      <c r="B257" s="54" t="s">
        <v>201</v>
      </c>
      <c r="C257" s="54" t="s">
        <v>203</v>
      </c>
      <c r="D257" s="57">
        <f>(101.55)*10.764</f>
        <v>1093.0842</v>
      </c>
      <c r="E257" s="54">
        <v>0</v>
      </c>
      <c r="F257" s="54">
        <f>D257*(($F$154)+1)+(IF(E257&lt;101,E257,IF(E257&lt;201,E257/2,IF(E257&lt;=301,E257/3,E257/4))))</f>
        <v>1694.28051</v>
      </c>
      <c r="G257" s="89" t="str">
        <f t="shared" si="45"/>
        <v>10th &amp; 11th Floor</v>
      </c>
      <c r="H257" s="90"/>
      <c r="I257" s="39"/>
      <c r="L257" s="91"/>
      <c r="M257" s="91"/>
      <c r="N257" s="39"/>
    </row>
    <row r="258" spans="1:14" s="55" customFormat="1" x14ac:dyDescent="0.35">
      <c r="A258" s="86" t="s">
        <v>219</v>
      </c>
      <c r="B258" s="87"/>
      <c r="C258" s="87"/>
      <c r="D258" s="87"/>
      <c r="E258" s="87"/>
      <c r="F258" s="87"/>
      <c r="G258" s="87"/>
      <c r="H258" s="88"/>
      <c r="J258" s="39"/>
    </row>
    <row r="259" spans="1:14" s="55" customFormat="1" x14ac:dyDescent="0.35">
      <c r="A259" s="86" t="s">
        <v>228</v>
      </c>
      <c r="B259" s="87"/>
      <c r="C259" s="87"/>
      <c r="D259" s="87"/>
      <c r="E259" s="87"/>
      <c r="F259" s="87"/>
      <c r="G259" s="87"/>
      <c r="H259" s="88"/>
      <c r="J259" s="39"/>
    </row>
    <row r="260" spans="1:14" s="55" customFormat="1" x14ac:dyDescent="0.35">
      <c r="A260" s="86" t="s">
        <v>237</v>
      </c>
      <c r="B260" s="87"/>
      <c r="C260" s="87"/>
      <c r="D260" s="87"/>
      <c r="E260" s="87"/>
      <c r="F260" s="87"/>
      <c r="G260" s="87"/>
      <c r="H260" s="88"/>
      <c r="J260" s="39"/>
    </row>
    <row r="261" spans="1:14" s="55" customFormat="1" x14ac:dyDescent="0.35">
      <c r="A261" s="86" t="s">
        <v>240</v>
      </c>
      <c r="B261" s="87"/>
      <c r="C261" s="87"/>
      <c r="D261" s="87"/>
      <c r="E261" s="87"/>
      <c r="F261" s="87"/>
      <c r="G261" s="87"/>
      <c r="H261" s="88"/>
      <c r="J261" s="39"/>
    </row>
    <row r="262" spans="1:14" s="55" customFormat="1" x14ac:dyDescent="0.35">
      <c r="A262" s="86" t="s">
        <v>198</v>
      </c>
      <c r="B262" s="87"/>
      <c r="C262" s="87"/>
      <c r="D262" s="87"/>
      <c r="E262" s="87"/>
      <c r="F262" s="87"/>
      <c r="G262" s="87"/>
      <c r="H262" s="88"/>
      <c r="J262" s="39"/>
    </row>
    <row r="263" spans="1:14" s="55" customFormat="1" x14ac:dyDescent="0.35">
      <c r="A263" s="54">
        <v>1</v>
      </c>
      <c r="B263" s="54" t="s">
        <v>201</v>
      </c>
      <c r="C263" s="54" t="s">
        <v>202</v>
      </c>
      <c r="D263" s="57">
        <f>(66.49)*10.764</f>
        <v>715.69835999999987</v>
      </c>
      <c r="E263" s="54">
        <v>0</v>
      </c>
      <c r="F263" s="54">
        <f>D263*(($F$154)+1)+(IF(E263&lt;101,E263,IF(E263&lt;201,E263/2,IF(E263&lt;=301,E263/3,E263/4))))</f>
        <v>1109.3324579999999</v>
      </c>
      <c r="G263" s="89" t="str">
        <f>A262</f>
        <v>1st Floor For Residential</v>
      </c>
      <c r="H263" s="90"/>
      <c r="I263" s="39"/>
      <c r="J263" s="57">
        <v>10.763999999999999</v>
      </c>
      <c r="L263" s="91"/>
      <c r="M263" s="91"/>
      <c r="N263" s="39"/>
    </row>
    <row r="264" spans="1:14" s="55" customFormat="1" x14ac:dyDescent="0.35">
      <c r="A264" s="54">
        <f t="shared" ref="A264:A266" si="46">A263+1</f>
        <v>2</v>
      </c>
      <c r="B264" s="54" t="s">
        <v>200</v>
      </c>
      <c r="C264" s="54" t="s">
        <v>211</v>
      </c>
      <c r="D264" s="57">
        <f>(75.86)*10.764</f>
        <v>816.55703999999992</v>
      </c>
      <c r="E264" s="54">
        <v>0</v>
      </c>
      <c r="F264" s="54">
        <f>D264*(($F$154)+1)+(IF(E264&lt;101,E264,IF(E264&lt;201,E264/2,IF(E264&lt;=301,E264/3,E264/4))))</f>
        <v>1265.6634119999999</v>
      </c>
      <c r="G264" s="89" t="str">
        <f t="shared" ref="G264:G266" si="47">G263</f>
        <v>1st Floor For Residential</v>
      </c>
      <c r="H264" s="90"/>
      <c r="I264" s="39"/>
      <c r="L264" s="91"/>
      <c r="M264" s="91"/>
      <c r="N264" s="39"/>
    </row>
    <row r="265" spans="1:14" s="55" customFormat="1" x14ac:dyDescent="0.35">
      <c r="A265" s="54">
        <f t="shared" si="46"/>
        <v>3</v>
      </c>
      <c r="B265" s="54" t="s">
        <v>200</v>
      </c>
      <c r="C265" s="54" t="s">
        <v>211</v>
      </c>
      <c r="D265" s="57">
        <f>(75.86)*10.764</f>
        <v>816.55703999999992</v>
      </c>
      <c r="E265" s="54">
        <v>0</v>
      </c>
      <c r="F265" s="54">
        <f>D265*(($F$154)+1)+(IF(E265&lt;101,E265,IF(E265&lt;201,E265/2,IF(E265&lt;=301,E265/3,E265/4))))</f>
        <v>1265.6634119999999</v>
      </c>
      <c r="G265" s="89" t="str">
        <f t="shared" si="47"/>
        <v>1st Floor For Residential</v>
      </c>
      <c r="H265" s="90"/>
      <c r="I265" s="39"/>
      <c r="L265" s="91"/>
      <c r="M265" s="91"/>
      <c r="N265" s="39"/>
    </row>
    <row r="266" spans="1:14" s="55" customFormat="1" x14ac:dyDescent="0.35">
      <c r="A266" s="54">
        <f t="shared" si="46"/>
        <v>4</v>
      </c>
      <c r="B266" s="54" t="s">
        <v>200</v>
      </c>
      <c r="C266" s="54" t="s">
        <v>202</v>
      </c>
      <c r="D266" s="57">
        <f>(60.46)*10.764</f>
        <v>650.79143999999997</v>
      </c>
      <c r="E266" s="54">
        <v>0</v>
      </c>
      <c r="F266" s="54">
        <f>D266*(($F$154)+1)+(IF(E266&lt;101,E266,IF(E266&lt;201,E266/2,IF(E266&lt;=301,E266/3,E266/4))))</f>
        <v>1008.726732</v>
      </c>
      <c r="G266" s="89" t="str">
        <f t="shared" si="47"/>
        <v>1st Floor For Residential</v>
      </c>
      <c r="H266" s="90"/>
      <c r="I266" s="39"/>
      <c r="L266" s="91"/>
      <c r="M266" s="91"/>
      <c r="N266" s="39"/>
    </row>
    <row r="267" spans="1:14" s="60" customFormat="1" x14ac:dyDescent="0.35">
      <c r="A267" s="86" t="s">
        <v>232</v>
      </c>
      <c r="B267" s="87"/>
      <c r="C267" s="87"/>
      <c r="D267" s="87"/>
      <c r="E267" s="87"/>
      <c r="F267" s="87"/>
      <c r="G267" s="87"/>
      <c r="H267" s="88"/>
    </row>
    <row r="268" spans="1:14" s="60" customFormat="1" x14ac:dyDescent="0.35">
      <c r="A268" s="54">
        <v>1</v>
      </c>
      <c r="B268" s="54" t="s">
        <v>201</v>
      </c>
      <c r="C268" s="54" t="s">
        <v>202</v>
      </c>
      <c r="D268" s="57">
        <f>(66.49)*10.764</f>
        <v>715.69835999999987</v>
      </c>
      <c r="E268" s="54">
        <v>0</v>
      </c>
      <c r="F268" s="54">
        <f>D268*(($F$154)+1)+(IF(E268&lt;101,E268,IF(E268&lt;201,E268/2,IF(E268&lt;=301,E268/3,E268/4))))</f>
        <v>1109.3324579999999</v>
      </c>
      <c r="G268" s="89" t="str">
        <f>A267</f>
        <v>2nd Floor</v>
      </c>
      <c r="H268" s="90"/>
      <c r="I268" s="39"/>
      <c r="L268" s="91"/>
      <c r="M268" s="91"/>
      <c r="N268" s="39"/>
    </row>
    <row r="269" spans="1:14" s="60" customFormat="1" x14ac:dyDescent="0.35">
      <c r="A269" s="54">
        <f t="shared" ref="A269:A271" si="48">A268+1</f>
        <v>2</v>
      </c>
      <c r="B269" s="54" t="s">
        <v>200</v>
      </c>
      <c r="C269" s="54" t="s">
        <v>211</v>
      </c>
      <c r="D269" s="57">
        <f>(75.86)*10.764</f>
        <v>816.55703999999992</v>
      </c>
      <c r="E269" s="54">
        <v>0</v>
      </c>
      <c r="F269" s="54">
        <f>D269*(($F$154)+1)+(IF(E269&lt;101,E269,IF(E269&lt;201,E269/2,IF(E269&lt;=301,E269/3,E269/4))))</f>
        <v>1265.6634119999999</v>
      </c>
      <c r="G269" s="89" t="str">
        <f t="shared" ref="G269:G271" si="49">G268</f>
        <v>2nd Floor</v>
      </c>
      <c r="H269" s="90"/>
      <c r="I269" s="39"/>
      <c r="L269" s="91"/>
      <c r="M269" s="91"/>
      <c r="N269" s="39"/>
    </row>
    <row r="270" spans="1:14" s="60" customFormat="1" x14ac:dyDescent="0.35">
      <c r="A270" s="54">
        <f t="shared" si="48"/>
        <v>3</v>
      </c>
      <c r="B270" s="54" t="s">
        <v>200</v>
      </c>
      <c r="C270" s="54" t="s">
        <v>211</v>
      </c>
      <c r="D270" s="57">
        <f>(75.86)*10.764</f>
        <v>816.55703999999992</v>
      </c>
      <c r="E270" s="54">
        <v>0</v>
      </c>
      <c r="F270" s="54">
        <f>D270*(($F$154)+1)+(IF(E270&lt;101,E270,IF(E270&lt;201,E270/2,IF(E270&lt;=301,E270/3,E270/4))))</f>
        <v>1265.6634119999999</v>
      </c>
      <c r="G270" s="89" t="str">
        <f t="shared" si="49"/>
        <v>2nd Floor</v>
      </c>
      <c r="H270" s="90"/>
      <c r="I270" s="39"/>
      <c r="L270" s="91"/>
      <c r="M270" s="91"/>
      <c r="N270" s="39"/>
    </row>
    <row r="271" spans="1:14" s="60" customFormat="1" x14ac:dyDescent="0.35">
      <c r="A271" s="54">
        <f t="shared" si="48"/>
        <v>4</v>
      </c>
      <c r="B271" s="54" t="s">
        <v>200</v>
      </c>
      <c r="C271" s="54" t="s">
        <v>202</v>
      </c>
      <c r="D271" s="57">
        <f>(60.46)*10.764</f>
        <v>650.79143999999997</v>
      </c>
      <c r="E271" s="54">
        <v>0</v>
      </c>
      <c r="F271" s="54">
        <f>D271*(($F$154)+1)+(IF(E271&lt;101,E271,IF(E271&lt;201,E271/2,IF(E271&lt;=301,E271/3,E271/4))))</f>
        <v>1008.726732</v>
      </c>
      <c r="G271" s="89" t="str">
        <f t="shared" si="49"/>
        <v>2nd Floor</v>
      </c>
      <c r="H271" s="90"/>
      <c r="I271" s="39"/>
      <c r="L271" s="91"/>
      <c r="M271" s="91"/>
      <c r="N271" s="39"/>
    </row>
    <row r="272" spans="1:14" s="55" customFormat="1" x14ac:dyDescent="0.35">
      <c r="A272" s="86" t="s">
        <v>231</v>
      </c>
      <c r="B272" s="87"/>
      <c r="C272" s="87"/>
      <c r="D272" s="87"/>
      <c r="E272" s="87"/>
      <c r="F272" s="87"/>
      <c r="G272" s="87"/>
      <c r="H272" s="88"/>
    </row>
    <row r="273" spans="1:14" s="55" customFormat="1" x14ac:dyDescent="0.35">
      <c r="A273" s="54">
        <v>1</v>
      </c>
      <c r="B273" s="54" t="s">
        <v>201</v>
      </c>
      <c r="C273" s="54" t="s">
        <v>202</v>
      </c>
      <c r="D273" s="57">
        <f>(66.49)*10.764</f>
        <v>715.69835999999987</v>
      </c>
      <c r="E273" s="54">
        <v>0</v>
      </c>
      <c r="F273" s="54">
        <f>D273*(($F$154)+1)+(IF(E273&lt;101,E273,IF(E273&lt;201,E273/2,IF(E273&lt;=301,E273/3,E273/4))))</f>
        <v>1109.3324579999999</v>
      </c>
      <c r="G273" s="89" t="str">
        <f>A272</f>
        <v>3rd Floor</v>
      </c>
      <c r="H273" s="90"/>
      <c r="I273" s="39"/>
      <c r="L273" s="91"/>
      <c r="M273" s="91"/>
      <c r="N273" s="39"/>
    </row>
    <row r="274" spans="1:14" s="55" customFormat="1" x14ac:dyDescent="0.35">
      <c r="A274" s="54">
        <f t="shared" ref="A274:A276" si="50">A273+1</f>
        <v>2</v>
      </c>
      <c r="B274" s="54" t="s">
        <v>201</v>
      </c>
      <c r="C274" s="54" t="s">
        <v>211</v>
      </c>
      <c r="D274" s="57">
        <f>(75.86)*10.764</f>
        <v>816.55703999999992</v>
      </c>
      <c r="E274" s="54">
        <v>0</v>
      </c>
      <c r="F274" s="54">
        <f>D274*(($F$154)+1)+(IF(E274&lt;101,E274,IF(E274&lt;201,E274/2,IF(E274&lt;=301,E274/3,E274/4))))</f>
        <v>1265.6634119999999</v>
      </c>
      <c r="G274" s="89" t="str">
        <f t="shared" ref="G274:G276" si="51">G273</f>
        <v>3rd Floor</v>
      </c>
      <c r="H274" s="90"/>
      <c r="I274" s="39"/>
      <c r="L274" s="91"/>
      <c r="M274" s="91"/>
      <c r="N274" s="39"/>
    </row>
    <row r="275" spans="1:14" s="55" customFormat="1" x14ac:dyDescent="0.35">
      <c r="A275" s="54">
        <f t="shared" si="50"/>
        <v>3</v>
      </c>
      <c r="B275" s="54" t="s">
        <v>200</v>
      </c>
      <c r="C275" s="54" t="s">
        <v>211</v>
      </c>
      <c r="D275" s="57">
        <f>(75.86)*10.764</f>
        <v>816.55703999999992</v>
      </c>
      <c r="E275" s="54">
        <v>0</v>
      </c>
      <c r="F275" s="54">
        <f>D275*(($F$154)+1)+(IF(E275&lt;101,E275,IF(E275&lt;201,E275/2,IF(E275&lt;=301,E275/3,E275/4))))</f>
        <v>1265.6634119999999</v>
      </c>
      <c r="G275" s="89" t="str">
        <f t="shared" si="51"/>
        <v>3rd Floor</v>
      </c>
      <c r="H275" s="90"/>
      <c r="I275" s="39"/>
      <c r="L275" s="91"/>
      <c r="M275" s="91"/>
      <c r="N275" s="39"/>
    </row>
    <row r="276" spans="1:14" s="55" customFormat="1" x14ac:dyDescent="0.35">
      <c r="A276" s="54">
        <f t="shared" si="50"/>
        <v>4</v>
      </c>
      <c r="B276" s="54" t="s">
        <v>200</v>
      </c>
      <c r="C276" s="54" t="s">
        <v>202</v>
      </c>
      <c r="D276" s="57">
        <f>(60.46)*10.764</f>
        <v>650.79143999999997</v>
      </c>
      <c r="E276" s="54">
        <v>0</v>
      </c>
      <c r="F276" s="54">
        <f>D276*(($F$154)+1)+(IF(E276&lt;101,E276,IF(E276&lt;201,E276/2,IF(E276&lt;=301,E276/3,E276/4))))</f>
        <v>1008.726732</v>
      </c>
      <c r="G276" s="89" t="str">
        <f t="shared" si="51"/>
        <v>3rd Floor</v>
      </c>
      <c r="H276" s="90"/>
      <c r="I276" s="39"/>
      <c r="L276" s="91"/>
      <c r="M276" s="91"/>
      <c r="N276" s="39"/>
    </row>
    <row r="277" spans="1:14" s="55" customFormat="1" x14ac:dyDescent="0.35">
      <c r="A277" s="86" t="s">
        <v>204</v>
      </c>
      <c r="B277" s="87"/>
      <c r="C277" s="87"/>
      <c r="D277" s="87"/>
      <c r="E277" s="87"/>
      <c r="F277" s="87"/>
      <c r="G277" s="87"/>
      <c r="H277" s="88"/>
    </row>
    <row r="278" spans="1:14" s="55" customFormat="1" x14ac:dyDescent="0.35">
      <c r="A278" s="54">
        <v>1</v>
      </c>
      <c r="B278" s="54" t="s">
        <v>201</v>
      </c>
      <c r="C278" s="54" t="s">
        <v>202</v>
      </c>
      <c r="D278" s="57">
        <f>(66.49)*10.764</f>
        <v>715.69835999999987</v>
      </c>
      <c r="E278" s="54">
        <v>0</v>
      </c>
      <c r="F278" s="54">
        <f>D278*(($F$154)+1)+(IF(E278&lt;101,E278,IF(E278&lt;201,E278/2,IF(E278&lt;=301,E278/3,E278/4))))</f>
        <v>1109.3324579999999</v>
      </c>
      <c r="G278" s="89" t="str">
        <f>A277</f>
        <v>4th Floor</v>
      </c>
      <c r="H278" s="90"/>
      <c r="I278" s="39"/>
      <c r="L278" s="91"/>
      <c r="M278" s="91"/>
      <c r="N278" s="39"/>
    </row>
    <row r="279" spans="1:14" s="55" customFormat="1" x14ac:dyDescent="0.35">
      <c r="A279" s="54">
        <f t="shared" ref="A279:A281" si="52">A278+1</f>
        <v>2</v>
      </c>
      <c r="B279" s="54" t="s">
        <v>200</v>
      </c>
      <c r="C279" s="54" t="s">
        <v>211</v>
      </c>
      <c r="D279" s="57">
        <f>(75.86)*10.764</f>
        <v>816.55703999999992</v>
      </c>
      <c r="E279" s="54">
        <v>0</v>
      </c>
      <c r="F279" s="54">
        <f>D279*(($F$154)+1)+(IF(E279&lt;101,E279,IF(E279&lt;201,E279/2,IF(E279&lt;=301,E279/3,E279/4))))</f>
        <v>1265.6634119999999</v>
      </c>
      <c r="G279" s="89" t="str">
        <f t="shared" ref="G279:G281" si="53">G278</f>
        <v>4th Floor</v>
      </c>
      <c r="H279" s="90"/>
      <c r="I279" s="39"/>
      <c r="L279" s="91"/>
      <c r="M279" s="91"/>
      <c r="N279" s="39"/>
    </row>
    <row r="280" spans="1:14" s="55" customFormat="1" x14ac:dyDescent="0.35">
      <c r="A280" s="54">
        <f t="shared" si="52"/>
        <v>3</v>
      </c>
      <c r="B280" s="54" t="s">
        <v>200</v>
      </c>
      <c r="C280" s="54" t="s">
        <v>211</v>
      </c>
      <c r="D280" s="57">
        <f>(75.86)*10.764</f>
        <v>816.55703999999992</v>
      </c>
      <c r="E280" s="54">
        <v>0</v>
      </c>
      <c r="F280" s="54">
        <f>D280*(($F$154)+1)+(IF(E280&lt;101,E280,IF(E280&lt;201,E280/2,IF(E280&lt;=301,E280/3,E280/4))))</f>
        <v>1265.6634119999999</v>
      </c>
      <c r="G280" s="89" t="str">
        <f t="shared" si="53"/>
        <v>4th Floor</v>
      </c>
      <c r="H280" s="90"/>
      <c r="I280" s="39"/>
      <c r="L280" s="91"/>
      <c r="M280" s="91"/>
      <c r="N280" s="39"/>
    </row>
    <row r="281" spans="1:14" s="55" customFormat="1" x14ac:dyDescent="0.35">
      <c r="A281" s="54">
        <f t="shared" si="52"/>
        <v>4</v>
      </c>
      <c r="B281" s="54" t="s">
        <v>201</v>
      </c>
      <c r="C281" s="54" t="s">
        <v>202</v>
      </c>
      <c r="D281" s="57">
        <f>(60.46)*10.764</f>
        <v>650.79143999999997</v>
      </c>
      <c r="E281" s="54">
        <v>0</v>
      </c>
      <c r="F281" s="54">
        <f>D281*(($F$154)+1)+(IF(E281&lt;101,E281,IF(E281&lt;201,E281/2,IF(E281&lt;=301,E281/3,E281/4))))</f>
        <v>1008.726732</v>
      </c>
      <c r="G281" s="89" t="str">
        <f t="shared" si="53"/>
        <v>4th Floor</v>
      </c>
      <c r="H281" s="90"/>
      <c r="I281" s="39"/>
      <c r="L281" s="91"/>
      <c r="M281" s="91"/>
      <c r="N281" s="39"/>
    </row>
    <row r="282" spans="1:14" s="55" customFormat="1" x14ac:dyDescent="0.35">
      <c r="A282" s="86" t="s">
        <v>205</v>
      </c>
      <c r="B282" s="87"/>
      <c r="C282" s="87"/>
      <c r="D282" s="87"/>
      <c r="E282" s="87"/>
      <c r="F282" s="87"/>
      <c r="G282" s="87"/>
      <c r="H282" s="88"/>
    </row>
    <row r="283" spans="1:14" s="55" customFormat="1" x14ac:dyDescent="0.35">
      <c r="A283" s="54">
        <v>1</v>
      </c>
      <c r="B283" s="54" t="s">
        <v>201</v>
      </c>
      <c r="C283" s="54" t="s">
        <v>202</v>
      </c>
      <c r="D283" s="57">
        <f>(66.49)*10.764</f>
        <v>715.69835999999987</v>
      </c>
      <c r="E283" s="54">
        <v>0</v>
      </c>
      <c r="F283" s="54">
        <f>D283*(($F$154)+1)+(IF(E283&lt;101,E283,IF(E283&lt;201,E283/2,IF(E283&lt;=301,E283/3,E283/4))))</f>
        <v>1109.3324579999999</v>
      </c>
      <c r="G283" s="89" t="str">
        <f>A282</f>
        <v>5th Floor</v>
      </c>
      <c r="H283" s="90"/>
      <c r="I283" s="39"/>
      <c r="L283" s="91"/>
      <c r="M283" s="91"/>
      <c r="N283" s="39"/>
    </row>
    <row r="284" spans="1:14" s="55" customFormat="1" x14ac:dyDescent="0.35">
      <c r="A284" s="54">
        <f t="shared" ref="A284:A286" si="54">A283+1</f>
        <v>2</v>
      </c>
      <c r="B284" s="54" t="s">
        <v>200</v>
      </c>
      <c r="C284" s="54" t="s">
        <v>211</v>
      </c>
      <c r="D284" s="57">
        <f>(79.1)*10.764</f>
        <v>851.43239999999992</v>
      </c>
      <c r="E284" s="54">
        <v>0</v>
      </c>
      <c r="F284" s="54">
        <f>D284*(($F$154)+1)+(IF(E284&lt;101,E284,IF(E284&lt;201,E284/2,IF(E284&lt;=301,E284/3,E284/4))))</f>
        <v>1319.7202199999999</v>
      </c>
      <c r="G284" s="89" t="str">
        <f t="shared" ref="G284:G286" si="55">G283</f>
        <v>5th Floor</v>
      </c>
      <c r="H284" s="90"/>
      <c r="I284" s="39"/>
      <c r="L284" s="91"/>
      <c r="M284" s="91"/>
      <c r="N284" s="39"/>
    </row>
    <row r="285" spans="1:14" s="55" customFormat="1" x14ac:dyDescent="0.35">
      <c r="A285" s="54">
        <f t="shared" si="54"/>
        <v>3</v>
      </c>
      <c r="B285" s="54" t="s">
        <v>200</v>
      </c>
      <c r="C285" s="54" t="s">
        <v>211</v>
      </c>
      <c r="D285" s="57">
        <f>(79.1)*10.764</f>
        <v>851.43239999999992</v>
      </c>
      <c r="E285" s="54">
        <v>0</v>
      </c>
      <c r="F285" s="54">
        <f>D285*(($F$154)+1)+(IF(E285&lt;101,E285,IF(E285&lt;201,E285/2,IF(E285&lt;=301,E285/3,E285/4))))</f>
        <v>1319.7202199999999</v>
      </c>
      <c r="G285" s="89" t="str">
        <f t="shared" si="55"/>
        <v>5th Floor</v>
      </c>
      <c r="H285" s="90"/>
      <c r="I285" s="39"/>
      <c r="L285" s="91"/>
      <c r="M285" s="91"/>
      <c r="N285" s="39"/>
    </row>
    <row r="286" spans="1:14" s="55" customFormat="1" x14ac:dyDescent="0.35">
      <c r="A286" s="54">
        <f t="shared" si="54"/>
        <v>4</v>
      </c>
      <c r="B286" s="54" t="s">
        <v>200</v>
      </c>
      <c r="C286" s="54" t="s">
        <v>202</v>
      </c>
      <c r="D286" s="57">
        <f>(60.46)*10.764</f>
        <v>650.79143999999997</v>
      </c>
      <c r="E286" s="54">
        <v>0</v>
      </c>
      <c r="F286" s="54">
        <f>D286*(($F$154)+1)+(IF(E286&lt;101,E286,IF(E286&lt;201,E286/2,IF(E286&lt;=301,E286/3,E286/4))))</f>
        <v>1008.726732</v>
      </c>
      <c r="G286" s="89" t="str">
        <f t="shared" si="55"/>
        <v>5th Floor</v>
      </c>
      <c r="H286" s="90"/>
      <c r="I286" s="39"/>
      <c r="L286" s="91"/>
      <c r="M286" s="91"/>
      <c r="N286" s="39"/>
    </row>
    <row r="287" spans="1:14" s="55" customFormat="1" x14ac:dyDescent="0.35">
      <c r="A287" s="92" t="s">
        <v>209</v>
      </c>
      <c r="B287" s="92"/>
      <c r="C287" s="92"/>
      <c r="D287" s="92"/>
      <c r="E287" s="92"/>
      <c r="F287" s="92"/>
      <c r="G287" s="92"/>
      <c r="H287" s="92"/>
    </row>
    <row r="288" spans="1:14" s="55" customFormat="1" x14ac:dyDescent="0.35">
      <c r="A288" s="54">
        <v>1</v>
      </c>
      <c r="B288" s="93" t="s">
        <v>206</v>
      </c>
      <c r="C288" s="93"/>
      <c r="D288" s="93"/>
      <c r="E288" s="93"/>
      <c r="F288" s="93"/>
      <c r="G288" s="93" t="str">
        <f>A287</f>
        <v>6th Floor (Part Refuge Area)</v>
      </c>
      <c r="H288" s="93"/>
      <c r="I288" s="39"/>
      <c r="L288" s="91"/>
      <c r="M288" s="91"/>
      <c r="N288" s="39"/>
    </row>
    <row r="289" spans="1:14" s="55" customFormat="1" x14ac:dyDescent="0.35">
      <c r="A289" s="54">
        <f t="shared" ref="A289:A291" si="56">A288+1</f>
        <v>2</v>
      </c>
      <c r="B289" s="54" t="s">
        <v>201</v>
      </c>
      <c r="C289" s="54" t="s">
        <v>211</v>
      </c>
      <c r="D289" s="57">
        <f>(82.42)*10.764</f>
        <v>887.16887999999994</v>
      </c>
      <c r="E289" s="54">
        <v>0</v>
      </c>
      <c r="F289" s="54">
        <f>D289*(($F$154)+1)+(IF(E289&lt;101,E289,IF(E289&lt;201,E289/2,IF(E289&lt;=301,E289/3,E289/4))))</f>
        <v>1375.111764</v>
      </c>
      <c r="G289" s="93" t="str">
        <f t="shared" ref="G289:G291" si="57">G288</f>
        <v>6th Floor (Part Refuge Area)</v>
      </c>
      <c r="H289" s="93"/>
      <c r="I289" s="39"/>
      <c r="L289" s="91"/>
      <c r="M289" s="91"/>
      <c r="N289" s="39"/>
    </row>
    <row r="290" spans="1:14" s="55" customFormat="1" x14ac:dyDescent="0.35">
      <c r="A290" s="54">
        <f t="shared" si="56"/>
        <v>3</v>
      </c>
      <c r="B290" s="54" t="s">
        <v>200</v>
      </c>
      <c r="C290" s="54" t="s">
        <v>211</v>
      </c>
      <c r="D290" s="57">
        <f>(82.42)*10.764</f>
        <v>887.16887999999994</v>
      </c>
      <c r="E290" s="54">
        <v>0</v>
      </c>
      <c r="F290" s="54">
        <f>D290*(($F$154)+1)+(IF(E290&lt;101,E290,IF(E290&lt;201,E290/2,IF(E290&lt;=301,E290/3,E290/4))))</f>
        <v>1375.111764</v>
      </c>
      <c r="G290" s="93" t="str">
        <f t="shared" si="57"/>
        <v>6th Floor (Part Refuge Area)</v>
      </c>
      <c r="H290" s="93"/>
      <c r="I290" s="39"/>
      <c r="L290" s="91"/>
      <c r="M290" s="91"/>
      <c r="N290" s="39"/>
    </row>
    <row r="291" spans="1:14" s="55" customFormat="1" x14ac:dyDescent="0.35">
      <c r="A291" s="54">
        <f t="shared" si="56"/>
        <v>4</v>
      </c>
      <c r="B291" s="54" t="s">
        <v>200</v>
      </c>
      <c r="C291" s="54" t="s">
        <v>202</v>
      </c>
      <c r="D291" s="57">
        <f>(60.46)*10.764</f>
        <v>650.79143999999997</v>
      </c>
      <c r="E291" s="54">
        <v>0</v>
      </c>
      <c r="F291" s="54">
        <f>D291*(($F$154)+1)+(IF(E291&lt;101,E291,IF(E291&lt;201,E291/2,IF(E291&lt;=301,E291/3,E291/4))))</f>
        <v>1008.726732</v>
      </c>
      <c r="G291" s="89" t="str">
        <f t="shared" si="57"/>
        <v>6th Floor (Part Refuge Area)</v>
      </c>
      <c r="H291" s="90"/>
      <c r="I291" s="39"/>
      <c r="L291" s="91"/>
      <c r="M291" s="91"/>
      <c r="N291" s="39"/>
    </row>
    <row r="292" spans="1:14" s="55" customFormat="1" x14ac:dyDescent="0.35">
      <c r="A292" s="86" t="s">
        <v>207</v>
      </c>
      <c r="B292" s="87"/>
      <c r="C292" s="87"/>
      <c r="D292" s="87"/>
      <c r="E292" s="87"/>
      <c r="F292" s="87"/>
      <c r="G292" s="87"/>
      <c r="H292" s="88"/>
    </row>
    <row r="293" spans="1:14" s="55" customFormat="1" x14ac:dyDescent="0.35">
      <c r="A293" s="54">
        <v>1</v>
      </c>
      <c r="B293" s="54" t="s">
        <v>201</v>
      </c>
      <c r="C293" s="54" t="s">
        <v>202</v>
      </c>
      <c r="D293" s="57">
        <f>(66.49)*10.764</f>
        <v>715.69835999999987</v>
      </c>
      <c r="E293" s="54">
        <v>0</v>
      </c>
      <c r="F293" s="54">
        <f>D293*(($F$154)+1)+(IF(E293&lt;101,E293,IF(E293&lt;201,E293/2,IF(E293&lt;=301,E293/3,E293/4))))</f>
        <v>1109.3324579999999</v>
      </c>
      <c r="G293" s="89" t="str">
        <f>A292</f>
        <v>7th Floor</v>
      </c>
      <c r="H293" s="90"/>
      <c r="I293" s="39"/>
      <c r="L293" s="91"/>
      <c r="M293" s="91"/>
      <c r="N293" s="39"/>
    </row>
    <row r="294" spans="1:14" s="55" customFormat="1" x14ac:dyDescent="0.35">
      <c r="A294" s="54">
        <f t="shared" ref="A294:A296" si="58">A293+1</f>
        <v>2</v>
      </c>
      <c r="B294" s="54" t="s">
        <v>201</v>
      </c>
      <c r="C294" s="54" t="s">
        <v>211</v>
      </c>
      <c r="D294" s="57">
        <f>(82.42)*10.764</f>
        <v>887.16887999999994</v>
      </c>
      <c r="E294" s="54">
        <v>0</v>
      </c>
      <c r="F294" s="54">
        <f>D294*(($F$154)+1)+(IF(E294&lt;101,E294,IF(E294&lt;201,E294/2,IF(E294&lt;=301,E294/3,E294/4))))</f>
        <v>1375.111764</v>
      </c>
      <c r="G294" s="89" t="str">
        <f t="shared" ref="G294:G296" si="59">G293</f>
        <v>7th Floor</v>
      </c>
      <c r="H294" s="90"/>
      <c r="I294" s="39"/>
      <c r="L294" s="91"/>
      <c r="M294" s="91"/>
      <c r="N294" s="39"/>
    </row>
    <row r="295" spans="1:14" s="55" customFormat="1" x14ac:dyDescent="0.35">
      <c r="A295" s="54">
        <f t="shared" si="58"/>
        <v>3</v>
      </c>
      <c r="B295" s="54" t="s">
        <v>200</v>
      </c>
      <c r="C295" s="54" t="s">
        <v>211</v>
      </c>
      <c r="D295" s="57">
        <f>(82.42)*10.764</f>
        <v>887.16887999999994</v>
      </c>
      <c r="E295" s="54">
        <v>0</v>
      </c>
      <c r="F295" s="54">
        <f>D295*(($F$154)+1)+(IF(E295&lt;101,E295,IF(E295&lt;201,E295/2,IF(E295&lt;=301,E295/3,E295/4))))</f>
        <v>1375.111764</v>
      </c>
      <c r="G295" s="89" t="str">
        <f t="shared" si="59"/>
        <v>7th Floor</v>
      </c>
      <c r="H295" s="90"/>
      <c r="I295" s="39"/>
      <c r="L295" s="91"/>
      <c r="M295" s="91"/>
      <c r="N295" s="39"/>
    </row>
    <row r="296" spans="1:14" s="55" customFormat="1" x14ac:dyDescent="0.35">
      <c r="A296" s="54">
        <f t="shared" si="58"/>
        <v>4</v>
      </c>
      <c r="B296" s="54" t="s">
        <v>201</v>
      </c>
      <c r="C296" s="54" t="s">
        <v>202</v>
      </c>
      <c r="D296" s="57">
        <f>(65.07)*10.764</f>
        <v>700.41347999999994</v>
      </c>
      <c r="E296" s="54">
        <v>0</v>
      </c>
      <c r="F296" s="54">
        <f>D296*(($F$154)+1)+(IF(E296&lt;101,E296,IF(E296&lt;201,E296/2,IF(E296&lt;=301,E296/3,E296/4))))</f>
        <v>1085.6408939999999</v>
      </c>
      <c r="G296" s="89" t="str">
        <f t="shared" si="59"/>
        <v>7th Floor</v>
      </c>
      <c r="H296" s="90"/>
      <c r="I296" s="39"/>
      <c r="L296" s="91"/>
      <c r="M296" s="91"/>
      <c r="N296" s="39"/>
    </row>
    <row r="297" spans="1:14" s="55" customFormat="1" x14ac:dyDescent="0.35">
      <c r="A297" s="86" t="s">
        <v>208</v>
      </c>
      <c r="B297" s="87"/>
      <c r="C297" s="87"/>
      <c r="D297" s="87"/>
      <c r="E297" s="87"/>
      <c r="F297" s="87"/>
      <c r="G297" s="87"/>
      <c r="H297" s="88"/>
    </row>
    <row r="298" spans="1:14" s="55" customFormat="1" x14ac:dyDescent="0.35">
      <c r="A298" s="54">
        <v>1</v>
      </c>
      <c r="B298" s="54" t="s">
        <v>201</v>
      </c>
      <c r="C298" s="54" t="s">
        <v>202</v>
      </c>
      <c r="D298" s="57">
        <f>(66.49)*10.764</f>
        <v>715.69835999999987</v>
      </c>
      <c r="E298" s="54">
        <v>0</v>
      </c>
      <c r="F298" s="54">
        <f>D298*(($F$154)+1)+(IF(E298&lt;101,E298,IF(E298&lt;201,E298/2,IF(E298&lt;=301,E298/3,E298/4))))</f>
        <v>1109.3324579999999</v>
      </c>
      <c r="G298" s="89" t="str">
        <f>A297</f>
        <v>8th Floor</v>
      </c>
      <c r="H298" s="90"/>
      <c r="I298" s="39"/>
      <c r="L298" s="91"/>
      <c r="M298" s="91"/>
      <c r="N298" s="39"/>
    </row>
    <row r="299" spans="1:14" s="55" customFormat="1" x14ac:dyDescent="0.35">
      <c r="A299" s="54">
        <f t="shared" ref="A299:A301" si="60">A298+1</f>
        <v>2</v>
      </c>
      <c r="B299" s="54" t="s">
        <v>201</v>
      </c>
      <c r="C299" s="54" t="s">
        <v>211</v>
      </c>
      <c r="D299" s="57">
        <f>(82.42)*10.764</f>
        <v>887.16887999999994</v>
      </c>
      <c r="E299" s="54">
        <v>0</v>
      </c>
      <c r="F299" s="54">
        <f>D299*(($F$154)+1)+(IF(E299&lt;101,E299,IF(E299&lt;201,E299/2,IF(E299&lt;=301,E299/3,E299/4))))</f>
        <v>1375.111764</v>
      </c>
      <c r="G299" s="89" t="str">
        <f t="shared" ref="G299:G301" si="61">G298</f>
        <v>8th Floor</v>
      </c>
      <c r="H299" s="90"/>
      <c r="I299" s="39"/>
      <c r="L299" s="91"/>
      <c r="M299" s="91"/>
      <c r="N299" s="39"/>
    </row>
    <row r="300" spans="1:14" s="55" customFormat="1" x14ac:dyDescent="0.35">
      <c r="A300" s="54">
        <f t="shared" si="60"/>
        <v>3</v>
      </c>
      <c r="B300" s="54" t="s">
        <v>200</v>
      </c>
      <c r="C300" s="54" t="s">
        <v>211</v>
      </c>
      <c r="D300" s="57">
        <f>(82.42)*10.764</f>
        <v>887.16887999999994</v>
      </c>
      <c r="E300" s="54">
        <v>0</v>
      </c>
      <c r="F300" s="54">
        <f>D300*(($F$154)+1)+(IF(E300&lt;101,E300,IF(E300&lt;201,E300/2,IF(E300&lt;=301,E300/3,E300/4))))</f>
        <v>1375.111764</v>
      </c>
      <c r="G300" s="89" t="str">
        <f t="shared" si="61"/>
        <v>8th Floor</v>
      </c>
      <c r="H300" s="90"/>
      <c r="I300" s="39"/>
      <c r="L300" s="91"/>
      <c r="M300" s="91"/>
      <c r="N300" s="39"/>
    </row>
    <row r="301" spans="1:14" s="55" customFormat="1" x14ac:dyDescent="0.35">
      <c r="A301" s="54">
        <f t="shared" si="60"/>
        <v>4</v>
      </c>
      <c r="B301" s="54" t="s">
        <v>201</v>
      </c>
      <c r="C301" s="54" t="s">
        <v>202</v>
      </c>
      <c r="D301" s="57">
        <f>(65.07)*10.764</f>
        <v>700.41347999999994</v>
      </c>
      <c r="E301" s="54">
        <v>0</v>
      </c>
      <c r="F301" s="54">
        <f>D301*(($F$154)+1)+(IF(E301&lt;101,E301,IF(E301&lt;201,E301/2,IF(E301&lt;=301,E301/3,E301/4))))</f>
        <v>1085.6408939999999</v>
      </c>
      <c r="G301" s="89" t="str">
        <f t="shared" si="61"/>
        <v>8th Floor</v>
      </c>
      <c r="H301" s="90"/>
      <c r="I301" s="39"/>
      <c r="L301" s="91"/>
      <c r="M301" s="91"/>
      <c r="N301" s="39"/>
    </row>
    <row r="302" spans="1:14" s="55" customFormat="1" x14ac:dyDescent="0.35">
      <c r="A302" s="86" t="s">
        <v>233</v>
      </c>
      <c r="B302" s="87"/>
      <c r="C302" s="87"/>
      <c r="D302" s="87"/>
      <c r="E302" s="87"/>
      <c r="F302" s="87"/>
      <c r="G302" s="87"/>
      <c r="H302" s="88"/>
    </row>
    <row r="303" spans="1:14" s="55" customFormat="1" x14ac:dyDescent="0.35">
      <c r="A303" s="54">
        <v>1</v>
      </c>
      <c r="B303" s="54" t="s">
        <v>201</v>
      </c>
      <c r="C303" s="54" t="s">
        <v>202</v>
      </c>
      <c r="D303" s="57">
        <f>(66.49)*10.764</f>
        <v>715.69835999999987</v>
      </c>
      <c r="E303" s="54">
        <v>0</v>
      </c>
      <c r="F303" s="54">
        <f>D303*(($F$154)+1)+(IF(E303&lt;101,E303,IF(E303&lt;201,E303/2,IF(E303&lt;=301,E303/3,E303/4))))</f>
        <v>1109.3324579999999</v>
      </c>
      <c r="G303" s="89" t="str">
        <f>A302</f>
        <v>9th Floor</v>
      </c>
      <c r="H303" s="90"/>
      <c r="I303" s="39"/>
      <c r="L303" s="91"/>
      <c r="M303" s="91"/>
      <c r="N303" s="39"/>
    </row>
    <row r="304" spans="1:14" s="55" customFormat="1" x14ac:dyDescent="0.35">
      <c r="A304" s="54">
        <f t="shared" ref="A304:A306" si="62">A303+1</f>
        <v>2</v>
      </c>
      <c r="B304" s="54" t="s">
        <v>201</v>
      </c>
      <c r="C304" s="54" t="s">
        <v>211</v>
      </c>
      <c r="D304" s="57">
        <f>(82.42)*10.764</f>
        <v>887.16887999999994</v>
      </c>
      <c r="E304" s="54">
        <v>0</v>
      </c>
      <c r="F304" s="54">
        <f>D304*(($F$154)+1)+(IF(E304&lt;101,E304,IF(E304&lt;201,E304/2,IF(E304&lt;=301,E304/3,E304/4))))</f>
        <v>1375.111764</v>
      </c>
      <c r="G304" s="89" t="str">
        <f t="shared" ref="G304:G306" si="63">G303</f>
        <v>9th Floor</v>
      </c>
      <c r="H304" s="90"/>
      <c r="I304" s="39"/>
      <c r="L304" s="91"/>
      <c r="M304" s="91"/>
      <c r="N304" s="39"/>
    </row>
    <row r="305" spans="1:14" s="55" customFormat="1" x14ac:dyDescent="0.35">
      <c r="A305" s="54">
        <f t="shared" si="62"/>
        <v>3</v>
      </c>
      <c r="B305" s="54" t="s">
        <v>201</v>
      </c>
      <c r="C305" s="54" t="s">
        <v>211</v>
      </c>
      <c r="D305" s="57">
        <f>(82.42)*10.764</f>
        <v>887.16887999999994</v>
      </c>
      <c r="E305" s="54">
        <v>0</v>
      </c>
      <c r="F305" s="54">
        <f>D305*(($F$154)+1)+(IF(E305&lt;101,E305,IF(E305&lt;201,E305/2,IF(E305&lt;=301,E305/3,E305/4))))</f>
        <v>1375.111764</v>
      </c>
      <c r="G305" s="89" t="str">
        <f t="shared" si="63"/>
        <v>9th Floor</v>
      </c>
      <c r="H305" s="90"/>
      <c r="I305" s="39"/>
      <c r="L305" s="91"/>
      <c r="M305" s="91"/>
      <c r="N305" s="39"/>
    </row>
    <row r="306" spans="1:14" s="55" customFormat="1" x14ac:dyDescent="0.35">
      <c r="A306" s="54">
        <f t="shared" si="62"/>
        <v>4</v>
      </c>
      <c r="B306" s="54" t="s">
        <v>200</v>
      </c>
      <c r="C306" s="54" t="s">
        <v>202</v>
      </c>
      <c r="D306" s="57">
        <f>(65.07)*10.764</f>
        <v>700.41347999999994</v>
      </c>
      <c r="E306" s="54">
        <v>0</v>
      </c>
      <c r="F306" s="54">
        <f>D306*(($F$154)+1)+(IF(E306&lt;101,E306,IF(E306&lt;201,E306/2,IF(E306&lt;=301,E306/3,E306/4))))</f>
        <v>1085.6408939999999</v>
      </c>
      <c r="G306" s="89" t="str">
        <f t="shared" si="63"/>
        <v>9th Floor</v>
      </c>
      <c r="H306" s="90"/>
      <c r="I306" s="39"/>
      <c r="L306" s="91"/>
      <c r="M306" s="91"/>
      <c r="N306" s="39"/>
    </row>
    <row r="307" spans="1:14" s="55" customFormat="1" x14ac:dyDescent="0.35">
      <c r="A307" s="92" t="s">
        <v>234</v>
      </c>
      <c r="B307" s="92"/>
      <c r="C307" s="92"/>
      <c r="D307" s="92"/>
      <c r="E307" s="92"/>
      <c r="F307" s="92"/>
      <c r="G307" s="92"/>
      <c r="H307" s="92"/>
    </row>
    <row r="308" spans="1:14" s="55" customFormat="1" x14ac:dyDescent="0.35">
      <c r="A308" s="76">
        <v>1</v>
      </c>
      <c r="B308" s="76" t="s">
        <v>201</v>
      </c>
      <c r="C308" s="76" t="s">
        <v>202</v>
      </c>
      <c r="D308" s="57">
        <f>(66.49)*10.764</f>
        <v>715.69835999999987</v>
      </c>
      <c r="E308" s="76">
        <v>0</v>
      </c>
      <c r="F308" s="76">
        <f>D308*(($F$154)+1)+(IF(E308&lt;101,E308,IF(E308&lt;201,E308/2,IF(E308&lt;=301,E308/3,E308/4))))</f>
        <v>1109.3324579999999</v>
      </c>
      <c r="G308" s="93" t="str">
        <f>A307</f>
        <v>10th &amp; 11th Floor</v>
      </c>
      <c r="H308" s="93"/>
      <c r="I308" s="39"/>
      <c r="L308" s="91"/>
      <c r="M308" s="91"/>
      <c r="N308" s="39"/>
    </row>
    <row r="309" spans="1:14" s="55" customFormat="1" x14ac:dyDescent="0.35">
      <c r="A309" s="76">
        <f t="shared" ref="A309:A311" si="64">A308+1</f>
        <v>2</v>
      </c>
      <c r="B309" s="76" t="s">
        <v>201</v>
      </c>
      <c r="C309" s="76" t="s">
        <v>211</v>
      </c>
      <c r="D309" s="57">
        <f>(82.42)*10.764</f>
        <v>887.16887999999994</v>
      </c>
      <c r="E309" s="76">
        <v>0</v>
      </c>
      <c r="F309" s="76">
        <f>D309*(($F$154)+1)+(IF(E309&lt;101,E309,IF(E309&lt;201,E309/2,IF(E309&lt;=301,E309/3,E309/4))))</f>
        <v>1375.111764</v>
      </c>
      <c r="G309" s="93" t="str">
        <f t="shared" ref="G309:G311" si="65">G308</f>
        <v>10th &amp; 11th Floor</v>
      </c>
      <c r="H309" s="93"/>
      <c r="I309" s="39"/>
      <c r="L309" s="91"/>
      <c r="M309" s="91"/>
      <c r="N309" s="39"/>
    </row>
    <row r="310" spans="1:14" s="55" customFormat="1" x14ac:dyDescent="0.35">
      <c r="A310" s="76">
        <f t="shared" si="64"/>
        <v>3</v>
      </c>
      <c r="B310" s="76" t="s">
        <v>201</v>
      </c>
      <c r="C310" s="76" t="s">
        <v>211</v>
      </c>
      <c r="D310" s="57">
        <f>(82.42)*10.764</f>
        <v>887.16887999999994</v>
      </c>
      <c r="E310" s="76">
        <v>0</v>
      </c>
      <c r="F310" s="76">
        <f>D310*(($F$154)+1)+(IF(E310&lt;101,E310,IF(E310&lt;201,E310/2,IF(E310&lt;=301,E310/3,E310/4))))</f>
        <v>1375.111764</v>
      </c>
      <c r="G310" s="93" t="str">
        <f t="shared" si="65"/>
        <v>10th &amp; 11th Floor</v>
      </c>
      <c r="H310" s="93"/>
      <c r="I310" s="39"/>
      <c r="L310" s="91"/>
      <c r="M310" s="91"/>
      <c r="N310" s="39"/>
    </row>
    <row r="311" spans="1:14" s="55" customFormat="1" x14ac:dyDescent="0.35">
      <c r="A311" s="76">
        <f t="shared" si="64"/>
        <v>4</v>
      </c>
      <c r="B311" s="76" t="s">
        <v>201</v>
      </c>
      <c r="C311" s="76" t="s">
        <v>202</v>
      </c>
      <c r="D311" s="57">
        <f>(65.07)*10.764</f>
        <v>700.41347999999994</v>
      </c>
      <c r="E311" s="76">
        <v>0</v>
      </c>
      <c r="F311" s="76">
        <f>D311*(($F$154)+1)+(IF(E311&lt;101,E311,IF(E311&lt;201,E311/2,IF(E311&lt;=301,E311/3,E311/4))))</f>
        <v>1085.6408939999999</v>
      </c>
      <c r="G311" s="93" t="str">
        <f t="shared" si="65"/>
        <v>10th &amp; 11th Floor</v>
      </c>
      <c r="H311" s="93"/>
      <c r="I311" s="39"/>
      <c r="L311" s="91"/>
      <c r="M311" s="91"/>
      <c r="N311" s="39"/>
    </row>
    <row r="312" spans="1:14" s="38" customFormat="1" x14ac:dyDescent="0.35">
      <c r="A312" s="207" t="s">
        <v>70</v>
      </c>
      <c r="B312" s="207"/>
      <c r="C312" s="207"/>
      <c r="D312" s="207"/>
      <c r="E312" s="207"/>
      <c r="F312" s="207"/>
      <c r="G312" s="207"/>
      <c r="H312" s="207"/>
    </row>
    <row r="313" spans="1:14" s="38" customFormat="1" x14ac:dyDescent="0.35">
      <c r="A313" s="77" t="s">
        <v>159</v>
      </c>
      <c r="B313" s="221" t="s">
        <v>260</v>
      </c>
      <c r="C313" s="221"/>
      <c r="D313" s="221"/>
      <c r="E313" s="221"/>
      <c r="F313" s="221"/>
      <c r="G313" s="221"/>
      <c r="H313" s="221"/>
    </row>
    <row r="314" spans="1:14" s="38" customFormat="1" x14ac:dyDescent="0.35">
      <c r="A314" s="77" t="s">
        <v>159</v>
      </c>
      <c r="B314" s="221" t="str">
        <f>(IF(F153="Saleable area Loading :","We have considered Saleable area of Flats as per our Calculation.","We considered Saleable area of Flat as per Builder area Sheet."))</f>
        <v>We have considered Saleable area of Flats as per our Calculation.</v>
      </c>
      <c r="C314" s="221"/>
      <c r="D314" s="221"/>
      <c r="E314" s="221"/>
      <c r="F314" s="221"/>
      <c r="G314" s="221"/>
      <c r="H314" s="221"/>
    </row>
    <row r="315" spans="1:14" s="38" customFormat="1" x14ac:dyDescent="0.35">
      <c r="A315" s="77" t="s">
        <v>159</v>
      </c>
      <c r="B315" s="221" t="str">
        <f>(IF(F145="Saleable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15" s="221"/>
      <c r="D315" s="221"/>
      <c r="E315" s="221"/>
      <c r="F315" s="221"/>
      <c r="G315" s="221"/>
      <c r="H315" s="221"/>
    </row>
    <row r="316" spans="1:14" s="38" customFormat="1" x14ac:dyDescent="0.35">
      <c r="A316" s="77" t="s">
        <v>159</v>
      </c>
      <c r="B316" s="222" t="s">
        <v>128</v>
      </c>
      <c r="C316" s="222"/>
      <c r="D316" s="222"/>
      <c r="E316" s="222"/>
      <c r="F316" s="222"/>
      <c r="G316" s="222"/>
      <c r="H316" s="222"/>
    </row>
    <row r="317" spans="1:14" s="38" customFormat="1" x14ac:dyDescent="0.35">
      <c r="A317" s="77" t="s">
        <v>159</v>
      </c>
      <c r="B317" s="222" t="s">
        <v>222</v>
      </c>
      <c r="C317" s="222"/>
      <c r="D317" s="222"/>
      <c r="E317" s="222"/>
      <c r="F317" s="222"/>
      <c r="G317" s="222"/>
      <c r="H317" s="222"/>
    </row>
    <row r="318" spans="1:14" s="38" customFormat="1" x14ac:dyDescent="0.35">
      <c r="A318" s="77" t="s">
        <v>159</v>
      </c>
      <c r="B318" s="222" t="s">
        <v>158</v>
      </c>
      <c r="C318" s="222"/>
      <c r="D318" s="222"/>
      <c r="E318" s="222"/>
      <c r="F318" s="222"/>
      <c r="G318" s="222"/>
      <c r="H318" s="222"/>
    </row>
    <row r="319" spans="1:14" s="38" customFormat="1" x14ac:dyDescent="0.35">
      <c r="A319" s="77" t="s">
        <v>159</v>
      </c>
      <c r="B319" s="222" t="s">
        <v>129</v>
      </c>
      <c r="C319" s="222"/>
      <c r="D319" s="222"/>
      <c r="E319" s="222"/>
      <c r="F319" s="222"/>
      <c r="G319" s="222"/>
      <c r="H319" s="222"/>
    </row>
    <row r="320" spans="1:14" s="38" customFormat="1" ht="34.5" customHeight="1" x14ac:dyDescent="0.35">
      <c r="A320" s="48" t="s">
        <v>159</v>
      </c>
      <c r="B320" s="83" t="s">
        <v>160</v>
      </c>
      <c r="C320" s="84"/>
      <c r="D320" s="84"/>
      <c r="E320" s="84"/>
      <c r="F320" s="84"/>
      <c r="G320" s="84"/>
      <c r="H320" s="85"/>
    </row>
    <row r="321" spans="1:8" s="38" customFormat="1" x14ac:dyDescent="0.35">
      <c r="A321" s="61" t="s">
        <v>159</v>
      </c>
      <c r="B321" s="83" t="s">
        <v>130</v>
      </c>
      <c r="C321" s="84"/>
      <c r="D321" s="84"/>
      <c r="E321" s="84"/>
      <c r="F321" s="84"/>
      <c r="G321" s="84"/>
      <c r="H321" s="85"/>
    </row>
    <row r="322" spans="1:8" s="38" customFormat="1" x14ac:dyDescent="0.35">
      <c r="A322" s="48" t="s">
        <v>159</v>
      </c>
      <c r="B322" s="83" t="s">
        <v>242</v>
      </c>
      <c r="C322" s="84"/>
      <c r="D322" s="84"/>
      <c r="E322" s="84"/>
      <c r="F322" s="84"/>
      <c r="G322" s="84"/>
      <c r="H322" s="85"/>
    </row>
    <row r="323" spans="1:8" s="38" customFormat="1" x14ac:dyDescent="0.35">
      <c r="A323" s="68" t="s">
        <v>159</v>
      </c>
      <c r="B323" s="83" t="s">
        <v>249</v>
      </c>
      <c r="C323" s="84"/>
      <c r="D323" s="84"/>
      <c r="E323" s="84"/>
      <c r="F323" s="84"/>
      <c r="G323" s="84"/>
      <c r="H323" s="85"/>
    </row>
    <row r="324" spans="1:8" s="38" customFormat="1" x14ac:dyDescent="0.35">
      <c r="A324" s="77" t="s">
        <v>159</v>
      </c>
      <c r="B324" s="83" t="s">
        <v>261</v>
      </c>
      <c r="C324" s="84"/>
      <c r="D324" s="84"/>
      <c r="E324" s="84"/>
      <c r="F324" s="84"/>
      <c r="G324" s="84"/>
      <c r="H324" s="85"/>
    </row>
    <row r="325" spans="1:8" x14ac:dyDescent="0.35">
      <c r="A325" s="143" t="s">
        <v>63</v>
      </c>
      <c r="B325" s="143"/>
      <c r="C325" s="143"/>
      <c r="D325" s="143"/>
      <c r="E325" s="143"/>
      <c r="F325" s="143"/>
      <c r="G325" s="143"/>
      <c r="H325" s="143"/>
    </row>
    <row r="326" spans="1:8" x14ac:dyDescent="0.35">
      <c r="A326" s="101" t="s">
        <v>64</v>
      </c>
      <c r="B326" s="101"/>
      <c r="C326" s="101"/>
      <c r="D326" s="101"/>
      <c r="E326" s="101"/>
      <c r="F326" s="101"/>
      <c r="G326" s="101"/>
      <c r="H326" s="101"/>
    </row>
    <row r="327" spans="1:8" ht="15.75" customHeight="1" x14ac:dyDescent="0.35">
      <c r="A327" s="102" t="s">
        <v>65</v>
      </c>
      <c r="B327" s="102"/>
      <c r="C327" s="102"/>
      <c r="D327" s="102"/>
      <c r="E327" s="102"/>
      <c r="F327" s="102"/>
      <c r="G327" s="102"/>
      <c r="H327" s="102"/>
    </row>
    <row r="328" spans="1:8" x14ac:dyDescent="0.35">
      <c r="A328" s="101" t="s">
        <v>66</v>
      </c>
      <c r="B328" s="101"/>
      <c r="C328" s="101"/>
      <c r="D328" s="101"/>
      <c r="E328" s="101"/>
      <c r="F328" s="101"/>
      <c r="G328" s="101"/>
      <c r="H328" s="101"/>
    </row>
    <row r="329" spans="1:8" x14ac:dyDescent="0.35">
      <c r="A329" s="101" t="s">
        <v>67</v>
      </c>
      <c r="B329" s="101"/>
      <c r="C329" s="101"/>
      <c r="D329" s="101"/>
      <c r="E329" s="101"/>
      <c r="F329" s="101"/>
      <c r="G329" s="101"/>
      <c r="H329" s="101"/>
    </row>
    <row r="330" spans="1:8" x14ac:dyDescent="0.35">
      <c r="A330" s="101" t="s">
        <v>131</v>
      </c>
      <c r="B330" s="101"/>
      <c r="C330" s="101"/>
      <c r="D330" s="101"/>
      <c r="E330" s="101"/>
      <c r="F330" s="101"/>
      <c r="G330" s="101"/>
      <c r="H330" s="101"/>
    </row>
    <row r="331" spans="1:8" x14ac:dyDescent="0.35">
      <c r="A331" s="144" t="s">
        <v>132</v>
      </c>
      <c r="B331" s="144"/>
      <c r="C331" s="144"/>
      <c r="D331" s="144"/>
      <c r="E331" s="144"/>
      <c r="F331" s="144"/>
      <c r="G331" s="144"/>
      <c r="H331" s="144"/>
    </row>
    <row r="332" spans="1:8" x14ac:dyDescent="0.35">
      <c r="A332" s="154" t="s">
        <v>80</v>
      </c>
      <c r="B332" s="154"/>
      <c r="C332" s="154" t="s">
        <v>257</v>
      </c>
      <c r="D332" s="154"/>
      <c r="E332" s="154" t="s">
        <v>109</v>
      </c>
      <c r="F332" s="154"/>
      <c r="G332" s="154" t="s">
        <v>256</v>
      </c>
      <c r="H332" s="154"/>
    </row>
    <row r="333" spans="1:8" x14ac:dyDescent="0.35">
      <c r="A333" s="153" t="s">
        <v>82</v>
      </c>
      <c r="B333" s="153"/>
      <c r="C333" s="153"/>
      <c r="D333" s="153"/>
      <c r="E333" s="153"/>
      <c r="F333" s="153"/>
      <c r="G333" s="153"/>
      <c r="H333" s="153"/>
    </row>
    <row r="334" spans="1:8" x14ac:dyDescent="0.35">
      <c r="A334" s="153"/>
      <c r="B334" s="153"/>
      <c r="C334" s="153"/>
      <c r="D334" s="153"/>
      <c r="E334" s="153"/>
      <c r="F334" s="153"/>
      <c r="G334" s="153"/>
      <c r="H334" s="153"/>
    </row>
    <row r="335" spans="1:8" x14ac:dyDescent="0.35">
      <c r="A335" s="153"/>
      <c r="B335" s="153"/>
      <c r="C335" s="153"/>
      <c r="D335" s="153"/>
      <c r="E335" s="153"/>
      <c r="F335" s="153"/>
      <c r="G335" s="153"/>
      <c r="H335" s="153"/>
    </row>
    <row r="336" spans="1:8" x14ac:dyDescent="0.35">
      <c r="A336" s="153"/>
      <c r="B336" s="153"/>
      <c r="C336" s="153"/>
      <c r="D336" s="153"/>
      <c r="E336" s="153"/>
      <c r="F336" s="153"/>
      <c r="G336" s="153"/>
      <c r="H336" s="153"/>
    </row>
    <row r="337" spans="1:8" x14ac:dyDescent="0.35">
      <c r="A337" s="40" t="s">
        <v>68</v>
      </c>
      <c r="B337" s="41"/>
      <c r="C337" s="41"/>
      <c r="D337" s="40" t="str">
        <f>E8</f>
        <v>Saujanya Rachanaa</v>
      </c>
      <c r="F337" s="41"/>
      <c r="G337" s="41"/>
      <c r="H337" s="41"/>
    </row>
    <row r="338" spans="1:8" x14ac:dyDescent="0.35">
      <c r="A338" s="41"/>
      <c r="B338" s="41"/>
      <c r="C338" s="41"/>
      <c r="D338" s="41"/>
      <c r="E338" s="41"/>
      <c r="F338" s="41"/>
      <c r="G338" s="41"/>
      <c r="H338" s="41"/>
    </row>
    <row r="339" spans="1:8" x14ac:dyDescent="0.35">
      <c r="A339" s="41"/>
      <c r="B339" s="41"/>
      <c r="C339" s="41"/>
      <c r="D339" s="41"/>
      <c r="E339" s="41"/>
      <c r="F339" s="41"/>
      <c r="G339" s="41"/>
      <c r="H339" s="41"/>
    </row>
    <row r="340" spans="1:8" ht="15" customHeight="1" x14ac:dyDescent="0.35"/>
    <row r="380" spans="1:1" x14ac:dyDescent="0.35">
      <c r="A380" s="43" t="s">
        <v>173</v>
      </c>
    </row>
    <row r="423" spans="1:1" x14ac:dyDescent="0.35">
      <c r="A423" s="43" t="s">
        <v>69</v>
      </c>
    </row>
  </sheetData>
  <mergeCells count="621">
    <mergeCell ref="C87:D87"/>
    <mergeCell ref="E87:F87"/>
    <mergeCell ref="G87:H87"/>
    <mergeCell ref="A72:B72"/>
    <mergeCell ref="C72:D72"/>
    <mergeCell ref="E72:F72"/>
    <mergeCell ref="G72:H72"/>
    <mergeCell ref="B324:H324"/>
    <mergeCell ref="C142:D142"/>
    <mergeCell ref="E142:F142"/>
    <mergeCell ref="G142:H142"/>
    <mergeCell ref="C38:H38"/>
    <mergeCell ref="B320:H320"/>
    <mergeCell ref="A47:B47"/>
    <mergeCell ref="C47:H47"/>
    <mergeCell ref="B318:H318"/>
    <mergeCell ref="A104:B104"/>
    <mergeCell ref="A105:B105"/>
    <mergeCell ref="G89:H98"/>
    <mergeCell ref="A90:B90"/>
    <mergeCell ref="A91:B91"/>
    <mergeCell ref="A92:B92"/>
    <mergeCell ref="F115:H115"/>
    <mergeCell ref="A115:E115"/>
    <mergeCell ref="D145:D146"/>
    <mergeCell ref="A117:E117"/>
    <mergeCell ref="A148:B148"/>
    <mergeCell ref="A149:B149"/>
    <mergeCell ref="A150:B150"/>
    <mergeCell ref="A151:B151"/>
    <mergeCell ref="A118:E118"/>
    <mergeCell ref="C135:D135"/>
    <mergeCell ref="A140:B140"/>
    <mergeCell ref="E135:F135"/>
    <mergeCell ref="G135:H135"/>
    <mergeCell ref="A86:B86"/>
    <mergeCell ref="C86:H86"/>
    <mergeCell ref="A88:B88"/>
    <mergeCell ref="E88:F88"/>
    <mergeCell ref="G88:H88"/>
    <mergeCell ref="A119:E119"/>
    <mergeCell ref="F119:H119"/>
    <mergeCell ref="A120:E120"/>
    <mergeCell ref="A122:E122"/>
    <mergeCell ref="F116:H116"/>
    <mergeCell ref="A121:E121"/>
    <mergeCell ref="A106:B106"/>
    <mergeCell ref="A107:B107"/>
    <mergeCell ref="A108:B108"/>
    <mergeCell ref="A110:B110"/>
    <mergeCell ref="A111:B111"/>
    <mergeCell ref="A116:E116"/>
    <mergeCell ref="A113:E113"/>
    <mergeCell ref="F117:H117"/>
    <mergeCell ref="A87:B87"/>
    <mergeCell ref="L163:M163"/>
    <mergeCell ref="G160:H160"/>
    <mergeCell ref="L160:M160"/>
    <mergeCell ref="G161:H161"/>
    <mergeCell ref="L161:M161"/>
    <mergeCell ref="G162:H162"/>
    <mergeCell ref="L162:M162"/>
    <mergeCell ref="L149:M149"/>
    <mergeCell ref="L148:M148"/>
    <mergeCell ref="B316:H316"/>
    <mergeCell ref="B317:H317"/>
    <mergeCell ref="A312:H312"/>
    <mergeCell ref="A169:H169"/>
    <mergeCell ref="G170:H170"/>
    <mergeCell ref="G176:H176"/>
    <mergeCell ref="G182:H182"/>
    <mergeCell ref="L151:M151"/>
    <mergeCell ref="L150:M150"/>
    <mergeCell ref="C153:C154"/>
    <mergeCell ref="A159:H159"/>
    <mergeCell ref="G163:H163"/>
    <mergeCell ref="L170:M170"/>
    <mergeCell ref="L171:M171"/>
    <mergeCell ref="L172:M172"/>
    <mergeCell ref="G173:H173"/>
    <mergeCell ref="L173:M173"/>
    <mergeCell ref="A174:H174"/>
    <mergeCell ref="G175:H175"/>
    <mergeCell ref="L175:M175"/>
    <mergeCell ref="L176:M176"/>
    <mergeCell ref="G177:H177"/>
    <mergeCell ref="L177:M177"/>
    <mergeCell ref="G178:H178"/>
    <mergeCell ref="A89:B89"/>
    <mergeCell ref="E89:F98"/>
    <mergeCell ref="A96:B96"/>
    <mergeCell ref="A97:B97"/>
    <mergeCell ref="A98:B98"/>
    <mergeCell ref="A103:B103"/>
    <mergeCell ref="E103:F112"/>
    <mergeCell ref="F113:H113"/>
    <mergeCell ref="F118:H118"/>
    <mergeCell ref="A102:B102"/>
    <mergeCell ref="E102:F102"/>
    <mergeCell ref="G102:H102"/>
    <mergeCell ref="A101:B101"/>
    <mergeCell ref="C101:H101"/>
    <mergeCell ref="G103:H112"/>
    <mergeCell ref="C99:H99"/>
    <mergeCell ref="A99:B99"/>
    <mergeCell ref="C134:D134"/>
    <mergeCell ref="E134:F134"/>
    <mergeCell ref="G134:H134"/>
    <mergeCell ref="F120:H120"/>
    <mergeCell ref="A114:E114"/>
    <mergeCell ref="A147:H147"/>
    <mergeCell ref="E145:E146"/>
    <mergeCell ref="G145:H146"/>
    <mergeCell ref="C140:D140"/>
    <mergeCell ref="F123:H123"/>
    <mergeCell ref="E128:F128"/>
    <mergeCell ref="A128:B128"/>
    <mergeCell ref="A130:B130"/>
    <mergeCell ref="A124:E124"/>
    <mergeCell ref="C130:D130"/>
    <mergeCell ref="E130:F130"/>
    <mergeCell ref="G130:H130"/>
    <mergeCell ref="A131:B131"/>
    <mergeCell ref="C131:D131"/>
    <mergeCell ref="E131:F131"/>
    <mergeCell ref="G131:H131"/>
    <mergeCell ref="G138:H138"/>
    <mergeCell ref="C133:D133"/>
    <mergeCell ref="G133:H133"/>
    <mergeCell ref="A62:C62"/>
    <mergeCell ref="A63:C63"/>
    <mergeCell ref="D62:H62"/>
    <mergeCell ref="E74:F83"/>
    <mergeCell ref="G74:H83"/>
    <mergeCell ref="A82:B82"/>
    <mergeCell ref="A83:B83"/>
    <mergeCell ref="D63:H63"/>
    <mergeCell ref="A42:D42"/>
    <mergeCell ref="E42:H42"/>
    <mergeCell ref="E43:H43"/>
    <mergeCell ref="E44:H44"/>
    <mergeCell ref="E45:H45"/>
    <mergeCell ref="A43:D43"/>
    <mergeCell ref="A81:B81"/>
    <mergeCell ref="A44:D44"/>
    <mergeCell ref="A45:D45"/>
    <mergeCell ref="A46:H46"/>
    <mergeCell ref="D58:H58"/>
    <mergeCell ref="A58:C58"/>
    <mergeCell ref="G49:H49"/>
    <mergeCell ref="A52:B53"/>
    <mergeCell ref="A80:B80"/>
    <mergeCell ref="A73:B73"/>
    <mergeCell ref="A36:H36"/>
    <mergeCell ref="A35:B35"/>
    <mergeCell ref="C35:E35"/>
    <mergeCell ref="C37:H37"/>
    <mergeCell ref="A40:D40"/>
    <mergeCell ref="E40:H40"/>
    <mergeCell ref="F32:H32"/>
    <mergeCell ref="F33:H33"/>
    <mergeCell ref="A39:H39"/>
    <mergeCell ref="F35:H35"/>
    <mergeCell ref="A37:B37"/>
    <mergeCell ref="A38:B38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5:B15"/>
    <mergeCell ref="A12:D12"/>
    <mergeCell ref="E12:H12"/>
    <mergeCell ref="A13:D13"/>
    <mergeCell ref="A10:D10"/>
    <mergeCell ref="E10:H10"/>
    <mergeCell ref="A11:D11"/>
    <mergeCell ref="E11:H11"/>
    <mergeCell ref="A21:D22"/>
    <mergeCell ref="E21:H22"/>
    <mergeCell ref="E13:H13"/>
    <mergeCell ref="A14:B14"/>
    <mergeCell ref="C14:H14"/>
    <mergeCell ref="C15:H15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76:B76"/>
    <mergeCell ref="A71:B71"/>
    <mergeCell ref="A69:B69"/>
    <mergeCell ref="C69:H69"/>
    <mergeCell ref="A78:B78"/>
    <mergeCell ref="A64:C64"/>
    <mergeCell ref="D64:H64"/>
    <mergeCell ref="C71:H71"/>
    <mergeCell ref="A75:B75"/>
    <mergeCell ref="A77:B77"/>
    <mergeCell ref="E73:F73"/>
    <mergeCell ref="A65:C65"/>
    <mergeCell ref="D65:H65"/>
    <mergeCell ref="A68:C68"/>
    <mergeCell ref="D68:H68"/>
    <mergeCell ref="A66:C66"/>
    <mergeCell ref="D66:H66"/>
    <mergeCell ref="A67:C67"/>
    <mergeCell ref="D67:H67"/>
    <mergeCell ref="A74:B74"/>
    <mergeCell ref="G73:H73"/>
    <mergeCell ref="A333:H336"/>
    <mergeCell ref="A332:B332"/>
    <mergeCell ref="E332:F332"/>
    <mergeCell ref="C332:D332"/>
    <mergeCell ref="G332:H332"/>
    <mergeCell ref="A127:H127"/>
    <mergeCell ref="A125:E125"/>
    <mergeCell ref="F125:H125"/>
    <mergeCell ref="A126:E126"/>
    <mergeCell ref="F126:H126"/>
    <mergeCell ref="A129:B129"/>
    <mergeCell ref="A328:H328"/>
    <mergeCell ref="A132:H132"/>
    <mergeCell ref="A331:H331"/>
    <mergeCell ref="A329:H329"/>
    <mergeCell ref="A152:H152"/>
    <mergeCell ref="A325:H325"/>
    <mergeCell ref="A326:H326"/>
    <mergeCell ref="E133:F133"/>
    <mergeCell ref="B322:H322"/>
    <mergeCell ref="G150:H150"/>
    <mergeCell ref="G148:H148"/>
    <mergeCell ref="G149:H149"/>
    <mergeCell ref="G151:H151"/>
    <mergeCell ref="B319:H319"/>
    <mergeCell ref="B315:H315"/>
    <mergeCell ref="A143:H143"/>
    <mergeCell ref="B313:H313"/>
    <mergeCell ref="B314:H314"/>
    <mergeCell ref="A153:A154"/>
    <mergeCell ref="C145:C146"/>
    <mergeCell ref="B153:B154"/>
    <mergeCell ref="A156:H156"/>
    <mergeCell ref="A155:H155"/>
    <mergeCell ref="A157:H157"/>
    <mergeCell ref="A158:H158"/>
    <mergeCell ref="A184:H184"/>
    <mergeCell ref="G185:H185"/>
    <mergeCell ref="G190:H190"/>
    <mergeCell ref="G196:H196"/>
    <mergeCell ref="G220:H220"/>
    <mergeCell ref="G224:H224"/>
    <mergeCell ref="G233:H233"/>
    <mergeCell ref="G239:H239"/>
    <mergeCell ref="G244:H244"/>
    <mergeCell ref="A258:H258"/>
    <mergeCell ref="A259:H259"/>
    <mergeCell ref="A260:H260"/>
    <mergeCell ref="G140:H140"/>
    <mergeCell ref="C138:D138"/>
    <mergeCell ref="E138:F138"/>
    <mergeCell ref="B145:B146"/>
    <mergeCell ref="A145:A146"/>
    <mergeCell ref="E140:F140"/>
    <mergeCell ref="A134:A135"/>
    <mergeCell ref="F121:H121"/>
    <mergeCell ref="C128:D128"/>
    <mergeCell ref="F124:H124"/>
    <mergeCell ref="F122:H122"/>
    <mergeCell ref="A144:H144"/>
    <mergeCell ref="G128:H128"/>
    <mergeCell ref="A123:E123"/>
    <mergeCell ref="C129:D129"/>
    <mergeCell ref="E129:F129"/>
    <mergeCell ref="C137:D137"/>
    <mergeCell ref="E137:F137"/>
    <mergeCell ref="G137:H137"/>
    <mergeCell ref="A136:A137"/>
    <mergeCell ref="C139:D139"/>
    <mergeCell ref="E139:F139"/>
    <mergeCell ref="G139:H139"/>
    <mergeCell ref="A138:A139"/>
    <mergeCell ref="A141:B141"/>
    <mergeCell ref="C141:D141"/>
    <mergeCell ref="E141:F141"/>
    <mergeCell ref="G141:H141"/>
    <mergeCell ref="A142:B142"/>
    <mergeCell ref="G48:H48"/>
    <mergeCell ref="G52:H52"/>
    <mergeCell ref="D56:H56"/>
    <mergeCell ref="C52:E52"/>
    <mergeCell ref="A59:C61"/>
    <mergeCell ref="D59:H59"/>
    <mergeCell ref="D60:H60"/>
    <mergeCell ref="C49:E49"/>
    <mergeCell ref="A54:B54"/>
    <mergeCell ref="C54:E54"/>
    <mergeCell ref="A49:B49"/>
    <mergeCell ref="A55:H55"/>
    <mergeCell ref="A56:C56"/>
    <mergeCell ref="A57:C57"/>
    <mergeCell ref="D57:H57"/>
    <mergeCell ref="G54:H54"/>
    <mergeCell ref="D61:H61"/>
    <mergeCell ref="A50:B51"/>
    <mergeCell ref="C50:E50"/>
    <mergeCell ref="E41:H41"/>
    <mergeCell ref="A41:D41"/>
    <mergeCell ref="A330:H330"/>
    <mergeCell ref="A327:H327"/>
    <mergeCell ref="A133:B133"/>
    <mergeCell ref="D153:D154"/>
    <mergeCell ref="E153:E154"/>
    <mergeCell ref="G153:H154"/>
    <mergeCell ref="A93:B93"/>
    <mergeCell ref="A94:B94"/>
    <mergeCell ref="A95:B95"/>
    <mergeCell ref="A84:B84"/>
    <mergeCell ref="C84:H84"/>
    <mergeCell ref="A109:B109"/>
    <mergeCell ref="A79:B79"/>
    <mergeCell ref="F114:H114"/>
    <mergeCell ref="G129:H129"/>
    <mergeCell ref="A112:B112"/>
    <mergeCell ref="A48:B48"/>
    <mergeCell ref="C48:E48"/>
    <mergeCell ref="C53:E53"/>
    <mergeCell ref="G53:H53"/>
    <mergeCell ref="G171:H171"/>
    <mergeCell ref="G172:H172"/>
    <mergeCell ref="L178:M178"/>
    <mergeCell ref="A179:H179"/>
    <mergeCell ref="G180:H180"/>
    <mergeCell ref="L180:M180"/>
    <mergeCell ref="G181:H181"/>
    <mergeCell ref="L181:M181"/>
    <mergeCell ref="L182:M182"/>
    <mergeCell ref="G183:H183"/>
    <mergeCell ref="L183:M183"/>
    <mergeCell ref="L185:M185"/>
    <mergeCell ref="G186:H186"/>
    <mergeCell ref="L186:M186"/>
    <mergeCell ref="G187:H187"/>
    <mergeCell ref="L187:M187"/>
    <mergeCell ref="G188:H188"/>
    <mergeCell ref="L188:M188"/>
    <mergeCell ref="B188:F188"/>
    <mergeCell ref="A189:H189"/>
    <mergeCell ref="L190:M190"/>
    <mergeCell ref="G191:H191"/>
    <mergeCell ref="L191:M191"/>
    <mergeCell ref="G192:H192"/>
    <mergeCell ref="L192:M192"/>
    <mergeCell ref="G193:H193"/>
    <mergeCell ref="L193:M193"/>
    <mergeCell ref="A194:H194"/>
    <mergeCell ref="G195:H195"/>
    <mergeCell ref="L195:M195"/>
    <mergeCell ref="L196:M196"/>
    <mergeCell ref="G197:H197"/>
    <mergeCell ref="L197:M197"/>
    <mergeCell ref="G208:H208"/>
    <mergeCell ref="L208:M208"/>
    <mergeCell ref="A209:H209"/>
    <mergeCell ref="G211:H211"/>
    <mergeCell ref="L211:M211"/>
    <mergeCell ref="G212:H212"/>
    <mergeCell ref="L212:M212"/>
    <mergeCell ref="G198:H198"/>
    <mergeCell ref="L198:M198"/>
    <mergeCell ref="A204:H204"/>
    <mergeCell ref="G205:H205"/>
    <mergeCell ref="L205:M205"/>
    <mergeCell ref="G206:H206"/>
    <mergeCell ref="L206:M206"/>
    <mergeCell ref="G207:H207"/>
    <mergeCell ref="L207:M207"/>
    <mergeCell ref="G210:H210"/>
    <mergeCell ref="L210:M210"/>
    <mergeCell ref="L220:M220"/>
    <mergeCell ref="G221:H221"/>
    <mergeCell ref="L221:M221"/>
    <mergeCell ref="A222:H222"/>
    <mergeCell ref="G223:H223"/>
    <mergeCell ref="L223:M223"/>
    <mergeCell ref="G213:H213"/>
    <mergeCell ref="L213:M213"/>
    <mergeCell ref="A214:H214"/>
    <mergeCell ref="A215:H215"/>
    <mergeCell ref="A216:H216"/>
    <mergeCell ref="A217:H217"/>
    <mergeCell ref="A218:H218"/>
    <mergeCell ref="G219:H219"/>
    <mergeCell ref="L219:M219"/>
    <mergeCell ref="C213:F213"/>
    <mergeCell ref="L224:M224"/>
    <mergeCell ref="G225:H225"/>
    <mergeCell ref="L225:M225"/>
    <mergeCell ref="A230:H230"/>
    <mergeCell ref="G231:H231"/>
    <mergeCell ref="L231:M23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A226:H226"/>
    <mergeCell ref="L233:M233"/>
    <mergeCell ref="A234:H234"/>
    <mergeCell ref="G235:H235"/>
    <mergeCell ref="L235:M235"/>
    <mergeCell ref="G236:H236"/>
    <mergeCell ref="L236:M236"/>
    <mergeCell ref="G237:H237"/>
    <mergeCell ref="L237:M237"/>
    <mergeCell ref="A238:H238"/>
    <mergeCell ref="L239:M239"/>
    <mergeCell ref="G240:H240"/>
    <mergeCell ref="L240:M240"/>
    <mergeCell ref="G241:H241"/>
    <mergeCell ref="L241:M241"/>
    <mergeCell ref="B239:F239"/>
    <mergeCell ref="A242:H242"/>
    <mergeCell ref="G243:H243"/>
    <mergeCell ref="L243:M243"/>
    <mergeCell ref="L244:M244"/>
    <mergeCell ref="G245:H245"/>
    <mergeCell ref="L245:M245"/>
    <mergeCell ref="A246:H246"/>
    <mergeCell ref="G247:H247"/>
    <mergeCell ref="L247:M247"/>
    <mergeCell ref="G257:H257"/>
    <mergeCell ref="L257:M257"/>
    <mergeCell ref="G248:H248"/>
    <mergeCell ref="L248:M248"/>
    <mergeCell ref="G249:H249"/>
    <mergeCell ref="L249:M249"/>
    <mergeCell ref="A254:H254"/>
    <mergeCell ref="G255:H255"/>
    <mergeCell ref="L255:M255"/>
    <mergeCell ref="G256:H256"/>
    <mergeCell ref="L256:M256"/>
    <mergeCell ref="A250:H250"/>
    <mergeCell ref="G251:H251"/>
    <mergeCell ref="L251:M251"/>
    <mergeCell ref="G252:H252"/>
    <mergeCell ref="L252:M252"/>
    <mergeCell ref="G253:H253"/>
    <mergeCell ref="L253:M253"/>
    <mergeCell ref="A261:H261"/>
    <mergeCell ref="A262:H262"/>
    <mergeCell ref="G263:H263"/>
    <mergeCell ref="L263:M263"/>
    <mergeCell ref="G264:H264"/>
    <mergeCell ref="L264:M264"/>
    <mergeCell ref="G265:H265"/>
    <mergeCell ref="L265:M265"/>
    <mergeCell ref="G266:H266"/>
    <mergeCell ref="L266:M266"/>
    <mergeCell ref="A272:H272"/>
    <mergeCell ref="G273:H273"/>
    <mergeCell ref="L273:M273"/>
    <mergeCell ref="G274:H274"/>
    <mergeCell ref="L274:M274"/>
    <mergeCell ref="A267:H267"/>
    <mergeCell ref="G268:H268"/>
    <mergeCell ref="L268:M268"/>
    <mergeCell ref="G269:H269"/>
    <mergeCell ref="L269:M269"/>
    <mergeCell ref="G270:H270"/>
    <mergeCell ref="L270:M270"/>
    <mergeCell ref="G271:H271"/>
    <mergeCell ref="L271:M271"/>
    <mergeCell ref="G275:H275"/>
    <mergeCell ref="L275:M275"/>
    <mergeCell ref="G276:H276"/>
    <mergeCell ref="L276:M276"/>
    <mergeCell ref="A277:H277"/>
    <mergeCell ref="G278:H278"/>
    <mergeCell ref="L278:M278"/>
    <mergeCell ref="G279:H279"/>
    <mergeCell ref="L279:M279"/>
    <mergeCell ref="G280:H280"/>
    <mergeCell ref="L280:M280"/>
    <mergeCell ref="G281:H281"/>
    <mergeCell ref="L281:M281"/>
    <mergeCell ref="A282:H282"/>
    <mergeCell ref="G283:H283"/>
    <mergeCell ref="L283:M283"/>
    <mergeCell ref="G284:H284"/>
    <mergeCell ref="L284:M284"/>
    <mergeCell ref="G285:H285"/>
    <mergeCell ref="L285:M285"/>
    <mergeCell ref="G286:H286"/>
    <mergeCell ref="L286:M286"/>
    <mergeCell ref="A287:H287"/>
    <mergeCell ref="G288:H288"/>
    <mergeCell ref="L288:M288"/>
    <mergeCell ref="G289:H289"/>
    <mergeCell ref="L289:M289"/>
    <mergeCell ref="G290:H290"/>
    <mergeCell ref="L290:M290"/>
    <mergeCell ref="G291:H291"/>
    <mergeCell ref="L291:M291"/>
    <mergeCell ref="B288:F288"/>
    <mergeCell ref="A292:H292"/>
    <mergeCell ref="G293:H293"/>
    <mergeCell ref="L293:M293"/>
    <mergeCell ref="G294:H294"/>
    <mergeCell ref="L294:M294"/>
    <mergeCell ref="L304:M304"/>
    <mergeCell ref="G295:H295"/>
    <mergeCell ref="L295:M295"/>
    <mergeCell ref="G296:H296"/>
    <mergeCell ref="L296:M296"/>
    <mergeCell ref="A297:H297"/>
    <mergeCell ref="G298:H298"/>
    <mergeCell ref="L298:M298"/>
    <mergeCell ref="G299:H299"/>
    <mergeCell ref="L299:M299"/>
    <mergeCell ref="G310:H310"/>
    <mergeCell ref="L310:M310"/>
    <mergeCell ref="G311:H311"/>
    <mergeCell ref="L311:M311"/>
    <mergeCell ref="C136:D136"/>
    <mergeCell ref="E136:F136"/>
    <mergeCell ref="G136:H136"/>
    <mergeCell ref="G305:H305"/>
    <mergeCell ref="L305:M305"/>
    <mergeCell ref="G306:H306"/>
    <mergeCell ref="L306:M306"/>
    <mergeCell ref="A307:H307"/>
    <mergeCell ref="G308:H308"/>
    <mergeCell ref="L308:M308"/>
    <mergeCell ref="G309:H309"/>
    <mergeCell ref="L309:M309"/>
    <mergeCell ref="G300:H300"/>
    <mergeCell ref="L300:M300"/>
    <mergeCell ref="G301:H301"/>
    <mergeCell ref="L301:M301"/>
    <mergeCell ref="A302:H302"/>
    <mergeCell ref="G303:H303"/>
    <mergeCell ref="L303:M303"/>
    <mergeCell ref="G304:H304"/>
    <mergeCell ref="G50:H50"/>
    <mergeCell ref="C51:E51"/>
    <mergeCell ref="G51:H51"/>
    <mergeCell ref="B323:H323"/>
    <mergeCell ref="B321:H321"/>
    <mergeCell ref="A164:H164"/>
    <mergeCell ref="G165:H165"/>
    <mergeCell ref="L165:M165"/>
    <mergeCell ref="G166:H166"/>
    <mergeCell ref="L166:M166"/>
    <mergeCell ref="G167:H167"/>
    <mergeCell ref="L167:M167"/>
    <mergeCell ref="G168:H168"/>
    <mergeCell ref="L168:M168"/>
    <mergeCell ref="A199:H199"/>
    <mergeCell ref="G200:H200"/>
    <mergeCell ref="L200:M200"/>
    <mergeCell ref="G201:H201"/>
    <mergeCell ref="L201:M201"/>
    <mergeCell ref="G202:H202"/>
    <mergeCell ref="L202:M202"/>
    <mergeCell ref="G203:H203"/>
    <mergeCell ref="L203:M203"/>
    <mergeCell ref="C219:F219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311" max="16383" man="1"/>
    <brk id="336" max="16383" man="1"/>
    <brk id="379" max="16383" man="1"/>
    <brk id="42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M14" sqref="M14"/>
    </sheetView>
  </sheetViews>
  <sheetFormatPr defaultColWidth="8.7265625" defaultRowHeight="14.5" x14ac:dyDescent="0.35"/>
  <cols>
    <col min="1" max="1" width="8.7265625" style="2"/>
    <col min="2" max="2" width="22.1796875" style="2" customWidth="1"/>
    <col min="3" max="3" width="37" style="2" customWidth="1"/>
    <col min="4" max="5" width="11.453125" style="2" customWidth="1"/>
    <col min="6" max="6" width="14" style="2" customWidth="1"/>
    <col min="7" max="7" width="20" style="2" customWidth="1"/>
    <col min="8" max="8" width="16.453125" style="2" customWidth="1"/>
    <col min="9" max="16384" width="8.7265625" style="2"/>
  </cols>
  <sheetData>
    <row r="1" spans="1:9" ht="15" customHeight="1" x14ac:dyDescent="0.35">
      <c r="A1" s="1"/>
      <c r="B1" s="1"/>
      <c r="C1" s="1"/>
      <c r="D1" s="1"/>
      <c r="E1" s="1"/>
      <c r="F1" s="1"/>
      <c r="G1" s="1"/>
      <c r="H1" s="1"/>
    </row>
    <row r="2" spans="1:9" ht="15" customHeight="1" x14ac:dyDescent="0.3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35">
      <c r="A3" s="3"/>
      <c r="B3" s="211" t="s">
        <v>110</v>
      </c>
      <c r="C3" s="211"/>
      <c r="D3" s="211"/>
      <c r="E3" s="211"/>
      <c r="F3" s="211"/>
      <c r="G3" s="211"/>
      <c r="H3" s="211"/>
    </row>
    <row r="4" spans="1:9" x14ac:dyDescent="0.35">
      <c r="A4" s="3"/>
      <c r="B4" s="4" t="s">
        <v>111</v>
      </c>
      <c r="C4" s="4" t="s">
        <v>112</v>
      </c>
      <c r="D4" s="4" t="s">
        <v>71</v>
      </c>
      <c r="E4" s="4" t="s">
        <v>113</v>
      </c>
      <c r="F4" s="4" t="s">
        <v>119</v>
      </c>
      <c r="G4" s="4" t="s">
        <v>120</v>
      </c>
      <c r="H4" s="4" t="s">
        <v>114</v>
      </c>
    </row>
    <row r="5" spans="1:9" ht="15" customHeight="1" x14ac:dyDescent="0.35">
      <c r="A5" s="3"/>
      <c r="B5" s="6" t="s">
        <v>115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35">
      <c r="A6" s="3"/>
      <c r="B6" s="6" t="s">
        <v>115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35">
      <c r="A7" s="3"/>
      <c r="B7" s="6" t="s">
        <v>115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35">
      <c r="A8" s="3"/>
      <c r="B8" s="6" t="s">
        <v>115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35">
      <c r="A9" s="3"/>
      <c r="B9" s="6" t="s">
        <v>115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35">
      <c r="A10" s="3"/>
      <c r="B10" s="6" t="s">
        <v>116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35">
      <c r="A11" s="3"/>
      <c r="B11" s="6" t="s">
        <v>116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35">
      <c r="A12" s="3"/>
      <c r="B12" s="11" t="s">
        <v>117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35">
      <c r="A13" s="1"/>
      <c r="B13" s="11" t="s">
        <v>118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35">
      <c r="B14" s="1"/>
      <c r="C14" s="1"/>
      <c r="D14" s="1"/>
      <c r="E14" s="1"/>
    </row>
    <row r="15" spans="1:9" ht="15" customHeight="1" x14ac:dyDescent="0.35">
      <c r="B15" s="1"/>
      <c r="C15" s="1"/>
      <c r="D15" s="1"/>
      <c r="E15" s="1"/>
    </row>
    <row r="16" spans="1:9" ht="15" customHeight="1" x14ac:dyDescent="0.3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2025-09-23T13:13:03Z</cp:lastPrinted>
  <dcterms:created xsi:type="dcterms:W3CDTF">2019-07-16T09:29:46Z</dcterms:created>
  <dcterms:modified xsi:type="dcterms:W3CDTF">2025-09-23T13:14:39Z</dcterms:modified>
</cp:coreProperties>
</file>