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3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1" l="1"/>
  <c r="F160" i="1" s="1"/>
  <c r="D159" i="1"/>
  <c r="F159" i="1" s="1"/>
  <c r="I158" i="1"/>
  <c r="D158" i="1"/>
  <c r="F158" i="1" s="1"/>
  <c r="D157" i="1"/>
  <c r="F157" i="1" s="1"/>
  <c r="D156" i="1"/>
  <c r="F156" i="1" s="1"/>
  <c r="A156" i="1"/>
  <c r="A157" i="1" s="1"/>
  <c r="A158" i="1" s="1"/>
  <c r="A159" i="1" s="1"/>
  <c r="A160" i="1" s="1"/>
  <c r="G155" i="1"/>
  <c r="D155" i="1"/>
  <c r="F155" i="1" s="1"/>
  <c r="D195" i="1"/>
  <c r="D194" i="1"/>
  <c r="D193" i="1"/>
  <c r="D192" i="1"/>
  <c r="D191" i="1"/>
  <c r="D190" i="1"/>
  <c r="D188" i="1"/>
  <c r="D185" i="1"/>
  <c r="D184" i="1"/>
  <c r="D183" i="1"/>
  <c r="D181" i="1"/>
  <c r="D180" i="1"/>
  <c r="D179" i="1"/>
  <c r="D178" i="1"/>
  <c r="D177" i="1"/>
  <c r="D176" i="1"/>
  <c r="D174" i="1"/>
  <c r="D171" i="1"/>
  <c r="D170" i="1"/>
  <c r="D169" i="1"/>
  <c r="D167" i="1"/>
  <c r="D166" i="1"/>
  <c r="D165" i="1"/>
  <c r="D164" i="1"/>
  <c r="D163" i="1"/>
  <c r="D162" i="1"/>
  <c r="D153" i="1"/>
  <c r="D150" i="1"/>
  <c r="D149" i="1"/>
  <c r="D148" i="1"/>
  <c r="D146" i="1"/>
  <c r="D145" i="1"/>
  <c r="D144" i="1"/>
  <c r="D143" i="1"/>
  <c r="D142" i="1"/>
  <c r="D141" i="1"/>
  <c r="D139" i="1"/>
  <c r="D138" i="1"/>
  <c r="D137" i="1"/>
  <c r="D136" i="1"/>
  <c r="D135" i="1"/>
  <c r="D134" i="1"/>
  <c r="D132" i="1"/>
  <c r="D129" i="1"/>
  <c r="D128" i="1"/>
  <c r="D127" i="1"/>
  <c r="D120" i="1"/>
  <c r="D119" i="1"/>
  <c r="D118" i="1"/>
  <c r="D117" i="1"/>
  <c r="D116" i="1"/>
  <c r="D115" i="1"/>
  <c r="D114" i="1"/>
  <c r="D113" i="1"/>
  <c r="D112" i="1"/>
  <c r="I120" i="1"/>
  <c r="I193" i="1"/>
  <c r="I179" i="1"/>
  <c r="I165" i="1"/>
  <c r="I128" i="1"/>
  <c r="C102" i="1" l="1"/>
  <c r="C98" i="1"/>
  <c r="C99" i="1" s="1"/>
  <c r="E98" i="1"/>
  <c r="E99" i="1" s="1"/>
  <c r="C103" i="1"/>
  <c r="E102" i="1"/>
  <c r="C104" i="1"/>
  <c r="E103" i="1"/>
  <c r="F181" i="1"/>
  <c r="F180" i="1"/>
  <c r="F179" i="1"/>
  <c r="F178" i="1"/>
  <c r="F177" i="1"/>
  <c r="A177" i="1"/>
  <c r="A178" i="1" s="1"/>
  <c r="A179" i="1" s="1"/>
  <c r="A180" i="1" s="1"/>
  <c r="A181" i="1" s="1"/>
  <c r="G176" i="1"/>
  <c r="F176" i="1"/>
  <c r="F195" i="1"/>
  <c r="F194" i="1"/>
  <c r="F193" i="1"/>
  <c r="F192" i="1"/>
  <c r="F191" i="1"/>
  <c r="A191" i="1"/>
  <c r="A192" i="1" s="1"/>
  <c r="A193" i="1" s="1"/>
  <c r="A194" i="1" s="1"/>
  <c r="A195" i="1" s="1"/>
  <c r="G190" i="1"/>
  <c r="F190" i="1"/>
  <c r="A184" i="1"/>
  <c r="A185" i="1" s="1"/>
  <c r="F173" i="1"/>
  <c r="A170" i="1"/>
  <c r="A171" i="1" s="1"/>
  <c r="F167" i="1"/>
  <c r="F166" i="1"/>
  <c r="F165" i="1"/>
  <c r="F164" i="1"/>
  <c r="F163" i="1"/>
  <c r="A163" i="1"/>
  <c r="A164" i="1" s="1"/>
  <c r="A165" i="1" s="1"/>
  <c r="A166" i="1" s="1"/>
  <c r="A167" i="1" s="1"/>
  <c r="G162" i="1"/>
  <c r="F162" i="1"/>
  <c r="F153" i="1"/>
  <c r="F150" i="1"/>
  <c r="F149" i="1"/>
  <c r="A149" i="1"/>
  <c r="A150" i="1" s="1"/>
  <c r="A151" i="1" s="1"/>
  <c r="A152" i="1" s="1"/>
  <c r="A153" i="1" s="1"/>
  <c r="G148" i="1"/>
  <c r="F148" i="1"/>
  <c r="F145" i="1"/>
  <c r="A142" i="1"/>
  <c r="A143" i="1" s="1"/>
  <c r="F138" i="1"/>
  <c r="F132" i="1"/>
  <c r="F116" i="1"/>
  <c r="F120" i="1"/>
  <c r="F119" i="1"/>
  <c r="I116" i="1"/>
  <c r="I115" i="1"/>
  <c r="I112" i="1"/>
  <c r="F118" i="1"/>
  <c r="F117" i="1"/>
  <c r="E104" i="1" l="1"/>
  <c r="I117" i="1"/>
  <c r="A186" i="1"/>
  <c r="A187" i="1" s="1"/>
  <c r="A188" i="1" s="1"/>
  <c r="A172" i="1"/>
  <c r="A173" i="1" s="1"/>
  <c r="A174" i="1" s="1"/>
  <c r="A144" i="1"/>
  <c r="A145" i="1" s="1"/>
  <c r="A146" i="1" s="1"/>
  <c r="C50" i="1"/>
  <c r="E7" i="1" l="1"/>
  <c r="E30" i="1" l="1"/>
  <c r="B198" i="1"/>
  <c r="C68" i="1"/>
  <c r="B69" i="1" s="1"/>
  <c r="E25" i="1"/>
  <c r="E27" i="1" l="1"/>
  <c r="C15" i="1"/>
  <c r="E105" i="1" l="1"/>
  <c r="C105" i="1"/>
  <c r="E43" i="1" l="1"/>
  <c r="E44" i="1" s="1"/>
  <c r="F128" i="1" l="1"/>
  <c r="F129" i="1"/>
  <c r="F127" i="1"/>
  <c r="A128" i="1"/>
  <c r="A129" i="1" s="1"/>
  <c r="A130" i="1" s="1"/>
  <c r="A131" i="1" s="1"/>
  <c r="A132" i="1" s="1"/>
  <c r="G127" i="1"/>
  <c r="F95" i="1" l="1"/>
  <c r="F113" i="1" l="1"/>
  <c r="F114" i="1"/>
  <c r="F115" i="1"/>
  <c r="F112" i="1"/>
  <c r="G98" i="1" s="1"/>
  <c r="G99" i="1" s="1"/>
  <c r="F188" i="1" l="1"/>
  <c r="F185" i="1"/>
  <c r="F184" i="1"/>
  <c r="F183" i="1"/>
  <c r="F174" i="1"/>
  <c r="F172" i="1"/>
  <c r="F171" i="1"/>
  <c r="F170" i="1"/>
  <c r="F169" i="1"/>
  <c r="F146" i="1"/>
  <c r="F144" i="1"/>
  <c r="F143" i="1"/>
  <c r="F142" i="1"/>
  <c r="F141" i="1"/>
  <c r="F139" i="1"/>
  <c r="F137" i="1"/>
  <c r="F135" i="1"/>
  <c r="F134" i="1"/>
  <c r="F136" i="1"/>
  <c r="G103" i="1" l="1"/>
  <c r="G102" i="1"/>
  <c r="G104" i="1" s="1"/>
  <c r="G105" i="1" s="1"/>
  <c r="B19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1" i="1"/>
  <c r="G183" i="1"/>
  <c r="G169" i="1"/>
  <c r="G141" i="1"/>
  <c r="G134" i="1"/>
  <c r="A135" i="1"/>
  <c r="A136" i="1" s="1"/>
  <c r="A137" i="1" s="1"/>
  <c r="A138" i="1" s="1"/>
  <c r="A139" i="1" s="1"/>
  <c r="A113" i="1"/>
  <c r="A114" i="1" s="1"/>
  <c r="A115" i="1" s="1"/>
  <c r="G112" i="1"/>
  <c r="D57" i="1"/>
  <c r="E3" i="1"/>
  <c r="D62" i="1" s="1"/>
  <c r="H69" i="1"/>
  <c r="C74" i="1" l="1"/>
  <c r="J68" i="1" s="1"/>
  <c r="A116" i="1"/>
  <c r="A117" i="1" s="1"/>
  <c r="D81" i="1"/>
  <c r="D79" i="1"/>
  <c r="D78" i="1"/>
  <c r="D77" i="1"/>
  <c r="D75" i="1"/>
  <c r="D80" i="1"/>
  <c r="D76" i="1"/>
  <c r="J72" i="1"/>
  <c r="J73" i="1"/>
  <c r="C72" i="1" s="1"/>
  <c r="J71" i="1"/>
  <c r="J74" i="1"/>
  <c r="J75" i="1" s="1"/>
  <c r="J80" i="1" s="1"/>
  <c r="A118" i="1" l="1"/>
  <c r="A119" i="1" s="1"/>
  <c r="A120" i="1" s="1"/>
  <c r="J76" i="1"/>
  <c r="J77" i="1" s="1"/>
  <c r="J78" i="1" s="1"/>
  <c r="J79" i="1" s="1"/>
  <c r="D74" i="1"/>
  <c r="J70" i="1"/>
  <c r="D72" i="1"/>
  <c r="J81" i="1" l="1"/>
  <c r="C73" i="1" s="1"/>
  <c r="G72" i="1" s="1"/>
  <c r="D66" i="1" l="1"/>
  <c r="D67" i="1" s="1"/>
  <c r="J69" i="1"/>
  <c r="D73" i="1"/>
  <c r="I69" i="1" s="1"/>
  <c r="E72" i="1"/>
  <c r="F67" i="1" l="1"/>
  <c r="I70" i="1"/>
  <c r="I68" i="1" s="1"/>
  <c r="C70" i="1" s="1"/>
</calcChain>
</file>

<file path=xl/sharedStrings.xml><?xml version="1.0" encoding="utf-8"?>
<sst xmlns="http://schemas.openxmlformats.org/spreadsheetml/2006/main" count="410" uniqueCount="245">
  <si>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</si>
  <si>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</si>
  <si>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</si>
  <si>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</si>
  <si>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</si>
  <si>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</si>
  <si>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</si>
  <si>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</si>
  <si>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</si>
  <si>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</si>
  <si>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</si>
  <si>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</si>
  <si>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</si>
  <si>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</si>
  <si>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</si>
  <si>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</si>
  <si>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</si>
  <si>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</si>
  <si>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</si>
  <si>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</si>
  <si>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</si>
  <si>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</si>
  <si>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</si>
  <si>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</si>
  <si>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</si>
  <si>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</si>
  <si>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</si>
  <si>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</si>
  <si>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</si>
  <si>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</si>
  <si>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</si>
  <si>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</si>
  <si>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</si>
  <si>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</si>
  <si>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</si>
  <si>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</si>
  <si>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</si>
  <si>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</si>
  <si>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</si>
  <si>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</si>
  <si>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</si>
  <si>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</si>
  <si>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</si>
  <si>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</si>
  <si>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</si>
  <si>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</si>
  <si>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</si>
  <si>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</si>
  <si>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</si>
  <si>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</si>
  <si>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</si>
  <si>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</si>
  <si>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</si>
  <si>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</si>
  <si>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</si>
  <si>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</si>
  <si>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</si>
  <si>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</si>
  <si>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</si>
  <si>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</si>
  <si>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</si>
  <si>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</si>
  <si>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</si>
  <si>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</si>
  <si>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</si>
  <si>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</si>
  <si>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</si>
  <si>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</si>
  <si>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</si>
  <si>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</si>
  <si>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</si>
  <si>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</si>
  <si>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</si>
  <si>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</si>
  <si>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</si>
  <si>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</si>
  <si>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</si>
  <si>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</si>
  <si>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</si>
  <si>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</si>
  <si>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</si>
  <si>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</si>
  <si>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</si>
  <si>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</si>
  <si>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</si>
  <si>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</si>
  <si>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</si>
  <si>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</si>
  <si>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</si>
  <si>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</si>
  <si>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</si>
  <si>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</si>
  <si>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</si>
  <si>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</si>
  <si>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</si>
  <si>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</si>
  <si>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</si>
  <si>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</si>
  <si>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</si>
  <si>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</si>
  <si>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</si>
  <si>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</si>
  <si>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</si>
  <si>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</si>
  <si>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</si>
  <si>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</si>
  <si>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</si>
  <si>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</si>
  <si>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</si>
  <si>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</si>
  <si>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</si>
  <si>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</si>
  <si>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</si>
  <si>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</si>
  <si>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</si>
  <si>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</si>
  <si>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</si>
  <si>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</si>
  <si>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</si>
  <si>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</si>
  <si>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</si>
  <si>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</si>
  <si>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</si>
  <si>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</si>
  <si>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</si>
  <si>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</si>
  <si>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</si>
  <si>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</si>
  <si>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</si>
  <si>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</si>
  <si>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</si>
  <si>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</si>
  <si>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</si>
  <si>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</si>
  <si>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</si>
  <si>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</si>
  <si>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</si>
  <si>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</si>
  <si>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</si>
  <si>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</si>
  <si>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</si>
  <si>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</si>
  <si>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</si>
  <si>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</si>
  <si>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</si>
  <si>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</si>
  <si>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</si>
  <si>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</si>
  <si>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</si>
  <si>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</si>
  <si>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</si>
  <si>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</si>
  <si>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</si>
  <si>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</si>
  <si>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</si>
  <si>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</si>
  <si>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</si>
  <si>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</si>
  <si>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</si>
  <si>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</si>
  <si>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</si>
  <si>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</si>
  <si>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</si>
  <si>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</si>
  <si>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</si>
  <si>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</si>
  <si>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</si>
  <si>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</si>
  <si>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</si>
  <si>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</si>
  <si>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</si>
  <si>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</si>
  <si>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</si>
  <si>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</si>
  <si>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</si>
  <si>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</si>
  <si>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</si>
  <si>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</si>
  <si>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</si>
  <si>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</si>
  <si>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</si>
  <si>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Dev Land &amp; Housing Private Limited</t>
  </si>
  <si>
    <t>Leo Tower</t>
  </si>
  <si>
    <t>P51800033905</t>
  </si>
  <si>
    <t>Mumbai</t>
  </si>
  <si>
    <t>Andheri</t>
  </si>
  <si>
    <t>Jogeshwari (West)</t>
  </si>
  <si>
    <t>Name / No of the Existing Building</t>
  </si>
  <si>
    <t>Building No.3 (Oshiwara Satpuda CHSL)</t>
  </si>
  <si>
    <t>New Link Road</t>
  </si>
  <si>
    <t>Adarsh Nagar</t>
  </si>
  <si>
    <t>Internal Road</t>
  </si>
  <si>
    <t>CTS No</t>
  </si>
  <si>
    <t xml:space="preserve">Airports Authority Of India-NOC No
Valid Up to: </t>
  </si>
  <si>
    <t>JUHU/WEST/B/092721/624820</t>
  </si>
  <si>
    <t>130.99M (AMSL)</t>
  </si>
  <si>
    <t>Maharashtra Housing and Area Development Authority (MHADA)</t>
  </si>
  <si>
    <t>Entrance Lobby, Waiting Lounge, Children's Play Area, Yoga/Meditation Area, Rain Water Harvesting, Indoor Games, CCTV, Gymnasium, Swimming Pool, Fire Fighting System, Closed Car Parking etc.</t>
  </si>
  <si>
    <t>11, 12, 13(PT), 26, 29, 32(PT) , Redevlopement of "Building No.3 (Oshiwara Satpuda CHSL)"</t>
  </si>
  <si>
    <t>MHADA/113/885/2022</t>
  </si>
  <si>
    <t>Ground Floor For Entrance Lobby, Pump Room, Meter Room &amp; Commercial</t>
  </si>
  <si>
    <t>Shop</t>
  </si>
  <si>
    <t>Basement Floor For Services</t>
  </si>
  <si>
    <t>1st to 7th Podium Floor For Parking</t>
  </si>
  <si>
    <t>1st Floor For Residential (Part Refuge Area)</t>
  </si>
  <si>
    <t>6th, 7th &amp; 9th Floor</t>
  </si>
  <si>
    <t>25th to 28th Floor</t>
  </si>
  <si>
    <t>19th to 21st, 23rd &amp; 24th Floor</t>
  </si>
  <si>
    <t>1B + G + 7P + E-Deck Floor + 1st to 28th Floor</t>
  </si>
  <si>
    <t>2BHK</t>
  </si>
  <si>
    <t>Refuge Area</t>
  </si>
  <si>
    <t>8th Floor (Part Refuge Area)</t>
  </si>
  <si>
    <t>15th Floor (Part Refuge Area)</t>
  </si>
  <si>
    <t>22nd Floor (Part Refuge Area)</t>
  </si>
  <si>
    <t>Amenity Floor (E-Deck) Above 7th Podium Floor For Society Office, Fitness Center, Community Hall &amp; Infinity Pool</t>
  </si>
  <si>
    <t>Flats</t>
  </si>
  <si>
    <t>Rehab</t>
  </si>
  <si>
    <t>-</t>
  </si>
  <si>
    <t>11th to 14th &amp; 16th to 18th Floor</t>
  </si>
  <si>
    <t>10th Floor</t>
  </si>
  <si>
    <t>Sale</t>
  </si>
  <si>
    <t>Sale Flats - 104, Rehab Flats - 56, Shops - 09</t>
  </si>
  <si>
    <t>Approved Plans, CC</t>
  </si>
  <si>
    <t>Oshiwara</t>
  </si>
  <si>
    <t>https://goo.gl/maps/AitrFCbxnkpRsshSA</t>
  </si>
  <si>
    <t>19.145624, 72.832592</t>
  </si>
  <si>
    <t>Oshiwara Akash Ganga CHSL</t>
  </si>
  <si>
    <t>Green Diamond Apartment</t>
  </si>
  <si>
    <t>Millenium Court CHSL</t>
  </si>
  <si>
    <t>2.8 KM from Jogeshwari Railway Station</t>
  </si>
  <si>
    <t>MH/EE/(BP)/GM/MHADA-113/885/2023/FCC/1/Amend</t>
  </si>
  <si>
    <t>Now this Full C.C is re-endorsed as per approved amended plans Vide No MHADA -113/885 dated. 28.07.2023.</t>
  </si>
  <si>
    <t>We have updated latest CC from Mhada site (dtd.29/04/2024).
Provide revised approved plans dtd. 28/07/2023.</t>
  </si>
  <si>
    <t>MH/EE/(BP)/GM/MHADA-113/885/2025/OCC/1/Amend
Approved upto : Gr/St + P1 to P7 + Amenity Floor + 1st to 28th upper floors.</t>
  </si>
  <si>
    <t>All work Completed. OC Received.</t>
  </si>
  <si>
    <t>We have updated OC (On 28/03/2025).</t>
  </si>
  <si>
    <t>Pooja</t>
  </si>
  <si>
    <t>rate 25000 by shailesh verbal  On 26/04/2025</t>
  </si>
  <si>
    <t>rATE 30000 by AKASH MOTE VERBAL on 24/06/2025</t>
  </si>
  <si>
    <t>Mr. Deepak : 8454001738</t>
  </si>
  <si>
    <t>Tushar Bhuwad</t>
  </si>
  <si>
    <t>Completed</t>
  </si>
  <si>
    <t>Rate 31500 &amp; park 15L by akash verbal for flat no. 2504 on 24/09/2025</t>
  </si>
  <si>
    <t>Recommended Rates of the Property have been revised on 26/04/2025, 24/06/2025 &amp; 24/09/2025.</t>
  </si>
  <si>
    <t>Change pincode from 400053 to 400102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</si>
</sst>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1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0" xfId="0" applyFont="1" applyBorder="1"/>
    <xf numFmtId="0" fontId="25" fillId="0" borderId="4" xfId="0" applyFont="1" applyBorder="1"/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/>
    <xf numFmtId="0" fontId="25" fillId="0" borderId="6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0" fontId="8" fillId="0" borderId="1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/>
      <protection locked="0"/>
    </xf>
    <xf numFmtId="0" fontId="6" fillId="0" borderId="6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8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1" fontId="10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23" xfId="0" applyNumberFormat="1" applyFont="1" applyBorder="1" applyAlignment="1" applyProtection="1">
      <alignment horizontal="center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4" fontId="8" fillId="0" borderId="5" xfId="1" applyNumberFormat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673102</xdr:colOff>
      <xdr:row>7</xdr:row>
      <xdr:rowOff>51376</xdr:rowOff>
    </xdr:from>
    <xdr:to>
      <xdr:col>17</xdr:col>
      <xdr:colOff>399850</xdr:colOff>
      <xdr:row>14</xdr:row>
      <xdr:rowOff>456396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2" y="1848426"/>
          <a:ext cx="5848148" cy="1782970"/>
        </a:xfrm>
        <a:prstGeom prst="rect">
          <a:avLst/>
        </a:prstGeom>
      </xdr:spPr>
    </xdr:pic>
    <xdr:clientData/>
  </xdr:twoCellAnchor>
  <xdr:twoCellAnchor editAs="oneCell">
    <xdr:from>
      <xdr:col>9</xdr:col>
      <xdr:colOff>659245</xdr:colOff>
      <xdr:row>14</xdr:row>
      <xdr:rowOff>517813</xdr:rowOff>
    </xdr:from>
    <xdr:to>
      <xdr:col>15</xdr:col>
      <xdr:colOff>254069</xdr:colOff>
      <xdr:row>18</xdr:row>
      <xdr:rowOff>159480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1995" y="3692813"/>
          <a:ext cx="4268424" cy="1070417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41</xdr:row>
      <xdr:rowOff>147205</xdr:rowOff>
    </xdr:from>
    <xdr:to>
      <xdr:col>12</xdr:col>
      <xdr:colOff>27326</xdr:colOff>
      <xdr:row>47</xdr:row>
      <xdr:rowOff>276060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6045" y="9975273"/>
          <a:ext cx="3066667" cy="13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545524</xdr:colOff>
      <xdr:row>47</xdr:row>
      <xdr:rowOff>406977</xdr:rowOff>
    </xdr:from>
    <xdr:to>
      <xdr:col>12</xdr:col>
      <xdr:colOff>506147</xdr:colOff>
      <xdr:row>50</xdr:row>
      <xdr:rowOff>337610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65819" y="11430000"/>
          <a:ext cx="3285714" cy="7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216480</xdr:colOff>
      <xdr:row>125</xdr:row>
      <xdr:rowOff>121227</xdr:rowOff>
    </xdr:from>
    <xdr:to>
      <xdr:col>16</xdr:col>
      <xdr:colOff>162069</xdr:colOff>
      <xdr:row>140</xdr:row>
      <xdr:rowOff>13841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6775" y="30471341"/>
          <a:ext cx="6335999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76650</xdr:colOff>
      <xdr:row>281</xdr:row>
      <xdr:rowOff>45666</xdr:rowOff>
    </xdr:from>
    <xdr:to>
      <xdr:col>6</xdr:col>
      <xdr:colOff>165943</xdr:colOff>
      <xdr:row>295</xdr:row>
      <xdr:rowOff>137439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5286" y="61499234"/>
          <a:ext cx="344036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0</xdr:colOff>
      <xdr:row>264</xdr:row>
      <xdr:rowOff>8659</xdr:rowOff>
    </xdr:from>
    <xdr:to>
      <xdr:col>6</xdr:col>
      <xdr:colOff>242593</xdr:colOff>
      <xdr:row>280</xdr:row>
      <xdr:rowOff>62113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58636" y="58076523"/>
          <a:ext cx="3593662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251115</xdr:colOff>
      <xdr:row>270</xdr:row>
      <xdr:rowOff>77933</xdr:rowOff>
    </xdr:from>
    <xdr:to>
      <xdr:col>3</xdr:col>
      <xdr:colOff>839933</xdr:colOff>
      <xdr:row>272</xdr:row>
      <xdr:rowOff>51956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21042215">
          <a:off x="2658342" y="59340751"/>
          <a:ext cx="588818" cy="3723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173116</xdr:colOff>
      <xdr:row>326</xdr:row>
      <xdr:rowOff>47609</xdr:rowOff>
    </xdr:from>
    <xdr:to>
      <xdr:col>6</xdr:col>
      <xdr:colOff>589696</xdr:colOff>
      <xdr:row>342</xdr:row>
      <xdr:rowOff>101064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5116" y="70255518"/>
          <a:ext cx="4564285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155863</xdr:colOff>
      <xdr:row>309</xdr:row>
      <xdr:rowOff>0</xdr:rowOff>
    </xdr:from>
    <xdr:to>
      <xdr:col>6</xdr:col>
      <xdr:colOff>614424</xdr:colOff>
      <xdr:row>325</xdr:row>
      <xdr:rowOff>53454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7863" y="66822205"/>
          <a:ext cx="4606266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493568</xdr:colOff>
      <xdr:row>332</xdr:row>
      <xdr:rowOff>129886</xdr:rowOff>
    </xdr:from>
    <xdr:to>
      <xdr:col>4</xdr:col>
      <xdr:colOff>199159</xdr:colOff>
      <xdr:row>337</xdr:row>
      <xdr:rowOff>25977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900795" y="71532750"/>
          <a:ext cx="649432" cy="89188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447675</xdr:colOff>
      <xdr:row>221</xdr:row>
      <xdr:rowOff>43143</xdr:rowOff>
    </xdr:from>
    <xdr:to>
      <xdr:col>15</xdr:col>
      <xdr:colOff>770370</xdr:colOff>
      <xdr:row>262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261225" y="47325243"/>
          <a:ext cx="6215495" cy="8021357"/>
          <a:chOff x="190500" y="46487043"/>
          <a:chExt cx="5942445" cy="8256108"/>
        </a:xfrm>
      </xdr:grpSpPr>
      <xdr:pic>
        <xdr:nvPicPr>
          <xdr:cNvPr id="22" name="Picture 21" descr="https://vsjcllp.vsjadon.com/upload/insp-193953-1525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9753" y="49364845"/>
            <a:ext cx="1823192" cy="25701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193953-843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46505582"/>
            <a:ext cx="1823193" cy="25718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193953-845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9530" y="52173002"/>
            <a:ext cx="1752035" cy="25701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193953-844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28903" y="52173002"/>
            <a:ext cx="3209072" cy="25701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193953-847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49340133"/>
            <a:ext cx="1823193" cy="25701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193953-849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8786" y="49364845"/>
            <a:ext cx="1805263" cy="25701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193953-861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8787" y="46487043"/>
            <a:ext cx="1805263" cy="25718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193953-860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9753" y="46487043"/>
            <a:ext cx="1823192" cy="25718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203200</xdr:colOff>
      <xdr:row>221</xdr:row>
      <xdr:rowOff>127000</xdr:rowOff>
    </xdr:from>
    <xdr:to>
      <xdr:col>7</xdr:col>
      <xdr:colOff>646069</xdr:colOff>
      <xdr:row>256</xdr:row>
      <xdr:rowOff>22844</xdr:rowOff>
    </xdr:to>
    <xdr:grpSp>
      <xdr:nvGrpSpPr>
        <xdr:cNvPr id="6" name="Group 5"/>
        <xdr:cNvGrpSpPr/>
      </xdr:nvGrpSpPr>
      <xdr:grpSpPr>
        <a:xfrm>
          <a:off x="203200" y="47409100"/>
          <a:ext cx="6386469" cy="6779244"/>
          <a:chOff x="203200" y="47186850"/>
          <a:chExt cx="6386469" cy="6779244"/>
        </a:xfrm>
      </xdr:grpSpPr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6778" y="51266094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846" y="47186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51266094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4989" y="51266094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9983" y="47186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itrFCbxnkpRsshS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0"/>
  <sheetViews>
    <sheetView tabSelected="1" view="pageBreakPreview" zoomScaleNormal="100" zoomScaleSheetLayoutView="100" zoomScalePageLayoutView="85" workbookViewId="0">
      <selection activeCell="J26" sqref="J26"/>
    </sheetView>
  </sheetViews>
  <sheetFormatPr defaultColWidth="9.08984375" defaultRowHeight="15.5" x14ac:dyDescent="0.35"/>
  <cols>
    <col min="1" max="1" width="11.453125" style="37" customWidth="1"/>
    <col min="2" max="2" width="12" style="37" customWidth="1"/>
    <col min="3" max="3" width="12.6328125" style="37" customWidth="1"/>
    <col min="4" max="4" width="14.08984375" style="37" customWidth="1"/>
    <col min="5" max="7" width="11.6328125" style="37" customWidth="1"/>
    <col min="8" max="8" width="12.45312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90625" style="18" customWidth="1"/>
    <col min="14" max="14" width="12.54296875" style="18" customWidth="1"/>
    <col min="15" max="15" width="9.90625" style="18" customWidth="1"/>
    <col min="16" max="16" width="11.6328125" style="18" customWidth="1"/>
    <col min="17" max="247" width="9.08984375" style="18"/>
    <col min="248" max="248" width="8.6328125" style="18" customWidth="1"/>
    <col min="249" max="249" width="9.90625" style="18" customWidth="1"/>
    <col min="250" max="250" width="14.453125" style="18" customWidth="1"/>
    <col min="251" max="251" width="7.36328125" style="18" customWidth="1"/>
    <col min="252" max="252" width="5.54296875" style="18" customWidth="1"/>
    <col min="253" max="253" width="9" style="18" customWidth="1"/>
    <col min="254" max="255" width="9.90625" style="18" customWidth="1"/>
    <col min="256" max="256" width="11.08984375" style="18" customWidth="1"/>
    <col min="257" max="257" width="2.90625" style="18" customWidth="1"/>
    <col min="258" max="258" width="3.54296875" style="18" customWidth="1"/>
    <col min="259" max="503" width="9.08984375" style="18"/>
    <col min="504" max="504" width="8.6328125" style="18" customWidth="1"/>
    <col min="505" max="505" width="9.90625" style="18" customWidth="1"/>
    <col min="506" max="506" width="14.453125" style="18" customWidth="1"/>
    <col min="507" max="507" width="7.36328125" style="18" customWidth="1"/>
    <col min="508" max="508" width="5.54296875" style="18" customWidth="1"/>
    <col min="509" max="509" width="9" style="18" customWidth="1"/>
    <col min="510" max="511" width="9.90625" style="18" customWidth="1"/>
    <col min="512" max="512" width="11.08984375" style="18" customWidth="1"/>
    <col min="513" max="513" width="2.90625" style="18" customWidth="1"/>
    <col min="514" max="514" width="3.54296875" style="18" customWidth="1"/>
    <col min="515" max="759" width="9.08984375" style="18"/>
    <col min="760" max="760" width="8.6328125" style="18" customWidth="1"/>
    <col min="761" max="761" width="9.90625" style="18" customWidth="1"/>
    <col min="762" max="762" width="14.453125" style="18" customWidth="1"/>
    <col min="763" max="763" width="7.36328125" style="18" customWidth="1"/>
    <col min="764" max="764" width="5.54296875" style="18" customWidth="1"/>
    <col min="765" max="765" width="9" style="18" customWidth="1"/>
    <col min="766" max="767" width="9.90625" style="18" customWidth="1"/>
    <col min="768" max="768" width="11.08984375" style="18" customWidth="1"/>
    <col min="769" max="769" width="2.90625" style="18" customWidth="1"/>
    <col min="770" max="770" width="3.54296875" style="18" customWidth="1"/>
    <col min="771" max="1015" width="9.08984375" style="18"/>
    <col min="1016" max="1016" width="8.6328125" style="18" customWidth="1"/>
    <col min="1017" max="1017" width="9.90625" style="18" customWidth="1"/>
    <col min="1018" max="1018" width="14.453125" style="18" customWidth="1"/>
    <col min="1019" max="1019" width="7.36328125" style="18" customWidth="1"/>
    <col min="1020" max="1020" width="5.54296875" style="18" customWidth="1"/>
    <col min="1021" max="1021" width="9" style="18" customWidth="1"/>
    <col min="1022" max="1023" width="9.90625" style="18" customWidth="1"/>
    <col min="1024" max="1024" width="11.08984375" style="18" customWidth="1"/>
    <col min="1025" max="1025" width="2.90625" style="18" customWidth="1"/>
    <col min="1026" max="1026" width="3.54296875" style="18" customWidth="1"/>
    <col min="1027" max="1271" width="9.08984375" style="18"/>
    <col min="1272" max="1272" width="8.6328125" style="18" customWidth="1"/>
    <col min="1273" max="1273" width="9.90625" style="18" customWidth="1"/>
    <col min="1274" max="1274" width="14.453125" style="18" customWidth="1"/>
    <col min="1275" max="1275" width="7.36328125" style="18" customWidth="1"/>
    <col min="1276" max="1276" width="5.54296875" style="18" customWidth="1"/>
    <col min="1277" max="1277" width="9" style="18" customWidth="1"/>
    <col min="1278" max="1279" width="9.90625" style="18" customWidth="1"/>
    <col min="1280" max="1280" width="11.08984375" style="18" customWidth="1"/>
    <col min="1281" max="1281" width="2.90625" style="18" customWidth="1"/>
    <col min="1282" max="1282" width="3.54296875" style="18" customWidth="1"/>
    <col min="1283" max="1527" width="9.08984375" style="18"/>
    <col min="1528" max="1528" width="8.6328125" style="18" customWidth="1"/>
    <col min="1529" max="1529" width="9.90625" style="18" customWidth="1"/>
    <col min="1530" max="1530" width="14.453125" style="18" customWidth="1"/>
    <col min="1531" max="1531" width="7.36328125" style="18" customWidth="1"/>
    <col min="1532" max="1532" width="5.54296875" style="18" customWidth="1"/>
    <col min="1533" max="1533" width="9" style="18" customWidth="1"/>
    <col min="1534" max="1535" width="9.90625" style="18" customWidth="1"/>
    <col min="1536" max="1536" width="11.08984375" style="18" customWidth="1"/>
    <col min="1537" max="1537" width="2.90625" style="18" customWidth="1"/>
    <col min="1538" max="1538" width="3.54296875" style="18" customWidth="1"/>
    <col min="1539" max="1783" width="9.08984375" style="18"/>
    <col min="1784" max="1784" width="8.6328125" style="18" customWidth="1"/>
    <col min="1785" max="1785" width="9.90625" style="18" customWidth="1"/>
    <col min="1786" max="1786" width="14.453125" style="18" customWidth="1"/>
    <col min="1787" max="1787" width="7.36328125" style="18" customWidth="1"/>
    <col min="1788" max="1788" width="5.54296875" style="18" customWidth="1"/>
    <col min="1789" max="1789" width="9" style="18" customWidth="1"/>
    <col min="1790" max="1791" width="9.90625" style="18" customWidth="1"/>
    <col min="1792" max="1792" width="11.08984375" style="18" customWidth="1"/>
    <col min="1793" max="1793" width="2.90625" style="18" customWidth="1"/>
    <col min="1794" max="1794" width="3.54296875" style="18" customWidth="1"/>
    <col min="1795" max="2039" width="9.08984375" style="18"/>
    <col min="2040" max="2040" width="8.6328125" style="18" customWidth="1"/>
    <col min="2041" max="2041" width="9.90625" style="18" customWidth="1"/>
    <col min="2042" max="2042" width="14.453125" style="18" customWidth="1"/>
    <col min="2043" max="2043" width="7.36328125" style="18" customWidth="1"/>
    <col min="2044" max="2044" width="5.54296875" style="18" customWidth="1"/>
    <col min="2045" max="2045" width="9" style="18" customWidth="1"/>
    <col min="2046" max="2047" width="9.90625" style="18" customWidth="1"/>
    <col min="2048" max="2048" width="11.08984375" style="18" customWidth="1"/>
    <col min="2049" max="2049" width="2.90625" style="18" customWidth="1"/>
    <col min="2050" max="2050" width="3.54296875" style="18" customWidth="1"/>
    <col min="2051" max="2295" width="9.08984375" style="18"/>
    <col min="2296" max="2296" width="8.6328125" style="18" customWidth="1"/>
    <col min="2297" max="2297" width="9.90625" style="18" customWidth="1"/>
    <col min="2298" max="2298" width="14.453125" style="18" customWidth="1"/>
    <col min="2299" max="2299" width="7.36328125" style="18" customWidth="1"/>
    <col min="2300" max="2300" width="5.54296875" style="18" customWidth="1"/>
    <col min="2301" max="2301" width="9" style="18" customWidth="1"/>
    <col min="2302" max="2303" width="9.90625" style="18" customWidth="1"/>
    <col min="2304" max="2304" width="11.08984375" style="18" customWidth="1"/>
    <col min="2305" max="2305" width="2.90625" style="18" customWidth="1"/>
    <col min="2306" max="2306" width="3.54296875" style="18" customWidth="1"/>
    <col min="2307" max="2551" width="9.08984375" style="18"/>
    <col min="2552" max="2552" width="8.6328125" style="18" customWidth="1"/>
    <col min="2553" max="2553" width="9.90625" style="18" customWidth="1"/>
    <col min="2554" max="2554" width="14.453125" style="18" customWidth="1"/>
    <col min="2555" max="2555" width="7.36328125" style="18" customWidth="1"/>
    <col min="2556" max="2556" width="5.54296875" style="18" customWidth="1"/>
    <col min="2557" max="2557" width="9" style="18" customWidth="1"/>
    <col min="2558" max="2559" width="9.90625" style="18" customWidth="1"/>
    <col min="2560" max="2560" width="11.08984375" style="18" customWidth="1"/>
    <col min="2561" max="2561" width="2.90625" style="18" customWidth="1"/>
    <col min="2562" max="2562" width="3.54296875" style="18" customWidth="1"/>
    <col min="2563" max="2807" width="9.08984375" style="18"/>
    <col min="2808" max="2808" width="8.6328125" style="18" customWidth="1"/>
    <col min="2809" max="2809" width="9.90625" style="18" customWidth="1"/>
    <col min="2810" max="2810" width="14.453125" style="18" customWidth="1"/>
    <col min="2811" max="2811" width="7.36328125" style="18" customWidth="1"/>
    <col min="2812" max="2812" width="5.54296875" style="18" customWidth="1"/>
    <col min="2813" max="2813" width="9" style="18" customWidth="1"/>
    <col min="2814" max="2815" width="9.90625" style="18" customWidth="1"/>
    <col min="2816" max="2816" width="11.08984375" style="18" customWidth="1"/>
    <col min="2817" max="2817" width="2.90625" style="18" customWidth="1"/>
    <col min="2818" max="2818" width="3.54296875" style="18" customWidth="1"/>
    <col min="2819" max="3063" width="9.08984375" style="18"/>
    <col min="3064" max="3064" width="8.6328125" style="18" customWidth="1"/>
    <col min="3065" max="3065" width="9.90625" style="18" customWidth="1"/>
    <col min="3066" max="3066" width="14.453125" style="18" customWidth="1"/>
    <col min="3067" max="3067" width="7.36328125" style="18" customWidth="1"/>
    <col min="3068" max="3068" width="5.54296875" style="18" customWidth="1"/>
    <col min="3069" max="3069" width="9" style="18" customWidth="1"/>
    <col min="3070" max="3071" width="9.90625" style="18" customWidth="1"/>
    <col min="3072" max="3072" width="11.08984375" style="18" customWidth="1"/>
    <col min="3073" max="3073" width="2.90625" style="18" customWidth="1"/>
    <col min="3074" max="3074" width="3.54296875" style="18" customWidth="1"/>
    <col min="3075" max="3319" width="9.08984375" style="18"/>
    <col min="3320" max="3320" width="8.6328125" style="18" customWidth="1"/>
    <col min="3321" max="3321" width="9.90625" style="18" customWidth="1"/>
    <col min="3322" max="3322" width="14.453125" style="18" customWidth="1"/>
    <col min="3323" max="3323" width="7.36328125" style="18" customWidth="1"/>
    <col min="3324" max="3324" width="5.54296875" style="18" customWidth="1"/>
    <col min="3325" max="3325" width="9" style="18" customWidth="1"/>
    <col min="3326" max="3327" width="9.90625" style="18" customWidth="1"/>
    <col min="3328" max="3328" width="11.08984375" style="18" customWidth="1"/>
    <col min="3329" max="3329" width="2.90625" style="18" customWidth="1"/>
    <col min="3330" max="3330" width="3.54296875" style="18" customWidth="1"/>
    <col min="3331" max="3575" width="9.08984375" style="18"/>
    <col min="3576" max="3576" width="8.6328125" style="18" customWidth="1"/>
    <col min="3577" max="3577" width="9.90625" style="18" customWidth="1"/>
    <col min="3578" max="3578" width="14.453125" style="18" customWidth="1"/>
    <col min="3579" max="3579" width="7.36328125" style="18" customWidth="1"/>
    <col min="3580" max="3580" width="5.54296875" style="18" customWidth="1"/>
    <col min="3581" max="3581" width="9" style="18" customWidth="1"/>
    <col min="3582" max="3583" width="9.90625" style="18" customWidth="1"/>
    <col min="3584" max="3584" width="11.08984375" style="18" customWidth="1"/>
    <col min="3585" max="3585" width="2.90625" style="18" customWidth="1"/>
    <col min="3586" max="3586" width="3.54296875" style="18" customWidth="1"/>
    <col min="3587" max="3831" width="9.08984375" style="18"/>
    <col min="3832" max="3832" width="8.6328125" style="18" customWidth="1"/>
    <col min="3833" max="3833" width="9.90625" style="18" customWidth="1"/>
    <col min="3834" max="3834" width="14.453125" style="18" customWidth="1"/>
    <col min="3835" max="3835" width="7.36328125" style="18" customWidth="1"/>
    <col min="3836" max="3836" width="5.54296875" style="18" customWidth="1"/>
    <col min="3837" max="3837" width="9" style="18" customWidth="1"/>
    <col min="3838" max="3839" width="9.90625" style="18" customWidth="1"/>
    <col min="3840" max="3840" width="11.08984375" style="18" customWidth="1"/>
    <col min="3841" max="3841" width="2.90625" style="18" customWidth="1"/>
    <col min="3842" max="3842" width="3.54296875" style="18" customWidth="1"/>
    <col min="3843" max="4087" width="9.08984375" style="18"/>
    <col min="4088" max="4088" width="8.6328125" style="18" customWidth="1"/>
    <col min="4089" max="4089" width="9.90625" style="18" customWidth="1"/>
    <col min="4090" max="4090" width="14.453125" style="18" customWidth="1"/>
    <col min="4091" max="4091" width="7.36328125" style="18" customWidth="1"/>
    <col min="4092" max="4092" width="5.54296875" style="18" customWidth="1"/>
    <col min="4093" max="4093" width="9" style="18" customWidth="1"/>
    <col min="4094" max="4095" width="9.90625" style="18" customWidth="1"/>
    <col min="4096" max="4096" width="11.08984375" style="18" customWidth="1"/>
    <col min="4097" max="4097" width="2.90625" style="18" customWidth="1"/>
    <col min="4098" max="4098" width="3.54296875" style="18" customWidth="1"/>
    <col min="4099" max="4343" width="9.08984375" style="18"/>
    <col min="4344" max="4344" width="8.6328125" style="18" customWidth="1"/>
    <col min="4345" max="4345" width="9.90625" style="18" customWidth="1"/>
    <col min="4346" max="4346" width="14.453125" style="18" customWidth="1"/>
    <col min="4347" max="4347" width="7.36328125" style="18" customWidth="1"/>
    <col min="4348" max="4348" width="5.54296875" style="18" customWidth="1"/>
    <col min="4349" max="4349" width="9" style="18" customWidth="1"/>
    <col min="4350" max="4351" width="9.90625" style="18" customWidth="1"/>
    <col min="4352" max="4352" width="11.08984375" style="18" customWidth="1"/>
    <col min="4353" max="4353" width="2.90625" style="18" customWidth="1"/>
    <col min="4354" max="4354" width="3.54296875" style="18" customWidth="1"/>
    <col min="4355" max="4599" width="9.08984375" style="18"/>
    <col min="4600" max="4600" width="8.6328125" style="18" customWidth="1"/>
    <col min="4601" max="4601" width="9.90625" style="18" customWidth="1"/>
    <col min="4602" max="4602" width="14.453125" style="18" customWidth="1"/>
    <col min="4603" max="4603" width="7.36328125" style="18" customWidth="1"/>
    <col min="4604" max="4604" width="5.54296875" style="18" customWidth="1"/>
    <col min="4605" max="4605" width="9" style="18" customWidth="1"/>
    <col min="4606" max="4607" width="9.90625" style="18" customWidth="1"/>
    <col min="4608" max="4608" width="11.08984375" style="18" customWidth="1"/>
    <col min="4609" max="4609" width="2.90625" style="18" customWidth="1"/>
    <col min="4610" max="4610" width="3.54296875" style="18" customWidth="1"/>
    <col min="4611" max="4855" width="9.08984375" style="18"/>
    <col min="4856" max="4856" width="8.6328125" style="18" customWidth="1"/>
    <col min="4857" max="4857" width="9.90625" style="18" customWidth="1"/>
    <col min="4858" max="4858" width="14.453125" style="18" customWidth="1"/>
    <col min="4859" max="4859" width="7.36328125" style="18" customWidth="1"/>
    <col min="4860" max="4860" width="5.54296875" style="18" customWidth="1"/>
    <col min="4861" max="4861" width="9" style="18" customWidth="1"/>
    <col min="4862" max="4863" width="9.90625" style="18" customWidth="1"/>
    <col min="4864" max="4864" width="11.08984375" style="18" customWidth="1"/>
    <col min="4865" max="4865" width="2.90625" style="18" customWidth="1"/>
    <col min="4866" max="4866" width="3.54296875" style="18" customWidth="1"/>
    <col min="4867" max="5111" width="9.08984375" style="18"/>
    <col min="5112" max="5112" width="8.6328125" style="18" customWidth="1"/>
    <col min="5113" max="5113" width="9.90625" style="18" customWidth="1"/>
    <col min="5114" max="5114" width="14.453125" style="18" customWidth="1"/>
    <col min="5115" max="5115" width="7.36328125" style="18" customWidth="1"/>
    <col min="5116" max="5116" width="5.54296875" style="18" customWidth="1"/>
    <col min="5117" max="5117" width="9" style="18" customWidth="1"/>
    <col min="5118" max="5119" width="9.90625" style="18" customWidth="1"/>
    <col min="5120" max="5120" width="11.08984375" style="18" customWidth="1"/>
    <col min="5121" max="5121" width="2.90625" style="18" customWidth="1"/>
    <col min="5122" max="5122" width="3.54296875" style="18" customWidth="1"/>
    <col min="5123" max="5367" width="9.08984375" style="18"/>
    <col min="5368" max="5368" width="8.6328125" style="18" customWidth="1"/>
    <col min="5369" max="5369" width="9.90625" style="18" customWidth="1"/>
    <col min="5370" max="5370" width="14.453125" style="18" customWidth="1"/>
    <col min="5371" max="5371" width="7.36328125" style="18" customWidth="1"/>
    <col min="5372" max="5372" width="5.54296875" style="18" customWidth="1"/>
    <col min="5373" max="5373" width="9" style="18" customWidth="1"/>
    <col min="5374" max="5375" width="9.90625" style="18" customWidth="1"/>
    <col min="5376" max="5376" width="11.08984375" style="18" customWidth="1"/>
    <col min="5377" max="5377" width="2.90625" style="18" customWidth="1"/>
    <col min="5378" max="5378" width="3.54296875" style="18" customWidth="1"/>
    <col min="5379" max="5623" width="9.08984375" style="18"/>
    <col min="5624" max="5624" width="8.6328125" style="18" customWidth="1"/>
    <col min="5625" max="5625" width="9.90625" style="18" customWidth="1"/>
    <col min="5626" max="5626" width="14.453125" style="18" customWidth="1"/>
    <col min="5627" max="5627" width="7.36328125" style="18" customWidth="1"/>
    <col min="5628" max="5628" width="5.54296875" style="18" customWidth="1"/>
    <col min="5629" max="5629" width="9" style="18" customWidth="1"/>
    <col min="5630" max="5631" width="9.90625" style="18" customWidth="1"/>
    <col min="5632" max="5632" width="11.08984375" style="18" customWidth="1"/>
    <col min="5633" max="5633" width="2.90625" style="18" customWidth="1"/>
    <col min="5634" max="5634" width="3.54296875" style="18" customWidth="1"/>
    <col min="5635" max="5879" width="9.08984375" style="18"/>
    <col min="5880" max="5880" width="8.6328125" style="18" customWidth="1"/>
    <col min="5881" max="5881" width="9.90625" style="18" customWidth="1"/>
    <col min="5882" max="5882" width="14.453125" style="18" customWidth="1"/>
    <col min="5883" max="5883" width="7.36328125" style="18" customWidth="1"/>
    <col min="5884" max="5884" width="5.54296875" style="18" customWidth="1"/>
    <col min="5885" max="5885" width="9" style="18" customWidth="1"/>
    <col min="5886" max="5887" width="9.90625" style="18" customWidth="1"/>
    <col min="5888" max="5888" width="11.08984375" style="18" customWidth="1"/>
    <col min="5889" max="5889" width="2.90625" style="18" customWidth="1"/>
    <col min="5890" max="5890" width="3.54296875" style="18" customWidth="1"/>
    <col min="5891" max="6135" width="9.08984375" style="18"/>
    <col min="6136" max="6136" width="8.6328125" style="18" customWidth="1"/>
    <col min="6137" max="6137" width="9.90625" style="18" customWidth="1"/>
    <col min="6138" max="6138" width="14.453125" style="18" customWidth="1"/>
    <col min="6139" max="6139" width="7.36328125" style="18" customWidth="1"/>
    <col min="6140" max="6140" width="5.54296875" style="18" customWidth="1"/>
    <col min="6141" max="6141" width="9" style="18" customWidth="1"/>
    <col min="6142" max="6143" width="9.90625" style="18" customWidth="1"/>
    <col min="6144" max="6144" width="11.08984375" style="18" customWidth="1"/>
    <col min="6145" max="6145" width="2.90625" style="18" customWidth="1"/>
    <col min="6146" max="6146" width="3.54296875" style="18" customWidth="1"/>
    <col min="6147" max="6391" width="9.08984375" style="18"/>
    <col min="6392" max="6392" width="8.6328125" style="18" customWidth="1"/>
    <col min="6393" max="6393" width="9.90625" style="18" customWidth="1"/>
    <col min="6394" max="6394" width="14.453125" style="18" customWidth="1"/>
    <col min="6395" max="6395" width="7.36328125" style="18" customWidth="1"/>
    <col min="6396" max="6396" width="5.54296875" style="18" customWidth="1"/>
    <col min="6397" max="6397" width="9" style="18" customWidth="1"/>
    <col min="6398" max="6399" width="9.90625" style="18" customWidth="1"/>
    <col min="6400" max="6400" width="11.08984375" style="18" customWidth="1"/>
    <col min="6401" max="6401" width="2.90625" style="18" customWidth="1"/>
    <col min="6402" max="6402" width="3.54296875" style="18" customWidth="1"/>
    <col min="6403" max="6647" width="9.08984375" style="18"/>
    <col min="6648" max="6648" width="8.6328125" style="18" customWidth="1"/>
    <col min="6649" max="6649" width="9.90625" style="18" customWidth="1"/>
    <col min="6650" max="6650" width="14.453125" style="18" customWidth="1"/>
    <col min="6651" max="6651" width="7.36328125" style="18" customWidth="1"/>
    <col min="6652" max="6652" width="5.54296875" style="18" customWidth="1"/>
    <col min="6653" max="6653" width="9" style="18" customWidth="1"/>
    <col min="6654" max="6655" width="9.90625" style="18" customWidth="1"/>
    <col min="6656" max="6656" width="11.08984375" style="18" customWidth="1"/>
    <col min="6657" max="6657" width="2.90625" style="18" customWidth="1"/>
    <col min="6658" max="6658" width="3.54296875" style="18" customWidth="1"/>
    <col min="6659" max="6903" width="9.08984375" style="18"/>
    <col min="6904" max="6904" width="8.6328125" style="18" customWidth="1"/>
    <col min="6905" max="6905" width="9.90625" style="18" customWidth="1"/>
    <col min="6906" max="6906" width="14.453125" style="18" customWidth="1"/>
    <col min="6907" max="6907" width="7.36328125" style="18" customWidth="1"/>
    <col min="6908" max="6908" width="5.54296875" style="18" customWidth="1"/>
    <col min="6909" max="6909" width="9" style="18" customWidth="1"/>
    <col min="6910" max="6911" width="9.90625" style="18" customWidth="1"/>
    <col min="6912" max="6912" width="11.08984375" style="18" customWidth="1"/>
    <col min="6913" max="6913" width="2.90625" style="18" customWidth="1"/>
    <col min="6914" max="6914" width="3.54296875" style="18" customWidth="1"/>
    <col min="6915" max="7159" width="9.08984375" style="18"/>
    <col min="7160" max="7160" width="8.6328125" style="18" customWidth="1"/>
    <col min="7161" max="7161" width="9.90625" style="18" customWidth="1"/>
    <col min="7162" max="7162" width="14.453125" style="18" customWidth="1"/>
    <col min="7163" max="7163" width="7.36328125" style="18" customWidth="1"/>
    <col min="7164" max="7164" width="5.54296875" style="18" customWidth="1"/>
    <col min="7165" max="7165" width="9" style="18" customWidth="1"/>
    <col min="7166" max="7167" width="9.90625" style="18" customWidth="1"/>
    <col min="7168" max="7168" width="11.08984375" style="18" customWidth="1"/>
    <col min="7169" max="7169" width="2.90625" style="18" customWidth="1"/>
    <col min="7170" max="7170" width="3.54296875" style="18" customWidth="1"/>
    <col min="7171" max="7415" width="9.08984375" style="18"/>
    <col min="7416" max="7416" width="8.6328125" style="18" customWidth="1"/>
    <col min="7417" max="7417" width="9.90625" style="18" customWidth="1"/>
    <col min="7418" max="7418" width="14.453125" style="18" customWidth="1"/>
    <col min="7419" max="7419" width="7.36328125" style="18" customWidth="1"/>
    <col min="7420" max="7420" width="5.54296875" style="18" customWidth="1"/>
    <col min="7421" max="7421" width="9" style="18" customWidth="1"/>
    <col min="7422" max="7423" width="9.90625" style="18" customWidth="1"/>
    <col min="7424" max="7424" width="11.08984375" style="18" customWidth="1"/>
    <col min="7425" max="7425" width="2.90625" style="18" customWidth="1"/>
    <col min="7426" max="7426" width="3.54296875" style="18" customWidth="1"/>
    <col min="7427" max="7671" width="9.08984375" style="18"/>
    <col min="7672" max="7672" width="8.6328125" style="18" customWidth="1"/>
    <col min="7673" max="7673" width="9.90625" style="18" customWidth="1"/>
    <col min="7674" max="7674" width="14.453125" style="18" customWidth="1"/>
    <col min="7675" max="7675" width="7.36328125" style="18" customWidth="1"/>
    <col min="7676" max="7676" width="5.54296875" style="18" customWidth="1"/>
    <col min="7677" max="7677" width="9" style="18" customWidth="1"/>
    <col min="7678" max="7679" width="9.90625" style="18" customWidth="1"/>
    <col min="7680" max="7680" width="11.08984375" style="18" customWidth="1"/>
    <col min="7681" max="7681" width="2.90625" style="18" customWidth="1"/>
    <col min="7682" max="7682" width="3.54296875" style="18" customWidth="1"/>
    <col min="7683" max="7927" width="9.08984375" style="18"/>
    <col min="7928" max="7928" width="8.6328125" style="18" customWidth="1"/>
    <col min="7929" max="7929" width="9.90625" style="18" customWidth="1"/>
    <col min="7930" max="7930" width="14.453125" style="18" customWidth="1"/>
    <col min="7931" max="7931" width="7.36328125" style="18" customWidth="1"/>
    <col min="7932" max="7932" width="5.54296875" style="18" customWidth="1"/>
    <col min="7933" max="7933" width="9" style="18" customWidth="1"/>
    <col min="7934" max="7935" width="9.90625" style="18" customWidth="1"/>
    <col min="7936" max="7936" width="11.08984375" style="18" customWidth="1"/>
    <col min="7937" max="7937" width="2.90625" style="18" customWidth="1"/>
    <col min="7938" max="7938" width="3.54296875" style="18" customWidth="1"/>
    <col min="7939" max="8183" width="9.08984375" style="18"/>
    <col min="8184" max="8184" width="8.6328125" style="18" customWidth="1"/>
    <col min="8185" max="8185" width="9.90625" style="18" customWidth="1"/>
    <col min="8186" max="8186" width="14.453125" style="18" customWidth="1"/>
    <col min="8187" max="8187" width="7.36328125" style="18" customWidth="1"/>
    <col min="8188" max="8188" width="5.54296875" style="18" customWidth="1"/>
    <col min="8189" max="8189" width="9" style="18" customWidth="1"/>
    <col min="8190" max="8191" width="9.90625" style="18" customWidth="1"/>
    <col min="8192" max="8192" width="11.08984375" style="18" customWidth="1"/>
    <col min="8193" max="8193" width="2.90625" style="18" customWidth="1"/>
    <col min="8194" max="8194" width="3.54296875" style="18" customWidth="1"/>
    <col min="8195" max="8439" width="9.08984375" style="18"/>
    <col min="8440" max="8440" width="8.6328125" style="18" customWidth="1"/>
    <col min="8441" max="8441" width="9.90625" style="18" customWidth="1"/>
    <col min="8442" max="8442" width="14.453125" style="18" customWidth="1"/>
    <col min="8443" max="8443" width="7.36328125" style="18" customWidth="1"/>
    <col min="8444" max="8444" width="5.54296875" style="18" customWidth="1"/>
    <col min="8445" max="8445" width="9" style="18" customWidth="1"/>
    <col min="8446" max="8447" width="9.90625" style="18" customWidth="1"/>
    <col min="8448" max="8448" width="11.08984375" style="18" customWidth="1"/>
    <col min="8449" max="8449" width="2.90625" style="18" customWidth="1"/>
    <col min="8450" max="8450" width="3.54296875" style="18" customWidth="1"/>
    <col min="8451" max="8695" width="9.08984375" style="18"/>
    <col min="8696" max="8696" width="8.6328125" style="18" customWidth="1"/>
    <col min="8697" max="8697" width="9.90625" style="18" customWidth="1"/>
    <col min="8698" max="8698" width="14.453125" style="18" customWidth="1"/>
    <col min="8699" max="8699" width="7.36328125" style="18" customWidth="1"/>
    <col min="8700" max="8700" width="5.54296875" style="18" customWidth="1"/>
    <col min="8701" max="8701" width="9" style="18" customWidth="1"/>
    <col min="8702" max="8703" width="9.90625" style="18" customWidth="1"/>
    <col min="8704" max="8704" width="11.08984375" style="18" customWidth="1"/>
    <col min="8705" max="8705" width="2.90625" style="18" customWidth="1"/>
    <col min="8706" max="8706" width="3.54296875" style="18" customWidth="1"/>
    <col min="8707" max="8951" width="9.08984375" style="18"/>
    <col min="8952" max="8952" width="8.6328125" style="18" customWidth="1"/>
    <col min="8953" max="8953" width="9.90625" style="18" customWidth="1"/>
    <col min="8954" max="8954" width="14.453125" style="18" customWidth="1"/>
    <col min="8955" max="8955" width="7.36328125" style="18" customWidth="1"/>
    <col min="8956" max="8956" width="5.54296875" style="18" customWidth="1"/>
    <col min="8957" max="8957" width="9" style="18" customWidth="1"/>
    <col min="8958" max="8959" width="9.90625" style="18" customWidth="1"/>
    <col min="8960" max="8960" width="11.08984375" style="18" customWidth="1"/>
    <col min="8961" max="8961" width="2.90625" style="18" customWidth="1"/>
    <col min="8962" max="8962" width="3.54296875" style="18" customWidth="1"/>
    <col min="8963" max="9207" width="9.08984375" style="18"/>
    <col min="9208" max="9208" width="8.6328125" style="18" customWidth="1"/>
    <col min="9209" max="9209" width="9.90625" style="18" customWidth="1"/>
    <col min="9210" max="9210" width="14.453125" style="18" customWidth="1"/>
    <col min="9211" max="9211" width="7.36328125" style="18" customWidth="1"/>
    <col min="9212" max="9212" width="5.54296875" style="18" customWidth="1"/>
    <col min="9213" max="9213" width="9" style="18" customWidth="1"/>
    <col min="9214" max="9215" width="9.90625" style="18" customWidth="1"/>
    <col min="9216" max="9216" width="11.08984375" style="18" customWidth="1"/>
    <col min="9217" max="9217" width="2.90625" style="18" customWidth="1"/>
    <col min="9218" max="9218" width="3.54296875" style="18" customWidth="1"/>
    <col min="9219" max="9463" width="9.08984375" style="18"/>
    <col min="9464" max="9464" width="8.6328125" style="18" customWidth="1"/>
    <col min="9465" max="9465" width="9.90625" style="18" customWidth="1"/>
    <col min="9466" max="9466" width="14.453125" style="18" customWidth="1"/>
    <col min="9467" max="9467" width="7.36328125" style="18" customWidth="1"/>
    <col min="9468" max="9468" width="5.54296875" style="18" customWidth="1"/>
    <col min="9469" max="9469" width="9" style="18" customWidth="1"/>
    <col min="9470" max="9471" width="9.90625" style="18" customWidth="1"/>
    <col min="9472" max="9472" width="11.08984375" style="18" customWidth="1"/>
    <col min="9473" max="9473" width="2.90625" style="18" customWidth="1"/>
    <col min="9474" max="9474" width="3.54296875" style="18" customWidth="1"/>
    <col min="9475" max="9719" width="9.08984375" style="18"/>
    <col min="9720" max="9720" width="8.6328125" style="18" customWidth="1"/>
    <col min="9721" max="9721" width="9.90625" style="18" customWidth="1"/>
    <col min="9722" max="9722" width="14.453125" style="18" customWidth="1"/>
    <col min="9723" max="9723" width="7.36328125" style="18" customWidth="1"/>
    <col min="9724" max="9724" width="5.54296875" style="18" customWidth="1"/>
    <col min="9725" max="9725" width="9" style="18" customWidth="1"/>
    <col min="9726" max="9727" width="9.90625" style="18" customWidth="1"/>
    <col min="9728" max="9728" width="11.08984375" style="18" customWidth="1"/>
    <col min="9729" max="9729" width="2.90625" style="18" customWidth="1"/>
    <col min="9730" max="9730" width="3.54296875" style="18" customWidth="1"/>
    <col min="9731" max="9975" width="9.08984375" style="18"/>
    <col min="9976" max="9976" width="8.6328125" style="18" customWidth="1"/>
    <col min="9977" max="9977" width="9.90625" style="18" customWidth="1"/>
    <col min="9978" max="9978" width="14.453125" style="18" customWidth="1"/>
    <col min="9979" max="9979" width="7.36328125" style="18" customWidth="1"/>
    <col min="9980" max="9980" width="5.54296875" style="18" customWidth="1"/>
    <col min="9981" max="9981" width="9" style="18" customWidth="1"/>
    <col min="9982" max="9983" width="9.90625" style="18" customWidth="1"/>
    <col min="9984" max="9984" width="11.08984375" style="18" customWidth="1"/>
    <col min="9985" max="9985" width="2.90625" style="18" customWidth="1"/>
    <col min="9986" max="9986" width="3.54296875" style="18" customWidth="1"/>
    <col min="9987" max="10231" width="9.08984375" style="18"/>
    <col min="10232" max="10232" width="8.6328125" style="18" customWidth="1"/>
    <col min="10233" max="10233" width="9.90625" style="18" customWidth="1"/>
    <col min="10234" max="10234" width="14.453125" style="18" customWidth="1"/>
    <col min="10235" max="10235" width="7.36328125" style="18" customWidth="1"/>
    <col min="10236" max="10236" width="5.54296875" style="18" customWidth="1"/>
    <col min="10237" max="10237" width="9" style="18" customWidth="1"/>
    <col min="10238" max="10239" width="9.90625" style="18" customWidth="1"/>
    <col min="10240" max="10240" width="11.08984375" style="18" customWidth="1"/>
    <col min="10241" max="10241" width="2.90625" style="18" customWidth="1"/>
    <col min="10242" max="10242" width="3.54296875" style="18" customWidth="1"/>
    <col min="10243" max="10487" width="9.08984375" style="18"/>
    <col min="10488" max="10488" width="8.6328125" style="18" customWidth="1"/>
    <col min="10489" max="10489" width="9.90625" style="18" customWidth="1"/>
    <col min="10490" max="10490" width="14.453125" style="18" customWidth="1"/>
    <col min="10491" max="10491" width="7.36328125" style="18" customWidth="1"/>
    <col min="10492" max="10492" width="5.54296875" style="18" customWidth="1"/>
    <col min="10493" max="10493" width="9" style="18" customWidth="1"/>
    <col min="10494" max="10495" width="9.90625" style="18" customWidth="1"/>
    <col min="10496" max="10496" width="11.08984375" style="18" customWidth="1"/>
    <col min="10497" max="10497" width="2.90625" style="18" customWidth="1"/>
    <col min="10498" max="10498" width="3.54296875" style="18" customWidth="1"/>
    <col min="10499" max="10743" width="9.08984375" style="18"/>
    <col min="10744" max="10744" width="8.6328125" style="18" customWidth="1"/>
    <col min="10745" max="10745" width="9.90625" style="18" customWidth="1"/>
    <col min="10746" max="10746" width="14.453125" style="18" customWidth="1"/>
    <col min="10747" max="10747" width="7.36328125" style="18" customWidth="1"/>
    <col min="10748" max="10748" width="5.54296875" style="18" customWidth="1"/>
    <col min="10749" max="10749" width="9" style="18" customWidth="1"/>
    <col min="10750" max="10751" width="9.90625" style="18" customWidth="1"/>
    <col min="10752" max="10752" width="11.08984375" style="18" customWidth="1"/>
    <col min="10753" max="10753" width="2.90625" style="18" customWidth="1"/>
    <col min="10754" max="10754" width="3.54296875" style="18" customWidth="1"/>
    <col min="10755" max="10999" width="9.08984375" style="18"/>
    <col min="11000" max="11000" width="8.6328125" style="18" customWidth="1"/>
    <col min="11001" max="11001" width="9.90625" style="18" customWidth="1"/>
    <col min="11002" max="11002" width="14.453125" style="18" customWidth="1"/>
    <col min="11003" max="11003" width="7.36328125" style="18" customWidth="1"/>
    <col min="11004" max="11004" width="5.54296875" style="18" customWidth="1"/>
    <col min="11005" max="11005" width="9" style="18" customWidth="1"/>
    <col min="11006" max="11007" width="9.90625" style="18" customWidth="1"/>
    <col min="11008" max="11008" width="11.08984375" style="18" customWidth="1"/>
    <col min="11009" max="11009" width="2.90625" style="18" customWidth="1"/>
    <col min="11010" max="11010" width="3.54296875" style="18" customWidth="1"/>
    <col min="11011" max="11255" width="9.08984375" style="18"/>
    <col min="11256" max="11256" width="8.6328125" style="18" customWidth="1"/>
    <col min="11257" max="11257" width="9.90625" style="18" customWidth="1"/>
    <col min="11258" max="11258" width="14.453125" style="18" customWidth="1"/>
    <col min="11259" max="11259" width="7.36328125" style="18" customWidth="1"/>
    <col min="11260" max="11260" width="5.54296875" style="18" customWidth="1"/>
    <col min="11261" max="11261" width="9" style="18" customWidth="1"/>
    <col min="11262" max="11263" width="9.90625" style="18" customWidth="1"/>
    <col min="11264" max="11264" width="11.08984375" style="18" customWidth="1"/>
    <col min="11265" max="11265" width="2.90625" style="18" customWidth="1"/>
    <col min="11266" max="11266" width="3.54296875" style="18" customWidth="1"/>
    <col min="11267" max="11511" width="9.08984375" style="18"/>
    <col min="11512" max="11512" width="8.6328125" style="18" customWidth="1"/>
    <col min="11513" max="11513" width="9.90625" style="18" customWidth="1"/>
    <col min="11514" max="11514" width="14.453125" style="18" customWidth="1"/>
    <col min="11515" max="11515" width="7.36328125" style="18" customWidth="1"/>
    <col min="11516" max="11516" width="5.54296875" style="18" customWidth="1"/>
    <col min="11517" max="11517" width="9" style="18" customWidth="1"/>
    <col min="11518" max="11519" width="9.90625" style="18" customWidth="1"/>
    <col min="11520" max="11520" width="11.08984375" style="18" customWidth="1"/>
    <col min="11521" max="11521" width="2.90625" style="18" customWidth="1"/>
    <col min="11522" max="11522" width="3.54296875" style="18" customWidth="1"/>
    <col min="11523" max="11767" width="9.08984375" style="18"/>
    <col min="11768" max="11768" width="8.6328125" style="18" customWidth="1"/>
    <col min="11769" max="11769" width="9.90625" style="18" customWidth="1"/>
    <col min="11770" max="11770" width="14.453125" style="18" customWidth="1"/>
    <col min="11771" max="11771" width="7.36328125" style="18" customWidth="1"/>
    <col min="11772" max="11772" width="5.54296875" style="18" customWidth="1"/>
    <col min="11773" max="11773" width="9" style="18" customWidth="1"/>
    <col min="11774" max="11775" width="9.90625" style="18" customWidth="1"/>
    <col min="11776" max="11776" width="11.08984375" style="18" customWidth="1"/>
    <col min="11777" max="11777" width="2.90625" style="18" customWidth="1"/>
    <col min="11778" max="11778" width="3.54296875" style="18" customWidth="1"/>
    <col min="11779" max="12023" width="9.08984375" style="18"/>
    <col min="12024" max="12024" width="8.6328125" style="18" customWidth="1"/>
    <col min="12025" max="12025" width="9.90625" style="18" customWidth="1"/>
    <col min="12026" max="12026" width="14.453125" style="18" customWidth="1"/>
    <col min="12027" max="12027" width="7.36328125" style="18" customWidth="1"/>
    <col min="12028" max="12028" width="5.54296875" style="18" customWidth="1"/>
    <col min="12029" max="12029" width="9" style="18" customWidth="1"/>
    <col min="12030" max="12031" width="9.90625" style="18" customWidth="1"/>
    <col min="12032" max="12032" width="11.08984375" style="18" customWidth="1"/>
    <col min="12033" max="12033" width="2.90625" style="18" customWidth="1"/>
    <col min="12034" max="12034" width="3.54296875" style="18" customWidth="1"/>
    <col min="12035" max="12279" width="9.08984375" style="18"/>
    <col min="12280" max="12280" width="8.6328125" style="18" customWidth="1"/>
    <col min="12281" max="12281" width="9.90625" style="18" customWidth="1"/>
    <col min="12282" max="12282" width="14.453125" style="18" customWidth="1"/>
    <col min="12283" max="12283" width="7.36328125" style="18" customWidth="1"/>
    <col min="12284" max="12284" width="5.54296875" style="18" customWidth="1"/>
    <col min="12285" max="12285" width="9" style="18" customWidth="1"/>
    <col min="12286" max="12287" width="9.90625" style="18" customWidth="1"/>
    <col min="12288" max="12288" width="11.08984375" style="18" customWidth="1"/>
    <col min="12289" max="12289" width="2.90625" style="18" customWidth="1"/>
    <col min="12290" max="12290" width="3.54296875" style="18" customWidth="1"/>
    <col min="12291" max="12535" width="9.08984375" style="18"/>
    <col min="12536" max="12536" width="8.6328125" style="18" customWidth="1"/>
    <col min="12537" max="12537" width="9.90625" style="18" customWidth="1"/>
    <col min="12538" max="12538" width="14.453125" style="18" customWidth="1"/>
    <col min="12539" max="12539" width="7.36328125" style="18" customWidth="1"/>
    <col min="12540" max="12540" width="5.54296875" style="18" customWidth="1"/>
    <col min="12541" max="12541" width="9" style="18" customWidth="1"/>
    <col min="12542" max="12543" width="9.90625" style="18" customWidth="1"/>
    <col min="12544" max="12544" width="11.08984375" style="18" customWidth="1"/>
    <col min="12545" max="12545" width="2.90625" style="18" customWidth="1"/>
    <col min="12546" max="12546" width="3.54296875" style="18" customWidth="1"/>
    <col min="12547" max="12791" width="9.08984375" style="18"/>
    <col min="12792" max="12792" width="8.6328125" style="18" customWidth="1"/>
    <col min="12793" max="12793" width="9.90625" style="18" customWidth="1"/>
    <col min="12794" max="12794" width="14.453125" style="18" customWidth="1"/>
    <col min="12795" max="12795" width="7.36328125" style="18" customWidth="1"/>
    <col min="12796" max="12796" width="5.54296875" style="18" customWidth="1"/>
    <col min="12797" max="12797" width="9" style="18" customWidth="1"/>
    <col min="12798" max="12799" width="9.90625" style="18" customWidth="1"/>
    <col min="12800" max="12800" width="11.08984375" style="18" customWidth="1"/>
    <col min="12801" max="12801" width="2.90625" style="18" customWidth="1"/>
    <col min="12802" max="12802" width="3.54296875" style="18" customWidth="1"/>
    <col min="12803" max="13047" width="9.08984375" style="18"/>
    <col min="13048" max="13048" width="8.6328125" style="18" customWidth="1"/>
    <col min="13049" max="13049" width="9.90625" style="18" customWidth="1"/>
    <col min="13050" max="13050" width="14.453125" style="18" customWidth="1"/>
    <col min="13051" max="13051" width="7.36328125" style="18" customWidth="1"/>
    <col min="13052" max="13052" width="5.54296875" style="18" customWidth="1"/>
    <col min="13053" max="13053" width="9" style="18" customWidth="1"/>
    <col min="13054" max="13055" width="9.90625" style="18" customWidth="1"/>
    <col min="13056" max="13056" width="11.08984375" style="18" customWidth="1"/>
    <col min="13057" max="13057" width="2.90625" style="18" customWidth="1"/>
    <col min="13058" max="13058" width="3.54296875" style="18" customWidth="1"/>
    <col min="13059" max="13303" width="9.08984375" style="18"/>
    <col min="13304" max="13304" width="8.6328125" style="18" customWidth="1"/>
    <col min="13305" max="13305" width="9.90625" style="18" customWidth="1"/>
    <col min="13306" max="13306" width="14.453125" style="18" customWidth="1"/>
    <col min="13307" max="13307" width="7.36328125" style="18" customWidth="1"/>
    <col min="13308" max="13308" width="5.54296875" style="18" customWidth="1"/>
    <col min="13309" max="13309" width="9" style="18" customWidth="1"/>
    <col min="13310" max="13311" width="9.90625" style="18" customWidth="1"/>
    <col min="13312" max="13312" width="11.08984375" style="18" customWidth="1"/>
    <col min="13313" max="13313" width="2.90625" style="18" customWidth="1"/>
    <col min="13314" max="13314" width="3.54296875" style="18" customWidth="1"/>
    <col min="13315" max="13559" width="9.08984375" style="18"/>
    <col min="13560" max="13560" width="8.6328125" style="18" customWidth="1"/>
    <col min="13561" max="13561" width="9.90625" style="18" customWidth="1"/>
    <col min="13562" max="13562" width="14.453125" style="18" customWidth="1"/>
    <col min="13563" max="13563" width="7.36328125" style="18" customWidth="1"/>
    <col min="13564" max="13564" width="5.54296875" style="18" customWidth="1"/>
    <col min="13565" max="13565" width="9" style="18" customWidth="1"/>
    <col min="13566" max="13567" width="9.90625" style="18" customWidth="1"/>
    <col min="13568" max="13568" width="11.08984375" style="18" customWidth="1"/>
    <col min="13569" max="13569" width="2.90625" style="18" customWidth="1"/>
    <col min="13570" max="13570" width="3.54296875" style="18" customWidth="1"/>
    <col min="13571" max="13815" width="9.08984375" style="18"/>
    <col min="13816" max="13816" width="8.6328125" style="18" customWidth="1"/>
    <col min="13817" max="13817" width="9.90625" style="18" customWidth="1"/>
    <col min="13818" max="13818" width="14.453125" style="18" customWidth="1"/>
    <col min="13819" max="13819" width="7.36328125" style="18" customWidth="1"/>
    <col min="13820" max="13820" width="5.54296875" style="18" customWidth="1"/>
    <col min="13821" max="13821" width="9" style="18" customWidth="1"/>
    <col min="13822" max="13823" width="9.90625" style="18" customWidth="1"/>
    <col min="13824" max="13824" width="11.08984375" style="18" customWidth="1"/>
    <col min="13825" max="13825" width="2.90625" style="18" customWidth="1"/>
    <col min="13826" max="13826" width="3.54296875" style="18" customWidth="1"/>
    <col min="13827" max="14071" width="9.08984375" style="18"/>
    <col min="14072" max="14072" width="8.6328125" style="18" customWidth="1"/>
    <col min="14073" max="14073" width="9.90625" style="18" customWidth="1"/>
    <col min="14074" max="14074" width="14.453125" style="18" customWidth="1"/>
    <col min="14075" max="14075" width="7.36328125" style="18" customWidth="1"/>
    <col min="14076" max="14076" width="5.54296875" style="18" customWidth="1"/>
    <col min="14077" max="14077" width="9" style="18" customWidth="1"/>
    <col min="14078" max="14079" width="9.90625" style="18" customWidth="1"/>
    <col min="14080" max="14080" width="11.08984375" style="18" customWidth="1"/>
    <col min="14081" max="14081" width="2.90625" style="18" customWidth="1"/>
    <col min="14082" max="14082" width="3.54296875" style="18" customWidth="1"/>
    <col min="14083" max="14327" width="9.08984375" style="18"/>
    <col min="14328" max="14328" width="8.6328125" style="18" customWidth="1"/>
    <col min="14329" max="14329" width="9.90625" style="18" customWidth="1"/>
    <col min="14330" max="14330" width="14.453125" style="18" customWidth="1"/>
    <col min="14331" max="14331" width="7.36328125" style="18" customWidth="1"/>
    <col min="14332" max="14332" width="5.54296875" style="18" customWidth="1"/>
    <col min="14333" max="14333" width="9" style="18" customWidth="1"/>
    <col min="14334" max="14335" width="9.90625" style="18" customWidth="1"/>
    <col min="14336" max="14336" width="11.08984375" style="18" customWidth="1"/>
    <col min="14337" max="14337" width="2.90625" style="18" customWidth="1"/>
    <col min="14338" max="14338" width="3.54296875" style="18" customWidth="1"/>
    <col min="14339" max="14583" width="9.08984375" style="18"/>
    <col min="14584" max="14584" width="8.6328125" style="18" customWidth="1"/>
    <col min="14585" max="14585" width="9.90625" style="18" customWidth="1"/>
    <col min="14586" max="14586" width="14.453125" style="18" customWidth="1"/>
    <col min="14587" max="14587" width="7.36328125" style="18" customWidth="1"/>
    <col min="14588" max="14588" width="5.54296875" style="18" customWidth="1"/>
    <col min="14589" max="14589" width="9" style="18" customWidth="1"/>
    <col min="14590" max="14591" width="9.90625" style="18" customWidth="1"/>
    <col min="14592" max="14592" width="11.08984375" style="18" customWidth="1"/>
    <col min="14593" max="14593" width="2.90625" style="18" customWidth="1"/>
    <col min="14594" max="14594" width="3.54296875" style="18" customWidth="1"/>
    <col min="14595" max="14839" width="9.08984375" style="18"/>
    <col min="14840" max="14840" width="8.6328125" style="18" customWidth="1"/>
    <col min="14841" max="14841" width="9.90625" style="18" customWidth="1"/>
    <col min="14842" max="14842" width="14.453125" style="18" customWidth="1"/>
    <col min="14843" max="14843" width="7.36328125" style="18" customWidth="1"/>
    <col min="14844" max="14844" width="5.54296875" style="18" customWidth="1"/>
    <col min="14845" max="14845" width="9" style="18" customWidth="1"/>
    <col min="14846" max="14847" width="9.90625" style="18" customWidth="1"/>
    <col min="14848" max="14848" width="11.08984375" style="18" customWidth="1"/>
    <col min="14849" max="14849" width="2.90625" style="18" customWidth="1"/>
    <col min="14850" max="14850" width="3.54296875" style="18" customWidth="1"/>
    <col min="14851" max="15095" width="9.08984375" style="18"/>
    <col min="15096" max="15096" width="8.6328125" style="18" customWidth="1"/>
    <col min="15097" max="15097" width="9.90625" style="18" customWidth="1"/>
    <col min="15098" max="15098" width="14.453125" style="18" customWidth="1"/>
    <col min="15099" max="15099" width="7.36328125" style="18" customWidth="1"/>
    <col min="15100" max="15100" width="5.54296875" style="18" customWidth="1"/>
    <col min="15101" max="15101" width="9" style="18" customWidth="1"/>
    <col min="15102" max="15103" width="9.90625" style="18" customWidth="1"/>
    <col min="15104" max="15104" width="11.08984375" style="18" customWidth="1"/>
    <col min="15105" max="15105" width="2.90625" style="18" customWidth="1"/>
    <col min="15106" max="15106" width="3.54296875" style="18" customWidth="1"/>
    <col min="15107" max="15351" width="9.08984375" style="18"/>
    <col min="15352" max="15352" width="8.6328125" style="18" customWidth="1"/>
    <col min="15353" max="15353" width="9.90625" style="18" customWidth="1"/>
    <col min="15354" max="15354" width="14.453125" style="18" customWidth="1"/>
    <col min="15355" max="15355" width="7.36328125" style="18" customWidth="1"/>
    <col min="15356" max="15356" width="5.54296875" style="18" customWidth="1"/>
    <col min="15357" max="15357" width="9" style="18" customWidth="1"/>
    <col min="15358" max="15359" width="9.90625" style="18" customWidth="1"/>
    <col min="15360" max="15360" width="11.08984375" style="18" customWidth="1"/>
    <col min="15361" max="15361" width="2.90625" style="18" customWidth="1"/>
    <col min="15362" max="15362" width="3.54296875" style="18" customWidth="1"/>
    <col min="15363" max="15607" width="9.08984375" style="18"/>
    <col min="15608" max="15608" width="8.6328125" style="18" customWidth="1"/>
    <col min="15609" max="15609" width="9.90625" style="18" customWidth="1"/>
    <col min="15610" max="15610" width="14.453125" style="18" customWidth="1"/>
    <col min="15611" max="15611" width="7.36328125" style="18" customWidth="1"/>
    <col min="15612" max="15612" width="5.54296875" style="18" customWidth="1"/>
    <col min="15613" max="15613" width="9" style="18" customWidth="1"/>
    <col min="15614" max="15615" width="9.90625" style="18" customWidth="1"/>
    <col min="15616" max="15616" width="11.08984375" style="18" customWidth="1"/>
    <col min="15617" max="15617" width="2.90625" style="18" customWidth="1"/>
    <col min="15618" max="15618" width="3.54296875" style="18" customWidth="1"/>
    <col min="15619" max="15863" width="9.08984375" style="18"/>
    <col min="15864" max="15864" width="8.6328125" style="18" customWidth="1"/>
    <col min="15865" max="15865" width="9.90625" style="18" customWidth="1"/>
    <col min="15866" max="15866" width="14.453125" style="18" customWidth="1"/>
    <col min="15867" max="15867" width="7.36328125" style="18" customWidth="1"/>
    <col min="15868" max="15868" width="5.54296875" style="18" customWidth="1"/>
    <col min="15869" max="15869" width="9" style="18" customWidth="1"/>
    <col min="15870" max="15871" width="9.90625" style="18" customWidth="1"/>
    <col min="15872" max="15872" width="11.08984375" style="18" customWidth="1"/>
    <col min="15873" max="15873" width="2.90625" style="18" customWidth="1"/>
    <col min="15874" max="15874" width="3.54296875" style="18" customWidth="1"/>
    <col min="15875" max="16119" width="9.08984375" style="18"/>
    <col min="16120" max="16120" width="8.6328125" style="18" customWidth="1"/>
    <col min="16121" max="16121" width="9.90625" style="18" customWidth="1"/>
    <col min="16122" max="16122" width="14.453125" style="18" customWidth="1"/>
    <col min="16123" max="16123" width="7.36328125" style="18" customWidth="1"/>
    <col min="16124" max="16124" width="5.54296875" style="18" customWidth="1"/>
    <col min="16125" max="16125" width="9" style="18" customWidth="1"/>
    <col min="16126" max="16127" width="9.90625" style="18" customWidth="1"/>
    <col min="16128" max="16128" width="11.08984375" style="18" customWidth="1"/>
    <col min="16129" max="16129" width="2.90625" style="18" customWidth="1"/>
    <col min="16130" max="16130" width="3.54296875" style="18" customWidth="1"/>
    <col min="16131" max="16384" width="9.08984375" style="18"/>
  </cols>
  <sheetData>
    <row r="1" spans="1:8" ht="46.5" customHeight="1" x14ac:dyDescent="0.35">
      <c r="A1" s="149" t="s">
        <v>175</v>
      </c>
      <c r="B1" s="149"/>
      <c r="C1" s="149"/>
      <c r="D1" s="149"/>
      <c r="E1" s="149"/>
      <c r="F1" s="149"/>
      <c r="G1" s="149"/>
      <c r="H1" s="149"/>
    </row>
    <row r="2" spans="1:8" ht="16.5" customHeight="1" x14ac:dyDescent="0.3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8" x14ac:dyDescent="0.35">
      <c r="A3" s="115" t="s">
        <v>1</v>
      </c>
      <c r="B3" s="115"/>
      <c r="C3" s="115"/>
      <c r="D3" s="115"/>
      <c r="E3" s="115" t="str">
        <f ca="1">TEXT(TODAY(),"DD/MM/YYYY")</f>
        <v>30/09/2025</v>
      </c>
      <c r="F3" s="115"/>
      <c r="G3" s="115"/>
      <c r="H3" s="115"/>
    </row>
    <row r="4" spans="1:8" x14ac:dyDescent="0.35">
      <c r="A4" s="115" t="s">
        <v>2</v>
      </c>
      <c r="B4" s="115"/>
      <c r="C4" s="115"/>
      <c r="D4" s="115"/>
      <c r="E4" s="115" t="s">
        <v>180</v>
      </c>
      <c r="F4" s="115"/>
      <c r="G4" s="115"/>
      <c r="H4" s="115"/>
    </row>
    <row r="5" spans="1:8" x14ac:dyDescent="0.35">
      <c r="A5" s="115" t="s">
        <v>3</v>
      </c>
      <c r="B5" s="115"/>
      <c r="C5" s="115"/>
      <c r="D5" s="115"/>
      <c r="E5" s="151">
        <v>45923</v>
      </c>
      <c r="F5" s="115"/>
      <c r="G5" s="115"/>
      <c r="H5" s="115"/>
    </row>
    <row r="6" spans="1:8" ht="16.5" customHeight="1" x14ac:dyDescent="0.35">
      <c r="A6" s="115" t="s">
        <v>4</v>
      </c>
      <c r="B6" s="115"/>
      <c r="C6" s="115"/>
      <c r="D6" s="115"/>
      <c r="E6" s="115" t="s">
        <v>181</v>
      </c>
      <c r="F6" s="115"/>
      <c r="G6" s="115"/>
      <c r="H6" s="115"/>
    </row>
    <row r="7" spans="1:8" x14ac:dyDescent="0.35">
      <c r="A7" s="115" t="s">
        <v>5</v>
      </c>
      <c r="B7" s="115"/>
      <c r="C7" s="115"/>
      <c r="D7" s="115"/>
      <c r="E7" s="115" t="str">
        <f>E6</f>
        <v>Dev Land &amp; Housing Private Limited</v>
      </c>
      <c r="F7" s="115"/>
      <c r="G7" s="115"/>
      <c r="H7" s="115"/>
    </row>
    <row r="8" spans="1:8" x14ac:dyDescent="0.35">
      <c r="A8" s="115" t="s">
        <v>6</v>
      </c>
      <c r="B8" s="115"/>
      <c r="C8" s="115"/>
      <c r="D8" s="115"/>
      <c r="E8" s="85" t="s">
        <v>182</v>
      </c>
      <c r="F8" s="86"/>
      <c r="G8" s="86"/>
      <c r="H8" s="87"/>
    </row>
    <row r="9" spans="1:8" x14ac:dyDescent="0.35">
      <c r="A9" s="115" t="s">
        <v>178</v>
      </c>
      <c r="B9" s="115"/>
      <c r="C9" s="115"/>
      <c r="D9" s="115"/>
      <c r="E9" s="115">
        <v>9820802603</v>
      </c>
      <c r="F9" s="115"/>
      <c r="G9" s="115"/>
      <c r="H9" s="115"/>
    </row>
    <row r="10" spans="1:8" x14ac:dyDescent="0.35">
      <c r="A10" s="115" t="s">
        <v>179</v>
      </c>
      <c r="B10" s="115"/>
      <c r="C10" s="115"/>
      <c r="D10" s="115"/>
      <c r="E10" s="115" t="s">
        <v>239</v>
      </c>
      <c r="F10" s="115"/>
      <c r="G10" s="115"/>
      <c r="H10" s="115"/>
    </row>
    <row r="11" spans="1:8" x14ac:dyDescent="0.35">
      <c r="A11" s="115" t="s">
        <v>7</v>
      </c>
      <c r="B11" s="115"/>
      <c r="C11" s="115"/>
      <c r="D11" s="115"/>
      <c r="E11" s="115" t="s">
        <v>126</v>
      </c>
      <c r="F11" s="115"/>
      <c r="G11" s="115"/>
      <c r="H11" s="115"/>
    </row>
    <row r="12" spans="1:8" x14ac:dyDescent="0.35">
      <c r="A12" s="115" t="s">
        <v>187</v>
      </c>
      <c r="B12" s="115"/>
      <c r="C12" s="115"/>
      <c r="D12" s="115"/>
      <c r="E12" s="115" t="s">
        <v>188</v>
      </c>
      <c r="F12" s="115"/>
      <c r="G12" s="115"/>
      <c r="H12" s="115"/>
    </row>
    <row r="13" spans="1:8" x14ac:dyDescent="0.35">
      <c r="A13" s="80" t="s">
        <v>8</v>
      </c>
      <c r="B13" s="80"/>
      <c r="C13" s="80"/>
      <c r="D13" s="80"/>
      <c r="E13" s="82" t="s">
        <v>222</v>
      </c>
      <c r="F13" s="82"/>
      <c r="G13" s="82"/>
      <c r="H13" s="82"/>
    </row>
    <row r="14" spans="1:8" x14ac:dyDescent="0.35">
      <c r="A14" s="80" t="s">
        <v>9</v>
      </c>
      <c r="B14" s="80"/>
      <c r="C14" s="80"/>
      <c r="D14" s="80"/>
      <c r="E14" s="82" t="s">
        <v>183</v>
      </c>
      <c r="F14" s="115"/>
      <c r="G14" s="115"/>
      <c r="H14" s="115"/>
    </row>
    <row r="15" spans="1:8" ht="48.75" customHeight="1" x14ac:dyDescent="0.35">
      <c r="A15" s="147" t="s">
        <v>10</v>
      </c>
      <c r="B15" s="147"/>
      <c r="C15" s="14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Leo Tower, CTS No.11, 12, 13(PT), 26, 29, 32(PT) , Redevlopement of "Building No.3 (Oshiwara Satpuda CHSL)", near Millenium Court CHSL, New Link Road, Adarsh Nagar, Oshiwara, Jogeshwari (West), Andheri, Mumbai - 400102.</v>
      </c>
      <c r="D15" s="147"/>
      <c r="E15" s="147"/>
      <c r="F15" s="147"/>
      <c r="G15" s="147"/>
      <c r="H15" s="147"/>
    </row>
    <row r="16" spans="1:8" ht="33" customHeight="1" x14ac:dyDescent="0.35">
      <c r="A16" s="82" t="s">
        <v>192</v>
      </c>
      <c r="B16" s="82"/>
      <c r="C16" s="82" t="s">
        <v>198</v>
      </c>
      <c r="D16" s="82"/>
      <c r="E16" s="82"/>
      <c r="F16" s="82"/>
      <c r="G16" s="82"/>
      <c r="H16" s="82"/>
    </row>
    <row r="17" spans="1:9" ht="15.75" customHeight="1" x14ac:dyDescent="0.35">
      <c r="A17" s="82" t="s">
        <v>173</v>
      </c>
      <c r="B17" s="82"/>
      <c r="C17" s="82" t="s">
        <v>190</v>
      </c>
      <c r="D17" s="82"/>
      <c r="E17" s="82"/>
      <c r="F17" s="82"/>
      <c r="G17" s="82"/>
      <c r="H17" s="82"/>
    </row>
    <row r="18" spans="1:9" ht="15.75" customHeight="1" x14ac:dyDescent="0.35">
      <c r="A18" s="147" t="s">
        <v>11</v>
      </c>
      <c r="B18" s="147"/>
      <c r="C18" s="115" t="s">
        <v>189</v>
      </c>
      <c r="D18" s="115"/>
      <c r="E18" s="147" t="s">
        <v>75</v>
      </c>
      <c r="F18" s="147"/>
      <c r="G18" s="82" t="s">
        <v>223</v>
      </c>
      <c r="H18" s="82"/>
    </row>
    <row r="19" spans="1:9" ht="15.75" customHeight="1" x14ac:dyDescent="0.35">
      <c r="A19" s="80" t="s">
        <v>13</v>
      </c>
      <c r="B19" s="80"/>
      <c r="C19" s="136" t="s">
        <v>186</v>
      </c>
      <c r="D19" s="138"/>
      <c r="E19" s="147" t="s">
        <v>12</v>
      </c>
      <c r="F19" s="147"/>
      <c r="G19" s="148" t="s">
        <v>184</v>
      </c>
      <c r="H19" s="148"/>
    </row>
    <row r="20" spans="1:9" x14ac:dyDescent="0.35">
      <c r="A20" s="80" t="s">
        <v>76</v>
      </c>
      <c r="B20" s="80"/>
      <c r="C20" s="82" t="s">
        <v>185</v>
      </c>
      <c r="D20" s="82"/>
      <c r="E20" s="147" t="s">
        <v>14</v>
      </c>
      <c r="F20" s="147"/>
      <c r="G20" s="82">
        <v>400102</v>
      </c>
      <c r="H20" s="82"/>
      <c r="I20" s="18" t="s">
        <v>244</v>
      </c>
    </row>
    <row r="21" spans="1:9" ht="32.25" customHeight="1" x14ac:dyDescent="0.35">
      <c r="A21" s="80" t="s">
        <v>128</v>
      </c>
      <c r="B21" s="80"/>
      <c r="C21" s="82" t="s">
        <v>228</v>
      </c>
      <c r="D21" s="82"/>
      <c r="E21" s="147" t="s">
        <v>15</v>
      </c>
      <c r="F21" s="147"/>
      <c r="G21" s="82" t="s">
        <v>229</v>
      </c>
      <c r="H21" s="82"/>
    </row>
    <row r="22" spans="1:9" ht="15" customHeight="1" x14ac:dyDescent="0.35">
      <c r="A22" s="147" t="s">
        <v>79</v>
      </c>
      <c r="B22" s="147"/>
      <c r="C22" s="147"/>
      <c r="D22" s="147"/>
      <c r="E22" s="115" t="s">
        <v>16</v>
      </c>
      <c r="F22" s="115"/>
      <c r="G22" s="115"/>
      <c r="H22" s="115"/>
    </row>
    <row r="23" spans="1:9" ht="18.75" customHeight="1" x14ac:dyDescent="0.35">
      <c r="A23" s="147"/>
      <c r="B23" s="147"/>
      <c r="C23" s="147"/>
      <c r="D23" s="147"/>
      <c r="E23" s="115"/>
      <c r="F23" s="115"/>
      <c r="G23" s="115"/>
      <c r="H23" s="115"/>
    </row>
    <row r="24" spans="1:9" ht="15" customHeight="1" x14ac:dyDescent="0.35">
      <c r="A24" s="147" t="s">
        <v>17</v>
      </c>
      <c r="B24" s="147"/>
      <c r="C24" s="147"/>
      <c r="D24" s="147"/>
      <c r="E24" s="82" t="s">
        <v>18</v>
      </c>
      <c r="F24" s="82"/>
      <c r="G24" s="82"/>
      <c r="H24" s="82"/>
    </row>
    <row r="25" spans="1:9" ht="15" customHeight="1" x14ac:dyDescent="0.35">
      <c r="A25" s="80" t="s">
        <v>19</v>
      </c>
      <c r="B25" s="80"/>
      <c r="C25" s="80"/>
      <c r="D25" s="80"/>
      <c r="E25" s="82" t="str">
        <f>IF(AND(G19="Mumbai"),"Upper Class","Middle Class")</f>
        <v>Upper Class</v>
      </c>
      <c r="F25" s="82"/>
      <c r="G25" s="82"/>
      <c r="H25" s="82"/>
    </row>
    <row r="26" spans="1:9" x14ac:dyDescent="0.35">
      <c r="A26" s="80" t="s">
        <v>20</v>
      </c>
      <c r="B26" s="80"/>
      <c r="C26" s="80"/>
      <c r="D26" s="80"/>
      <c r="E26" s="82" t="s">
        <v>21</v>
      </c>
      <c r="F26" s="82"/>
      <c r="G26" s="82"/>
      <c r="H26" s="82"/>
    </row>
    <row r="27" spans="1:9" ht="15.75" customHeight="1" x14ac:dyDescent="0.35">
      <c r="A27" s="80" t="s">
        <v>22</v>
      </c>
      <c r="B27" s="80"/>
      <c r="C27" s="80"/>
      <c r="D27" s="80"/>
      <c r="E27" s="82" t="str">
        <f>IF(AND(G19="Mumbai"),"Developed","Developing")</f>
        <v>Developed</v>
      </c>
      <c r="F27" s="82"/>
      <c r="G27" s="82"/>
      <c r="H27" s="82"/>
    </row>
    <row r="28" spans="1:9" x14ac:dyDescent="0.35">
      <c r="A28" s="80" t="s">
        <v>23</v>
      </c>
      <c r="B28" s="80"/>
      <c r="C28" s="80"/>
      <c r="D28" s="80"/>
      <c r="E28" s="82" t="s">
        <v>24</v>
      </c>
      <c r="F28" s="82"/>
      <c r="G28" s="82"/>
      <c r="H28" s="82"/>
    </row>
    <row r="29" spans="1:9" ht="15.75" customHeight="1" x14ac:dyDescent="0.35">
      <c r="A29" s="80" t="s">
        <v>84</v>
      </c>
      <c r="B29" s="80"/>
      <c r="C29" s="80"/>
      <c r="D29" s="80"/>
      <c r="E29" s="82" t="s">
        <v>85</v>
      </c>
      <c r="F29" s="82"/>
      <c r="G29" s="82"/>
      <c r="H29" s="82"/>
    </row>
    <row r="30" spans="1:9" ht="15" customHeight="1" x14ac:dyDescent="0.35">
      <c r="A30" s="80" t="s">
        <v>33</v>
      </c>
      <c r="B30" s="80"/>
      <c r="C30" s="80"/>
      <c r="D30" s="80"/>
      <c r="E30" s="82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0" s="82"/>
      <c r="G30" s="82"/>
      <c r="H30" s="82"/>
    </row>
    <row r="31" spans="1:9" ht="15.75" customHeight="1" x14ac:dyDescent="0.35">
      <c r="A31" s="80" t="s">
        <v>96</v>
      </c>
      <c r="B31" s="80"/>
      <c r="C31" s="80"/>
      <c r="D31" s="80"/>
      <c r="E31" s="82" t="s">
        <v>34</v>
      </c>
      <c r="F31" s="82"/>
      <c r="G31" s="82"/>
      <c r="H31" s="82"/>
    </row>
    <row r="32" spans="1:9" s="19" customFormat="1" x14ac:dyDescent="0.35">
      <c r="A32" s="146" t="s">
        <v>97</v>
      </c>
      <c r="B32" s="146"/>
      <c r="C32" s="144" t="s">
        <v>29</v>
      </c>
      <c r="D32" s="144"/>
      <c r="E32" s="144"/>
      <c r="F32" s="144" t="s">
        <v>31</v>
      </c>
      <c r="G32" s="144"/>
      <c r="H32" s="144"/>
    </row>
    <row r="33" spans="1:8" s="19" customFormat="1" x14ac:dyDescent="0.35">
      <c r="A33" s="120" t="s">
        <v>25</v>
      </c>
      <c r="B33" s="120" t="s">
        <v>30</v>
      </c>
      <c r="C33" s="121" t="s">
        <v>30</v>
      </c>
      <c r="D33" s="121"/>
      <c r="E33" s="121"/>
      <c r="F33" s="121" t="s">
        <v>226</v>
      </c>
      <c r="G33" s="121"/>
      <c r="H33" s="121"/>
    </row>
    <row r="34" spans="1:8" x14ac:dyDescent="0.35">
      <c r="A34" s="120" t="s">
        <v>26</v>
      </c>
      <c r="B34" s="120" t="s">
        <v>30</v>
      </c>
      <c r="C34" s="121" t="s">
        <v>30</v>
      </c>
      <c r="D34" s="121"/>
      <c r="E34" s="121"/>
      <c r="F34" s="121" t="s">
        <v>191</v>
      </c>
      <c r="G34" s="121"/>
      <c r="H34" s="121"/>
    </row>
    <row r="35" spans="1:8" s="19" customFormat="1" x14ac:dyDescent="0.35">
      <c r="A35" s="120" t="s">
        <v>28</v>
      </c>
      <c r="B35" s="120" t="s">
        <v>30</v>
      </c>
      <c r="C35" s="121" t="s">
        <v>30</v>
      </c>
      <c r="D35" s="121"/>
      <c r="E35" s="121"/>
      <c r="F35" s="145" t="s">
        <v>228</v>
      </c>
      <c r="G35" s="145"/>
      <c r="H35" s="145"/>
    </row>
    <row r="36" spans="1:8" x14ac:dyDescent="0.35">
      <c r="A36" s="120" t="s">
        <v>27</v>
      </c>
      <c r="B36" s="120" t="s">
        <v>30</v>
      </c>
      <c r="C36" s="121" t="s">
        <v>30</v>
      </c>
      <c r="D36" s="121"/>
      <c r="E36" s="121"/>
      <c r="F36" s="121" t="s">
        <v>227</v>
      </c>
      <c r="G36" s="121"/>
      <c r="H36" s="121"/>
    </row>
    <row r="37" spans="1:8" x14ac:dyDescent="0.35">
      <c r="A37" s="80" t="s">
        <v>32</v>
      </c>
      <c r="B37" s="80"/>
      <c r="C37" s="80"/>
      <c r="D37" s="80"/>
      <c r="E37" s="80"/>
      <c r="F37" s="80"/>
      <c r="G37" s="80"/>
      <c r="H37" s="80"/>
    </row>
    <row r="38" spans="1:8" ht="15.75" customHeight="1" x14ac:dyDescent="0.35">
      <c r="A38" s="80" t="s">
        <v>176</v>
      </c>
      <c r="B38" s="80"/>
      <c r="C38" s="123" t="s">
        <v>225</v>
      </c>
      <c r="D38" s="123"/>
      <c r="E38" s="123"/>
      <c r="F38" s="123"/>
      <c r="G38" s="123"/>
      <c r="H38" s="123"/>
    </row>
    <row r="39" spans="1:8" x14ac:dyDescent="0.35">
      <c r="A39" s="80" t="s">
        <v>172</v>
      </c>
      <c r="B39" s="80"/>
      <c r="C39" s="81" t="s">
        <v>224</v>
      </c>
      <c r="D39" s="82"/>
      <c r="E39" s="82"/>
      <c r="F39" s="82"/>
      <c r="G39" s="82"/>
      <c r="H39" s="82"/>
    </row>
    <row r="40" spans="1:8" x14ac:dyDescent="0.35">
      <c r="A40" s="123" t="s">
        <v>35</v>
      </c>
      <c r="B40" s="123"/>
      <c r="C40" s="123"/>
      <c r="D40" s="123"/>
      <c r="E40" s="123"/>
      <c r="F40" s="123"/>
      <c r="G40" s="123"/>
      <c r="H40" s="123"/>
    </row>
    <row r="41" spans="1:8" x14ac:dyDescent="0.35">
      <c r="A41" s="80" t="s">
        <v>36</v>
      </c>
      <c r="B41" s="80"/>
      <c r="C41" s="80"/>
      <c r="D41" s="80"/>
      <c r="E41" s="122">
        <v>1459</v>
      </c>
      <c r="F41" s="122"/>
      <c r="G41" s="122"/>
      <c r="H41" s="122"/>
    </row>
    <row r="42" spans="1:8" x14ac:dyDescent="0.35">
      <c r="A42" s="80" t="s">
        <v>37</v>
      </c>
      <c r="B42" s="80"/>
      <c r="C42" s="80"/>
      <c r="D42" s="80"/>
      <c r="E42" s="113">
        <v>3</v>
      </c>
      <c r="F42" s="113"/>
      <c r="G42" s="113"/>
      <c r="H42" s="113"/>
    </row>
    <row r="43" spans="1:8" x14ac:dyDescent="0.35">
      <c r="A43" s="80" t="s">
        <v>38</v>
      </c>
      <c r="B43" s="80"/>
      <c r="C43" s="80"/>
      <c r="D43" s="80"/>
      <c r="E43" s="113">
        <f>E45/E41-E42</f>
        <v>2.8821110349554493</v>
      </c>
      <c r="F43" s="113"/>
      <c r="G43" s="113"/>
      <c r="H43" s="113"/>
    </row>
    <row r="44" spans="1:8" x14ac:dyDescent="0.35">
      <c r="A44" s="80" t="s">
        <v>39</v>
      </c>
      <c r="B44" s="80"/>
      <c r="C44" s="80"/>
      <c r="D44" s="80"/>
      <c r="E44" s="113">
        <f>E42+E43</f>
        <v>5.8821110349554493</v>
      </c>
      <c r="F44" s="113"/>
      <c r="G44" s="113"/>
      <c r="H44" s="113"/>
    </row>
    <row r="45" spans="1:8" x14ac:dyDescent="0.35">
      <c r="A45" s="80" t="s">
        <v>95</v>
      </c>
      <c r="B45" s="80"/>
      <c r="C45" s="80"/>
      <c r="D45" s="80"/>
      <c r="E45" s="114">
        <v>8582</v>
      </c>
      <c r="F45" s="114"/>
      <c r="G45" s="114"/>
      <c r="H45" s="114"/>
    </row>
    <row r="46" spans="1:8" x14ac:dyDescent="0.35">
      <c r="A46" s="115" t="s">
        <v>40</v>
      </c>
      <c r="B46" s="115"/>
      <c r="C46" s="115"/>
      <c r="D46" s="115"/>
      <c r="E46" s="115" t="s">
        <v>126</v>
      </c>
      <c r="F46" s="115"/>
      <c r="G46" s="115"/>
      <c r="H46" s="115"/>
    </row>
    <row r="47" spans="1:8" x14ac:dyDescent="0.35">
      <c r="A47" s="123" t="s">
        <v>41</v>
      </c>
      <c r="B47" s="123"/>
      <c r="C47" s="123"/>
      <c r="D47" s="123"/>
      <c r="E47" s="123"/>
      <c r="F47" s="123"/>
      <c r="G47" s="123"/>
      <c r="H47" s="123"/>
    </row>
    <row r="48" spans="1:8" ht="33.75" customHeight="1" x14ac:dyDescent="0.35">
      <c r="A48" s="83" t="s">
        <v>159</v>
      </c>
      <c r="B48" s="84"/>
      <c r="C48" s="85" t="s">
        <v>196</v>
      </c>
      <c r="D48" s="86"/>
      <c r="E48" s="86"/>
      <c r="F48" s="86"/>
      <c r="G48" s="86"/>
      <c r="H48" s="87"/>
    </row>
    <row r="49" spans="1:14" x14ac:dyDescent="0.35">
      <c r="A49" s="83" t="s">
        <v>42</v>
      </c>
      <c r="B49" s="84"/>
      <c r="C49" s="136" t="s">
        <v>199</v>
      </c>
      <c r="D49" s="137"/>
      <c r="E49" s="138"/>
      <c r="F49" s="16" t="s">
        <v>43</v>
      </c>
      <c r="G49" s="117">
        <v>44603</v>
      </c>
      <c r="H49" s="84"/>
    </row>
    <row r="50" spans="1:14" x14ac:dyDescent="0.35">
      <c r="A50" s="142" t="s">
        <v>44</v>
      </c>
      <c r="B50" s="143"/>
      <c r="C50" s="136" t="str">
        <f>C49</f>
        <v>MHADA/113/885/2022</v>
      </c>
      <c r="D50" s="137"/>
      <c r="E50" s="138"/>
      <c r="F50" s="16" t="s">
        <v>43</v>
      </c>
      <c r="G50" s="117">
        <v>44603</v>
      </c>
      <c r="H50" s="84"/>
    </row>
    <row r="51" spans="1:14" s="20" customFormat="1" ht="31.5" customHeight="1" x14ac:dyDescent="0.35">
      <c r="A51" s="129" t="s">
        <v>163</v>
      </c>
      <c r="B51" s="130"/>
      <c r="C51" s="83" t="s">
        <v>230</v>
      </c>
      <c r="D51" s="116"/>
      <c r="E51" s="84"/>
      <c r="F51" s="16" t="s">
        <v>43</v>
      </c>
      <c r="G51" s="117">
        <v>45209</v>
      </c>
      <c r="H51" s="162"/>
    </row>
    <row r="52" spans="1:14" s="20" customFormat="1" ht="49.5" customHeight="1" x14ac:dyDescent="0.35">
      <c r="A52" s="131"/>
      <c r="B52" s="132"/>
      <c r="C52" s="83" t="s">
        <v>231</v>
      </c>
      <c r="D52" s="116"/>
      <c r="E52" s="84"/>
      <c r="F52" s="16" t="s">
        <v>127</v>
      </c>
      <c r="G52" s="117">
        <v>45260</v>
      </c>
      <c r="H52" s="84"/>
    </row>
    <row r="53" spans="1:14" s="20" customFormat="1" ht="15.75" customHeight="1" x14ac:dyDescent="0.35">
      <c r="A53" s="129" t="s">
        <v>193</v>
      </c>
      <c r="B53" s="130"/>
      <c r="C53" s="83" t="s">
        <v>194</v>
      </c>
      <c r="D53" s="116"/>
      <c r="E53" s="84"/>
      <c r="F53" s="16"/>
      <c r="G53" s="117">
        <v>44491</v>
      </c>
      <c r="H53" s="84"/>
    </row>
    <row r="54" spans="1:14" s="20" customFormat="1" ht="33.75" customHeight="1" x14ac:dyDescent="0.35">
      <c r="A54" s="131"/>
      <c r="B54" s="132"/>
      <c r="C54" s="83" t="s">
        <v>195</v>
      </c>
      <c r="D54" s="116"/>
      <c r="E54" s="84"/>
      <c r="F54" s="16"/>
      <c r="G54" s="117">
        <v>47412</v>
      </c>
      <c r="H54" s="84"/>
    </row>
    <row r="55" spans="1:14" ht="80" customHeight="1" x14ac:dyDescent="0.35">
      <c r="A55" s="139" t="s">
        <v>45</v>
      </c>
      <c r="B55" s="140"/>
      <c r="C55" s="139" t="s">
        <v>233</v>
      </c>
      <c r="D55" s="141"/>
      <c r="E55" s="140"/>
      <c r="F55" s="41" t="s">
        <v>43</v>
      </c>
      <c r="G55" s="165">
        <v>45695</v>
      </c>
      <c r="H55" s="166"/>
    </row>
    <row r="56" spans="1:14" x14ac:dyDescent="0.35">
      <c r="A56" s="155" t="s">
        <v>47</v>
      </c>
      <c r="B56" s="155"/>
      <c r="C56" s="155"/>
      <c r="D56" s="155"/>
      <c r="E56" s="155"/>
      <c r="F56" s="155"/>
      <c r="G56" s="155"/>
      <c r="H56" s="155"/>
    </row>
    <row r="57" spans="1:14" x14ac:dyDescent="0.35">
      <c r="A57" s="147" t="s">
        <v>94</v>
      </c>
      <c r="B57" s="147"/>
      <c r="C57" s="147"/>
      <c r="D57" s="80">
        <f>E45</f>
        <v>8582</v>
      </c>
      <c r="E57" s="80"/>
      <c r="F57" s="80"/>
      <c r="G57" s="80"/>
      <c r="H57" s="80"/>
    </row>
    <row r="58" spans="1:14" x14ac:dyDescent="0.35">
      <c r="A58" s="82" t="s">
        <v>48</v>
      </c>
      <c r="B58" s="115"/>
      <c r="C58" s="115"/>
      <c r="D58" s="115" t="s">
        <v>221</v>
      </c>
      <c r="E58" s="115"/>
      <c r="F58" s="115"/>
      <c r="G58" s="115"/>
      <c r="H58" s="115"/>
      <c r="I58" s="21"/>
    </row>
    <row r="59" spans="1:14" x14ac:dyDescent="0.35">
      <c r="A59" s="126" t="s">
        <v>49</v>
      </c>
      <c r="B59" s="127"/>
      <c r="C59" s="128"/>
      <c r="D59" s="124" t="s">
        <v>208</v>
      </c>
      <c r="E59" s="125"/>
      <c r="F59" s="125"/>
      <c r="G59" s="125"/>
      <c r="H59" s="125"/>
    </row>
    <row r="60" spans="1:14" ht="15.75" customHeight="1" x14ac:dyDescent="0.35">
      <c r="A60" s="126" t="s">
        <v>92</v>
      </c>
      <c r="B60" s="127"/>
      <c r="C60" s="127"/>
      <c r="D60" s="133" t="s">
        <v>208</v>
      </c>
      <c r="E60" s="134"/>
      <c r="F60" s="134"/>
      <c r="G60" s="134"/>
      <c r="H60" s="135"/>
    </row>
    <row r="61" spans="1:14" ht="15.75" customHeight="1" x14ac:dyDescent="0.35">
      <c r="A61" s="80" t="s">
        <v>46</v>
      </c>
      <c r="B61" s="80"/>
      <c r="C61" s="80"/>
      <c r="D61" s="163" t="s">
        <v>241</v>
      </c>
      <c r="E61" s="163"/>
      <c r="F61" s="163"/>
      <c r="G61" s="163"/>
      <c r="H61" s="163"/>
      <c r="J61" s="22"/>
      <c r="K61" s="21"/>
      <c r="N61" s="21"/>
    </row>
    <row r="62" spans="1:14" ht="15.75" customHeight="1" x14ac:dyDescent="0.35">
      <c r="A62" s="80" t="s">
        <v>90</v>
      </c>
      <c r="B62" s="80"/>
      <c r="C62" s="80"/>
      <c r="D62" s="112" t="str">
        <f ca="1">(IF(G55="NA","60 Years After Completion",IF(G55&lt;&gt;"NA",""&amp;60-ROUNDDOWN((E3-G55)/360,0)&amp;" Years"," ")))</f>
        <v>60 Years</v>
      </c>
      <c r="E62" s="112"/>
      <c r="F62" s="112"/>
      <c r="G62" s="112"/>
      <c r="H62" s="112"/>
      <c r="N62" s="21"/>
    </row>
    <row r="63" spans="1:14" ht="15.75" customHeight="1" x14ac:dyDescent="0.35">
      <c r="A63" s="80" t="s">
        <v>91</v>
      </c>
      <c r="B63" s="80"/>
      <c r="C63" s="80"/>
      <c r="D63" s="147" t="s">
        <v>24</v>
      </c>
      <c r="E63" s="147"/>
      <c r="F63" s="147"/>
      <c r="G63" s="147"/>
      <c r="H63" s="147"/>
      <c r="J63" s="23"/>
      <c r="K63" s="23"/>
    </row>
    <row r="64" spans="1:14" ht="48.75" customHeight="1" x14ac:dyDescent="0.35">
      <c r="A64" s="80" t="s">
        <v>77</v>
      </c>
      <c r="B64" s="80"/>
      <c r="C64" s="80"/>
      <c r="D64" s="82" t="s">
        <v>197</v>
      </c>
      <c r="E64" s="147"/>
      <c r="F64" s="147"/>
      <c r="G64" s="147"/>
      <c r="H64" s="147"/>
    </row>
    <row r="65" spans="1:14" x14ac:dyDescent="0.35">
      <c r="A65" s="147" t="s">
        <v>156</v>
      </c>
      <c r="B65" s="147"/>
      <c r="C65" s="147"/>
      <c r="D65" s="147" t="s">
        <v>30</v>
      </c>
      <c r="E65" s="147"/>
      <c r="F65" s="147"/>
      <c r="G65" s="147"/>
      <c r="H65" s="147"/>
      <c r="I65" s="24"/>
      <c r="J65" s="24"/>
      <c r="K65" s="24"/>
      <c r="L65" s="24"/>
      <c r="M65" s="24"/>
      <c r="N65" s="24"/>
    </row>
    <row r="66" spans="1:14" ht="15.75" customHeight="1" x14ac:dyDescent="0.35">
      <c r="A66" s="80" t="s">
        <v>89</v>
      </c>
      <c r="B66" s="80"/>
      <c r="C66" s="80"/>
      <c r="D66" s="82" t="str">
        <f ca="1">(IF(G72&gt;95%,"Nothing",IF(G72&gt;0%,"Cement, Aggregate, Steel, etc",IF(G72=0%,"Work not yet Started"))))</f>
        <v>Nothing</v>
      </c>
      <c r="E66" s="82"/>
      <c r="F66" s="82"/>
      <c r="G66" s="82"/>
      <c r="H66" s="82"/>
      <c r="J66" s="23"/>
    </row>
    <row r="67" spans="1:14" ht="33.75" customHeight="1" thickBot="1" x14ac:dyDescent="0.4">
      <c r="A67" s="147" t="s">
        <v>121</v>
      </c>
      <c r="B67" s="147"/>
      <c r="C67" s="147"/>
      <c r="D67" s="82" t="str">
        <f ca="1">(IF(D66="Nothing","Yes",IF(D66="Cement, Aggregate, Steel, etc","Under Construction",IF(D66="Work not yet Started","Work not yet Started"))))</f>
        <v>Yes</v>
      </c>
      <c r="E67" s="82"/>
      <c r="F67" s="82" t="str">
        <f ca="1">(IF(D66="Nothing","Yes",IF(D66="Cement, Aggregate, Steel, etc","Under Construction",IF(D66="Work not yet Started","Work not yet Started"))))</f>
        <v>Yes</v>
      </c>
      <c r="G67" s="82"/>
      <c r="H67" s="82"/>
    </row>
    <row r="68" spans="1:14" ht="15.75" customHeight="1" x14ac:dyDescent="0.35">
      <c r="A68" s="119" t="s">
        <v>147</v>
      </c>
      <c r="B68" s="119"/>
      <c r="C68" s="119" t="str">
        <f>D60</f>
        <v>1B + G + 7P + E-Deck Floor + 1st to 28th Floor</v>
      </c>
      <c r="D68" s="119"/>
      <c r="E68" s="119"/>
      <c r="F68" s="119"/>
      <c r="G68" s="119"/>
      <c r="H68" s="119"/>
      <c r="I68" s="50" t="str">
        <f ca="1">IF(D81=100%,"All work Completed. Possession granted to the Building.",IF(D80=100%,"All work Completed, Waiting for OC",I69&amp;""&amp;I70&amp;""&amp;J69&amp;""&amp;J68&amp;" "&amp;J70))</f>
        <v>All work Completed. Possession granted to the Building.</v>
      </c>
      <c r="J68" s="44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35">
      <c r="A69" s="57" t="s">
        <v>149</v>
      </c>
      <c r="B69" s="57">
        <f>IF(AND(ISNUMBER(SEARCH("1B",C68))),1,IF(AND(ISNUMBER(SEARCH("2B",C68))),2,IF(AND(ISNUMBER(SEARCH("3B",C68))),3,IF(AND(ISNUMBER(SEARCH("4B",C68))),4,IF(ISNUMBER(SEARCH("5B",C68)),5,0)))))</f>
        <v>1</v>
      </c>
      <c r="C69" s="57" t="s">
        <v>74</v>
      </c>
      <c r="D69" s="57">
        <v>1</v>
      </c>
      <c r="E69" s="57" t="s">
        <v>73</v>
      </c>
      <c r="F69" s="57">
        <v>8</v>
      </c>
      <c r="G69" s="43" t="s">
        <v>83</v>
      </c>
      <c r="H69" s="57">
        <f ca="1">--TRIM(RIGHT(SUBSTITUTE(LEFT(C68,_xlfn.AGGREGATE(16,6,FIND({0,1,2,3,4,5,6,7,8,9},C68,ROW(INDIRECT("1:"&amp;LEN(C68)))),1))," ",REPT(" ",LEN(C68))),LEN(C68)))</f>
        <v>28</v>
      </c>
      <c r="I69" s="5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9" s="45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35">
      <c r="A70" s="118" t="s">
        <v>93</v>
      </c>
      <c r="B70" s="118"/>
      <c r="C70" s="167" t="str">
        <f ca="1">I68</f>
        <v>All work Completed. Possession granted to the Building.</v>
      </c>
      <c r="D70" s="167"/>
      <c r="E70" s="167"/>
      <c r="F70" s="167"/>
      <c r="G70" s="167"/>
      <c r="H70" s="167"/>
      <c r="I70" s="51" t="str">
        <f ca="1">IF(I69&lt;&gt;""," Completed","")</f>
        <v xml:space="preserve"> Completed</v>
      </c>
      <c r="J70" s="45" t="str">
        <f ca="1">IF(J68&lt;&gt;"","Completed","")</f>
        <v/>
      </c>
    </row>
    <row r="71" spans="1:14" ht="15.75" customHeight="1" x14ac:dyDescent="0.35">
      <c r="A71" s="111" t="s">
        <v>50</v>
      </c>
      <c r="B71" s="111"/>
      <c r="C71" s="54" t="s">
        <v>146</v>
      </c>
      <c r="D71" s="54" t="s">
        <v>86</v>
      </c>
      <c r="E71" s="111" t="s">
        <v>88</v>
      </c>
      <c r="F71" s="111"/>
      <c r="G71" s="111" t="s">
        <v>87</v>
      </c>
      <c r="H71" s="111"/>
      <c r="I71" s="14" t="s">
        <v>148</v>
      </c>
      <c r="J71" s="25">
        <f ca="1">H69*25%</f>
        <v>7</v>
      </c>
    </row>
    <row r="72" spans="1:14" x14ac:dyDescent="0.35">
      <c r="A72" s="111" t="s">
        <v>135</v>
      </c>
      <c r="B72" s="111"/>
      <c r="C72" s="54">
        <f ca="1">J73</f>
        <v>28</v>
      </c>
      <c r="D72" s="17">
        <f ca="1">((100/H69)*C72)/100</f>
        <v>1</v>
      </c>
      <c r="E72" s="110">
        <f ca="1">(((C73/H69*10)+(40/(D69+F69+H69)*C74)+(7.5/(H69)*C75)+(7.5/(H69)*C76)+(10/H69*C77)+(10/H69*C78)+(5/H69*C79)+(5/H69*C80)+(5/H69*C81))/100)</f>
        <v>1</v>
      </c>
      <c r="F72" s="110"/>
      <c r="G72" s="110">
        <f ca="1">((((C72/H69)*20)+((C73/H69)*25)+(30/(H69+F69+D69)*C74)+(5/H69*C75)+(5/H69*C76)+(5/H69*C77)+(5/H69*C78)+(0/H69*C79)+(0/H69*C80)+(5/H69*C81))/100)</f>
        <v>1</v>
      </c>
      <c r="H72" s="110"/>
      <c r="I72" s="14" t="s">
        <v>104</v>
      </c>
      <c r="J72" s="26">
        <f ca="1">H69*50%</f>
        <v>14</v>
      </c>
    </row>
    <row r="73" spans="1:14" x14ac:dyDescent="0.35">
      <c r="A73" s="111" t="s">
        <v>51</v>
      </c>
      <c r="B73" s="111"/>
      <c r="C73" s="54">
        <f ca="1">J81</f>
        <v>28</v>
      </c>
      <c r="D73" s="17">
        <f ca="1">((100/H69)*C73)/100</f>
        <v>1</v>
      </c>
      <c r="E73" s="110"/>
      <c r="F73" s="110"/>
      <c r="G73" s="110"/>
      <c r="H73" s="110"/>
      <c r="I73" s="14" t="s">
        <v>105</v>
      </c>
      <c r="J73" s="26">
        <f ca="1">H69</f>
        <v>28</v>
      </c>
    </row>
    <row r="74" spans="1:14" ht="15.75" customHeight="1" x14ac:dyDescent="0.35">
      <c r="A74" s="111" t="s">
        <v>136</v>
      </c>
      <c r="B74" s="111"/>
      <c r="C74" s="54">
        <f ca="1">D69+F69+H69</f>
        <v>37</v>
      </c>
      <c r="D74" s="17">
        <f ca="1">((100/(D69+F69+H69))*C74)/100</f>
        <v>1</v>
      </c>
      <c r="E74" s="110"/>
      <c r="F74" s="110"/>
      <c r="G74" s="110"/>
      <c r="H74" s="110"/>
      <c r="I74" s="14" t="s">
        <v>106</v>
      </c>
      <c r="J74" s="27">
        <f ca="1">(IF(B69&gt;1,(H69/(B69+2)),H69/4))</f>
        <v>7</v>
      </c>
    </row>
    <row r="75" spans="1:14" ht="15.75" customHeight="1" x14ac:dyDescent="0.35">
      <c r="A75" s="111" t="s">
        <v>143</v>
      </c>
      <c r="B75" s="111" t="s">
        <v>137</v>
      </c>
      <c r="C75" s="54">
        <v>28</v>
      </c>
      <c r="D75" s="17">
        <f ca="1">((100/H69)*C75)/100</f>
        <v>1</v>
      </c>
      <c r="E75" s="110"/>
      <c r="F75" s="110"/>
      <c r="G75" s="110"/>
      <c r="H75" s="110"/>
      <c r="I75" s="14" t="s">
        <v>107</v>
      </c>
      <c r="J75" s="27">
        <f ca="1">(IF(B69&gt;1,(H69/(B69+2)+J74),H69/4+J74))</f>
        <v>14</v>
      </c>
    </row>
    <row r="76" spans="1:14" ht="15.75" customHeight="1" x14ac:dyDescent="0.35">
      <c r="A76" s="111" t="s">
        <v>144</v>
      </c>
      <c r="B76" s="111" t="s">
        <v>137</v>
      </c>
      <c r="C76" s="54">
        <v>28</v>
      </c>
      <c r="D76" s="17">
        <f ca="1">((100/H69)*C76)/100</f>
        <v>1</v>
      </c>
      <c r="E76" s="110"/>
      <c r="F76" s="110"/>
      <c r="G76" s="110"/>
      <c r="H76" s="110"/>
      <c r="I76" s="14" t="s">
        <v>154</v>
      </c>
      <c r="J76" s="27">
        <f>(IF(B69&gt;1,(H69/(B69+2)+J75),0))</f>
        <v>0</v>
      </c>
    </row>
    <row r="77" spans="1:14" ht="15" customHeight="1" x14ac:dyDescent="0.35">
      <c r="A77" s="111" t="s">
        <v>142</v>
      </c>
      <c r="B77" s="111" t="s">
        <v>139</v>
      </c>
      <c r="C77" s="54">
        <v>28</v>
      </c>
      <c r="D77" s="17">
        <f ca="1">((100/(H69))*C77)/100</f>
        <v>1</v>
      </c>
      <c r="E77" s="110"/>
      <c r="F77" s="110"/>
      <c r="G77" s="110"/>
      <c r="H77" s="110"/>
      <c r="I77" s="14" t="s">
        <v>150</v>
      </c>
      <c r="J77" s="27">
        <f>(IF(B69&gt;2,(H69/(B69+2)+J76),0))</f>
        <v>0</v>
      </c>
    </row>
    <row r="78" spans="1:14" ht="15.75" customHeight="1" x14ac:dyDescent="0.35">
      <c r="A78" s="111" t="s">
        <v>138</v>
      </c>
      <c r="B78" s="111" t="s">
        <v>138</v>
      </c>
      <c r="C78" s="54">
        <v>28</v>
      </c>
      <c r="D78" s="17">
        <f ca="1">((100/H69)*C78)/100</f>
        <v>1</v>
      </c>
      <c r="E78" s="110"/>
      <c r="F78" s="110"/>
      <c r="G78" s="110"/>
      <c r="H78" s="110"/>
      <c r="I78" s="14" t="s">
        <v>151</v>
      </c>
      <c r="J78" s="28">
        <f>(IF(B69&gt;3,(H69/(B69+2)+J77),0))</f>
        <v>0</v>
      </c>
    </row>
    <row r="79" spans="1:14" ht="15.75" customHeight="1" x14ac:dyDescent="0.35">
      <c r="A79" s="111" t="s">
        <v>145</v>
      </c>
      <c r="B79" s="111"/>
      <c r="C79" s="54">
        <v>28</v>
      </c>
      <c r="D79" s="17">
        <f ca="1">((100/H69)*C79)/100</f>
        <v>1</v>
      </c>
      <c r="E79" s="110"/>
      <c r="F79" s="110"/>
      <c r="G79" s="110"/>
      <c r="H79" s="110"/>
      <c r="I79" s="14" t="s">
        <v>152</v>
      </c>
      <c r="J79" s="27">
        <f>(IF(B69&gt;4,(H69/(B69+2)+J78),0))</f>
        <v>0</v>
      </c>
    </row>
    <row r="80" spans="1:14" ht="15.75" customHeight="1" x14ac:dyDescent="0.35">
      <c r="A80" s="111" t="s">
        <v>140</v>
      </c>
      <c r="B80" s="111" t="s">
        <v>140</v>
      </c>
      <c r="C80" s="54">
        <v>28</v>
      </c>
      <c r="D80" s="17">
        <f ca="1">((100/(H69))*C80)/100</f>
        <v>1</v>
      </c>
      <c r="E80" s="110"/>
      <c r="F80" s="110"/>
      <c r="G80" s="110"/>
      <c r="H80" s="110"/>
      <c r="I80" s="14" t="s">
        <v>155</v>
      </c>
      <c r="J80" s="27">
        <f ca="1">(IF(B69=1,(H69/(B69+3)+J75),IF(B69=0,(H69/4+J75),IF(B69&gt;1,0))))</f>
        <v>21</v>
      </c>
    </row>
    <row r="81" spans="1:10" ht="16" thickBot="1" x14ac:dyDescent="0.4">
      <c r="A81" s="111" t="s">
        <v>141</v>
      </c>
      <c r="B81" s="111"/>
      <c r="C81" s="54">
        <v>28</v>
      </c>
      <c r="D81" s="17">
        <f ca="1">((100/(H69))*C81)/100</f>
        <v>1</v>
      </c>
      <c r="E81" s="110"/>
      <c r="F81" s="110"/>
      <c r="G81" s="110"/>
      <c r="H81" s="110"/>
      <c r="I81" s="15" t="s">
        <v>108</v>
      </c>
      <c r="J81" s="29">
        <f ca="1">(IF(B69&gt;1.5,(H69/(B69+2)+J75+MAX(0,J76-J75)+MAX(0,J77-J76)+MAX(0,J78-J77)+MAX(0,J79-J78)+MAX(0,J80-J79)),IF(B69=1,(H69/(B69+3)+J80),IF(B69=0,H69/4+J80))))</f>
        <v>28</v>
      </c>
    </row>
    <row r="82" spans="1:10" x14ac:dyDescent="0.35">
      <c r="A82" s="106" t="s">
        <v>165</v>
      </c>
      <c r="B82" s="106"/>
      <c r="C82" s="106"/>
      <c r="D82" s="106"/>
      <c r="E82" s="106"/>
      <c r="F82" s="105" t="s">
        <v>170</v>
      </c>
      <c r="G82" s="105"/>
      <c r="H82" s="105"/>
    </row>
    <row r="83" spans="1:10" x14ac:dyDescent="0.35">
      <c r="A83" s="80" t="s">
        <v>168</v>
      </c>
      <c r="B83" s="80"/>
      <c r="C83" s="80"/>
      <c r="D83" s="80"/>
      <c r="E83" s="80"/>
      <c r="F83" s="88">
        <v>31500</v>
      </c>
      <c r="G83" s="88"/>
      <c r="H83" s="88"/>
      <c r="I83" s="18" t="s">
        <v>237</v>
      </c>
    </row>
    <row r="84" spans="1:10" x14ac:dyDescent="0.35">
      <c r="A84" s="80" t="s">
        <v>167</v>
      </c>
      <c r="B84" s="80"/>
      <c r="C84" s="80"/>
      <c r="D84" s="80"/>
      <c r="E84" s="80"/>
      <c r="F84" s="88">
        <v>35000</v>
      </c>
      <c r="G84" s="88"/>
      <c r="H84" s="88"/>
      <c r="I84" s="18" t="s">
        <v>238</v>
      </c>
    </row>
    <row r="85" spans="1:10" hidden="1" x14ac:dyDescent="0.35">
      <c r="A85" s="80" t="s">
        <v>169</v>
      </c>
      <c r="B85" s="80"/>
      <c r="C85" s="80"/>
      <c r="D85" s="80"/>
      <c r="E85" s="80"/>
      <c r="F85" s="88"/>
      <c r="G85" s="88"/>
      <c r="H85" s="88"/>
    </row>
    <row r="86" spans="1:10" s="30" customFormat="1" hidden="1" x14ac:dyDescent="0.3">
      <c r="A86" s="80" t="s">
        <v>166</v>
      </c>
      <c r="B86" s="80"/>
      <c r="C86" s="80"/>
      <c r="D86" s="80"/>
      <c r="E86" s="80"/>
      <c r="F86" s="88"/>
      <c r="G86" s="88"/>
      <c r="H86" s="88"/>
    </row>
    <row r="87" spans="1:10" s="30" customFormat="1" hidden="1" x14ac:dyDescent="0.3">
      <c r="A87" s="80" t="s">
        <v>98</v>
      </c>
      <c r="B87" s="80"/>
      <c r="C87" s="80"/>
      <c r="D87" s="80"/>
      <c r="E87" s="80"/>
      <c r="F87" s="88"/>
      <c r="G87" s="88"/>
      <c r="H87" s="88"/>
    </row>
    <row r="88" spans="1:10" s="30" customFormat="1" hidden="1" x14ac:dyDescent="0.3">
      <c r="A88" s="80" t="s">
        <v>99</v>
      </c>
      <c r="B88" s="80"/>
      <c r="C88" s="80"/>
      <c r="D88" s="80"/>
      <c r="E88" s="80"/>
      <c r="F88" s="88"/>
      <c r="G88" s="88"/>
      <c r="H88" s="88"/>
    </row>
    <row r="89" spans="1:10" s="30" customFormat="1" hidden="1" x14ac:dyDescent="0.3">
      <c r="A89" s="80" t="s">
        <v>171</v>
      </c>
      <c r="B89" s="80"/>
      <c r="C89" s="80"/>
      <c r="D89" s="80"/>
      <c r="E89" s="80"/>
      <c r="F89" s="88"/>
      <c r="G89" s="88"/>
      <c r="H89" s="88"/>
    </row>
    <row r="90" spans="1:10" s="30" customFormat="1" hidden="1" x14ac:dyDescent="0.3">
      <c r="A90" s="80" t="s">
        <v>100</v>
      </c>
      <c r="B90" s="80"/>
      <c r="C90" s="80"/>
      <c r="D90" s="80"/>
      <c r="E90" s="80"/>
      <c r="F90" s="88"/>
      <c r="G90" s="88"/>
      <c r="H90" s="88"/>
    </row>
    <row r="91" spans="1:10" s="30" customFormat="1" hidden="1" x14ac:dyDescent="0.3">
      <c r="A91" s="80" t="s">
        <v>101</v>
      </c>
      <c r="B91" s="80"/>
      <c r="C91" s="80"/>
      <c r="D91" s="80"/>
      <c r="E91" s="80"/>
      <c r="F91" s="88"/>
      <c r="G91" s="88"/>
      <c r="H91" s="88"/>
    </row>
    <row r="92" spans="1:10" s="30" customFormat="1" hidden="1" x14ac:dyDescent="0.3">
      <c r="A92" s="80" t="s">
        <v>102</v>
      </c>
      <c r="B92" s="80"/>
      <c r="C92" s="80"/>
      <c r="D92" s="80"/>
      <c r="E92" s="80"/>
      <c r="F92" s="88"/>
      <c r="G92" s="88"/>
      <c r="H92" s="88"/>
    </row>
    <row r="93" spans="1:10" s="30" customFormat="1" hidden="1" x14ac:dyDescent="0.3">
      <c r="A93" s="80" t="s">
        <v>103</v>
      </c>
      <c r="B93" s="80"/>
      <c r="C93" s="80"/>
      <c r="D93" s="80"/>
      <c r="E93" s="80"/>
      <c r="F93" s="88"/>
      <c r="G93" s="88"/>
      <c r="H93" s="88"/>
    </row>
    <row r="94" spans="1:10" x14ac:dyDescent="0.35">
      <c r="A94" s="80" t="s">
        <v>52</v>
      </c>
      <c r="B94" s="80"/>
      <c r="C94" s="80"/>
      <c r="D94" s="80"/>
      <c r="E94" s="80"/>
      <c r="F94" s="88">
        <v>1500000</v>
      </c>
      <c r="G94" s="88"/>
      <c r="H94" s="88"/>
      <c r="J94" s="18" t="s">
        <v>242</v>
      </c>
    </row>
    <row r="95" spans="1:10" s="31" customFormat="1" x14ac:dyDescent="0.35">
      <c r="A95" s="123" t="s">
        <v>53</v>
      </c>
      <c r="B95" s="123"/>
      <c r="C95" s="123"/>
      <c r="D95" s="123"/>
      <c r="E95" s="123"/>
      <c r="F95" s="88">
        <f>F83*0.8</f>
        <v>25200</v>
      </c>
      <c r="G95" s="88"/>
      <c r="H95" s="88"/>
    </row>
    <row r="96" spans="1:10" s="32" customFormat="1" ht="15.75" customHeight="1" x14ac:dyDescent="0.35">
      <c r="A96" s="96" t="s">
        <v>78</v>
      </c>
      <c r="B96" s="96"/>
      <c r="C96" s="96"/>
      <c r="D96" s="96"/>
      <c r="E96" s="96"/>
      <c r="F96" s="96"/>
      <c r="G96" s="96"/>
      <c r="H96" s="96"/>
    </row>
    <row r="97" spans="1:14" s="32" customFormat="1" ht="15.75" customHeight="1" x14ac:dyDescent="0.35">
      <c r="A97" s="99" t="s">
        <v>54</v>
      </c>
      <c r="B97" s="99"/>
      <c r="C97" s="95" t="s">
        <v>81</v>
      </c>
      <c r="D97" s="95"/>
      <c r="E97" s="107" t="s">
        <v>55</v>
      </c>
      <c r="F97" s="107"/>
      <c r="G97" s="99" t="s">
        <v>56</v>
      </c>
      <c r="H97" s="99"/>
    </row>
    <row r="98" spans="1:14" s="32" customFormat="1" x14ac:dyDescent="0.35">
      <c r="A98" s="154" t="s">
        <v>201</v>
      </c>
      <c r="B98" s="154"/>
      <c r="C98" s="97">
        <f>COUNT(D112:D120)</f>
        <v>9</v>
      </c>
      <c r="D98" s="171"/>
      <c r="E98" s="98">
        <f>SUM(D112:D120)</f>
        <v>3137.7060000000001</v>
      </c>
      <c r="F98" s="164"/>
      <c r="G98" s="98">
        <f>SUM(F112:F120)</f>
        <v>5020.3296</v>
      </c>
      <c r="H98" s="164"/>
    </row>
    <row r="99" spans="1:14" s="32" customFormat="1" x14ac:dyDescent="0.35">
      <c r="A99" s="96" t="s">
        <v>158</v>
      </c>
      <c r="B99" s="96"/>
      <c r="C99" s="94">
        <f>SUM(C98)</f>
        <v>9</v>
      </c>
      <c r="D99" s="95"/>
      <c r="E99" s="94">
        <f t="shared" ref="E99" si="0">SUM(E98)</f>
        <v>3137.7060000000001</v>
      </c>
      <c r="F99" s="95"/>
      <c r="G99" s="94">
        <f t="shared" ref="G99" si="1">SUM(G98)</f>
        <v>5020.3296</v>
      </c>
      <c r="H99" s="95"/>
    </row>
    <row r="100" spans="1:14" s="32" customFormat="1" x14ac:dyDescent="0.35">
      <c r="A100" s="96" t="s">
        <v>72</v>
      </c>
      <c r="B100" s="96"/>
      <c r="C100" s="96"/>
      <c r="D100" s="96"/>
      <c r="E100" s="96"/>
      <c r="F100" s="96"/>
      <c r="G100" s="96"/>
      <c r="H100" s="96"/>
    </row>
    <row r="101" spans="1:14" s="32" customFormat="1" ht="15.75" customHeight="1" x14ac:dyDescent="0.35">
      <c r="A101" s="99" t="s">
        <v>54</v>
      </c>
      <c r="B101" s="99"/>
      <c r="C101" s="95" t="s">
        <v>81</v>
      </c>
      <c r="D101" s="95"/>
      <c r="E101" s="107" t="s">
        <v>55</v>
      </c>
      <c r="F101" s="107"/>
      <c r="G101" s="99" t="s">
        <v>56</v>
      </c>
      <c r="H101" s="99"/>
    </row>
    <row r="102" spans="1:14" s="32" customFormat="1" x14ac:dyDescent="0.35">
      <c r="A102" s="108" t="s">
        <v>215</v>
      </c>
      <c r="B102" s="42" t="s">
        <v>220</v>
      </c>
      <c r="C102" s="97">
        <f>COUNT(D162:D167)*7+COUNT(D169:D171,D174)+COUNT(D176:D181)*5+COUNT(D183:D185,D188)+COUNT(D190:D195)*4</f>
        <v>104</v>
      </c>
      <c r="D102" s="97"/>
      <c r="E102" s="98">
        <f>SUM(D162:D167)*7+SUM(D169:D171,D174)+SUM(D176:D181)*5+SUM(D183:D185,D188)+SUM(D190:D195)*4</f>
        <v>65104.547040000005</v>
      </c>
      <c r="F102" s="98"/>
      <c r="G102" s="98">
        <f>SUM(F162:F167)*7+SUM(F169:F171,F174)+SUM(F176:F181)*5+SUM(F183:F185,F188)+SUM(F190:F195)*4</f>
        <v>97656.820559999993</v>
      </c>
      <c r="H102" s="98"/>
    </row>
    <row r="103" spans="1:14" s="32" customFormat="1" x14ac:dyDescent="0.35">
      <c r="A103" s="109"/>
      <c r="B103" s="42" t="s">
        <v>216</v>
      </c>
      <c r="C103" s="97">
        <f>COUNT(D127:D129,D132)+COUNT(D134:D139)*4+COUNT(D141:D146)*3+COUNT(D148:D150,D153)+COUNT(D155:D160)</f>
        <v>56</v>
      </c>
      <c r="D103" s="97"/>
      <c r="E103" s="98">
        <f>SUM(D127:D129,D132)+SUM(D134:D139)*4+SUM(D141:D146)*3+SUM(D148:D150,D153)+SUM(D155:D160)</f>
        <v>34919.492400000003</v>
      </c>
      <c r="F103" s="98"/>
      <c r="G103" s="98">
        <f>SUM(F127:F129,F132)+SUM(F134:F139)*4+SUM(F141:F146)*3+SUM(F148:F150,F153)+SUM(F155:F160)</f>
        <v>52379.238599999997</v>
      </c>
      <c r="H103" s="98"/>
    </row>
    <row r="104" spans="1:14" s="32" customFormat="1" ht="16" thickBot="1" x14ac:dyDescent="0.4">
      <c r="A104" s="100" t="s">
        <v>158</v>
      </c>
      <c r="B104" s="100"/>
      <c r="C104" s="92">
        <f>SUM(C102:C103)</f>
        <v>160</v>
      </c>
      <c r="D104" s="93"/>
      <c r="E104" s="92">
        <f t="shared" ref="E104" si="2">SUM(E102:E103)</f>
        <v>100024.03944000001</v>
      </c>
      <c r="F104" s="93"/>
      <c r="G104" s="92">
        <f t="shared" ref="G104" si="3">SUM(G102:G103)</f>
        <v>150036.05916</v>
      </c>
      <c r="H104" s="93"/>
    </row>
    <row r="105" spans="1:14" s="32" customFormat="1" ht="16" thickBot="1" x14ac:dyDescent="0.4">
      <c r="A105" s="156" t="s">
        <v>177</v>
      </c>
      <c r="B105" s="157"/>
      <c r="C105" s="158">
        <f>C99+C104</f>
        <v>169</v>
      </c>
      <c r="D105" s="158"/>
      <c r="E105" s="159">
        <f>E99+E104</f>
        <v>103161.74544000001</v>
      </c>
      <c r="F105" s="159"/>
      <c r="G105" s="160">
        <f>G99+G104</f>
        <v>155056.38876</v>
      </c>
      <c r="H105" s="161"/>
    </row>
    <row r="106" spans="1:14" s="31" customFormat="1" x14ac:dyDescent="0.35">
      <c r="A106" s="105" t="s">
        <v>57</v>
      </c>
      <c r="B106" s="105"/>
      <c r="C106" s="105"/>
      <c r="D106" s="105"/>
      <c r="E106" s="105"/>
      <c r="F106" s="105"/>
      <c r="G106" s="105"/>
      <c r="H106" s="105"/>
    </row>
    <row r="107" spans="1:14" x14ac:dyDescent="0.35">
      <c r="A107" s="150" t="s">
        <v>58</v>
      </c>
      <c r="B107" s="150"/>
      <c r="C107" s="150"/>
      <c r="D107" s="150"/>
      <c r="E107" s="150"/>
      <c r="F107" s="150"/>
      <c r="G107" s="150"/>
      <c r="H107" s="150"/>
    </row>
    <row r="108" spans="1:14" ht="47.25" customHeight="1" x14ac:dyDescent="0.35">
      <c r="A108" s="89" t="s">
        <v>123</v>
      </c>
      <c r="B108" s="89" t="s">
        <v>122</v>
      </c>
      <c r="C108" s="89" t="s">
        <v>59</v>
      </c>
      <c r="D108" s="89" t="s">
        <v>60</v>
      </c>
      <c r="E108" s="101" t="s">
        <v>164</v>
      </c>
      <c r="F108" s="40" t="s">
        <v>157</v>
      </c>
      <c r="G108" s="62" t="s">
        <v>62</v>
      </c>
      <c r="H108" s="103"/>
    </row>
    <row r="109" spans="1:14" s="34" customFormat="1" x14ac:dyDescent="0.35">
      <c r="A109" s="90"/>
      <c r="B109" s="90"/>
      <c r="C109" s="90"/>
      <c r="D109" s="90"/>
      <c r="E109" s="102"/>
      <c r="F109" s="13">
        <v>0.6</v>
      </c>
      <c r="G109" s="63"/>
      <c r="H109" s="104"/>
    </row>
    <row r="110" spans="1:14" s="34" customFormat="1" x14ac:dyDescent="0.35">
      <c r="A110" s="91" t="s">
        <v>202</v>
      </c>
      <c r="B110" s="91"/>
      <c r="C110" s="91"/>
      <c r="D110" s="91"/>
      <c r="E110" s="91"/>
      <c r="F110" s="91"/>
      <c r="G110" s="91"/>
      <c r="H110" s="91"/>
      <c r="J110" s="33"/>
    </row>
    <row r="111" spans="1:14" s="34" customFormat="1" x14ac:dyDescent="0.35">
      <c r="A111" s="91" t="s">
        <v>200</v>
      </c>
      <c r="B111" s="91"/>
      <c r="C111" s="91"/>
      <c r="D111" s="91"/>
      <c r="E111" s="91"/>
      <c r="F111" s="91"/>
      <c r="G111" s="91"/>
      <c r="H111" s="91"/>
      <c r="J111" s="33"/>
    </row>
    <row r="112" spans="1:14" s="34" customFormat="1" ht="15.75" customHeight="1" x14ac:dyDescent="0.35">
      <c r="A112" s="71">
        <v>1</v>
      </c>
      <c r="B112" s="71"/>
      <c r="C112" s="53" t="s">
        <v>201</v>
      </c>
      <c r="D112" s="47">
        <f>(13.39)*(10.764)</f>
        <v>144.12996000000001</v>
      </c>
      <c r="E112" s="53">
        <v>0</v>
      </c>
      <c r="F112" s="53">
        <f>(D112+E112)*(($F$109)+1)</f>
        <v>230.60793600000002</v>
      </c>
      <c r="G112" s="71" t="str">
        <f>A111</f>
        <v>Ground Floor For Entrance Lobby, Pump Room, Meter Room &amp; Commercial</v>
      </c>
      <c r="H112" s="71"/>
      <c r="I112" s="33">
        <f>5.15*2.6</f>
        <v>13.39</v>
      </c>
      <c r="L112" s="58"/>
      <c r="M112" s="58"/>
      <c r="N112" s="33"/>
    </row>
    <row r="113" spans="1:14" s="34" customFormat="1" ht="15.75" customHeight="1" x14ac:dyDescent="0.35">
      <c r="A113" s="71">
        <f t="shared" ref="A113:A120" si="4">A112+1</f>
        <v>2</v>
      </c>
      <c r="B113" s="71"/>
      <c r="C113" s="53" t="s">
        <v>201</v>
      </c>
      <c r="D113" s="47">
        <f>(14.94)*(10.764)</f>
        <v>160.81415999999999</v>
      </c>
      <c r="E113" s="53">
        <v>0</v>
      </c>
      <c r="F113" s="53">
        <f t="shared" ref="F113:F115" si="5">(D113+E113)*(($F$109)+1)</f>
        <v>257.30265600000001</v>
      </c>
      <c r="G113" s="71"/>
      <c r="H113" s="71"/>
      <c r="I113" s="33"/>
      <c r="L113" s="58"/>
      <c r="M113" s="58"/>
      <c r="N113" s="33"/>
    </row>
    <row r="114" spans="1:14" s="34" customFormat="1" ht="15.75" customHeight="1" x14ac:dyDescent="0.35">
      <c r="A114" s="71">
        <f t="shared" si="4"/>
        <v>3</v>
      </c>
      <c r="B114" s="71"/>
      <c r="C114" s="53" t="s">
        <v>201</v>
      </c>
      <c r="D114" s="47">
        <f>(15.71)*(10.764)</f>
        <v>169.10244</v>
      </c>
      <c r="E114" s="53">
        <v>0</v>
      </c>
      <c r="F114" s="53">
        <f t="shared" si="5"/>
        <v>270.56390400000004</v>
      </c>
      <c r="G114" s="71"/>
      <c r="H114" s="71"/>
      <c r="I114" s="33"/>
      <c r="L114" s="58"/>
      <c r="M114" s="58"/>
      <c r="N114" s="33"/>
    </row>
    <row r="115" spans="1:14" s="34" customFormat="1" ht="15.75" customHeight="1" x14ac:dyDescent="0.35">
      <c r="A115" s="71">
        <f t="shared" si="4"/>
        <v>4</v>
      </c>
      <c r="B115" s="71"/>
      <c r="C115" s="53" t="s">
        <v>201</v>
      </c>
      <c r="D115" s="47">
        <f>(67.46)*(10.764)</f>
        <v>726.13943999999992</v>
      </c>
      <c r="E115" s="53">
        <v>0</v>
      </c>
      <c r="F115" s="53">
        <f t="shared" si="5"/>
        <v>1161.8231039999998</v>
      </c>
      <c r="G115" s="71"/>
      <c r="H115" s="71"/>
      <c r="I115" s="33">
        <f>2.9*1.4+5.35*5.18+3*3.83+1.95*1.2</f>
        <v>45.602999999999994</v>
      </c>
      <c r="L115" s="58"/>
      <c r="M115" s="58"/>
      <c r="N115" s="33"/>
    </row>
    <row r="116" spans="1:14" s="34" customFormat="1" x14ac:dyDescent="0.35">
      <c r="A116" s="71">
        <f t="shared" si="4"/>
        <v>5</v>
      </c>
      <c r="B116" s="71"/>
      <c r="C116" s="53" t="s">
        <v>201</v>
      </c>
      <c r="D116" s="47">
        <f>(53.77)*(10.764)</f>
        <v>578.78027999999995</v>
      </c>
      <c r="E116" s="53">
        <v>0</v>
      </c>
      <c r="F116" s="53">
        <f>(D116+E116)*(($F$109)+1)</f>
        <v>926.04844800000001</v>
      </c>
      <c r="G116" s="71"/>
      <c r="H116" s="71"/>
      <c r="I116" s="33">
        <f>0.5*(3.5*8.2)</f>
        <v>14.349999999999998</v>
      </c>
      <c r="L116" s="58"/>
      <c r="M116" s="58"/>
      <c r="N116" s="33"/>
    </row>
    <row r="117" spans="1:14" s="34" customFormat="1" x14ac:dyDescent="0.35">
      <c r="A117" s="71">
        <f t="shared" si="4"/>
        <v>6</v>
      </c>
      <c r="B117" s="71"/>
      <c r="C117" s="53" t="s">
        <v>201</v>
      </c>
      <c r="D117" s="47">
        <f>(25.28)*(10.764)</f>
        <v>272.11392000000001</v>
      </c>
      <c r="E117" s="53">
        <v>0</v>
      </c>
      <c r="F117" s="53">
        <f t="shared" ref="F117:F120" si="6">(D117+E117)*(($F$109)+1)</f>
        <v>435.38227200000006</v>
      </c>
      <c r="G117" s="71"/>
      <c r="H117" s="71"/>
      <c r="I117" s="33">
        <f>I115+I116</f>
        <v>59.952999999999989</v>
      </c>
      <c r="L117" s="58"/>
      <c r="M117" s="58"/>
      <c r="N117" s="33"/>
    </row>
    <row r="118" spans="1:14" s="34" customFormat="1" x14ac:dyDescent="0.35">
      <c r="A118" s="71">
        <f t="shared" si="4"/>
        <v>7</v>
      </c>
      <c r="B118" s="71"/>
      <c r="C118" s="53" t="s">
        <v>201</v>
      </c>
      <c r="D118" s="47">
        <f>(48.48)*(10.764)</f>
        <v>521.83871999999997</v>
      </c>
      <c r="E118" s="53">
        <v>0</v>
      </c>
      <c r="F118" s="53">
        <f t="shared" si="6"/>
        <v>834.94195200000001</v>
      </c>
      <c r="G118" s="71"/>
      <c r="H118" s="71"/>
      <c r="I118" s="33"/>
      <c r="L118" s="58"/>
      <c r="M118" s="58"/>
      <c r="N118" s="33"/>
    </row>
    <row r="119" spans="1:14" s="34" customFormat="1" x14ac:dyDescent="0.35">
      <c r="A119" s="71">
        <f t="shared" si="4"/>
        <v>8</v>
      </c>
      <c r="B119" s="71"/>
      <c r="C119" s="53" t="s">
        <v>201</v>
      </c>
      <c r="D119" s="47">
        <f>(18)*(10.764)</f>
        <v>193.75199999999998</v>
      </c>
      <c r="E119" s="53">
        <v>0</v>
      </c>
      <c r="F119" s="53">
        <f t="shared" ref="F119" si="7">(D119+E119)*(($F$109)+1)</f>
        <v>310.00319999999999</v>
      </c>
      <c r="G119" s="71"/>
      <c r="H119" s="71"/>
      <c r="I119" s="33"/>
      <c r="L119" s="58"/>
      <c r="M119" s="58"/>
      <c r="N119" s="33"/>
    </row>
    <row r="120" spans="1:14" s="34" customFormat="1" x14ac:dyDescent="0.35">
      <c r="A120" s="71">
        <f t="shared" si="4"/>
        <v>9</v>
      </c>
      <c r="B120" s="71"/>
      <c r="C120" s="53" t="s">
        <v>201</v>
      </c>
      <c r="D120" s="47">
        <f>(34.47)*(10.764)</f>
        <v>371.03507999999999</v>
      </c>
      <c r="E120" s="53">
        <v>0</v>
      </c>
      <c r="F120" s="53">
        <f t="shared" si="6"/>
        <v>593.65612799999997</v>
      </c>
      <c r="G120" s="71"/>
      <c r="H120" s="71"/>
      <c r="I120" s="47">
        <f>10.764</f>
        <v>10.763999999999999</v>
      </c>
      <c r="L120" s="58"/>
      <c r="M120" s="58"/>
      <c r="N120" s="33"/>
    </row>
    <row r="121" spans="1:14" s="34" customFormat="1" x14ac:dyDescent="0.35">
      <c r="A121" s="59"/>
      <c r="B121" s="60"/>
      <c r="C121" s="60"/>
      <c r="D121" s="60"/>
      <c r="E121" s="60"/>
      <c r="F121" s="60"/>
      <c r="G121" s="60"/>
      <c r="H121" s="61"/>
      <c r="I121" s="33"/>
      <c r="N121" s="33"/>
    </row>
    <row r="122" spans="1:14" ht="47.25" customHeight="1" x14ac:dyDescent="0.35">
      <c r="A122" s="62" t="s">
        <v>124</v>
      </c>
      <c r="B122" s="62" t="s">
        <v>125</v>
      </c>
      <c r="C122" s="89" t="s">
        <v>59</v>
      </c>
      <c r="D122" s="89" t="s">
        <v>60</v>
      </c>
      <c r="E122" s="101" t="s">
        <v>61</v>
      </c>
      <c r="F122" s="40" t="s">
        <v>157</v>
      </c>
      <c r="G122" s="62" t="s">
        <v>62</v>
      </c>
      <c r="H122" s="103"/>
      <c r="I122" s="33"/>
    </row>
    <row r="123" spans="1:14" s="34" customFormat="1" x14ac:dyDescent="0.35">
      <c r="A123" s="63"/>
      <c r="B123" s="63"/>
      <c r="C123" s="90"/>
      <c r="D123" s="90"/>
      <c r="E123" s="102"/>
      <c r="F123" s="13">
        <v>0.5</v>
      </c>
      <c r="G123" s="63"/>
      <c r="H123" s="104"/>
      <c r="I123" s="33"/>
    </row>
    <row r="124" spans="1:14" s="34" customFormat="1" ht="15.75" customHeight="1" x14ac:dyDescent="0.35">
      <c r="A124" s="64" t="s">
        <v>203</v>
      </c>
      <c r="B124" s="65"/>
      <c r="C124" s="65"/>
      <c r="D124" s="65"/>
      <c r="E124" s="65"/>
      <c r="F124" s="65"/>
      <c r="G124" s="65"/>
      <c r="H124" s="66"/>
      <c r="J124" s="33"/>
    </row>
    <row r="125" spans="1:14" s="34" customFormat="1" ht="31.5" customHeight="1" x14ac:dyDescent="0.35">
      <c r="A125" s="64" t="s">
        <v>214</v>
      </c>
      <c r="B125" s="65"/>
      <c r="C125" s="65"/>
      <c r="D125" s="65"/>
      <c r="E125" s="65"/>
      <c r="F125" s="65"/>
      <c r="G125" s="65"/>
      <c r="H125" s="66"/>
      <c r="J125" s="33"/>
    </row>
    <row r="126" spans="1:14" s="34" customFormat="1" x14ac:dyDescent="0.35">
      <c r="A126" s="64" t="s">
        <v>204</v>
      </c>
      <c r="B126" s="65"/>
      <c r="C126" s="65"/>
      <c r="D126" s="65"/>
      <c r="E126" s="65"/>
      <c r="F126" s="65"/>
      <c r="G126" s="65"/>
      <c r="H126" s="66"/>
      <c r="J126" s="33"/>
    </row>
    <row r="127" spans="1:14" s="34" customFormat="1" ht="15.75" customHeight="1" x14ac:dyDescent="0.35">
      <c r="A127" s="39">
        <v>1</v>
      </c>
      <c r="B127" s="39" t="s">
        <v>216</v>
      </c>
      <c r="C127" s="39" t="s">
        <v>209</v>
      </c>
      <c r="D127" s="47">
        <f>(58.84)*(10.764)</f>
        <v>633.35375999999997</v>
      </c>
      <c r="E127" s="39">
        <v>0</v>
      </c>
      <c r="F127" s="39">
        <f>D127*(($F$123)+1)+(IF(E127&lt;101,E127,IF(E127&lt;201,E127/2,IF(E127&lt;=301,E127/3,E127/4))))</f>
        <v>950.03063999999995</v>
      </c>
      <c r="G127" s="73" t="str">
        <f>A126</f>
        <v>1st Floor For Residential (Part Refuge Area)</v>
      </c>
      <c r="H127" s="74"/>
      <c r="I127" s="33"/>
      <c r="L127" s="58"/>
      <c r="M127" s="58"/>
      <c r="N127" s="33"/>
    </row>
    <row r="128" spans="1:14" s="34" customFormat="1" ht="15.75" customHeight="1" x14ac:dyDescent="0.35">
      <c r="A128" s="39">
        <f t="shared" ref="A128:A132" si="8">A127+1</f>
        <v>2</v>
      </c>
      <c r="B128" s="39" t="s">
        <v>216</v>
      </c>
      <c r="C128" s="39" t="s">
        <v>209</v>
      </c>
      <c r="D128" s="47">
        <f>(57.73)*(10.764)</f>
        <v>621.40571999999997</v>
      </c>
      <c r="E128" s="39">
        <v>0</v>
      </c>
      <c r="F128" s="39">
        <f>D128*(($F$123)+1)+(IF(E128&lt;101,E128,IF(E128&lt;201,E128/2,IF(E128&lt;=301,E128/3,E128/4))))</f>
        <v>932.10857999999996</v>
      </c>
      <c r="G128" s="75"/>
      <c r="H128" s="76"/>
      <c r="I128" s="33">
        <f>6.4*3+1.1*1.7+3.55*1.55+2.4*2.2+0.7*1.2+2.15*1.2+2.9*3.15+1.2*2.1+3.05*3.2</f>
        <v>56.687500000000007</v>
      </c>
      <c r="L128" s="58"/>
      <c r="M128" s="58"/>
      <c r="N128" s="33"/>
    </row>
    <row r="129" spans="1:14" s="34" customFormat="1" ht="15.75" customHeight="1" x14ac:dyDescent="0.35">
      <c r="A129" s="39">
        <f t="shared" si="8"/>
        <v>3</v>
      </c>
      <c r="B129" s="39" t="s">
        <v>216</v>
      </c>
      <c r="C129" s="39" t="s">
        <v>209</v>
      </c>
      <c r="D129" s="47">
        <f>(56.83)*(10.764)</f>
        <v>611.71812</v>
      </c>
      <c r="E129" s="39">
        <v>0</v>
      </c>
      <c r="F129" s="39">
        <f>D129*(($F$123)+1)+(IF(E129&lt;101,E129,IF(E129&lt;201,E129/2,IF(E129&lt;=301,E129/3,E129/4))))</f>
        <v>917.57718</v>
      </c>
      <c r="G129" s="75"/>
      <c r="H129" s="76"/>
      <c r="I129" s="33"/>
      <c r="L129" s="58"/>
      <c r="M129" s="58"/>
      <c r="N129" s="33"/>
    </row>
    <row r="130" spans="1:14" s="34" customFormat="1" ht="15.75" customHeight="1" x14ac:dyDescent="0.35">
      <c r="A130" s="39">
        <f t="shared" si="8"/>
        <v>4</v>
      </c>
      <c r="B130" s="39" t="s">
        <v>217</v>
      </c>
      <c r="C130" s="73" t="s">
        <v>210</v>
      </c>
      <c r="D130" s="169"/>
      <c r="E130" s="169"/>
      <c r="F130" s="74"/>
      <c r="G130" s="75"/>
      <c r="H130" s="76"/>
      <c r="I130" s="33"/>
      <c r="L130" s="58"/>
      <c r="M130" s="58"/>
      <c r="N130" s="33"/>
    </row>
    <row r="131" spans="1:14" s="34" customFormat="1" ht="15.75" customHeight="1" x14ac:dyDescent="0.35">
      <c r="A131" s="39">
        <f t="shared" si="8"/>
        <v>5</v>
      </c>
      <c r="B131" s="39" t="s">
        <v>217</v>
      </c>
      <c r="C131" s="77"/>
      <c r="D131" s="170"/>
      <c r="E131" s="170"/>
      <c r="F131" s="78"/>
      <c r="G131" s="75"/>
      <c r="H131" s="76"/>
      <c r="I131" s="33"/>
      <c r="L131" s="58"/>
      <c r="M131" s="58"/>
      <c r="N131" s="33"/>
    </row>
    <row r="132" spans="1:14" s="34" customFormat="1" ht="15.75" customHeight="1" x14ac:dyDescent="0.35">
      <c r="A132" s="39">
        <f t="shared" si="8"/>
        <v>6</v>
      </c>
      <c r="B132" s="39" t="s">
        <v>216</v>
      </c>
      <c r="C132" s="39" t="s">
        <v>209</v>
      </c>
      <c r="D132" s="47">
        <f>(56.84)*(10.764)</f>
        <v>611.82575999999995</v>
      </c>
      <c r="E132" s="39">
        <v>0</v>
      </c>
      <c r="F132" s="39">
        <f>D132*(($F$123)+1)+(IF(E132&lt;101,E132,IF(E132&lt;201,E132/2,IF(E132&lt;=301,E132/3,E132/4))))</f>
        <v>917.73863999999992</v>
      </c>
      <c r="G132" s="77"/>
      <c r="H132" s="78"/>
      <c r="I132" s="33"/>
      <c r="L132" s="58"/>
      <c r="M132" s="58"/>
      <c r="N132" s="33"/>
    </row>
    <row r="133" spans="1:14" s="34" customFormat="1" x14ac:dyDescent="0.35">
      <c r="A133" s="91" t="s">
        <v>153</v>
      </c>
      <c r="B133" s="91"/>
      <c r="C133" s="91"/>
      <c r="D133" s="91"/>
      <c r="E133" s="91"/>
      <c r="F133" s="91"/>
      <c r="G133" s="91"/>
      <c r="H133" s="91"/>
      <c r="I133" s="33"/>
      <c r="L133" s="58"/>
      <c r="M133" s="58"/>
    </row>
    <row r="134" spans="1:14" s="34" customFormat="1" ht="15.75" customHeight="1" x14ac:dyDescent="0.35">
      <c r="A134" s="39">
        <v>1</v>
      </c>
      <c r="B134" s="39" t="s">
        <v>216</v>
      </c>
      <c r="C134" s="39" t="s">
        <v>209</v>
      </c>
      <c r="D134" s="47">
        <f>(58.84)*(10.764)</f>
        <v>633.35375999999997</v>
      </c>
      <c r="E134" s="39">
        <v>0</v>
      </c>
      <c r="F134" s="39">
        <f t="shared" ref="F134:F135" si="9">D134*(($F$123)+1)+(IF(E134&lt;101,E134,IF(E134&lt;201,E134/2,IF(E134&lt;=301,E134/3,E134/4))))</f>
        <v>950.03063999999995</v>
      </c>
      <c r="G134" s="73" t="str">
        <f>A133</f>
        <v>2nd to 5th Floor</v>
      </c>
      <c r="H134" s="74"/>
      <c r="I134" s="33"/>
      <c r="N134" s="33"/>
    </row>
    <row r="135" spans="1:14" s="34" customFormat="1" ht="15.75" customHeight="1" x14ac:dyDescent="0.35">
      <c r="A135" s="39">
        <f>A134+1</f>
        <v>2</v>
      </c>
      <c r="B135" s="39" t="s">
        <v>216</v>
      </c>
      <c r="C135" s="39" t="s">
        <v>209</v>
      </c>
      <c r="D135" s="47">
        <f>(57.73)*(10.764)</f>
        <v>621.40571999999997</v>
      </c>
      <c r="E135" s="39">
        <v>0</v>
      </c>
      <c r="F135" s="39">
        <f t="shared" si="9"/>
        <v>932.10857999999996</v>
      </c>
      <c r="G135" s="75"/>
      <c r="H135" s="76"/>
      <c r="I135" s="33"/>
      <c r="N135" s="33"/>
    </row>
    <row r="136" spans="1:14" s="34" customFormat="1" ht="15.75" customHeight="1" x14ac:dyDescent="0.35">
      <c r="A136" s="39">
        <f>A135+1</f>
        <v>3</v>
      </c>
      <c r="B136" s="39" t="s">
        <v>216</v>
      </c>
      <c r="C136" s="39" t="s">
        <v>209</v>
      </c>
      <c r="D136" s="47">
        <f>(56.83)*(10.764)</f>
        <v>611.71812</v>
      </c>
      <c r="E136" s="39">
        <v>0</v>
      </c>
      <c r="F136" s="39">
        <f>D136*(($F$123)+1)+(IF(E136&lt;101,E136,IF(E136&lt;201,E136/2,IF(E136&lt;=301,E136/3,E136/4))))</f>
        <v>917.57718</v>
      </c>
      <c r="G136" s="75"/>
      <c r="H136" s="76"/>
      <c r="I136" s="33"/>
      <c r="N136" s="33"/>
    </row>
    <row r="137" spans="1:14" s="34" customFormat="1" ht="15.75" customHeight="1" x14ac:dyDescent="0.35">
      <c r="A137" s="39">
        <f>A136+1</f>
        <v>4</v>
      </c>
      <c r="B137" s="39" t="s">
        <v>216</v>
      </c>
      <c r="C137" s="39" t="s">
        <v>209</v>
      </c>
      <c r="D137" s="47">
        <f>(57.25)*(10.764)</f>
        <v>616.23899999999992</v>
      </c>
      <c r="E137" s="39">
        <v>0</v>
      </c>
      <c r="F137" s="39">
        <f>D137*(($F$123)+1)+(IF(E137&lt;101,E137,IF(E137&lt;201,E137/2,IF(E137&lt;=301,E137/3,E137/4))))</f>
        <v>924.35849999999982</v>
      </c>
      <c r="G137" s="75"/>
      <c r="H137" s="76"/>
      <c r="I137" s="33"/>
      <c r="N137" s="33"/>
    </row>
    <row r="138" spans="1:14" s="34" customFormat="1" ht="15.75" customHeight="1" x14ac:dyDescent="0.35">
      <c r="A138" s="39">
        <f t="shared" ref="A138:A139" si="10">A137+1</f>
        <v>5</v>
      </c>
      <c r="B138" s="39" t="s">
        <v>216</v>
      </c>
      <c r="C138" s="39" t="s">
        <v>209</v>
      </c>
      <c r="D138" s="47">
        <f>(58.97)*(10.764)</f>
        <v>634.75307999999995</v>
      </c>
      <c r="E138" s="39">
        <v>0</v>
      </c>
      <c r="F138" s="39">
        <f>D138*(($F$123)+1)+(IF(E138&lt;101,E138,IF(E138&lt;201,E138/2,IF(E138&lt;=301,E138/3,E138/4))))</f>
        <v>952.12961999999993</v>
      </c>
      <c r="G138" s="75"/>
      <c r="H138" s="76"/>
      <c r="I138" s="33"/>
      <c r="N138" s="33"/>
    </row>
    <row r="139" spans="1:14" s="34" customFormat="1" ht="15.75" customHeight="1" x14ac:dyDescent="0.35">
      <c r="A139" s="39">
        <f t="shared" si="10"/>
        <v>6</v>
      </c>
      <c r="B139" s="39" t="s">
        <v>216</v>
      </c>
      <c r="C139" s="39" t="s">
        <v>209</v>
      </c>
      <c r="D139" s="47">
        <f>(56.84)*(10.764)</f>
        <v>611.82575999999995</v>
      </c>
      <c r="E139" s="39">
        <v>0</v>
      </c>
      <c r="F139" s="39">
        <f>D139*(($F$123)+1)+(IF(E139&lt;101,E139,IF(E139&lt;201,E139/2,IF(E139&lt;=301,E139/3,E139/4))))</f>
        <v>917.73863999999992</v>
      </c>
      <c r="G139" s="77"/>
      <c r="H139" s="78"/>
      <c r="I139" s="33"/>
      <c r="N139" s="33"/>
    </row>
    <row r="140" spans="1:14" s="34" customFormat="1" ht="15.75" customHeight="1" x14ac:dyDescent="0.35">
      <c r="A140" s="64" t="s">
        <v>205</v>
      </c>
      <c r="B140" s="65"/>
      <c r="C140" s="65"/>
      <c r="D140" s="65"/>
      <c r="E140" s="65"/>
      <c r="F140" s="65"/>
      <c r="G140" s="65"/>
      <c r="H140" s="66"/>
      <c r="I140" s="33"/>
    </row>
    <row r="141" spans="1:14" s="34" customFormat="1" ht="15.75" customHeight="1" x14ac:dyDescent="0.35">
      <c r="A141" s="39">
        <v>1</v>
      </c>
      <c r="B141" s="39" t="s">
        <v>216</v>
      </c>
      <c r="C141" s="39" t="s">
        <v>209</v>
      </c>
      <c r="D141" s="47">
        <f>(59.22)*(10.764)</f>
        <v>637.44407999999999</v>
      </c>
      <c r="E141" s="39">
        <v>0</v>
      </c>
      <c r="F141" s="39">
        <f t="shared" ref="F141:F146" si="11">D141*(($F$123)+1)+(IF(E141&lt;101,E141,IF(E141&lt;201,E141/2,IF(E141&lt;=301,E141/3,E141/4))))</f>
        <v>956.16611999999998</v>
      </c>
      <c r="G141" s="73" t="str">
        <f>A140</f>
        <v>6th, 7th &amp; 9th Floor</v>
      </c>
      <c r="H141" s="74"/>
      <c r="I141" s="33"/>
    </row>
    <row r="142" spans="1:14" s="34" customFormat="1" ht="15.75" customHeight="1" x14ac:dyDescent="0.35">
      <c r="A142" s="39">
        <f>A141+1</f>
        <v>2</v>
      </c>
      <c r="B142" s="39" t="s">
        <v>216</v>
      </c>
      <c r="C142" s="39" t="s">
        <v>209</v>
      </c>
      <c r="D142" s="47">
        <f>(58.13)*(10.764)</f>
        <v>625.71132</v>
      </c>
      <c r="E142" s="39">
        <v>0</v>
      </c>
      <c r="F142" s="39">
        <f t="shared" si="11"/>
        <v>938.56698000000006</v>
      </c>
      <c r="G142" s="75"/>
      <c r="H142" s="76"/>
      <c r="I142" s="33"/>
    </row>
    <row r="143" spans="1:14" s="34" customFormat="1" ht="15.75" customHeight="1" x14ac:dyDescent="0.35">
      <c r="A143" s="39">
        <f t="shared" ref="A143:A144" si="12">A142+1</f>
        <v>3</v>
      </c>
      <c r="B143" s="39" t="s">
        <v>216</v>
      </c>
      <c r="C143" s="39" t="s">
        <v>209</v>
      </c>
      <c r="D143" s="47">
        <f>(57.09)*(10.764)</f>
        <v>614.51675999999998</v>
      </c>
      <c r="E143" s="39">
        <v>0</v>
      </c>
      <c r="F143" s="39">
        <f t="shared" si="11"/>
        <v>921.77513999999996</v>
      </c>
      <c r="G143" s="75"/>
      <c r="H143" s="76"/>
      <c r="I143" s="33"/>
    </row>
    <row r="144" spans="1:14" s="34" customFormat="1" ht="15.75" customHeight="1" x14ac:dyDescent="0.35">
      <c r="A144" s="39">
        <f t="shared" si="12"/>
        <v>4</v>
      </c>
      <c r="B144" s="39" t="s">
        <v>216</v>
      </c>
      <c r="C144" s="39" t="s">
        <v>209</v>
      </c>
      <c r="D144" s="47">
        <f>(57.89)*(10.764)</f>
        <v>623.12795999999992</v>
      </c>
      <c r="E144" s="39">
        <v>0</v>
      </c>
      <c r="F144" s="39">
        <f t="shared" si="11"/>
        <v>934.69193999999993</v>
      </c>
      <c r="G144" s="75"/>
      <c r="H144" s="76"/>
      <c r="I144" s="33"/>
    </row>
    <row r="145" spans="1:9" s="34" customFormat="1" ht="15.75" customHeight="1" x14ac:dyDescent="0.35">
      <c r="A145" s="39">
        <f t="shared" ref="A145:A146" si="13">A144+1</f>
        <v>5</v>
      </c>
      <c r="B145" s="39" t="s">
        <v>216</v>
      </c>
      <c r="C145" s="39" t="s">
        <v>209</v>
      </c>
      <c r="D145" s="47">
        <f>(59.29)*(10.764)</f>
        <v>638.19755999999995</v>
      </c>
      <c r="E145" s="39">
        <v>0</v>
      </c>
      <c r="F145" s="39">
        <f t="shared" si="11"/>
        <v>957.29633999999987</v>
      </c>
      <c r="G145" s="75"/>
      <c r="H145" s="76"/>
      <c r="I145" s="33"/>
    </row>
    <row r="146" spans="1:9" s="34" customFormat="1" ht="15.75" customHeight="1" x14ac:dyDescent="0.35">
      <c r="A146" s="39">
        <f t="shared" si="13"/>
        <v>6</v>
      </c>
      <c r="B146" s="39" t="s">
        <v>216</v>
      </c>
      <c r="C146" s="39" t="s">
        <v>209</v>
      </c>
      <c r="D146" s="47">
        <f>(57.42)*(10.764)</f>
        <v>618.06888000000004</v>
      </c>
      <c r="E146" s="39">
        <v>0</v>
      </c>
      <c r="F146" s="39">
        <f t="shared" si="11"/>
        <v>927.10332000000005</v>
      </c>
      <c r="G146" s="77"/>
      <c r="H146" s="78"/>
      <c r="I146" s="33"/>
    </row>
    <row r="147" spans="1:9" s="34" customFormat="1" ht="15.75" customHeight="1" x14ac:dyDescent="0.35">
      <c r="A147" s="64" t="s">
        <v>211</v>
      </c>
      <c r="B147" s="65"/>
      <c r="C147" s="65"/>
      <c r="D147" s="65"/>
      <c r="E147" s="65"/>
      <c r="F147" s="65"/>
      <c r="G147" s="65"/>
      <c r="H147" s="66"/>
      <c r="I147" s="33"/>
    </row>
    <row r="148" spans="1:9" s="34" customFormat="1" ht="15.75" customHeight="1" x14ac:dyDescent="0.35">
      <c r="A148" s="39">
        <v>1</v>
      </c>
      <c r="B148" s="39" t="s">
        <v>216</v>
      </c>
      <c r="C148" s="39" t="s">
        <v>209</v>
      </c>
      <c r="D148" s="47">
        <f>(59.22)*(10.764)</f>
        <v>637.44407999999999</v>
      </c>
      <c r="E148" s="39">
        <v>0</v>
      </c>
      <c r="F148" s="39">
        <f>D148*(($F$123)+1)+(IF(E148&lt;101,E148,IF(E148&lt;201,E148/2,IF(E148&lt;=301,E148/3,E148/4))))</f>
        <v>956.16611999999998</v>
      </c>
      <c r="G148" s="73" t="str">
        <f>A147</f>
        <v>8th Floor (Part Refuge Area)</v>
      </c>
      <c r="H148" s="74"/>
      <c r="I148" s="33"/>
    </row>
    <row r="149" spans="1:9" s="34" customFormat="1" ht="15.75" customHeight="1" x14ac:dyDescent="0.35">
      <c r="A149" s="39">
        <f>A148+1</f>
        <v>2</v>
      </c>
      <c r="B149" s="39" t="s">
        <v>216</v>
      </c>
      <c r="C149" s="39" t="s">
        <v>209</v>
      </c>
      <c r="D149" s="47">
        <f>(58.13)*(10.764)</f>
        <v>625.71132</v>
      </c>
      <c r="E149" s="39">
        <v>0</v>
      </c>
      <c r="F149" s="39">
        <f>D149*(($F$123)+1)+(IF(E149&lt;101,E149,IF(E149&lt;201,E149/2,IF(E149&lt;=301,E149/3,E149/4))))</f>
        <v>938.56698000000006</v>
      </c>
      <c r="G149" s="75"/>
      <c r="H149" s="76"/>
      <c r="I149" s="33"/>
    </row>
    <row r="150" spans="1:9" s="34" customFormat="1" ht="15.75" customHeight="1" x14ac:dyDescent="0.35">
      <c r="A150" s="39">
        <f t="shared" ref="A150:A153" si="14">A149+1</f>
        <v>3</v>
      </c>
      <c r="B150" s="39" t="s">
        <v>216</v>
      </c>
      <c r="C150" s="39" t="s">
        <v>209</v>
      </c>
      <c r="D150" s="47">
        <f>(57.09)*(10.764)</f>
        <v>614.51675999999998</v>
      </c>
      <c r="E150" s="39">
        <v>0</v>
      </c>
      <c r="F150" s="39">
        <f>D150*(($F$123)+1)+(IF(E150&lt;101,E150,IF(E150&lt;201,E150/2,IF(E150&lt;=301,E150/3,E150/4))))</f>
        <v>921.77513999999996</v>
      </c>
      <c r="G150" s="75"/>
      <c r="H150" s="76"/>
      <c r="I150" s="33"/>
    </row>
    <row r="151" spans="1:9" s="34" customFormat="1" ht="15.75" customHeight="1" x14ac:dyDescent="0.35">
      <c r="A151" s="39">
        <f t="shared" si="14"/>
        <v>4</v>
      </c>
      <c r="B151" s="39" t="s">
        <v>217</v>
      </c>
      <c r="C151" s="73" t="s">
        <v>210</v>
      </c>
      <c r="D151" s="169"/>
      <c r="E151" s="169"/>
      <c r="F151" s="74"/>
      <c r="G151" s="75"/>
      <c r="H151" s="76"/>
      <c r="I151" s="33"/>
    </row>
    <row r="152" spans="1:9" s="34" customFormat="1" ht="15.75" customHeight="1" x14ac:dyDescent="0.35">
      <c r="A152" s="39">
        <f t="shared" si="14"/>
        <v>5</v>
      </c>
      <c r="B152" s="39" t="s">
        <v>217</v>
      </c>
      <c r="C152" s="77"/>
      <c r="D152" s="170"/>
      <c r="E152" s="170"/>
      <c r="F152" s="78"/>
      <c r="G152" s="75"/>
      <c r="H152" s="76"/>
      <c r="I152" s="33"/>
    </row>
    <row r="153" spans="1:9" s="34" customFormat="1" ht="15.75" customHeight="1" x14ac:dyDescent="0.35">
      <c r="A153" s="39">
        <f t="shared" si="14"/>
        <v>6</v>
      </c>
      <c r="B153" s="39" t="s">
        <v>216</v>
      </c>
      <c r="C153" s="39" t="s">
        <v>209</v>
      </c>
      <c r="D153" s="47">
        <f>(57.42)*(10.764)</f>
        <v>618.06888000000004</v>
      </c>
      <c r="E153" s="39">
        <v>0</v>
      </c>
      <c r="F153" s="39">
        <f>D153*(($F$123)+1)+(IF(E153&lt;101,E153,IF(E153&lt;201,E153/2,IF(E153&lt;=301,E153/3,E153/4))))</f>
        <v>927.10332000000005</v>
      </c>
      <c r="G153" s="77"/>
      <c r="H153" s="78"/>
      <c r="I153" s="33"/>
    </row>
    <row r="154" spans="1:9" s="34" customFormat="1" ht="15.75" customHeight="1" x14ac:dyDescent="0.35">
      <c r="A154" s="91" t="s">
        <v>219</v>
      </c>
      <c r="B154" s="91"/>
      <c r="C154" s="91"/>
      <c r="D154" s="91"/>
      <c r="E154" s="91"/>
      <c r="F154" s="91"/>
      <c r="G154" s="91"/>
      <c r="H154" s="91"/>
      <c r="I154" s="33"/>
    </row>
    <row r="155" spans="1:9" s="34" customFormat="1" ht="15.75" customHeight="1" x14ac:dyDescent="0.35">
      <c r="A155" s="52">
        <v>1</v>
      </c>
      <c r="B155" s="52" t="s">
        <v>216</v>
      </c>
      <c r="C155" s="52" t="s">
        <v>209</v>
      </c>
      <c r="D155" s="47">
        <f>(59.22)*(10.764)</f>
        <v>637.44407999999999</v>
      </c>
      <c r="E155" s="52">
        <v>0</v>
      </c>
      <c r="F155" s="52">
        <f t="shared" ref="F155:F160" si="15">D155*(($F$123)+1)+(IF(E155&lt;101,E155,IF(E155&lt;201,E155/2,IF(E155&lt;=301,E155/3,E155/4))))</f>
        <v>956.16611999999998</v>
      </c>
      <c r="G155" s="71" t="str">
        <f>A154</f>
        <v>10th Floor</v>
      </c>
      <c r="H155" s="71"/>
      <c r="I155" s="33"/>
    </row>
    <row r="156" spans="1:9" s="34" customFormat="1" ht="15.75" customHeight="1" x14ac:dyDescent="0.35">
      <c r="A156" s="52">
        <f>A155+1</f>
        <v>2</v>
      </c>
      <c r="B156" s="52" t="s">
        <v>216</v>
      </c>
      <c r="C156" s="52" t="s">
        <v>209</v>
      </c>
      <c r="D156" s="47">
        <f>(58.13)*(10.764)</f>
        <v>625.71132</v>
      </c>
      <c r="E156" s="52">
        <v>0</v>
      </c>
      <c r="F156" s="52">
        <f t="shared" si="15"/>
        <v>938.56698000000006</v>
      </c>
      <c r="G156" s="71"/>
      <c r="H156" s="71"/>
      <c r="I156" s="33"/>
    </row>
    <row r="157" spans="1:9" s="34" customFormat="1" ht="15.75" customHeight="1" x14ac:dyDescent="0.35">
      <c r="A157" s="52">
        <f t="shared" ref="A157:A160" si="16">A156+1</f>
        <v>3</v>
      </c>
      <c r="B157" s="52" t="s">
        <v>216</v>
      </c>
      <c r="C157" s="52" t="s">
        <v>209</v>
      </c>
      <c r="D157" s="47">
        <f>(57.09)*(10.764)</f>
        <v>614.51675999999998</v>
      </c>
      <c r="E157" s="52">
        <v>0</v>
      </c>
      <c r="F157" s="52">
        <f t="shared" si="15"/>
        <v>921.77513999999996</v>
      </c>
      <c r="G157" s="71"/>
      <c r="H157" s="71"/>
      <c r="I157" s="33"/>
    </row>
    <row r="158" spans="1:9" s="34" customFormat="1" ht="15.75" customHeight="1" x14ac:dyDescent="0.35">
      <c r="A158" s="52">
        <f t="shared" si="16"/>
        <v>4</v>
      </c>
      <c r="B158" s="52" t="s">
        <v>216</v>
      </c>
      <c r="C158" s="52" t="s">
        <v>209</v>
      </c>
      <c r="D158" s="47">
        <f>(57.89)*(10.764)</f>
        <v>623.12795999999992</v>
      </c>
      <c r="E158" s="52">
        <v>0</v>
      </c>
      <c r="F158" s="52">
        <f t="shared" si="15"/>
        <v>934.69193999999993</v>
      </c>
      <c r="G158" s="71"/>
      <c r="H158" s="71"/>
      <c r="I158" s="46">
        <f>3.05*6.4+1.1*4.45+1.3*1.25+2.1*1.35+3.2*3.1+3.1*3.15+2.15*1.3+3.1*2.1</f>
        <v>57.865000000000002</v>
      </c>
    </row>
    <row r="159" spans="1:9" s="34" customFormat="1" ht="15.75" customHeight="1" x14ac:dyDescent="0.35">
      <c r="A159" s="52">
        <f t="shared" si="16"/>
        <v>5</v>
      </c>
      <c r="B159" s="52" t="s">
        <v>216</v>
      </c>
      <c r="C159" s="52" t="s">
        <v>209</v>
      </c>
      <c r="D159" s="47">
        <f>(59.29)*(10.764)</f>
        <v>638.19755999999995</v>
      </c>
      <c r="E159" s="52">
        <v>0</v>
      </c>
      <c r="F159" s="52">
        <f t="shared" si="15"/>
        <v>957.29633999999987</v>
      </c>
      <c r="G159" s="71"/>
      <c r="H159" s="71"/>
      <c r="I159" s="33"/>
    </row>
    <row r="160" spans="1:9" s="34" customFormat="1" ht="15.75" customHeight="1" x14ac:dyDescent="0.35">
      <c r="A160" s="52">
        <f t="shared" si="16"/>
        <v>6</v>
      </c>
      <c r="B160" s="52" t="s">
        <v>216</v>
      </c>
      <c r="C160" s="52" t="s">
        <v>209</v>
      </c>
      <c r="D160" s="47">
        <f>(57.42)*(10.764)</f>
        <v>618.06888000000004</v>
      </c>
      <c r="E160" s="52">
        <v>0</v>
      </c>
      <c r="F160" s="52">
        <f t="shared" si="15"/>
        <v>927.10332000000005</v>
      </c>
      <c r="G160" s="71"/>
      <c r="H160" s="71"/>
      <c r="I160" s="33"/>
    </row>
    <row r="161" spans="1:9" s="34" customFormat="1" ht="15.75" customHeight="1" x14ac:dyDescent="0.35">
      <c r="A161" s="64" t="s">
        <v>218</v>
      </c>
      <c r="B161" s="65"/>
      <c r="C161" s="65"/>
      <c r="D161" s="65"/>
      <c r="E161" s="65"/>
      <c r="F161" s="65"/>
      <c r="G161" s="65"/>
      <c r="H161" s="66"/>
      <c r="I161" s="33"/>
    </row>
    <row r="162" spans="1:9" s="34" customFormat="1" ht="15.75" customHeight="1" x14ac:dyDescent="0.35">
      <c r="A162" s="39">
        <v>1</v>
      </c>
      <c r="B162" s="39" t="s">
        <v>220</v>
      </c>
      <c r="C162" s="39" t="s">
        <v>209</v>
      </c>
      <c r="D162" s="47">
        <f>(59.22)*(10.764)</f>
        <v>637.44407999999999</v>
      </c>
      <c r="E162" s="39">
        <v>0</v>
      </c>
      <c r="F162" s="39">
        <f t="shared" ref="F162:F167" si="17">D162*(($F$123)+1)+(IF(E162&lt;101,E162,IF(E162&lt;201,E162/2,IF(E162&lt;=301,E162/3,E162/4))))</f>
        <v>956.16611999999998</v>
      </c>
      <c r="G162" s="73" t="str">
        <f>A161</f>
        <v>11th to 14th &amp; 16th to 18th Floor</v>
      </c>
      <c r="H162" s="74"/>
      <c r="I162" s="33"/>
    </row>
    <row r="163" spans="1:9" s="34" customFormat="1" ht="15.75" customHeight="1" x14ac:dyDescent="0.35">
      <c r="A163" s="39">
        <f>A162+1</f>
        <v>2</v>
      </c>
      <c r="B163" s="39" t="s">
        <v>220</v>
      </c>
      <c r="C163" s="39" t="s">
        <v>209</v>
      </c>
      <c r="D163" s="47">
        <f>(58.13)*(10.764)</f>
        <v>625.71132</v>
      </c>
      <c r="E163" s="39">
        <v>0</v>
      </c>
      <c r="F163" s="39">
        <f t="shared" si="17"/>
        <v>938.56698000000006</v>
      </c>
      <c r="G163" s="75"/>
      <c r="H163" s="76"/>
      <c r="I163" s="33"/>
    </row>
    <row r="164" spans="1:9" s="34" customFormat="1" ht="15.75" customHeight="1" x14ac:dyDescent="0.35">
      <c r="A164" s="39">
        <f t="shared" ref="A164:A167" si="18">A163+1</f>
        <v>3</v>
      </c>
      <c r="B164" s="39" t="s">
        <v>220</v>
      </c>
      <c r="C164" s="39" t="s">
        <v>209</v>
      </c>
      <c r="D164" s="47">
        <f>(57.09)*(10.764)</f>
        <v>614.51675999999998</v>
      </c>
      <c r="E164" s="39">
        <v>0</v>
      </c>
      <c r="F164" s="39">
        <f t="shared" si="17"/>
        <v>921.77513999999996</v>
      </c>
      <c r="G164" s="75"/>
      <c r="H164" s="76"/>
      <c r="I164" s="33"/>
    </row>
    <row r="165" spans="1:9" s="34" customFormat="1" ht="15.75" customHeight="1" x14ac:dyDescent="0.35">
      <c r="A165" s="39">
        <f t="shared" si="18"/>
        <v>4</v>
      </c>
      <c r="B165" s="39" t="s">
        <v>220</v>
      </c>
      <c r="C165" s="39" t="s">
        <v>209</v>
      </c>
      <c r="D165" s="47">
        <f>(57.89)*(10.764)</f>
        <v>623.12795999999992</v>
      </c>
      <c r="E165" s="39">
        <v>0</v>
      </c>
      <c r="F165" s="39">
        <f t="shared" si="17"/>
        <v>934.69193999999993</v>
      </c>
      <c r="G165" s="75"/>
      <c r="H165" s="76"/>
      <c r="I165" s="46">
        <f>3.05*6.4+1.1*4.45+1.3*1.25+2.1*1.35+3.2*3.1+3.1*3.15+2.15*1.3+3.1*2.1</f>
        <v>57.865000000000002</v>
      </c>
    </row>
    <row r="166" spans="1:9" s="34" customFormat="1" ht="15.75" customHeight="1" x14ac:dyDescent="0.35">
      <c r="A166" s="39">
        <f t="shared" si="18"/>
        <v>5</v>
      </c>
      <c r="B166" s="39" t="s">
        <v>220</v>
      </c>
      <c r="C166" s="39" t="s">
        <v>209</v>
      </c>
      <c r="D166" s="47">
        <f>(59.29)*(10.764)</f>
        <v>638.19755999999995</v>
      </c>
      <c r="E166" s="39">
        <v>0</v>
      </c>
      <c r="F166" s="39">
        <f t="shared" si="17"/>
        <v>957.29633999999987</v>
      </c>
      <c r="G166" s="75"/>
      <c r="H166" s="76"/>
      <c r="I166" s="33"/>
    </row>
    <row r="167" spans="1:9" s="34" customFormat="1" ht="15.75" customHeight="1" x14ac:dyDescent="0.35">
      <c r="A167" s="39">
        <f t="shared" si="18"/>
        <v>6</v>
      </c>
      <c r="B167" s="39" t="s">
        <v>220</v>
      </c>
      <c r="C167" s="39" t="s">
        <v>209</v>
      </c>
      <c r="D167" s="47">
        <f>(57.42)*(10.764)</f>
        <v>618.06888000000004</v>
      </c>
      <c r="E167" s="39">
        <v>0</v>
      </c>
      <c r="F167" s="39">
        <f t="shared" si="17"/>
        <v>927.10332000000005</v>
      </c>
      <c r="G167" s="77"/>
      <c r="H167" s="78"/>
      <c r="I167" s="33"/>
    </row>
    <row r="168" spans="1:9" s="34" customFormat="1" x14ac:dyDescent="0.35">
      <c r="A168" s="64" t="s">
        <v>212</v>
      </c>
      <c r="B168" s="65"/>
      <c r="C168" s="65"/>
      <c r="D168" s="65"/>
      <c r="E168" s="65"/>
      <c r="F168" s="65"/>
      <c r="G168" s="65"/>
      <c r="H168" s="66"/>
      <c r="I168" s="33"/>
    </row>
    <row r="169" spans="1:9" s="34" customFormat="1" x14ac:dyDescent="0.35">
      <c r="A169" s="39">
        <v>1</v>
      </c>
      <c r="B169" s="39" t="s">
        <v>220</v>
      </c>
      <c r="C169" s="39" t="s">
        <v>209</v>
      </c>
      <c r="D169" s="47">
        <f>(59.22)*(10.764)</f>
        <v>637.44407999999999</v>
      </c>
      <c r="E169" s="39">
        <v>0</v>
      </c>
      <c r="F169" s="39">
        <f t="shared" ref="F169:F174" si="19">D169*(($F$123)+1)+(IF(E169&lt;101,E169,IF(E169&lt;201,E169/2,IF(E169&lt;=301,E169/3,E169/4))))</f>
        <v>956.16611999999998</v>
      </c>
      <c r="G169" s="73" t="str">
        <f>A168</f>
        <v>15th Floor (Part Refuge Area)</v>
      </c>
      <c r="H169" s="74"/>
      <c r="I169" s="33"/>
    </row>
    <row r="170" spans="1:9" s="34" customFormat="1" x14ac:dyDescent="0.35">
      <c r="A170" s="39">
        <f>A169+1</f>
        <v>2</v>
      </c>
      <c r="B170" s="39" t="s">
        <v>220</v>
      </c>
      <c r="C170" s="39" t="s">
        <v>209</v>
      </c>
      <c r="D170" s="47">
        <f>(58.13)*(10.764)</f>
        <v>625.71132</v>
      </c>
      <c r="E170" s="39">
        <v>0</v>
      </c>
      <c r="F170" s="39">
        <f t="shared" si="19"/>
        <v>938.56698000000006</v>
      </c>
      <c r="G170" s="75"/>
      <c r="H170" s="76"/>
      <c r="I170" s="33"/>
    </row>
    <row r="171" spans="1:9" s="34" customFormat="1" x14ac:dyDescent="0.35">
      <c r="A171" s="39">
        <f t="shared" ref="A171:A172" si="20">A170+1</f>
        <v>3</v>
      </c>
      <c r="B171" s="39" t="s">
        <v>220</v>
      </c>
      <c r="C171" s="39" t="s">
        <v>209</v>
      </c>
      <c r="D171" s="47">
        <f>(57.09)*(10.764)</f>
        <v>614.51675999999998</v>
      </c>
      <c r="E171" s="39">
        <v>0</v>
      </c>
      <c r="F171" s="39">
        <f t="shared" si="19"/>
        <v>921.77513999999996</v>
      </c>
      <c r="G171" s="75"/>
      <c r="H171" s="76"/>
      <c r="I171" s="33"/>
    </row>
    <row r="172" spans="1:9" s="34" customFormat="1" x14ac:dyDescent="0.35">
      <c r="A172" s="39">
        <f t="shared" si="20"/>
        <v>4</v>
      </c>
      <c r="B172" s="39" t="s">
        <v>217</v>
      </c>
      <c r="C172" s="73" t="s">
        <v>210</v>
      </c>
      <c r="D172" s="169"/>
      <c r="E172" s="169">
        <v>0</v>
      </c>
      <c r="F172" s="74">
        <f t="shared" si="19"/>
        <v>0</v>
      </c>
      <c r="G172" s="75"/>
      <c r="H172" s="76"/>
      <c r="I172" s="33"/>
    </row>
    <row r="173" spans="1:9" s="34" customFormat="1" x14ac:dyDescent="0.35">
      <c r="A173" s="39">
        <f t="shared" ref="A173:A174" si="21">A172+1</f>
        <v>5</v>
      </c>
      <c r="B173" s="39" t="s">
        <v>217</v>
      </c>
      <c r="C173" s="77"/>
      <c r="D173" s="170"/>
      <c r="E173" s="170">
        <v>0</v>
      </c>
      <c r="F173" s="78">
        <f t="shared" si="19"/>
        <v>0</v>
      </c>
      <c r="G173" s="75"/>
      <c r="H173" s="76"/>
      <c r="I173" s="33"/>
    </row>
    <row r="174" spans="1:9" s="34" customFormat="1" x14ac:dyDescent="0.35">
      <c r="A174" s="39">
        <f t="shared" si="21"/>
        <v>6</v>
      </c>
      <c r="B174" s="39" t="s">
        <v>220</v>
      </c>
      <c r="C174" s="39" t="s">
        <v>209</v>
      </c>
      <c r="D174" s="47">
        <f>(57.42)*(10.764)</f>
        <v>618.06888000000004</v>
      </c>
      <c r="E174" s="39">
        <v>0</v>
      </c>
      <c r="F174" s="39">
        <f t="shared" si="19"/>
        <v>927.10332000000005</v>
      </c>
      <c r="G174" s="77"/>
      <c r="H174" s="78"/>
      <c r="I174" s="33"/>
    </row>
    <row r="175" spans="1:9" s="34" customFormat="1" x14ac:dyDescent="0.35">
      <c r="A175" s="64" t="s">
        <v>207</v>
      </c>
      <c r="B175" s="65"/>
      <c r="C175" s="65"/>
      <c r="D175" s="65"/>
      <c r="E175" s="65"/>
      <c r="F175" s="65"/>
      <c r="G175" s="65"/>
      <c r="H175" s="66"/>
      <c r="I175" s="33"/>
    </row>
    <row r="176" spans="1:9" s="34" customFormat="1" x14ac:dyDescent="0.35">
      <c r="A176" s="39">
        <v>1</v>
      </c>
      <c r="B176" s="39" t="s">
        <v>220</v>
      </c>
      <c r="C176" s="39" t="s">
        <v>209</v>
      </c>
      <c r="D176" s="47">
        <f>(59.22)*(10.764)</f>
        <v>637.44407999999999</v>
      </c>
      <c r="E176" s="39">
        <v>0</v>
      </c>
      <c r="F176" s="39">
        <f t="shared" ref="F176:F181" si="22">D176*(($F$123)+1)+(IF(E176&lt;101,E176,IF(E176&lt;201,E176/2,IF(E176&lt;=301,E176/3,E176/4))))</f>
        <v>956.16611999999998</v>
      </c>
      <c r="G176" s="73" t="str">
        <f>A175</f>
        <v>19th to 21st, 23rd &amp; 24th Floor</v>
      </c>
      <c r="H176" s="74"/>
      <c r="I176" s="33"/>
    </row>
    <row r="177" spans="1:9" s="34" customFormat="1" x14ac:dyDescent="0.35">
      <c r="A177" s="39">
        <f>A176+1</f>
        <v>2</v>
      </c>
      <c r="B177" s="39" t="s">
        <v>220</v>
      </c>
      <c r="C177" s="39" t="s">
        <v>209</v>
      </c>
      <c r="D177" s="47">
        <f>(58.13)*(10.764)</f>
        <v>625.71132</v>
      </c>
      <c r="E177" s="39">
        <v>0</v>
      </c>
      <c r="F177" s="39">
        <f t="shared" si="22"/>
        <v>938.56698000000006</v>
      </c>
      <c r="G177" s="75"/>
      <c r="H177" s="76"/>
      <c r="I177" s="33"/>
    </row>
    <row r="178" spans="1:9" s="34" customFormat="1" x14ac:dyDescent="0.35">
      <c r="A178" s="39">
        <f t="shared" ref="A178:A181" si="23">A177+1</f>
        <v>3</v>
      </c>
      <c r="B178" s="39" t="s">
        <v>220</v>
      </c>
      <c r="C178" s="39" t="s">
        <v>209</v>
      </c>
      <c r="D178" s="47">
        <f>(57.09)*(10.764)</f>
        <v>614.51675999999998</v>
      </c>
      <c r="E178" s="39">
        <v>0</v>
      </c>
      <c r="F178" s="39">
        <f t="shared" si="22"/>
        <v>921.77513999999996</v>
      </c>
      <c r="G178" s="75"/>
      <c r="H178" s="76"/>
      <c r="I178" s="33"/>
    </row>
    <row r="179" spans="1:9" s="34" customFormat="1" x14ac:dyDescent="0.35">
      <c r="A179" s="39">
        <f t="shared" si="23"/>
        <v>4</v>
      </c>
      <c r="B179" s="39" t="s">
        <v>220</v>
      </c>
      <c r="C179" s="39" t="s">
        <v>209</v>
      </c>
      <c r="D179" s="47">
        <f>(57.89)*(10.764)</f>
        <v>623.12795999999992</v>
      </c>
      <c r="E179" s="39">
        <v>0</v>
      </c>
      <c r="F179" s="39">
        <f t="shared" si="22"/>
        <v>934.69193999999993</v>
      </c>
      <c r="G179" s="75"/>
      <c r="H179" s="76"/>
      <c r="I179" s="46">
        <f>3.05*6.4+1.1*4.45+1.3*1.25+2.1*1.35+3.2*3.1+3.1*3.15+2.15*1.3+3.1*2.1</f>
        <v>57.865000000000002</v>
      </c>
    </row>
    <row r="180" spans="1:9" s="34" customFormat="1" x14ac:dyDescent="0.35">
      <c r="A180" s="39">
        <f t="shared" si="23"/>
        <v>5</v>
      </c>
      <c r="B180" s="39" t="s">
        <v>220</v>
      </c>
      <c r="C180" s="39" t="s">
        <v>209</v>
      </c>
      <c r="D180" s="47">
        <f>(59.29)*(10.764)</f>
        <v>638.19755999999995</v>
      </c>
      <c r="E180" s="39">
        <v>0</v>
      </c>
      <c r="F180" s="39">
        <f t="shared" si="22"/>
        <v>957.29633999999987</v>
      </c>
      <c r="G180" s="75"/>
      <c r="H180" s="76"/>
      <c r="I180" s="33"/>
    </row>
    <row r="181" spans="1:9" s="34" customFormat="1" x14ac:dyDescent="0.35">
      <c r="A181" s="39">
        <f t="shared" si="23"/>
        <v>6</v>
      </c>
      <c r="B181" s="39" t="s">
        <v>220</v>
      </c>
      <c r="C181" s="39" t="s">
        <v>209</v>
      </c>
      <c r="D181" s="47">
        <f>(57.42)*(10.764)</f>
        <v>618.06888000000004</v>
      </c>
      <c r="E181" s="39">
        <v>0</v>
      </c>
      <c r="F181" s="39">
        <f t="shared" si="22"/>
        <v>927.10332000000005</v>
      </c>
      <c r="G181" s="77"/>
      <c r="H181" s="78"/>
      <c r="I181" s="33"/>
    </row>
    <row r="182" spans="1:9" s="34" customFormat="1" x14ac:dyDescent="0.35">
      <c r="A182" s="64" t="s">
        <v>213</v>
      </c>
      <c r="B182" s="65"/>
      <c r="C182" s="65"/>
      <c r="D182" s="65"/>
      <c r="E182" s="65"/>
      <c r="F182" s="65"/>
      <c r="G182" s="65"/>
      <c r="H182" s="66"/>
      <c r="I182" s="33"/>
    </row>
    <row r="183" spans="1:9" s="34" customFormat="1" x14ac:dyDescent="0.35">
      <c r="A183" s="39">
        <v>1</v>
      </c>
      <c r="B183" s="39" t="s">
        <v>220</v>
      </c>
      <c r="C183" s="39" t="s">
        <v>209</v>
      </c>
      <c r="D183" s="47">
        <f>(59.22)*(10.764)</f>
        <v>637.44407999999999</v>
      </c>
      <c r="E183" s="39">
        <v>0</v>
      </c>
      <c r="F183" s="39">
        <f>D183*(($F$123)+1)+(IF(E183&lt;101,E183,IF(E183&lt;201,E183/2,IF(E183&lt;=301,E183/3,E183/4))))</f>
        <v>956.16611999999998</v>
      </c>
      <c r="G183" s="73" t="str">
        <f>A182</f>
        <v>22nd Floor (Part Refuge Area)</v>
      </c>
      <c r="H183" s="74"/>
      <c r="I183" s="33"/>
    </row>
    <row r="184" spans="1:9" s="34" customFormat="1" x14ac:dyDescent="0.35">
      <c r="A184" s="39">
        <f>A183+1</f>
        <v>2</v>
      </c>
      <c r="B184" s="39" t="s">
        <v>220</v>
      </c>
      <c r="C184" s="39" t="s">
        <v>209</v>
      </c>
      <c r="D184" s="47">
        <f>(58.13)*(10.764)</f>
        <v>625.71132</v>
      </c>
      <c r="E184" s="39">
        <v>0</v>
      </c>
      <c r="F184" s="39">
        <f>D184*(($F$123)+1)+(IF(E184&lt;101,E184,IF(E184&lt;201,E184/2,IF(E184&lt;=301,E184/3,E184/4))))</f>
        <v>938.56698000000006</v>
      </c>
      <c r="G184" s="75"/>
      <c r="H184" s="76"/>
      <c r="I184" s="33"/>
    </row>
    <row r="185" spans="1:9" s="34" customFormat="1" x14ac:dyDescent="0.35">
      <c r="A185" s="39">
        <f t="shared" ref="A185:A186" si="24">A184+1</f>
        <v>3</v>
      </c>
      <c r="B185" s="39" t="s">
        <v>220</v>
      </c>
      <c r="C185" s="39" t="s">
        <v>209</v>
      </c>
      <c r="D185" s="47">
        <f>(57.09)*(10.764)</f>
        <v>614.51675999999998</v>
      </c>
      <c r="E185" s="39">
        <v>0</v>
      </c>
      <c r="F185" s="39">
        <f>D185*(($F$123)+1)+(IF(E185&lt;101,E185,IF(E185&lt;201,E185/2,IF(E185&lt;=301,E185/3,E185/4))))</f>
        <v>921.77513999999996</v>
      </c>
      <c r="G185" s="75"/>
      <c r="H185" s="76"/>
      <c r="I185" s="33"/>
    </row>
    <row r="186" spans="1:9" s="34" customFormat="1" x14ac:dyDescent="0.35">
      <c r="A186" s="39">
        <f t="shared" si="24"/>
        <v>4</v>
      </c>
      <c r="B186" s="39" t="s">
        <v>217</v>
      </c>
      <c r="C186" s="73" t="s">
        <v>210</v>
      </c>
      <c r="D186" s="169"/>
      <c r="E186" s="169"/>
      <c r="F186" s="74"/>
      <c r="G186" s="75"/>
      <c r="H186" s="76"/>
      <c r="I186" s="33"/>
    </row>
    <row r="187" spans="1:9" s="34" customFormat="1" x14ac:dyDescent="0.35">
      <c r="A187" s="39">
        <f t="shared" ref="A187:A188" si="25">A186+1</f>
        <v>5</v>
      </c>
      <c r="B187" s="39" t="s">
        <v>217</v>
      </c>
      <c r="C187" s="77"/>
      <c r="D187" s="170"/>
      <c r="E187" s="170"/>
      <c r="F187" s="78"/>
      <c r="G187" s="75"/>
      <c r="H187" s="76"/>
      <c r="I187" s="33"/>
    </row>
    <row r="188" spans="1:9" s="34" customFormat="1" x14ac:dyDescent="0.35">
      <c r="A188" s="39">
        <f t="shared" si="25"/>
        <v>6</v>
      </c>
      <c r="B188" s="39" t="s">
        <v>220</v>
      </c>
      <c r="C188" s="39" t="s">
        <v>209</v>
      </c>
      <c r="D188" s="47">
        <f>(57.42)*(10.764)</f>
        <v>618.06888000000004</v>
      </c>
      <c r="E188" s="39">
        <v>0</v>
      </c>
      <c r="F188" s="39">
        <f>D188*(($F$123)+1)+(IF(E188&lt;101,E188,IF(E188&lt;201,E188/2,IF(E188&lt;=301,E188/3,E188/4))))</f>
        <v>927.10332000000005</v>
      </c>
      <c r="G188" s="77"/>
      <c r="H188" s="78"/>
      <c r="I188" s="33"/>
    </row>
    <row r="189" spans="1:9" s="34" customFormat="1" x14ac:dyDescent="0.35">
      <c r="A189" s="91" t="s">
        <v>206</v>
      </c>
      <c r="B189" s="91"/>
      <c r="C189" s="91"/>
      <c r="D189" s="91"/>
      <c r="E189" s="91"/>
      <c r="F189" s="91"/>
      <c r="G189" s="91"/>
      <c r="H189" s="91"/>
      <c r="I189" s="33"/>
    </row>
    <row r="190" spans="1:9" s="34" customFormat="1" x14ac:dyDescent="0.35">
      <c r="A190" s="55">
        <v>1</v>
      </c>
      <c r="B190" s="55" t="s">
        <v>220</v>
      </c>
      <c r="C190" s="55" t="s">
        <v>209</v>
      </c>
      <c r="D190" s="47">
        <f>(59.22)*(10.764)</f>
        <v>637.44407999999999</v>
      </c>
      <c r="E190" s="55">
        <v>0</v>
      </c>
      <c r="F190" s="55">
        <f t="shared" ref="F190:F195" si="26">D190*(($F$123)+1)+(IF(E190&lt;101,E190,IF(E190&lt;201,E190/2,IF(E190&lt;=301,E190/3,E190/4))))</f>
        <v>956.16611999999998</v>
      </c>
      <c r="G190" s="71" t="str">
        <f>A189</f>
        <v>25th to 28th Floor</v>
      </c>
      <c r="H190" s="71"/>
      <c r="I190" s="33"/>
    </row>
    <row r="191" spans="1:9" s="34" customFormat="1" x14ac:dyDescent="0.35">
      <c r="A191" s="55">
        <f>A190+1</f>
        <v>2</v>
      </c>
      <c r="B191" s="55" t="s">
        <v>220</v>
      </c>
      <c r="C191" s="55" t="s">
        <v>209</v>
      </c>
      <c r="D191" s="47">
        <f>(58.13)*(10.764)</f>
        <v>625.71132</v>
      </c>
      <c r="E191" s="55">
        <v>0</v>
      </c>
      <c r="F191" s="55">
        <f t="shared" si="26"/>
        <v>938.56698000000006</v>
      </c>
      <c r="G191" s="71"/>
      <c r="H191" s="71"/>
      <c r="I191" s="33"/>
    </row>
    <row r="192" spans="1:9" s="34" customFormat="1" x14ac:dyDescent="0.35">
      <c r="A192" s="55">
        <f t="shared" ref="A192:A195" si="27">A191+1</f>
        <v>3</v>
      </c>
      <c r="B192" s="55" t="s">
        <v>220</v>
      </c>
      <c r="C192" s="55" t="s">
        <v>209</v>
      </c>
      <c r="D192" s="47">
        <f>(57.09)*(10.764)</f>
        <v>614.51675999999998</v>
      </c>
      <c r="E192" s="55">
        <v>0</v>
      </c>
      <c r="F192" s="55">
        <f t="shared" si="26"/>
        <v>921.77513999999996</v>
      </c>
      <c r="G192" s="71"/>
      <c r="H192" s="71"/>
      <c r="I192" s="33"/>
    </row>
    <row r="193" spans="1:9" s="34" customFormat="1" x14ac:dyDescent="0.35">
      <c r="A193" s="55">
        <f t="shared" si="27"/>
        <v>4</v>
      </c>
      <c r="B193" s="55" t="s">
        <v>220</v>
      </c>
      <c r="C193" s="55" t="s">
        <v>209</v>
      </c>
      <c r="D193" s="47">
        <f>(57.89)*(10.764)</f>
        <v>623.12795999999992</v>
      </c>
      <c r="E193" s="55">
        <v>0</v>
      </c>
      <c r="F193" s="55">
        <f t="shared" si="26"/>
        <v>934.69193999999993</v>
      </c>
      <c r="G193" s="71"/>
      <c r="H193" s="71"/>
      <c r="I193" s="46">
        <f>3.05*6.4+1.1*4.45+1.3*1.25+2.1*1.35+3.2*3.1+3.1*3.15+2.15*1.3+3.1*2.1</f>
        <v>57.865000000000002</v>
      </c>
    </row>
    <row r="194" spans="1:9" s="34" customFormat="1" x14ac:dyDescent="0.35">
      <c r="A194" s="55">
        <f t="shared" si="27"/>
        <v>5</v>
      </c>
      <c r="B194" s="55" t="s">
        <v>220</v>
      </c>
      <c r="C194" s="55" t="s">
        <v>209</v>
      </c>
      <c r="D194" s="47">
        <f>(59.29)*(10.764)</f>
        <v>638.19755999999995</v>
      </c>
      <c r="E194" s="55">
        <v>0</v>
      </c>
      <c r="F194" s="55">
        <f t="shared" si="26"/>
        <v>957.29633999999987</v>
      </c>
      <c r="G194" s="71"/>
      <c r="H194" s="71"/>
      <c r="I194" s="33"/>
    </row>
    <row r="195" spans="1:9" s="34" customFormat="1" x14ac:dyDescent="0.35">
      <c r="A195" s="55">
        <f t="shared" si="27"/>
        <v>6</v>
      </c>
      <c r="B195" s="55" t="s">
        <v>220</v>
      </c>
      <c r="C195" s="55" t="s">
        <v>209</v>
      </c>
      <c r="D195" s="47">
        <f>(57.42)*(10.764)</f>
        <v>618.06888000000004</v>
      </c>
      <c r="E195" s="55">
        <v>0</v>
      </c>
      <c r="F195" s="55">
        <f t="shared" si="26"/>
        <v>927.10332000000005</v>
      </c>
      <c r="G195" s="71"/>
      <c r="H195" s="71"/>
      <c r="I195" s="33"/>
    </row>
    <row r="196" spans="1:9" s="32" customFormat="1" x14ac:dyDescent="0.35">
      <c r="A196" s="72" t="s">
        <v>70</v>
      </c>
      <c r="B196" s="72"/>
      <c r="C196" s="72"/>
      <c r="D196" s="72"/>
      <c r="E196" s="72"/>
      <c r="F196" s="72"/>
      <c r="G196" s="72"/>
      <c r="H196" s="72"/>
    </row>
    <row r="197" spans="1:9" s="32" customFormat="1" x14ac:dyDescent="0.35">
      <c r="A197" s="56" t="s">
        <v>161</v>
      </c>
      <c r="B197" s="70" t="s">
        <v>234</v>
      </c>
      <c r="C197" s="70"/>
      <c r="D197" s="70"/>
      <c r="E197" s="70"/>
      <c r="F197" s="70"/>
      <c r="G197" s="70"/>
      <c r="H197" s="70"/>
    </row>
    <row r="198" spans="1:9" s="32" customFormat="1" x14ac:dyDescent="0.35">
      <c r="A198" s="56" t="s">
        <v>161</v>
      </c>
      <c r="B198" s="70" t="str">
        <f>(IF(F122="Saleable area Loading :","We have considered Saleable area of Flats as per our Calculation.","We considered Saleable area of Flat as per Builder area Sheet."))</f>
        <v>We have considered Saleable area of Flats as per our Calculation.</v>
      </c>
      <c r="C198" s="70"/>
      <c r="D198" s="70"/>
      <c r="E198" s="70"/>
      <c r="F198" s="70"/>
      <c r="G198" s="70"/>
      <c r="H198" s="70"/>
    </row>
    <row r="199" spans="1:9" s="32" customFormat="1" x14ac:dyDescent="0.35">
      <c r="A199" s="56" t="s">
        <v>161</v>
      </c>
      <c r="B199" s="70" t="str">
        <f>(IF(F108="Saleable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9" s="70"/>
      <c r="D199" s="70"/>
      <c r="E199" s="70"/>
      <c r="F199" s="70"/>
      <c r="G199" s="70"/>
      <c r="H199" s="70"/>
    </row>
    <row r="200" spans="1:9" s="32" customFormat="1" x14ac:dyDescent="0.35">
      <c r="A200" s="56" t="s">
        <v>161</v>
      </c>
      <c r="B200" s="79" t="s">
        <v>129</v>
      </c>
      <c r="C200" s="79"/>
      <c r="D200" s="79"/>
      <c r="E200" s="79"/>
      <c r="F200" s="79"/>
      <c r="G200" s="79"/>
      <c r="H200" s="79"/>
    </row>
    <row r="201" spans="1:9" s="32" customFormat="1" x14ac:dyDescent="0.35">
      <c r="A201" s="48" t="s">
        <v>161</v>
      </c>
      <c r="B201" s="79" t="s">
        <v>130</v>
      </c>
      <c r="C201" s="79"/>
      <c r="D201" s="79"/>
      <c r="E201" s="79"/>
      <c r="F201" s="79"/>
      <c r="G201" s="79"/>
      <c r="H201" s="79"/>
    </row>
    <row r="202" spans="1:9" s="32" customFormat="1" x14ac:dyDescent="0.35">
      <c r="A202" s="42" t="s">
        <v>161</v>
      </c>
      <c r="B202" s="67" t="s">
        <v>160</v>
      </c>
      <c r="C202" s="68"/>
      <c r="D202" s="68"/>
      <c r="E202" s="68"/>
      <c r="F202" s="68"/>
      <c r="G202" s="68"/>
      <c r="H202" s="69"/>
    </row>
    <row r="203" spans="1:9" s="32" customFormat="1" x14ac:dyDescent="0.35">
      <c r="A203" s="42" t="s">
        <v>161</v>
      </c>
      <c r="B203" s="67" t="s">
        <v>131</v>
      </c>
      <c r="C203" s="68"/>
      <c r="D203" s="68"/>
      <c r="E203" s="68"/>
      <c r="F203" s="68"/>
      <c r="G203" s="68"/>
      <c r="H203" s="69"/>
    </row>
    <row r="204" spans="1:9" s="32" customFormat="1" ht="34.5" customHeight="1" x14ac:dyDescent="0.35">
      <c r="A204" s="42" t="s">
        <v>161</v>
      </c>
      <c r="B204" s="67" t="s">
        <v>162</v>
      </c>
      <c r="C204" s="68"/>
      <c r="D204" s="68"/>
      <c r="E204" s="68"/>
      <c r="F204" s="68"/>
      <c r="G204" s="68"/>
      <c r="H204" s="69"/>
    </row>
    <row r="205" spans="1:9" s="32" customFormat="1" x14ac:dyDescent="0.35">
      <c r="A205" s="42" t="s">
        <v>161</v>
      </c>
      <c r="B205" s="67" t="s">
        <v>132</v>
      </c>
      <c r="C205" s="68"/>
      <c r="D205" s="68"/>
      <c r="E205" s="68"/>
      <c r="F205" s="68"/>
      <c r="G205" s="68"/>
      <c r="H205" s="69"/>
    </row>
    <row r="206" spans="1:9" s="32" customFormat="1" ht="33.75" customHeight="1" x14ac:dyDescent="0.35">
      <c r="A206" s="42" t="s">
        <v>161</v>
      </c>
      <c r="B206" s="67" t="s">
        <v>232</v>
      </c>
      <c r="C206" s="68"/>
      <c r="D206" s="68"/>
      <c r="E206" s="68"/>
      <c r="F206" s="68"/>
      <c r="G206" s="68"/>
      <c r="H206" s="69"/>
    </row>
    <row r="207" spans="1:9" s="32" customFormat="1" x14ac:dyDescent="0.35">
      <c r="A207" s="48" t="s">
        <v>161</v>
      </c>
      <c r="B207" s="67" t="s">
        <v>235</v>
      </c>
      <c r="C207" s="68"/>
      <c r="D207" s="68"/>
      <c r="E207" s="68"/>
      <c r="F207" s="68"/>
      <c r="G207" s="68"/>
      <c r="H207" s="69"/>
    </row>
    <row r="208" spans="1:9" s="32" customFormat="1" ht="33" customHeight="1" x14ac:dyDescent="0.35">
      <c r="A208" s="49" t="s">
        <v>161</v>
      </c>
      <c r="B208" s="67" t="s">
        <v>243</v>
      </c>
      <c r="C208" s="68"/>
      <c r="D208" s="68"/>
      <c r="E208" s="68"/>
      <c r="F208" s="68"/>
      <c r="G208" s="68"/>
      <c r="H208" s="69"/>
    </row>
    <row r="209" spans="1:8" x14ac:dyDescent="0.35">
      <c r="A209" s="155" t="s">
        <v>63</v>
      </c>
      <c r="B209" s="155"/>
      <c r="C209" s="155"/>
      <c r="D209" s="155"/>
      <c r="E209" s="155"/>
      <c r="F209" s="155"/>
      <c r="G209" s="155"/>
      <c r="H209" s="155"/>
    </row>
    <row r="210" spans="1:8" x14ac:dyDescent="0.35">
      <c r="A210" s="80" t="s">
        <v>64</v>
      </c>
      <c r="B210" s="80"/>
      <c r="C210" s="80"/>
      <c r="D210" s="80"/>
      <c r="E210" s="80"/>
      <c r="F210" s="80"/>
      <c r="G210" s="80"/>
      <c r="H210" s="80"/>
    </row>
    <row r="211" spans="1:8" ht="15.75" customHeight="1" x14ac:dyDescent="0.35">
      <c r="A211" s="168" t="s">
        <v>65</v>
      </c>
      <c r="B211" s="168"/>
      <c r="C211" s="168"/>
      <c r="D211" s="168"/>
      <c r="E211" s="168"/>
      <c r="F211" s="168"/>
      <c r="G211" s="168"/>
      <c r="H211" s="168"/>
    </row>
    <row r="212" spans="1:8" x14ac:dyDescent="0.35">
      <c r="A212" s="80" t="s">
        <v>66</v>
      </c>
      <c r="B212" s="80"/>
      <c r="C212" s="80"/>
      <c r="D212" s="80"/>
      <c r="E212" s="80"/>
      <c r="F212" s="80"/>
      <c r="G212" s="80"/>
      <c r="H212" s="80"/>
    </row>
    <row r="213" spans="1:8" x14ac:dyDescent="0.35">
      <c r="A213" s="80" t="s">
        <v>67</v>
      </c>
      <c r="B213" s="80"/>
      <c r="C213" s="80"/>
      <c r="D213" s="80"/>
      <c r="E213" s="80"/>
      <c r="F213" s="80"/>
      <c r="G213" s="80"/>
      <c r="H213" s="80"/>
    </row>
    <row r="214" spans="1:8" x14ac:dyDescent="0.35">
      <c r="A214" s="80" t="s">
        <v>133</v>
      </c>
      <c r="B214" s="80"/>
      <c r="C214" s="80"/>
      <c r="D214" s="80"/>
      <c r="E214" s="80"/>
      <c r="F214" s="80"/>
      <c r="G214" s="80"/>
      <c r="H214" s="80"/>
    </row>
    <row r="215" spans="1:8" x14ac:dyDescent="0.35">
      <c r="A215" s="147" t="s">
        <v>134</v>
      </c>
      <c r="B215" s="147"/>
      <c r="C215" s="147"/>
      <c r="D215" s="147"/>
      <c r="E215" s="147"/>
      <c r="F215" s="147"/>
      <c r="G215" s="147"/>
      <c r="H215" s="147"/>
    </row>
    <row r="216" spans="1:8" x14ac:dyDescent="0.35">
      <c r="A216" s="153" t="s">
        <v>80</v>
      </c>
      <c r="B216" s="153"/>
      <c r="C216" s="153" t="s">
        <v>240</v>
      </c>
      <c r="D216" s="153"/>
      <c r="E216" s="153" t="s">
        <v>109</v>
      </c>
      <c r="F216" s="153"/>
      <c r="G216" s="153" t="s">
        <v>236</v>
      </c>
      <c r="H216" s="153"/>
    </row>
    <row r="217" spans="1:8" x14ac:dyDescent="0.35">
      <c r="A217" s="152" t="s">
        <v>82</v>
      </c>
      <c r="B217" s="152"/>
      <c r="C217" s="152"/>
      <c r="D217" s="152"/>
      <c r="E217" s="152"/>
      <c r="F217" s="152"/>
      <c r="G217" s="152"/>
      <c r="H217" s="152"/>
    </row>
    <row r="218" spans="1:8" x14ac:dyDescent="0.35">
      <c r="A218" s="152"/>
      <c r="B218" s="152"/>
      <c r="C218" s="152"/>
      <c r="D218" s="152"/>
      <c r="E218" s="152"/>
      <c r="F218" s="152"/>
      <c r="G218" s="152"/>
      <c r="H218" s="152"/>
    </row>
    <row r="219" spans="1:8" x14ac:dyDescent="0.35">
      <c r="A219" s="152"/>
      <c r="B219" s="152"/>
      <c r="C219" s="152"/>
      <c r="D219" s="152"/>
      <c r="E219" s="152"/>
      <c r="F219" s="152"/>
      <c r="G219" s="152"/>
      <c r="H219" s="152"/>
    </row>
    <row r="220" spans="1:8" x14ac:dyDescent="0.35">
      <c r="A220" s="152"/>
      <c r="B220" s="152"/>
      <c r="C220" s="152"/>
      <c r="D220" s="152"/>
      <c r="E220" s="152"/>
      <c r="F220" s="152"/>
      <c r="G220" s="152"/>
      <c r="H220" s="152"/>
    </row>
    <row r="221" spans="1:8" x14ac:dyDescent="0.35">
      <c r="A221" s="35" t="s">
        <v>68</v>
      </c>
      <c r="B221" s="36"/>
      <c r="C221" s="36"/>
      <c r="D221" s="35" t="str">
        <f>E8</f>
        <v>Leo Tower</v>
      </c>
      <c r="F221" s="36"/>
      <c r="G221" s="36"/>
      <c r="H221" s="36"/>
    </row>
    <row r="222" spans="1:8" x14ac:dyDescent="0.35">
      <c r="A222" s="36"/>
      <c r="B222" s="36"/>
      <c r="C222" s="36"/>
      <c r="D222" s="36"/>
      <c r="E222" s="36"/>
      <c r="F222" s="36"/>
      <c r="G222" s="36"/>
      <c r="H222" s="36"/>
    </row>
    <row r="223" spans="1:8" x14ac:dyDescent="0.35">
      <c r="A223" s="36"/>
      <c r="B223" s="36"/>
      <c r="C223" s="36"/>
      <c r="D223" s="36"/>
      <c r="E223" s="36"/>
      <c r="F223" s="36"/>
      <c r="G223" s="36"/>
      <c r="H223" s="36"/>
    </row>
    <row r="224" spans="1:8" ht="15" customHeight="1" x14ac:dyDescent="0.35"/>
    <row r="263" spans="1:1" x14ac:dyDescent="0.35">
      <c r="A263" s="38" t="s">
        <v>174</v>
      </c>
    </row>
    <row r="305" spans="1:1" hidden="1" x14ac:dyDescent="0.35"/>
    <row r="306" spans="1:1" hidden="1" x14ac:dyDescent="0.35"/>
    <row r="307" spans="1:1" x14ac:dyDescent="0.35">
      <c r="A307" s="38" t="s">
        <v>69</v>
      </c>
    </row>
    <row r="349" hidden="1" x14ac:dyDescent="0.35"/>
    <row r="350" hidden="1" x14ac:dyDescent="0.35"/>
  </sheetData>
  <mergeCells count="318">
    <mergeCell ref="A214:H214"/>
    <mergeCell ref="A211:H211"/>
    <mergeCell ref="A101:B101"/>
    <mergeCell ref="D122:D123"/>
    <mergeCell ref="E122:E123"/>
    <mergeCell ref="G122:H123"/>
    <mergeCell ref="A77:B77"/>
    <mergeCell ref="F83:H83"/>
    <mergeCell ref="G98:H98"/>
    <mergeCell ref="C130:F131"/>
    <mergeCell ref="C151:F152"/>
    <mergeCell ref="C172:F173"/>
    <mergeCell ref="C186:F187"/>
    <mergeCell ref="A154:H154"/>
    <mergeCell ref="F90:H90"/>
    <mergeCell ref="C97:D97"/>
    <mergeCell ref="F93:H93"/>
    <mergeCell ref="F91:H91"/>
    <mergeCell ref="A107:H107"/>
    <mergeCell ref="G97:H97"/>
    <mergeCell ref="A92:E92"/>
    <mergeCell ref="C98:D98"/>
    <mergeCell ref="G190:H195"/>
    <mergeCell ref="B108:B109"/>
    <mergeCell ref="A62:C62"/>
    <mergeCell ref="D61:H61"/>
    <mergeCell ref="E98:F98"/>
    <mergeCell ref="B197:H197"/>
    <mergeCell ref="A56:H56"/>
    <mergeCell ref="A57:C57"/>
    <mergeCell ref="A58:C58"/>
    <mergeCell ref="D58:H58"/>
    <mergeCell ref="G55:H55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A120:B120"/>
    <mergeCell ref="E42:H42"/>
    <mergeCell ref="A42:D42"/>
    <mergeCell ref="A49:B49"/>
    <mergeCell ref="C49:E49"/>
    <mergeCell ref="C52:E52"/>
    <mergeCell ref="G52:H52"/>
    <mergeCell ref="G49:H49"/>
    <mergeCell ref="G51:H51"/>
    <mergeCell ref="D57:H57"/>
    <mergeCell ref="C51:E51"/>
    <mergeCell ref="A53:B54"/>
    <mergeCell ref="C53:E53"/>
    <mergeCell ref="G53:H53"/>
    <mergeCell ref="A210:H210"/>
    <mergeCell ref="E101:F101"/>
    <mergeCell ref="B205:H205"/>
    <mergeCell ref="A108:A109"/>
    <mergeCell ref="C122:C123"/>
    <mergeCell ref="C104:D104"/>
    <mergeCell ref="A126:H126"/>
    <mergeCell ref="A105:B105"/>
    <mergeCell ref="C105:D105"/>
    <mergeCell ref="E105:F105"/>
    <mergeCell ref="G105:H105"/>
    <mergeCell ref="C108:C109"/>
    <mergeCell ref="B122:B123"/>
    <mergeCell ref="A115:B115"/>
    <mergeCell ref="G169:H174"/>
    <mergeCell ref="A175:H175"/>
    <mergeCell ref="G176:H181"/>
    <mergeCell ref="G183:H188"/>
    <mergeCell ref="A10:D10"/>
    <mergeCell ref="E10:H10"/>
    <mergeCell ref="A22:D23"/>
    <mergeCell ref="E22:H23"/>
    <mergeCell ref="A147:H147"/>
    <mergeCell ref="G148:H153"/>
    <mergeCell ref="A217:H220"/>
    <mergeCell ref="A216:B216"/>
    <mergeCell ref="E216:F216"/>
    <mergeCell ref="C216:D216"/>
    <mergeCell ref="G216:H216"/>
    <mergeCell ref="A96:H96"/>
    <mergeCell ref="A94:E94"/>
    <mergeCell ref="F94:H94"/>
    <mergeCell ref="A95:E95"/>
    <mergeCell ref="F95:H95"/>
    <mergeCell ref="A133:H133"/>
    <mergeCell ref="A98:B98"/>
    <mergeCell ref="A212:H212"/>
    <mergeCell ref="A100:H100"/>
    <mergeCell ref="A215:H215"/>
    <mergeCell ref="A213:H213"/>
    <mergeCell ref="A209:H209"/>
    <mergeCell ref="B200:H20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F33:H33"/>
    <mergeCell ref="F34:H34"/>
    <mergeCell ref="A40:H40"/>
    <mergeCell ref="A61:C61"/>
    <mergeCell ref="F36:H36"/>
    <mergeCell ref="A38:B38"/>
    <mergeCell ref="C38:H38"/>
    <mergeCell ref="A46:D46"/>
    <mergeCell ref="A47:H47"/>
    <mergeCell ref="D59:H59"/>
    <mergeCell ref="A59:C59"/>
    <mergeCell ref="G50:H50"/>
    <mergeCell ref="A51:B52"/>
    <mergeCell ref="A60:C60"/>
    <mergeCell ref="D60:H60"/>
    <mergeCell ref="C50:E50"/>
    <mergeCell ref="A55:B55"/>
    <mergeCell ref="C55:E55"/>
    <mergeCell ref="A50:B50"/>
    <mergeCell ref="E72:F81"/>
    <mergeCell ref="G72:H81"/>
    <mergeCell ref="A80:B80"/>
    <mergeCell ref="A81:B81"/>
    <mergeCell ref="D62:H62"/>
    <mergeCell ref="A43:D43"/>
    <mergeCell ref="E43:H43"/>
    <mergeCell ref="E44:H44"/>
    <mergeCell ref="E45:H45"/>
    <mergeCell ref="E46:H46"/>
    <mergeCell ref="A44:D44"/>
    <mergeCell ref="A45:D45"/>
    <mergeCell ref="C54:E54"/>
    <mergeCell ref="G54:H54"/>
    <mergeCell ref="A78:B78"/>
    <mergeCell ref="A71:B71"/>
    <mergeCell ref="A74:B74"/>
    <mergeCell ref="A70:B70"/>
    <mergeCell ref="A68:B68"/>
    <mergeCell ref="C68:H68"/>
    <mergeCell ref="A76:B76"/>
    <mergeCell ref="A63:C63"/>
    <mergeCell ref="A79:B79"/>
    <mergeCell ref="G71:H71"/>
    <mergeCell ref="F89:H89"/>
    <mergeCell ref="A83:E83"/>
    <mergeCell ref="A111:H111"/>
    <mergeCell ref="E108:E109"/>
    <mergeCell ref="G108:H109"/>
    <mergeCell ref="F82:H82"/>
    <mergeCell ref="F87:H87"/>
    <mergeCell ref="A88:E88"/>
    <mergeCell ref="F88:H88"/>
    <mergeCell ref="A89:E89"/>
    <mergeCell ref="A91:E91"/>
    <mergeCell ref="F85:H85"/>
    <mergeCell ref="A90:E90"/>
    <mergeCell ref="A85:E85"/>
    <mergeCell ref="A82:E82"/>
    <mergeCell ref="F86:H86"/>
    <mergeCell ref="A106:H106"/>
    <mergeCell ref="F92:H92"/>
    <mergeCell ref="E97:F97"/>
    <mergeCell ref="A97:B97"/>
    <mergeCell ref="A87:E87"/>
    <mergeCell ref="A102:A103"/>
    <mergeCell ref="L119:M119"/>
    <mergeCell ref="L116:M116"/>
    <mergeCell ref="L117:M117"/>
    <mergeCell ref="L118:M118"/>
    <mergeCell ref="L131:M131"/>
    <mergeCell ref="L132:M132"/>
    <mergeCell ref="G127:H132"/>
    <mergeCell ref="L115:M115"/>
    <mergeCell ref="L114:M114"/>
    <mergeCell ref="L120:M120"/>
    <mergeCell ref="L130:M130"/>
    <mergeCell ref="L127:M127"/>
    <mergeCell ref="L128:M128"/>
    <mergeCell ref="L129:M129"/>
    <mergeCell ref="L113:M113"/>
    <mergeCell ref="L112:M112"/>
    <mergeCell ref="A93:E93"/>
    <mergeCell ref="G104:H104"/>
    <mergeCell ref="E99:F99"/>
    <mergeCell ref="G99:H99"/>
    <mergeCell ref="A99:B99"/>
    <mergeCell ref="C99:D99"/>
    <mergeCell ref="C103:D103"/>
    <mergeCell ref="E103:F103"/>
    <mergeCell ref="G103:H103"/>
    <mergeCell ref="C101:D101"/>
    <mergeCell ref="G101:H101"/>
    <mergeCell ref="A104:B104"/>
    <mergeCell ref="E104:F104"/>
    <mergeCell ref="C102:D102"/>
    <mergeCell ref="E102:F102"/>
    <mergeCell ref="G102:H102"/>
    <mergeCell ref="A39:B39"/>
    <mergeCell ref="C39:H39"/>
    <mergeCell ref="B204:H204"/>
    <mergeCell ref="A48:B48"/>
    <mergeCell ref="C48:H48"/>
    <mergeCell ref="B202:H202"/>
    <mergeCell ref="F84:H84"/>
    <mergeCell ref="A84:E84"/>
    <mergeCell ref="D108:D109"/>
    <mergeCell ref="A86:E86"/>
    <mergeCell ref="A112:B112"/>
    <mergeCell ref="A113:B113"/>
    <mergeCell ref="A114:B114"/>
    <mergeCell ref="A119:B119"/>
    <mergeCell ref="G112:H120"/>
    <mergeCell ref="A110:H110"/>
    <mergeCell ref="A116:B116"/>
    <mergeCell ref="A117:B117"/>
    <mergeCell ref="A118:B118"/>
    <mergeCell ref="A124:H124"/>
    <mergeCell ref="A125:H125"/>
    <mergeCell ref="A161:H161"/>
    <mergeCell ref="A189:H189"/>
    <mergeCell ref="G162:H167"/>
    <mergeCell ref="L133:M133"/>
    <mergeCell ref="A121:H121"/>
    <mergeCell ref="A122:A123"/>
    <mergeCell ref="A182:H182"/>
    <mergeCell ref="B208:H208"/>
    <mergeCell ref="B198:H198"/>
    <mergeCell ref="G155:H160"/>
    <mergeCell ref="A196:H196"/>
    <mergeCell ref="A168:H168"/>
    <mergeCell ref="A140:H140"/>
    <mergeCell ref="G134:H139"/>
    <mergeCell ref="G141:H146"/>
    <mergeCell ref="B207:H207"/>
    <mergeCell ref="B206:H206"/>
    <mergeCell ref="B203:H203"/>
    <mergeCell ref="B199:H199"/>
    <mergeCell ref="B201:H201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95" max="16383" man="1"/>
    <brk id="220" max="16383" man="1"/>
    <brk id="262" max="16383" man="1"/>
    <brk id="30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2" t="s">
        <v>110</v>
      </c>
      <c r="C3" s="172"/>
      <c r="D3" s="172"/>
      <c r="E3" s="172"/>
      <c r="F3" s="172"/>
      <c r="G3" s="172"/>
      <c r="H3" s="172"/>
    </row>
    <row r="4" spans="1:9" x14ac:dyDescent="0.3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2025-06-24T12:38:05Z</cp:lastPrinted>
  <dcterms:created xsi:type="dcterms:W3CDTF">2019-07-16T09:29:46Z</dcterms:created>
  <dcterms:modified xsi:type="dcterms:W3CDTF">2025-09-30T07:40:34Z</dcterms:modified>
</cp:coreProperties>
</file>