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3-09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D174" i="1" l="1"/>
  <c r="D173" i="1"/>
  <c r="D172" i="1"/>
  <c r="D171" i="1"/>
  <c r="D170" i="1"/>
  <c r="D169" i="1"/>
  <c r="D168" i="1"/>
  <c r="D167" i="1"/>
  <c r="D166" i="1"/>
  <c r="D165" i="1"/>
  <c r="D164" i="1"/>
  <c r="D163" i="1"/>
  <c r="D162" i="1"/>
  <c r="J161" i="1"/>
  <c r="E132" i="1" l="1"/>
  <c r="C132" i="1"/>
  <c r="D239" i="1"/>
  <c r="F239" i="1" s="1"/>
  <c r="D238" i="1"/>
  <c r="F238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G230" i="1"/>
  <c r="D228" i="1"/>
  <c r="F228" i="1" s="1"/>
  <c r="D227" i="1"/>
  <c r="F227" i="1" s="1"/>
  <c r="E226" i="1"/>
  <c r="D226" i="1"/>
  <c r="D223" i="1"/>
  <c r="D224" i="1"/>
  <c r="D225" i="1"/>
  <c r="F225" i="1" s="1"/>
  <c r="D222" i="1"/>
  <c r="D219" i="1"/>
  <c r="D220" i="1"/>
  <c r="D221" i="1"/>
  <c r="D217" i="1"/>
  <c r="F217" i="1" s="1"/>
  <c r="D216" i="1"/>
  <c r="F174" i="1"/>
  <c r="P230" i="1"/>
  <c r="O230" i="1"/>
  <c r="F216" i="1" l="1"/>
  <c r="E138" i="1"/>
  <c r="C138" i="1"/>
  <c r="F226" i="1"/>
  <c r="O231" i="1"/>
  <c r="N230" i="1"/>
  <c r="P231" i="1"/>
  <c r="P232" i="1" s="1"/>
  <c r="P233" i="1" s="1"/>
  <c r="P234" i="1" s="1"/>
  <c r="P235" i="1" s="1"/>
  <c r="P236" i="1" s="1"/>
  <c r="P237" i="1" s="1"/>
  <c r="P238" i="1" s="1"/>
  <c r="P239" i="1" s="1"/>
  <c r="G53" i="1"/>
  <c r="C53" i="1"/>
  <c r="N231" i="1" l="1"/>
  <c r="O232" i="1"/>
  <c r="E3" i="1"/>
  <c r="D66" i="1" s="1"/>
  <c r="C69" i="1"/>
  <c r="N232" i="1" l="1"/>
  <c r="O233" i="1"/>
  <c r="I190" i="1"/>
  <c r="J192" i="1"/>
  <c r="J193" i="1"/>
  <c r="J195" i="1"/>
  <c r="J204" i="1"/>
  <c r="J182" i="1"/>
  <c r="J187" i="1"/>
  <c r="N233" i="1" l="1"/>
  <c r="O234" i="1"/>
  <c r="C85" i="1"/>
  <c r="O235" i="1" l="1"/>
  <c r="N234" i="1"/>
  <c r="J107" i="1"/>
  <c r="J108" i="1"/>
  <c r="J109" i="1"/>
  <c r="J110" i="1"/>
  <c r="H100" i="1"/>
  <c r="N235" i="1" l="1"/>
  <c r="O236" i="1"/>
  <c r="J104" i="1"/>
  <c r="C103" i="1" s="1"/>
  <c r="D103" i="1" s="1"/>
  <c r="D109" i="1"/>
  <c r="D105" i="1"/>
  <c r="J105" i="1"/>
  <c r="J106" i="1" s="1"/>
  <c r="J102" i="1"/>
  <c r="D106" i="1"/>
  <c r="D107" i="1"/>
  <c r="D111" i="1"/>
  <c r="D110" i="1"/>
  <c r="D112" i="1"/>
  <c r="D108" i="1"/>
  <c r="J103" i="1"/>
  <c r="F224" i="1"/>
  <c r="F223" i="1"/>
  <c r="F222" i="1"/>
  <c r="F220" i="1"/>
  <c r="F219" i="1"/>
  <c r="G219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A163" i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G162" i="1"/>
  <c r="D212" i="1"/>
  <c r="D211" i="1"/>
  <c r="D210" i="1"/>
  <c r="D209" i="1"/>
  <c r="D208" i="1"/>
  <c r="J208" i="1" s="1"/>
  <c r="D207" i="1"/>
  <c r="J207" i="1" s="1"/>
  <c r="D206" i="1"/>
  <c r="J206" i="1" s="1"/>
  <c r="D205" i="1"/>
  <c r="J205" i="1" s="1"/>
  <c r="G132" i="1" l="1"/>
  <c r="O237" i="1"/>
  <c r="N236" i="1"/>
  <c r="J111" i="1"/>
  <c r="J112" i="1" s="1"/>
  <c r="C104" i="1"/>
  <c r="I212" i="1"/>
  <c r="J212" i="1"/>
  <c r="I209" i="1"/>
  <c r="J209" i="1"/>
  <c r="I210" i="1"/>
  <c r="J210" i="1"/>
  <c r="I211" i="1"/>
  <c r="J211" i="1"/>
  <c r="F221" i="1"/>
  <c r="G138" i="1" s="1"/>
  <c r="I208" i="1"/>
  <c r="I207" i="1"/>
  <c r="I206" i="1"/>
  <c r="G205" i="1"/>
  <c r="I205" i="1"/>
  <c r="D203" i="1"/>
  <c r="J203" i="1" s="1"/>
  <c r="D202" i="1"/>
  <c r="J202" i="1" s="1"/>
  <c r="D201" i="1"/>
  <c r="J201" i="1" s="1"/>
  <c r="D198" i="1"/>
  <c r="J198" i="1" s="1"/>
  <c r="D197" i="1"/>
  <c r="J197" i="1" s="1"/>
  <c r="D196" i="1"/>
  <c r="J196" i="1" s="1"/>
  <c r="E200" i="1"/>
  <c r="E199" i="1"/>
  <c r="D200" i="1"/>
  <c r="J200" i="1" s="1"/>
  <c r="D199" i="1"/>
  <c r="J199" i="1" s="1"/>
  <c r="G196" i="1"/>
  <c r="G194" i="1"/>
  <c r="D194" i="1"/>
  <c r="J194" i="1" s="1"/>
  <c r="D191" i="1"/>
  <c r="J191" i="1" s="1"/>
  <c r="D189" i="1"/>
  <c r="J189" i="1" s="1"/>
  <c r="D188" i="1"/>
  <c r="J188" i="1" s="1"/>
  <c r="D190" i="1"/>
  <c r="J190" i="1" s="1"/>
  <c r="D186" i="1"/>
  <c r="J186" i="1" s="1"/>
  <c r="E185" i="1"/>
  <c r="E184" i="1"/>
  <c r="D184" i="1"/>
  <c r="J184" i="1" s="1"/>
  <c r="D183" i="1"/>
  <c r="J183" i="1" s="1"/>
  <c r="D185" i="1"/>
  <c r="J185" i="1" s="1"/>
  <c r="G183" i="1"/>
  <c r="D181" i="1"/>
  <c r="J181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D152" i="1"/>
  <c r="D151" i="1"/>
  <c r="D150" i="1"/>
  <c r="D149" i="1"/>
  <c r="D148" i="1"/>
  <c r="D147" i="1"/>
  <c r="O205" i="1"/>
  <c r="P205" i="1"/>
  <c r="O238" i="1" l="1"/>
  <c r="N237" i="1"/>
  <c r="D104" i="1"/>
  <c r="E103" i="1"/>
  <c r="I99" i="1" s="1"/>
  <c r="C101" i="1" s="1"/>
  <c r="G103" i="1"/>
  <c r="C131" i="1"/>
  <c r="C133" i="1" s="1"/>
  <c r="E131" i="1"/>
  <c r="E133" i="1" s="1"/>
  <c r="C136" i="1"/>
  <c r="E136" i="1"/>
  <c r="E137" i="1"/>
  <c r="C137" i="1"/>
  <c r="P206" i="1"/>
  <c r="P207" i="1" s="1"/>
  <c r="P208" i="1" s="1"/>
  <c r="P209" i="1" s="1"/>
  <c r="P210" i="1" s="1"/>
  <c r="P211" i="1" s="1"/>
  <c r="P212" i="1" s="1"/>
  <c r="O206" i="1"/>
  <c r="N205" i="1"/>
  <c r="A205" i="1" s="1"/>
  <c r="O239" i="1" l="1"/>
  <c r="N239" i="1" s="1"/>
  <c r="N238" i="1"/>
  <c r="E139" i="1"/>
  <c r="K134" i="1" s="1"/>
  <c r="C139" i="1"/>
  <c r="G137" i="1"/>
  <c r="O207" i="1"/>
  <c r="N206" i="1"/>
  <c r="A206" i="1" s="1"/>
  <c r="J96" i="1"/>
  <c r="J95" i="1"/>
  <c r="J82" i="1"/>
  <c r="J81" i="1"/>
  <c r="H70" i="1"/>
  <c r="H86" i="1"/>
  <c r="N207" i="1" l="1"/>
  <c r="A207" i="1" s="1"/>
  <c r="O208" i="1"/>
  <c r="D98" i="1"/>
  <c r="D94" i="1"/>
  <c r="J90" i="1"/>
  <c r="C89" i="1" s="1"/>
  <c r="J88" i="1"/>
  <c r="D93" i="1"/>
  <c r="D97" i="1"/>
  <c r="J91" i="1"/>
  <c r="J92" i="1" s="1"/>
  <c r="J89" i="1"/>
  <c r="D92" i="1"/>
  <c r="D96" i="1"/>
  <c r="D95" i="1"/>
  <c r="D91" i="1"/>
  <c r="D77" i="1"/>
  <c r="D83" i="1"/>
  <c r="J75" i="1"/>
  <c r="D84" i="1"/>
  <c r="D80" i="1"/>
  <c r="J76" i="1"/>
  <c r="C75" i="1" s="1"/>
  <c r="D75" i="1" s="1"/>
  <c r="J74" i="1"/>
  <c r="D79" i="1"/>
  <c r="D82" i="1"/>
  <c r="D78" i="1"/>
  <c r="J77" i="1"/>
  <c r="J78" i="1" s="1"/>
  <c r="J83" i="1" s="1"/>
  <c r="D81" i="1"/>
  <c r="O188" i="1"/>
  <c r="J97" i="1" l="1"/>
  <c r="N208" i="1"/>
  <c r="A208" i="1" s="1"/>
  <c r="O209" i="1"/>
  <c r="J93" i="1"/>
  <c r="J94" i="1" s="1"/>
  <c r="D89" i="1"/>
  <c r="J79" i="1"/>
  <c r="J80" i="1" s="1"/>
  <c r="A242" i="1"/>
  <c r="A243" i="1" s="1"/>
  <c r="A244" i="1" s="1"/>
  <c r="A245" i="1" s="1"/>
  <c r="A246" i="1" s="1"/>
  <c r="A247" i="1" l="1"/>
  <c r="O210" i="1"/>
  <c r="N209" i="1"/>
  <c r="A209" i="1" s="1"/>
  <c r="J98" i="1"/>
  <c r="J84" i="1"/>
  <c r="C76" i="1" s="1"/>
  <c r="P188" i="1"/>
  <c r="N210" i="1" l="1"/>
  <c r="A210" i="1" s="1"/>
  <c r="O211" i="1"/>
  <c r="E89" i="1"/>
  <c r="D90" i="1"/>
  <c r="G89" i="1"/>
  <c r="D68" i="1" s="1"/>
  <c r="E75" i="1"/>
  <c r="I69" i="1" s="1"/>
  <c r="D76" i="1"/>
  <c r="G75" i="1"/>
  <c r="N188" i="1"/>
  <c r="I85" i="1" l="1"/>
  <c r="C87" i="1" s="1"/>
  <c r="N211" i="1"/>
  <c r="A211" i="1" s="1"/>
  <c r="O212" i="1"/>
  <c r="N212" i="1" s="1"/>
  <c r="A212" i="1" s="1"/>
  <c r="F113" i="1" l="1"/>
  <c r="C14" i="1" l="1"/>
  <c r="E41" i="1" l="1"/>
  <c r="E42" i="1" s="1"/>
  <c r="I191" i="1" l="1"/>
  <c r="I189" i="1"/>
  <c r="I188" i="1"/>
  <c r="F147" i="1"/>
  <c r="I147" i="1" s="1"/>
  <c r="G147" i="1"/>
  <c r="A148" i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F148" i="1"/>
  <c r="I148" i="1" s="1"/>
  <c r="F149" i="1"/>
  <c r="F150" i="1"/>
  <c r="F151" i="1"/>
  <c r="F152" i="1"/>
  <c r="F153" i="1"/>
  <c r="G136" i="1" l="1"/>
  <c r="G131" i="1"/>
  <c r="G133" i="1" s="1"/>
  <c r="G188" i="1"/>
  <c r="G139" i="1" l="1"/>
  <c r="K133" i="1" s="1"/>
  <c r="O189" i="1"/>
  <c r="G181" i="1"/>
  <c r="E25" i="1"/>
  <c r="E23" i="1"/>
  <c r="A188" i="1" l="1"/>
  <c r="P189" i="1"/>
  <c r="P190" i="1" s="1"/>
  <c r="P191" i="1" s="1"/>
  <c r="O190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89" i="1" l="1"/>
  <c r="A189" i="1" s="1"/>
  <c r="N190" i="1"/>
  <c r="A190" i="1" s="1"/>
  <c r="O191" i="1"/>
  <c r="N191" i="1" s="1"/>
  <c r="G12" i="5"/>
  <c r="A191" i="1" l="1"/>
  <c r="E7" i="1" l="1"/>
  <c r="D262" i="1" l="1"/>
  <c r="F128" i="1"/>
  <c r="D59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<sst xmlns="http://schemas.openxmlformats.org/spreadsheetml/2006/main" count="509" uniqueCount="278">
  <si>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</si>
  <si>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</si>
  <si>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</si>
  <si>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</si>
  <si>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</si>
  <si>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</si>
  <si>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</si>
  <si>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</si>
  <si>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</si>
  <si>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</si>
  <si>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</si>
  <si>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</si>
  <si>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</si>
  <si>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</si>
  <si>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</si>
  <si>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</si>
  <si>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</si>
  <si>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</si>
  <si>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</si>
  <si>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</si>
  <si>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</si>
  <si>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</si>
  <si>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</si>
  <si>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</si>
  <si>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</si>
  <si>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</si>
  <si>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</si>
  <si>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</si>
  <si>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</si>
  <si>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</si>
  <si>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</si>
  <si>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</si>
  <si>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</si>
  <si>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</si>
  <si>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</si>
  <si>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</si>
  <si>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</si>
  <si>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</si>
  <si>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</si>
  <si>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</si>
  <si>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</si>
  <si>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</si>
  <si>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</si>
  <si>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</si>
  <si>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</si>
  <si>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</si>
  <si>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</si>
  <si>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</si>
  <si>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</si>
  <si>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</si>
  <si>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</si>
  <si>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</si>
  <si>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</si>
  <si>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</si>
  <si>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</si>
  <si>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</si>
  <si>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</si>
  <si>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</si>
  <si>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</si>
  <si>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</si>
  <si>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</si>
  <si>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</si>
  <si>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</si>
  <si>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</si>
  <si>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</si>
  <si>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</si>
  <si>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</si>
  <si>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</si>
  <si>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</si>
  <si>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</si>
  <si>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</si>
  <si>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</si>
  <si>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</si>
  <si>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</si>
  <si>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</si>
  <si>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</si>
  <si>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</si>
  <si>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</si>
  <si>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</si>
  <si>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</si>
  <si>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</si>
  <si>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</si>
  <si>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</si>
  <si>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</si>
  <si>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</si>
  <si>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</si>
  <si>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</si>
  <si>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</si>
  <si>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</si>
  <si>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</si>
  <si>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</si>
  <si>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</si>
  <si>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</si>
  <si>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</si>
  <si>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</si>
  <si>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</si>
  <si>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</si>
  <si>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</si>
  <si>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</si>
  <si>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</si>
  <si>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</si>
  <si>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</si>
  <si>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</si>
  <si>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</si>
  <si>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</si>
  <si>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</si>
  <si>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</si>
  <si>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</si>
  <si>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</si>
  <si>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</si>
  <si>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</si>
  <si>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</si>
  <si>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</si>
  <si>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</si>
  <si>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</si>
  <si>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</si>
  <si>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</si>
  <si>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</si>
  <si>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</si>
  <si>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</si>
  <si>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</si>
  <si>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</si>
  <si>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</si>
  <si>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</si>
  <si>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</si>
  <si>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</si>
  <si>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</si>
  <si>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</si>
  <si>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</si>
  <si>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</si>
  <si>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</si>
  <si>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</si>
  <si>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</si>
  <si>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</si>
  <si>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</si>
  <si>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</si>
  <si>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</si>
  <si>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</si>
  <si>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</si>
  <si>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</si>
  <si>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</si>
  <si>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</si>
  <si>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</si>
  <si>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</si>
  <si>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</si>
  <si>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</si>
  <si>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</si>
  <si>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</si>
  <si>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</si>
  <si>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</si>
  <si>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</si>
  <si>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</si>
  <si>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</si>
  <si>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</si>
  <si>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</si>
  <si>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</si>
  <si>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</si>
  <si>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</si>
  <si>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</si>
  <si>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</si>
  <si>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</si>
  <si>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</si>
  <si>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</si>
  <si>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</si>
  <si>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</si>
  <si>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</si>
  <si>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</si>
  <si>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</si>
  <si>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</si>
  <si>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</si>
  <si>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</si>
  <si>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</si>
  <si>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</si>
  <si>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</si>
  <si>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</si>
  <si>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</si>
  <si>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</si>
  <si>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</si>
  <si>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</si>
  <si>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</si>
  <si>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</si>
  <si>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</si>
  <si>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</si>
  <si>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</si>
  <si>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</si>
  <si>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M/s.Structura Realty</t>
  </si>
  <si>
    <t>Swami Aashray</t>
  </si>
  <si>
    <t>Survey No</t>
  </si>
  <si>
    <t>Bandhiwali</t>
  </si>
  <si>
    <t>Raigad</t>
  </si>
  <si>
    <t>800 m  from Shelu Railway Station</t>
  </si>
  <si>
    <t>Internal Road</t>
  </si>
  <si>
    <t>Karjat</t>
  </si>
  <si>
    <t>KND More Vidyalay</t>
  </si>
  <si>
    <t>Open Land</t>
  </si>
  <si>
    <t>Shiv Shrushti Park</t>
  </si>
  <si>
    <t>04 Wings</t>
  </si>
  <si>
    <t>MS/LNA-1/SR/A.K.124/2016</t>
  </si>
  <si>
    <t>MS/LNA.1(B)/SR-124/2016</t>
  </si>
  <si>
    <t xml:space="preserve">Ground Floor for Commercial &amp; Parking </t>
  </si>
  <si>
    <t>Shop</t>
  </si>
  <si>
    <t>1 BHK</t>
  </si>
  <si>
    <t>1st Floor for Residential</t>
  </si>
  <si>
    <t>2 BHK</t>
  </si>
  <si>
    <t>2nd to 4th Floor</t>
  </si>
  <si>
    <t>1 RK</t>
  </si>
  <si>
    <t>A Wing</t>
  </si>
  <si>
    <t>B Wing</t>
  </si>
  <si>
    <t>Approved Plans, CC, Builder Saleable Area, Cost Sheet</t>
  </si>
  <si>
    <t>1,00,000/-</t>
  </si>
  <si>
    <t>Building No.1 (B Wing) = G + 1st to 4th Floor</t>
  </si>
  <si>
    <t>Building No.1 (A &amp; B Wing)</t>
  </si>
  <si>
    <t xml:space="preserve">Building No.1 </t>
  </si>
  <si>
    <t>Building No.1</t>
  </si>
  <si>
    <t>Building No.2 (D Wing) = G + 1st to 3rd Floor</t>
  </si>
  <si>
    <t>Building No.2 (C &amp; D Wing)</t>
  </si>
  <si>
    <t>Building No.2</t>
  </si>
  <si>
    <t xml:space="preserve">1.Vitrified tiles Flooring 2. Granite Kitchen Platform  3. Decorative Enternace  etc.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</si>
  <si>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Ground Floor for Residential &amp; Parking</t>
  </si>
  <si>
    <t>6/2C</t>
  </si>
  <si>
    <t>3,00,000/-</t>
  </si>
  <si>
    <t>Grill Charges</t>
  </si>
  <si>
    <t>50,000/-</t>
  </si>
  <si>
    <t>11,000/-</t>
  </si>
  <si>
    <t>Asmi</t>
  </si>
  <si>
    <t>Abhishek</t>
  </si>
  <si>
    <t>Commencement Certificate No.
Valid Up to:</t>
  </si>
  <si>
    <t>Builder Saleable area
Loading :</t>
  </si>
  <si>
    <t>Building No.1 (A &amp; B Wing) = G + 1st to 4th Floor</t>
  </si>
  <si>
    <t xml:space="preserve">Building No.1 (A &amp; B Wing)
Building No.2 (C &amp; D Wing)
</t>
  </si>
  <si>
    <t>Latitude &amp; Longitude</t>
  </si>
  <si>
    <t>Location Link</t>
  </si>
  <si>
    <t>https://goo.gl/maps/FSrWbTzdN7gZDNyq9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</si>
  <si>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</si>
  <si>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Site Person - Contact Details ( Name &amp; Contact No.)</t>
  </si>
  <si>
    <t>Building No.1 (A &amp; B Wing) = P52000024532
Building No.2 (C &amp; D Wing) = P52000055497</t>
  </si>
  <si>
    <t>19.060077,73.3203024</t>
  </si>
  <si>
    <t>MS/LNA-1/Token no. 16838/P.K.96/2022</t>
  </si>
  <si>
    <t xml:space="preserve">Building No.1 (A &amp; B Wing) = G/St + 1st to 4th Floor (Bua =2061.56 sqm)
</t>
  </si>
  <si>
    <t xml:space="preserve">Building No.2 (C &amp; D Wing) = G + 1st to 7th Floor (Bua =3690.12 sqm)
</t>
  </si>
  <si>
    <t xml:space="preserve">Building No.1 (A &amp; B Wing) = G/St + 1st to 4th Floor
Building No.2 (C &amp; D Wing) = G + 1st to 7th Floor
</t>
  </si>
  <si>
    <t>Building No.2 (C &amp; D Wing) = G + 1st to 7th Floor</t>
  </si>
  <si>
    <t>Wing A &amp; B</t>
  </si>
  <si>
    <t>Wing C &amp; D</t>
  </si>
  <si>
    <t>Wing A</t>
  </si>
  <si>
    <t>Wing B</t>
  </si>
  <si>
    <t>Wing C + D</t>
  </si>
  <si>
    <t xml:space="preserve">Ground Floor for Commercial, Meter Room, Driver Room, Society Office, Residential &amp; Parking </t>
  </si>
  <si>
    <t>2nd to 7th Floor</t>
  </si>
  <si>
    <t>We considered Gross carpet area = Net carpet + Enclose balcony + C.B Area + Service Area.</t>
  </si>
  <si>
    <t>On Site, we meet Mr. Vaman (9702702024).</t>
  </si>
  <si>
    <t xml:space="preserve">We have updated revised plans &amp; CC of Building No. 2(on 20/04/2024).
</t>
  </si>
  <si>
    <t>C1</t>
  </si>
  <si>
    <t>C2</t>
  </si>
  <si>
    <t>C6</t>
  </si>
  <si>
    <t>C7</t>
  </si>
  <si>
    <t>C8</t>
  </si>
  <si>
    <t>C9</t>
  </si>
  <si>
    <t>C10</t>
  </si>
  <si>
    <t>D2</t>
  </si>
  <si>
    <t>D3</t>
  </si>
  <si>
    <t>D4</t>
  </si>
  <si>
    <t>D5</t>
  </si>
  <si>
    <t>Building No.2
 (C + D Wing)</t>
  </si>
  <si>
    <t>Flats - 122, Shops - 25</t>
  </si>
  <si>
    <t>Layout:</t>
  </si>
  <si>
    <t>As per RERA - 30/06/2026</t>
  </si>
  <si>
    <t>MS/LNA.1(B)/OC/)C No.02/2023/J.K.92
Approved upto : Building No.1 (Wing A &amp; B) = Gr/St + 1st to 4th Floor</t>
  </si>
  <si>
    <t>We have updated OC for Bldg no.1 (Wing A &amp; B) (On 14/10/2024).</t>
  </si>
  <si>
    <t>Recommended rate of the Flat Per Sq. Ft. ( on Saleable area)
Building No. 1</t>
  </si>
  <si>
    <t>Recommended rate of the Flat Per Sq. Ft. ( on Saleable area)
Building No. 2</t>
  </si>
  <si>
    <t>We considered  Saleable area as per Builder area sheet for Building No. 1 (Loading 65 to 70%)
We considered  Saleable area as per our Calculation for Building No. 2 (Loading 45%)</t>
  </si>
  <si>
    <t>Naynesh Lovanshi</t>
  </si>
  <si>
    <t xml:space="preserve">NA
Approved upto : </t>
  </si>
  <si>
    <t>Bldg No.1 - All work completed. OC Received.
Bldg No.2 - Construction work is in process at the time of visit.</t>
  </si>
  <si>
    <t>MS/LNA/A-1(B)/Token no. 16838/P.K.96/2022</t>
  </si>
  <si>
    <t>Pooja Kawale</t>
  </si>
  <si>
    <t>Mr. Vishal : 9527661970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</si>
</sst>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44">
    <xf numFmtId="0" fontId="0" fillId="0" borderId="0" xfId="0"/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vertical="center" wrapText="1"/>
      <protection locked="0"/>
    </xf>
    <xf numFmtId="14" fontId="0" fillId="0" borderId="0" xfId="0" applyNumberFormat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0" fontId="17" fillId="0" borderId="12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7" fillId="0" borderId="7" xfId="1" applyNumberFormat="1" applyFont="1" applyBorder="1" applyAlignment="1" applyProtection="1">
      <alignment horizontal="center" vertical="center" wrapText="1"/>
      <protection hidden="1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/>
      <protection hidden="1"/>
    </xf>
    <xf numFmtId="0" fontId="7" fillId="0" borderId="12" xfId="1" applyFont="1" applyBorder="1" applyAlignment="1" applyProtection="1">
      <alignment horizontal="center" vertical="center"/>
      <protection hidden="1"/>
    </xf>
    <xf numFmtId="1" fontId="7" fillId="0" borderId="1" xfId="1" applyNumberFormat="1" applyFont="1" applyBorder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center" vertical="top" wrapText="1"/>
      <protection locked="0"/>
    </xf>
    <xf numFmtId="0" fontId="10" fillId="0" borderId="0" xfId="1" applyFont="1"/>
    <xf numFmtId="1" fontId="7" fillId="0" borderId="25" xfId="1" applyNumberFormat="1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8" xfId="0" applyNumberFormat="1" applyFont="1" applyBorder="1" applyAlignment="1" applyProtection="1">
      <alignment horizontal="center" vertical="center" wrapText="1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37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center" vertical="top"/>
      <protection locked="0"/>
    </xf>
    <xf numFmtId="0" fontId="8" fillId="0" borderId="20" xfId="1" applyFont="1" applyBorder="1" applyAlignment="1" applyProtection="1">
      <alignment horizontal="center" vertical="top"/>
      <protection locked="0"/>
    </xf>
    <xf numFmtId="0" fontId="8" fillId="0" borderId="21" xfId="1" applyFont="1" applyBorder="1" applyAlignment="1" applyProtection="1">
      <alignment horizontal="center" vertical="top"/>
      <protection locked="0"/>
    </xf>
    <xf numFmtId="0" fontId="8" fillId="0" borderId="22" xfId="1" applyFont="1" applyBorder="1" applyAlignment="1" applyProtection="1">
      <alignment horizontal="center" vertical="top"/>
      <protection locked="0"/>
    </xf>
    <xf numFmtId="0" fontId="7" fillId="0" borderId="18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23" fillId="0" borderId="1" xfId="9" applyBorder="1" applyAlignment="1" applyProtection="1">
      <alignment horizontal="left"/>
      <protection locked="0"/>
    </xf>
    <xf numFmtId="0" fontId="8" fillId="3" borderId="8" xfId="1" applyFont="1" applyFill="1" applyBorder="1" applyAlignment="1" applyProtection="1">
      <alignment horizontal="center" vertical="top"/>
      <protection locked="0"/>
    </xf>
    <xf numFmtId="0" fontId="8" fillId="3" borderId="23" xfId="1" applyFont="1" applyFill="1" applyBorder="1" applyAlignment="1" applyProtection="1">
      <alignment horizontal="center" vertical="top"/>
      <protection locked="0"/>
    </xf>
    <xf numFmtId="0" fontId="8" fillId="3" borderId="9" xfId="1" applyFont="1" applyFill="1" applyBorder="1" applyAlignment="1" applyProtection="1">
      <alignment horizontal="center" vertical="top"/>
      <protection locked="0"/>
    </xf>
    <xf numFmtId="0" fontId="8" fillId="4" borderId="8" xfId="1" applyFont="1" applyFill="1" applyBorder="1" applyAlignment="1" applyProtection="1">
      <alignment horizontal="center" vertical="top"/>
      <protection locked="0"/>
    </xf>
    <xf numFmtId="0" fontId="8" fillId="4" borderId="23" xfId="1" applyFont="1" applyFill="1" applyBorder="1" applyAlignment="1" applyProtection="1">
      <alignment horizontal="center" vertical="top"/>
      <protection locked="0"/>
    </xf>
    <xf numFmtId="0" fontId="8" fillId="4" borderId="9" xfId="1" applyFont="1" applyFill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center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8" fillId="0" borderId="34" xfId="1" applyFont="1" applyBorder="1" applyAlignment="1" applyProtection="1">
      <alignment horizontal="left" vertical="top" wrapText="1"/>
      <protection locked="0"/>
    </xf>
    <xf numFmtId="0" fontId="8" fillId="0" borderId="35" xfId="1" applyFont="1" applyBorder="1" applyAlignment="1" applyProtection="1">
      <alignment horizontal="left" vertical="top" wrapText="1"/>
      <protection locked="0"/>
    </xf>
    <xf numFmtId="0" fontId="8" fillId="0" borderId="36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9" fontId="7" fillId="0" borderId="19" xfId="1" applyNumberFormat="1" applyFont="1" applyBorder="1" applyAlignment="1" applyProtection="1">
      <alignment horizontal="center" vertical="center" wrapText="1"/>
      <protection hidden="1"/>
    </xf>
    <xf numFmtId="9" fontId="7" fillId="0" borderId="20" xfId="1" applyNumberFormat="1" applyFont="1" applyBorder="1" applyAlignment="1" applyProtection="1">
      <alignment horizontal="center" vertical="center" wrapText="1"/>
      <protection hidden="1"/>
    </xf>
    <xf numFmtId="9" fontId="7" fillId="0" borderId="25" xfId="1" applyNumberFormat="1" applyFont="1" applyBorder="1" applyAlignment="1" applyProtection="1">
      <alignment horizontal="center" vertical="center" wrapText="1"/>
      <protection hidden="1"/>
    </xf>
    <xf numFmtId="9" fontId="7" fillId="0" borderId="26" xfId="1" applyNumberFormat="1" applyFont="1" applyBorder="1" applyAlignment="1" applyProtection="1">
      <alignment horizontal="center" vertical="center" wrapText="1"/>
      <protection hidden="1"/>
    </xf>
    <xf numFmtId="9" fontId="7" fillId="0" borderId="29" xfId="1" applyNumberFormat="1" applyFont="1" applyBorder="1" applyAlignment="1" applyProtection="1">
      <alignment horizontal="center" vertical="center" wrapText="1"/>
      <protection hidden="1"/>
    </xf>
    <xf numFmtId="9" fontId="7" fillId="0" borderId="30" xfId="1" applyNumberFormat="1" applyFont="1" applyBorder="1" applyAlignment="1" applyProtection="1">
      <alignment horizontal="center" vertical="center" wrapText="1"/>
      <protection hidden="1"/>
    </xf>
    <xf numFmtId="9" fontId="7" fillId="0" borderId="28" xfId="1" applyNumberFormat="1" applyFont="1" applyBorder="1" applyAlignment="1" applyProtection="1">
      <alignment horizontal="center" vertical="center" wrapText="1"/>
      <protection hidden="1"/>
    </xf>
    <xf numFmtId="9" fontId="7" fillId="0" borderId="12" xfId="1" applyNumberFormat="1" applyFont="1" applyBorder="1" applyAlignment="1" applyProtection="1">
      <alignment horizontal="center" vertical="center" wrapText="1"/>
      <protection hidden="1"/>
    </xf>
    <xf numFmtId="9" fontId="7" fillId="0" borderId="14" xfId="1" applyNumberFormat="1" applyFont="1" applyBorder="1" applyAlignment="1" applyProtection="1">
      <alignment horizontal="center" vertical="center" wrapText="1"/>
      <protection hidden="1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3" fontId="12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center" vertical="top" wrapText="1"/>
      <protection locked="0"/>
    </xf>
    <xf numFmtId="0" fontId="7" fillId="0" borderId="9" xfId="1" applyFont="1" applyBorder="1" applyAlignment="1" applyProtection="1">
      <alignment horizontal="center" vertical="top" wrapText="1"/>
      <protection locked="0"/>
    </xf>
    <xf numFmtId="0" fontId="7" fillId="0" borderId="31" xfId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left" vertical="top" wrapText="1"/>
      <protection locked="0"/>
    </xf>
    <xf numFmtId="0" fontId="8" fillId="4" borderId="1" xfId="1" applyFont="1" applyFill="1" applyBorder="1" applyAlignment="1" applyProtection="1">
      <alignment horizontal="left" vertical="top"/>
      <protection locked="0"/>
    </xf>
    <xf numFmtId="0" fontId="13" fillId="4" borderId="1" xfId="1" applyFont="1" applyFill="1" applyBorder="1" applyAlignment="1" applyProtection="1">
      <alignment horizontal="left"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526682</xdr:colOff>
      <xdr:row>352</xdr:row>
      <xdr:rowOff>56032</xdr:rowOff>
    </xdr:from>
    <xdr:to>
      <xdr:col>7</xdr:col>
      <xdr:colOff>380657</xdr:colOff>
      <xdr:row>370</xdr:row>
      <xdr:rowOff>186440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82" y="49798944"/>
          <a:ext cx="5983593" cy="376111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551106</xdr:colOff>
      <xdr:row>372</xdr:row>
      <xdr:rowOff>13863</xdr:rowOff>
    </xdr:from>
    <xdr:to>
      <xdr:col>7</xdr:col>
      <xdr:colOff>380657</xdr:colOff>
      <xdr:row>390</xdr:row>
      <xdr:rowOff>193118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1106" y="53790892"/>
          <a:ext cx="5959169" cy="38099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190500</xdr:colOff>
      <xdr:row>266</xdr:row>
      <xdr:rowOff>76200</xdr:rowOff>
    </xdr:from>
    <xdr:to>
      <xdr:col>8</xdr:col>
      <xdr:colOff>1118959</xdr:colOff>
      <xdr:row>268</xdr:row>
      <xdr:rowOff>50291</xdr:rowOff>
    </xdr:to>
    <xdr:sp macro="" textlink="">
      <xdr:nvSpPr>
        <xdr:cNvPr id="46" name="Rectangle 45"/>
        <xdr:cNvSpPr/>
      </xdr:nvSpPr>
      <xdr:spPr>
        <a:xfrm>
          <a:off x="7038975" y="51101625"/>
          <a:ext cx="928459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10</xdr:col>
      <xdr:colOff>340822</xdr:colOff>
      <xdr:row>266</xdr:row>
      <xdr:rowOff>76200</xdr:rowOff>
    </xdr:from>
    <xdr:to>
      <xdr:col>11</xdr:col>
      <xdr:colOff>564431</xdr:colOff>
      <xdr:row>268</xdr:row>
      <xdr:rowOff>50291</xdr:rowOff>
    </xdr:to>
    <xdr:sp macro="" textlink="">
      <xdr:nvSpPr>
        <xdr:cNvPr id="47" name="Rectangle 46"/>
        <xdr:cNvSpPr/>
      </xdr:nvSpPr>
      <xdr:spPr>
        <a:xfrm>
          <a:off x="9113347" y="51101625"/>
          <a:ext cx="928459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16</xdr:col>
      <xdr:colOff>214919</xdr:colOff>
      <xdr:row>266</xdr:row>
      <xdr:rowOff>76200</xdr:rowOff>
    </xdr:from>
    <xdr:to>
      <xdr:col>17</xdr:col>
      <xdr:colOff>533778</xdr:colOff>
      <xdr:row>268</xdr:row>
      <xdr:rowOff>50291</xdr:rowOff>
    </xdr:to>
    <xdr:sp macro="" textlink="">
      <xdr:nvSpPr>
        <xdr:cNvPr id="48" name="Rectangle 47"/>
        <xdr:cNvSpPr/>
      </xdr:nvSpPr>
      <xdr:spPr>
        <a:xfrm>
          <a:off x="11187719" y="51101625"/>
          <a:ext cx="928459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>
    <xdr:from>
      <xdr:col>9</xdr:col>
      <xdr:colOff>273967</xdr:colOff>
      <xdr:row>280</xdr:row>
      <xdr:rowOff>16572</xdr:rowOff>
    </xdr:from>
    <xdr:to>
      <xdr:col>10</xdr:col>
      <xdr:colOff>440426</xdr:colOff>
      <xdr:row>281</xdr:row>
      <xdr:rowOff>190688</xdr:rowOff>
    </xdr:to>
    <xdr:sp macro="" textlink="">
      <xdr:nvSpPr>
        <xdr:cNvPr id="49" name="Rectangle 48"/>
        <xdr:cNvSpPr/>
      </xdr:nvSpPr>
      <xdr:spPr>
        <a:xfrm>
          <a:off x="8284492" y="53842347"/>
          <a:ext cx="928459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D Wing </a:t>
          </a:r>
        </a:p>
      </xdr:txBody>
    </xdr:sp>
    <xdr:clientData/>
  </xdr:twoCellAnchor>
  <xdr:twoCellAnchor>
    <xdr:from>
      <xdr:col>0</xdr:col>
      <xdr:colOff>295275</xdr:colOff>
      <xdr:row>308</xdr:row>
      <xdr:rowOff>19050</xdr:rowOff>
    </xdr:from>
    <xdr:to>
      <xdr:col>7</xdr:col>
      <xdr:colOff>907422</xdr:colOff>
      <xdr:row>346</xdr:row>
      <xdr:rowOff>178575</xdr:rowOff>
    </xdr:to>
    <xdr:grpSp>
      <xdr:nvGrpSpPr>
        <xdr:cNvPr id="8" name="Group 7"/>
        <xdr:cNvGrpSpPr/>
      </xdr:nvGrpSpPr>
      <xdr:grpSpPr>
        <a:xfrm>
          <a:off x="295275" y="60394850"/>
          <a:ext cx="6587497" cy="7639825"/>
          <a:chOff x="295275" y="59645550"/>
          <a:chExt cx="6308097" cy="7760475"/>
        </a:xfrm>
      </xdr:grpSpPr>
      <xdr:grpSp>
        <xdr:nvGrpSpPr>
          <xdr:cNvPr id="7" name="Group 6"/>
          <xdr:cNvGrpSpPr/>
        </xdr:nvGrpSpPr>
        <xdr:grpSpPr>
          <a:xfrm>
            <a:off x="600075" y="59645550"/>
            <a:ext cx="5762445" cy="3600000"/>
            <a:chOff x="600075" y="59645550"/>
            <a:chExt cx="5762445" cy="3600000"/>
          </a:xfrm>
        </xdr:grpSpPr>
        <xdr:pic>
          <xdr:nvPicPr>
            <xdr:cNvPr id="50" name="Picture 49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00075" y="59645550"/>
              <a:ext cx="5762445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" name="TextBox 3"/>
            <xdr:cNvSpPr txBox="1"/>
          </xdr:nvSpPr>
          <xdr:spPr>
            <a:xfrm>
              <a:off x="1752600" y="61826775"/>
              <a:ext cx="1186222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>
                  <a:solidFill>
                    <a:srgbClr val="FF0000"/>
                  </a:solidFill>
                </a:rPr>
                <a:t>Building No.1</a:t>
              </a:r>
            </a:p>
          </xdr:txBody>
        </xdr:sp>
        <xdr:sp macro="" textlink="">
          <xdr:nvSpPr>
            <xdr:cNvPr id="52" name="TextBox 51"/>
            <xdr:cNvSpPr txBox="1"/>
          </xdr:nvSpPr>
          <xdr:spPr>
            <a:xfrm>
              <a:off x="3819525" y="61931550"/>
              <a:ext cx="1186222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>
                  <a:solidFill>
                    <a:srgbClr val="FF0000"/>
                  </a:solidFill>
                </a:rPr>
                <a:t>Building No.2</a:t>
              </a:r>
            </a:p>
          </xdr:txBody>
        </xdr:sp>
      </xdr:grpSp>
      <xdr:grpSp>
        <xdr:nvGrpSpPr>
          <xdr:cNvPr id="6" name="Group 5"/>
          <xdr:cNvGrpSpPr/>
        </xdr:nvGrpSpPr>
        <xdr:grpSpPr>
          <a:xfrm>
            <a:off x="295275" y="63446025"/>
            <a:ext cx="6308097" cy="3960000"/>
            <a:chOff x="295275" y="63446025"/>
            <a:chExt cx="6308097" cy="3960000"/>
          </a:xfrm>
        </xdr:grpSpPr>
        <xdr:pic>
          <xdr:nvPicPr>
            <xdr:cNvPr id="53" name="Picture 52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95275" y="63446025"/>
              <a:ext cx="6308097" cy="39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" name="TextBox 4"/>
            <xdr:cNvSpPr txBox="1"/>
          </xdr:nvSpPr>
          <xdr:spPr>
            <a:xfrm>
              <a:off x="2733675" y="65303400"/>
              <a:ext cx="370679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/>
                <a:t>C1</a:t>
              </a:r>
            </a:p>
          </xdr:txBody>
        </xdr:sp>
        <xdr:sp macro="" textlink="">
          <xdr:nvSpPr>
            <xdr:cNvPr id="54" name="TextBox 53"/>
            <xdr:cNvSpPr txBox="1"/>
          </xdr:nvSpPr>
          <xdr:spPr>
            <a:xfrm>
              <a:off x="1943100" y="66160650"/>
              <a:ext cx="62865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400" b="1"/>
                <a:t>C7</a:t>
              </a:r>
            </a:p>
          </xdr:txBody>
        </xdr:sp>
        <xdr:sp macro="" textlink="">
          <xdr:nvSpPr>
            <xdr:cNvPr id="55" name="TextBox 54"/>
            <xdr:cNvSpPr txBox="1"/>
          </xdr:nvSpPr>
          <xdr:spPr>
            <a:xfrm>
              <a:off x="1219200" y="65227200"/>
              <a:ext cx="370679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/>
                <a:t>C8</a:t>
              </a:r>
            </a:p>
          </xdr:txBody>
        </xdr:sp>
        <xdr:sp macro="" textlink="">
          <xdr:nvSpPr>
            <xdr:cNvPr id="56" name="TextBox 55"/>
            <xdr:cNvSpPr txBox="1"/>
          </xdr:nvSpPr>
          <xdr:spPr>
            <a:xfrm>
              <a:off x="1085850" y="64255650"/>
              <a:ext cx="370679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/>
                <a:t>C9</a:t>
              </a:r>
            </a:p>
          </xdr:txBody>
        </xdr:sp>
        <xdr:sp macro="" textlink="">
          <xdr:nvSpPr>
            <xdr:cNvPr id="57" name="TextBox 56"/>
            <xdr:cNvSpPr txBox="1"/>
          </xdr:nvSpPr>
          <xdr:spPr>
            <a:xfrm>
              <a:off x="2209800" y="64208025"/>
              <a:ext cx="46166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/>
                <a:t>C10</a:t>
              </a:r>
            </a:p>
          </xdr:txBody>
        </xdr:sp>
        <xdr:sp macro="" textlink="">
          <xdr:nvSpPr>
            <xdr:cNvPr id="58" name="TextBox 57"/>
            <xdr:cNvSpPr txBox="1"/>
          </xdr:nvSpPr>
          <xdr:spPr>
            <a:xfrm>
              <a:off x="2762250" y="66151125"/>
              <a:ext cx="370679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/>
                <a:t>C6</a:t>
              </a:r>
            </a:p>
          </xdr:txBody>
        </xdr:sp>
        <xdr:sp macro="" textlink="">
          <xdr:nvSpPr>
            <xdr:cNvPr id="62" name="TextBox 61"/>
            <xdr:cNvSpPr txBox="1"/>
          </xdr:nvSpPr>
          <xdr:spPr>
            <a:xfrm>
              <a:off x="4648200" y="64874775"/>
              <a:ext cx="38882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/>
                <a:t>D2</a:t>
              </a:r>
            </a:p>
          </xdr:txBody>
        </xdr:sp>
        <xdr:sp macro="" textlink="">
          <xdr:nvSpPr>
            <xdr:cNvPr id="63" name="TextBox 62"/>
            <xdr:cNvSpPr txBox="1"/>
          </xdr:nvSpPr>
          <xdr:spPr>
            <a:xfrm>
              <a:off x="4286250" y="66198750"/>
              <a:ext cx="38882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/>
                <a:t>D5</a:t>
              </a:r>
            </a:p>
          </xdr:txBody>
        </xdr:sp>
        <xdr:sp macro="" textlink="">
          <xdr:nvSpPr>
            <xdr:cNvPr id="64" name="TextBox 63"/>
            <xdr:cNvSpPr txBox="1"/>
          </xdr:nvSpPr>
          <xdr:spPr>
            <a:xfrm>
              <a:off x="5438775" y="66170175"/>
              <a:ext cx="38882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/>
                <a:t>D4</a:t>
              </a:r>
            </a:p>
          </xdr:txBody>
        </xdr:sp>
        <xdr:sp macro="" textlink="">
          <xdr:nvSpPr>
            <xdr:cNvPr id="65" name="TextBox 64"/>
            <xdr:cNvSpPr txBox="1"/>
          </xdr:nvSpPr>
          <xdr:spPr>
            <a:xfrm>
              <a:off x="5438775" y="64912875"/>
              <a:ext cx="38882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/>
                <a:t>D3</a:t>
              </a:r>
            </a:p>
          </xdr:txBody>
        </xdr:sp>
      </xdr:grpSp>
    </xdr:grpSp>
    <xdr:clientData/>
  </xdr:twoCellAnchor>
  <xdr:twoCellAnchor>
    <xdr:from>
      <xdr:col>8</xdr:col>
      <xdr:colOff>266700</xdr:colOff>
      <xdr:row>262</xdr:row>
      <xdr:rowOff>38100</xdr:rowOff>
    </xdr:from>
    <xdr:to>
      <xdr:col>20</xdr:col>
      <xdr:colOff>185328</xdr:colOff>
      <xdr:row>304</xdr:row>
      <xdr:rowOff>76708</xdr:rowOff>
    </xdr:to>
    <xdr:grpSp>
      <xdr:nvGrpSpPr>
        <xdr:cNvPr id="10" name="Group 9"/>
        <xdr:cNvGrpSpPr/>
      </xdr:nvGrpSpPr>
      <xdr:grpSpPr>
        <a:xfrm>
          <a:off x="7448550" y="51365150"/>
          <a:ext cx="6802028" cy="8299958"/>
          <a:chOff x="247650" y="50247550"/>
          <a:chExt cx="6760753" cy="8299958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07800" y="5024755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7626" y="502475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26994" y="502475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60400" y="56747508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59809" y="5674750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97292" y="5248270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5100" y="52482706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000" y="56747508"/>
            <a:ext cx="135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66196" y="52482706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07200" y="56747508"/>
            <a:ext cx="135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43891" y="52482706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5100" y="54615107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65939" y="54609862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96778" y="54609862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43891" y="54609862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7" name="TextBox 76"/>
          <xdr:cNvSpPr txBox="1"/>
        </xdr:nvSpPr>
        <xdr:spPr>
          <a:xfrm>
            <a:off x="1025476" y="50304700"/>
            <a:ext cx="59016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78" name="TextBox 77"/>
          <xdr:cNvSpPr txBox="1"/>
        </xdr:nvSpPr>
        <xdr:spPr>
          <a:xfrm>
            <a:off x="5944544" y="50330100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79" name="TextBox 78"/>
          <xdr:cNvSpPr txBox="1"/>
        </xdr:nvSpPr>
        <xdr:spPr>
          <a:xfrm>
            <a:off x="435100" y="52482706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80" name="TextBox 79"/>
          <xdr:cNvSpPr txBox="1"/>
        </xdr:nvSpPr>
        <xdr:spPr>
          <a:xfrm>
            <a:off x="2720246" y="52558906"/>
            <a:ext cx="591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81" name="TextBox 80"/>
          <xdr:cNvSpPr txBox="1"/>
        </xdr:nvSpPr>
        <xdr:spPr>
          <a:xfrm>
            <a:off x="5655041" y="54013056"/>
            <a:ext cx="59016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82" name="TextBox 81"/>
          <xdr:cNvSpPr txBox="1"/>
        </xdr:nvSpPr>
        <xdr:spPr>
          <a:xfrm>
            <a:off x="752600" y="56151807"/>
            <a:ext cx="59016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83" name="TextBox 82"/>
          <xdr:cNvSpPr txBox="1"/>
        </xdr:nvSpPr>
        <xdr:spPr>
          <a:xfrm>
            <a:off x="2408839" y="56140212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84" name="TextBox 83"/>
          <xdr:cNvSpPr txBox="1"/>
        </xdr:nvSpPr>
        <xdr:spPr>
          <a:xfrm>
            <a:off x="3931728" y="56057662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85" name="TextBox 84"/>
          <xdr:cNvSpPr txBox="1"/>
        </xdr:nvSpPr>
        <xdr:spPr>
          <a:xfrm>
            <a:off x="5693141" y="56152912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86" name="TextBox 85"/>
          <xdr:cNvSpPr txBox="1"/>
        </xdr:nvSpPr>
        <xdr:spPr>
          <a:xfrm>
            <a:off x="247650" y="58093708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87" name="TextBox 86"/>
          <xdr:cNvSpPr txBox="1"/>
        </xdr:nvSpPr>
        <xdr:spPr>
          <a:xfrm>
            <a:off x="2094550" y="58055608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  <xdr:twoCellAnchor>
    <xdr:from>
      <xdr:col>0</xdr:col>
      <xdr:colOff>266700</xdr:colOff>
      <xdr:row>262</xdr:row>
      <xdr:rowOff>95250</xdr:rowOff>
    </xdr:from>
    <xdr:to>
      <xdr:col>7</xdr:col>
      <xdr:colOff>862045</xdr:colOff>
      <xdr:row>304</xdr:row>
      <xdr:rowOff>165100</xdr:rowOff>
    </xdr:to>
    <xdr:grpSp>
      <xdr:nvGrpSpPr>
        <xdr:cNvPr id="12" name="Group 11"/>
        <xdr:cNvGrpSpPr/>
      </xdr:nvGrpSpPr>
      <xdr:grpSpPr>
        <a:xfrm>
          <a:off x="266700" y="51422300"/>
          <a:ext cx="6570695" cy="8331200"/>
          <a:chOff x="266700" y="51219100"/>
          <a:chExt cx="6570695" cy="8331200"/>
        </a:xfrm>
      </xdr:grpSpPr>
      <xdr:pic>
        <xdr:nvPicPr>
          <xdr:cNvPr id="89" name="Picture 88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5074" y="57808429"/>
            <a:ext cx="1537397" cy="174187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3062" y="512191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1" name="Picture 90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99998" y="5564798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6" name="Picture 95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700" y="5348754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7" name="Picture 96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35887" y="5348754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8" name="Picture 97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4077" y="512191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9" name="Picture 98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6072" y="512191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0" name="Picture 99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99998" y="5348754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1" name="Picture 100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700" y="5564798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2" name="Picture 101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35887" y="5564798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3" name="Picture 102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8675" y="5348754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4" name="Picture 103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35886" y="57808429"/>
            <a:ext cx="1537397" cy="174187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5" name="Picture 104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5074" y="5564798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6" name="TextBox 105"/>
          <xdr:cNvSpPr txBox="1"/>
        </xdr:nvSpPr>
        <xdr:spPr>
          <a:xfrm>
            <a:off x="4025427" y="52901850"/>
            <a:ext cx="59376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107" name="TextBox 106"/>
          <xdr:cNvSpPr txBox="1"/>
        </xdr:nvSpPr>
        <xdr:spPr>
          <a:xfrm>
            <a:off x="5323872" y="52920900"/>
            <a:ext cx="59376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108" name="TextBox 107"/>
          <xdr:cNvSpPr txBox="1"/>
        </xdr:nvSpPr>
        <xdr:spPr>
          <a:xfrm>
            <a:off x="704850" y="55113143"/>
            <a:ext cx="59376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109" name="TextBox 108"/>
          <xdr:cNvSpPr txBox="1"/>
        </xdr:nvSpPr>
        <xdr:spPr>
          <a:xfrm>
            <a:off x="2304187" y="54986143"/>
            <a:ext cx="59376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4</xdr:col>
          <xdr:colOff>304800</xdr:colOff>
          <xdr:row>3</xdr:row>
          <xdr:rowOff>114300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SrWbTzdN7gZDNyq9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35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51"/>
  <sheetViews>
    <sheetView tabSelected="1" view="pageBreakPreview" topLeftCell="A85" zoomScaleNormal="100" zoomScaleSheetLayoutView="100" zoomScalePageLayoutView="85" workbookViewId="0">
      <selection activeCell="C97" sqref="C97"/>
    </sheetView>
  </sheetViews>
  <sheetFormatPr defaultColWidth="9.1796875" defaultRowHeight="15.5" x14ac:dyDescent="0.35"/>
  <cols>
    <col min="1" max="1" width="11.453125" style="60" customWidth="1"/>
    <col min="2" max="2" width="12" style="60" customWidth="1"/>
    <col min="3" max="3" width="12.7265625" style="60" customWidth="1"/>
    <col min="4" max="4" width="14.1796875" style="60" customWidth="1"/>
    <col min="5" max="7" width="11.7265625" style="60" customWidth="1"/>
    <col min="8" max="8" width="17.26953125" style="60" customWidth="1"/>
    <col min="9" max="9" width="17.453125" style="35" customWidth="1"/>
    <col min="10" max="10" width="11.453125" style="35" customWidth="1"/>
    <col min="11" max="11" width="10.54296875" style="35" bestFit="1" customWidth="1"/>
    <col min="12" max="12" width="10.54296875" style="35" customWidth="1"/>
    <col min="13" max="13" width="11.81640625" style="35" customWidth="1"/>
    <col min="14" max="14" width="12.54296875" style="35" hidden="1" customWidth="1"/>
    <col min="15" max="15" width="9.81640625" style="35" hidden="1" customWidth="1"/>
    <col min="16" max="16" width="10.453125" style="35" hidden="1" customWidth="1"/>
    <col min="17" max="247" width="9.1796875" style="35"/>
    <col min="248" max="248" width="8.7265625" style="35" customWidth="1"/>
    <col min="249" max="249" width="9.81640625" style="35" customWidth="1"/>
    <col min="250" max="250" width="14.453125" style="35" customWidth="1"/>
    <col min="251" max="251" width="7.26953125" style="35" customWidth="1"/>
    <col min="252" max="252" width="5.54296875" style="35" customWidth="1"/>
    <col min="253" max="253" width="9" style="35" customWidth="1"/>
    <col min="254" max="255" width="9.81640625" style="35" customWidth="1"/>
    <col min="256" max="256" width="11.1796875" style="35" customWidth="1"/>
    <col min="257" max="257" width="2.81640625" style="35" customWidth="1"/>
    <col min="258" max="258" width="3.54296875" style="35" customWidth="1"/>
    <col min="259" max="503" width="9.1796875" style="35"/>
    <col min="504" max="504" width="8.7265625" style="35" customWidth="1"/>
    <col min="505" max="505" width="9.81640625" style="35" customWidth="1"/>
    <col min="506" max="506" width="14.453125" style="35" customWidth="1"/>
    <col min="507" max="507" width="7.26953125" style="35" customWidth="1"/>
    <col min="508" max="508" width="5.54296875" style="35" customWidth="1"/>
    <col min="509" max="509" width="9" style="35" customWidth="1"/>
    <col min="510" max="511" width="9.81640625" style="35" customWidth="1"/>
    <col min="512" max="512" width="11.1796875" style="35" customWidth="1"/>
    <col min="513" max="513" width="2.81640625" style="35" customWidth="1"/>
    <col min="514" max="514" width="3.54296875" style="35" customWidth="1"/>
    <col min="515" max="759" width="9.1796875" style="35"/>
    <col min="760" max="760" width="8.7265625" style="35" customWidth="1"/>
    <col min="761" max="761" width="9.81640625" style="35" customWidth="1"/>
    <col min="762" max="762" width="14.453125" style="35" customWidth="1"/>
    <col min="763" max="763" width="7.26953125" style="35" customWidth="1"/>
    <col min="764" max="764" width="5.54296875" style="35" customWidth="1"/>
    <col min="765" max="765" width="9" style="35" customWidth="1"/>
    <col min="766" max="767" width="9.81640625" style="35" customWidth="1"/>
    <col min="768" max="768" width="11.1796875" style="35" customWidth="1"/>
    <col min="769" max="769" width="2.81640625" style="35" customWidth="1"/>
    <col min="770" max="770" width="3.54296875" style="35" customWidth="1"/>
    <col min="771" max="1015" width="9.1796875" style="35"/>
    <col min="1016" max="1016" width="8.7265625" style="35" customWidth="1"/>
    <col min="1017" max="1017" width="9.81640625" style="35" customWidth="1"/>
    <col min="1018" max="1018" width="14.453125" style="35" customWidth="1"/>
    <col min="1019" max="1019" width="7.26953125" style="35" customWidth="1"/>
    <col min="1020" max="1020" width="5.54296875" style="35" customWidth="1"/>
    <col min="1021" max="1021" width="9" style="35" customWidth="1"/>
    <col min="1022" max="1023" width="9.81640625" style="35" customWidth="1"/>
    <col min="1024" max="1024" width="11.1796875" style="35" customWidth="1"/>
    <col min="1025" max="1025" width="2.81640625" style="35" customWidth="1"/>
    <col min="1026" max="1026" width="3.54296875" style="35" customWidth="1"/>
    <col min="1027" max="1271" width="9.1796875" style="35"/>
    <col min="1272" max="1272" width="8.7265625" style="35" customWidth="1"/>
    <col min="1273" max="1273" width="9.81640625" style="35" customWidth="1"/>
    <col min="1274" max="1274" width="14.453125" style="35" customWidth="1"/>
    <col min="1275" max="1275" width="7.26953125" style="35" customWidth="1"/>
    <col min="1276" max="1276" width="5.54296875" style="35" customWidth="1"/>
    <col min="1277" max="1277" width="9" style="35" customWidth="1"/>
    <col min="1278" max="1279" width="9.81640625" style="35" customWidth="1"/>
    <col min="1280" max="1280" width="11.1796875" style="35" customWidth="1"/>
    <col min="1281" max="1281" width="2.81640625" style="35" customWidth="1"/>
    <col min="1282" max="1282" width="3.54296875" style="35" customWidth="1"/>
    <col min="1283" max="1527" width="9.1796875" style="35"/>
    <col min="1528" max="1528" width="8.7265625" style="35" customWidth="1"/>
    <col min="1529" max="1529" width="9.81640625" style="35" customWidth="1"/>
    <col min="1530" max="1530" width="14.453125" style="35" customWidth="1"/>
    <col min="1531" max="1531" width="7.26953125" style="35" customWidth="1"/>
    <col min="1532" max="1532" width="5.54296875" style="35" customWidth="1"/>
    <col min="1533" max="1533" width="9" style="35" customWidth="1"/>
    <col min="1534" max="1535" width="9.81640625" style="35" customWidth="1"/>
    <col min="1536" max="1536" width="11.1796875" style="35" customWidth="1"/>
    <col min="1537" max="1537" width="2.81640625" style="35" customWidth="1"/>
    <col min="1538" max="1538" width="3.54296875" style="35" customWidth="1"/>
    <col min="1539" max="1783" width="9.1796875" style="35"/>
    <col min="1784" max="1784" width="8.7265625" style="35" customWidth="1"/>
    <col min="1785" max="1785" width="9.81640625" style="35" customWidth="1"/>
    <col min="1786" max="1786" width="14.453125" style="35" customWidth="1"/>
    <col min="1787" max="1787" width="7.26953125" style="35" customWidth="1"/>
    <col min="1788" max="1788" width="5.54296875" style="35" customWidth="1"/>
    <col min="1789" max="1789" width="9" style="35" customWidth="1"/>
    <col min="1790" max="1791" width="9.81640625" style="35" customWidth="1"/>
    <col min="1792" max="1792" width="11.1796875" style="35" customWidth="1"/>
    <col min="1793" max="1793" width="2.81640625" style="35" customWidth="1"/>
    <col min="1794" max="1794" width="3.54296875" style="35" customWidth="1"/>
    <col min="1795" max="2039" width="9.1796875" style="35"/>
    <col min="2040" max="2040" width="8.7265625" style="35" customWidth="1"/>
    <col min="2041" max="2041" width="9.81640625" style="35" customWidth="1"/>
    <col min="2042" max="2042" width="14.453125" style="35" customWidth="1"/>
    <col min="2043" max="2043" width="7.26953125" style="35" customWidth="1"/>
    <col min="2044" max="2044" width="5.54296875" style="35" customWidth="1"/>
    <col min="2045" max="2045" width="9" style="35" customWidth="1"/>
    <col min="2046" max="2047" width="9.81640625" style="35" customWidth="1"/>
    <col min="2048" max="2048" width="11.1796875" style="35" customWidth="1"/>
    <col min="2049" max="2049" width="2.81640625" style="35" customWidth="1"/>
    <col min="2050" max="2050" width="3.54296875" style="35" customWidth="1"/>
    <col min="2051" max="2295" width="9.1796875" style="35"/>
    <col min="2296" max="2296" width="8.7265625" style="35" customWidth="1"/>
    <col min="2297" max="2297" width="9.81640625" style="35" customWidth="1"/>
    <col min="2298" max="2298" width="14.453125" style="35" customWidth="1"/>
    <col min="2299" max="2299" width="7.26953125" style="35" customWidth="1"/>
    <col min="2300" max="2300" width="5.54296875" style="35" customWidth="1"/>
    <col min="2301" max="2301" width="9" style="35" customWidth="1"/>
    <col min="2302" max="2303" width="9.81640625" style="35" customWidth="1"/>
    <col min="2304" max="2304" width="11.1796875" style="35" customWidth="1"/>
    <col min="2305" max="2305" width="2.81640625" style="35" customWidth="1"/>
    <col min="2306" max="2306" width="3.54296875" style="35" customWidth="1"/>
    <col min="2307" max="2551" width="9.1796875" style="35"/>
    <col min="2552" max="2552" width="8.7265625" style="35" customWidth="1"/>
    <col min="2553" max="2553" width="9.81640625" style="35" customWidth="1"/>
    <col min="2554" max="2554" width="14.453125" style="35" customWidth="1"/>
    <col min="2555" max="2555" width="7.26953125" style="35" customWidth="1"/>
    <col min="2556" max="2556" width="5.54296875" style="35" customWidth="1"/>
    <col min="2557" max="2557" width="9" style="35" customWidth="1"/>
    <col min="2558" max="2559" width="9.81640625" style="35" customWidth="1"/>
    <col min="2560" max="2560" width="11.1796875" style="35" customWidth="1"/>
    <col min="2561" max="2561" width="2.81640625" style="35" customWidth="1"/>
    <col min="2562" max="2562" width="3.54296875" style="35" customWidth="1"/>
    <col min="2563" max="2807" width="9.1796875" style="35"/>
    <col min="2808" max="2808" width="8.7265625" style="35" customWidth="1"/>
    <col min="2809" max="2809" width="9.81640625" style="35" customWidth="1"/>
    <col min="2810" max="2810" width="14.453125" style="35" customWidth="1"/>
    <col min="2811" max="2811" width="7.26953125" style="35" customWidth="1"/>
    <col min="2812" max="2812" width="5.54296875" style="35" customWidth="1"/>
    <col min="2813" max="2813" width="9" style="35" customWidth="1"/>
    <col min="2814" max="2815" width="9.81640625" style="35" customWidth="1"/>
    <col min="2816" max="2816" width="11.1796875" style="35" customWidth="1"/>
    <col min="2817" max="2817" width="2.81640625" style="35" customWidth="1"/>
    <col min="2818" max="2818" width="3.54296875" style="35" customWidth="1"/>
    <col min="2819" max="3063" width="9.1796875" style="35"/>
    <col min="3064" max="3064" width="8.7265625" style="35" customWidth="1"/>
    <col min="3065" max="3065" width="9.81640625" style="35" customWidth="1"/>
    <col min="3066" max="3066" width="14.453125" style="35" customWidth="1"/>
    <col min="3067" max="3067" width="7.26953125" style="35" customWidth="1"/>
    <col min="3068" max="3068" width="5.54296875" style="35" customWidth="1"/>
    <col min="3069" max="3069" width="9" style="35" customWidth="1"/>
    <col min="3070" max="3071" width="9.81640625" style="35" customWidth="1"/>
    <col min="3072" max="3072" width="11.1796875" style="35" customWidth="1"/>
    <col min="3073" max="3073" width="2.81640625" style="35" customWidth="1"/>
    <col min="3074" max="3074" width="3.54296875" style="35" customWidth="1"/>
    <col min="3075" max="3319" width="9.1796875" style="35"/>
    <col min="3320" max="3320" width="8.7265625" style="35" customWidth="1"/>
    <col min="3321" max="3321" width="9.81640625" style="35" customWidth="1"/>
    <col min="3322" max="3322" width="14.453125" style="35" customWidth="1"/>
    <col min="3323" max="3323" width="7.26953125" style="35" customWidth="1"/>
    <col min="3324" max="3324" width="5.54296875" style="35" customWidth="1"/>
    <col min="3325" max="3325" width="9" style="35" customWidth="1"/>
    <col min="3326" max="3327" width="9.81640625" style="35" customWidth="1"/>
    <col min="3328" max="3328" width="11.1796875" style="35" customWidth="1"/>
    <col min="3329" max="3329" width="2.81640625" style="35" customWidth="1"/>
    <col min="3330" max="3330" width="3.54296875" style="35" customWidth="1"/>
    <col min="3331" max="3575" width="9.1796875" style="35"/>
    <col min="3576" max="3576" width="8.7265625" style="35" customWidth="1"/>
    <col min="3577" max="3577" width="9.81640625" style="35" customWidth="1"/>
    <col min="3578" max="3578" width="14.453125" style="35" customWidth="1"/>
    <col min="3579" max="3579" width="7.26953125" style="35" customWidth="1"/>
    <col min="3580" max="3580" width="5.54296875" style="35" customWidth="1"/>
    <col min="3581" max="3581" width="9" style="35" customWidth="1"/>
    <col min="3582" max="3583" width="9.81640625" style="35" customWidth="1"/>
    <col min="3584" max="3584" width="11.1796875" style="35" customWidth="1"/>
    <col min="3585" max="3585" width="2.81640625" style="35" customWidth="1"/>
    <col min="3586" max="3586" width="3.54296875" style="35" customWidth="1"/>
    <col min="3587" max="3831" width="9.1796875" style="35"/>
    <col min="3832" max="3832" width="8.7265625" style="35" customWidth="1"/>
    <col min="3833" max="3833" width="9.81640625" style="35" customWidth="1"/>
    <col min="3834" max="3834" width="14.453125" style="35" customWidth="1"/>
    <col min="3835" max="3835" width="7.26953125" style="35" customWidth="1"/>
    <col min="3836" max="3836" width="5.54296875" style="35" customWidth="1"/>
    <col min="3837" max="3837" width="9" style="35" customWidth="1"/>
    <col min="3838" max="3839" width="9.81640625" style="35" customWidth="1"/>
    <col min="3840" max="3840" width="11.1796875" style="35" customWidth="1"/>
    <col min="3841" max="3841" width="2.81640625" style="35" customWidth="1"/>
    <col min="3842" max="3842" width="3.54296875" style="35" customWidth="1"/>
    <col min="3843" max="4087" width="9.1796875" style="35"/>
    <col min="4088" max="4088" width="8.7265625" style="35" customWidth="1"/>
    <col min="4089" max="4089" width="9.81640625" style="35" customWidth="1"/>
    <col min="4090" max="4090" width="14.453125" style="35" customWidth="1"/>
    <col min="4091" max="4091" width="7.26953125" style="35" customWidth="1"/>
    <col min="4092" max="4092" width="5.54296875" style="35" customWidth="1"/>
    <col min="4093" max="4093" width="9" style="35" customWidth="1"/>
    <col min="4094" max="4095" width="9.81640625" style="35" customWidth="1"/>
    <col min="4096" max="4096" width="11.1796875" style="35" customWidth="1"/>
    <col min="4097" max="4097" width="2.81640625" style="35" customWidth="1"/>
    <col min="4098" max="4098" width="3.54296875" style="35" customWidth="1"/>
    <col min="4099" max="4343" width="9.1796875" style="35"/>
    <col min="4344" max="4344" width="8.7265625" style="35" customWidth="1"/>
    <col min="4345" max="4345" width="9.81640625" style="35" customWidth="1"/>
    <col min="4346" max="4346" width="14.453125" style="35" customWidth="1"/>
    <col min="4347" max="4347" width="7.26953125" style="35" customWidth="1"/>
    <col min="4348" max="4348" width="5.54296875" style="35" customWidth="1"/>
    <col min="4349" max="4349" width="9" style="35" customWidth="1"/>
    <col min="4350" max="4351" width="9.81640625" style="35" customWidth="1"/>
    <col min="4352" max="4352" width="11.1796875" style="35" customWidth="1"/>
    <col min="4353" max="4353" width="2.81640625" style="35" customWidth="1"/>
    <col min="4354" max="4354" width="3.54296875" style="35" customWidth="1"/>
    <col min="4355" max="4599" width="9.1796875" style="35"/>
    <col min="4600" max="4600" width="8.7265625" style="35" customWidth="1"/>
    <col min="4601" max="4601" width="9.81640625" style="35" customWidth="1"/>
    <col min="4602" max="4602" width="14.453125" style="35" customWidth="1"/>
    <col min="4603" max="4603" width="7.26953125" style="35" customWidth="1"/>
    <col min="4604" max="4604" width="5.54296875" style="35" customWidth="1"/>
    <col min="4605" max="4605" width="9" style="35" customWidth="1"/>
    <col min="4606" max="4607" width="9.81640625" style="35" customWidth="1"/>
    <col min="4608" max="4608" width="11.1796875" style="35" customWidth="1"/>
    <col min="4609" max="4609" width="2.81640625" style="35" customWidth="1"/>
    <col min="4610" max="4610" width="3.54296875" style="35" customWidth="1"/>
    <col min="4611" max="4855" width="9.1796875" style="35"/>
    <col min="4856" max="4856" width="8.7265625" style="35" customWidth="1"/>
    <col min="4857" max="4857" width="9.81640625" style="35" customWidth="1"/>
    <col min="4858" max="4858" width="14.453125" style="35" customWidth="1"/>
    <col min="4859" max="4859" width="7.26953125" style="35" customWidth="1"/>
    <col min="4860" max="4860" width="5.54296875" style="35" customWidth="1"/>
    <col min="4861" max="4861" width="9" style="35" customWidth="1"/>
    <col min="4862" max="4863" width="9.81640625" style="35" customWidth="1"/>
    <col min="4864" max="4864" width="11.1796875" style="35" customWidth="1"/>
    <col min="4865" max="4865" width="2.81640625" style="35" customWidth="1"/>
    <col min="4866" max="4866" width="3.54296875" style="35" customWidth="1"/>
    <col min="4867" max="5111" width="9.1796875" style="35"/>
    <col min="5112" max="5112" width="8.7265625" style="35" customWidth="1"/>
    <col min="5113" max="5113" width="9.81640625" style="35" customWidth="1"/>
    <col min="5114" max="5114" width="14.453125" style="35" customWidth="1"/>
    <col min="5115" max="5115" width="7.26953125" style="35" customWidth="1"/>
    <col min="5116" max="5116" width="5.54296875" style="35" customWidth="1"/>
    <col min="5117" max="5117" width="9" style="35" customWidth="1"/>
    <col min="5118" max="5119" width="9.81640625" style="35" customWidth="1"/>
    <col min="5120" max="5120" width="11.1796875" style="35" customWidth="1"/>
    <col min="5121" max="5121" width="2.81640625" style="35" customWidth="1"/>
    <col min="5122" max="5122" width="3.54296875" style="35" customWidth="1"/>
    <col min="5123" max="5367" width="9.1796875" style="35"/>
    <col min="5368" max="5368" width="8.7265625" style="35" customWidth="1"/>
    <col min="5369" max="5369" width="9.81640625" style="35" customWidth="1"/>
    <col min="5370" max="5370" width="14.453125" style="35" customWidth="1"/>
    <col min="5371" max="5371" width="7.26953125" style="35" customWidth="1"/>
    <col min="5372" max="5372" width="5.54296875" style="35" customWidth="1"/>
    <col min="5373" max="5373" width="9" style="35" customWidth="1"/>
    <col min="5374" max="5375" width="9.81640625" style="35" customWidth="1"/>
    <col min="5376" max="5376" width="11.1796875" style="35" customWidth="1"/>
    <col min="5377" max="5377" width="2.81640625" style="35" customWidth="1"/>
    <col min="5378" max="5378" width="3.54296875" style="35" customWidth="1"/>
    <col min="5379" max="5623" width="9.1796875" style="35"/>
    <col min="5624" max="5624" width="8.7265625" style="35" customWidth="1"/>
    <col min="5625" max="5625" width="9.81640625" style="35" customWidth="1"/>
    <col min="5626" max="5626" width="14.453125" style="35" customWidth="1"/>
    <col min="5627" max="5627" width="7.26953125" style="35" customWidth="1"/>
    <col min="5628" max="5628" width="5.54296875" style="35" customWidth="1"/>
    <col min="5629" max="5629" width="9" style="35" customWidth="1"/>
    <col min="5630" max="5631" width="9.81640625" style="35" customWidth="1"/>
    <col min="5632" max="5632" width="11.1796875" style="35" customWidth="1"/>
    <col min="5633" max="5633" width="2.81640625" style="35" customWidth="1"/>
    <col min="5634" max="5634" width="3.54296875" style="35" customWidth="1"/>
    <col min="5635" max="5879" width="9.1796875" style="35"/>
    <col min="5880" max="5880" width="8.7265625" style="35" customWidth="1"/>
    <col min="5881" max="5881" width="9.81640625" style="35" customWidth="1"/>
    <col min="5882" max="5882" width="14.453125" style="35" customWidth="1"/>
    <col min="5883" max="5883" width="7.26953125" style="35" customWidth="1"/>
    <col min="5884" max="5884" width="5.54296875" style="35" customWidth="1"/>
    <col min="5885" max="5885" width="9" style="35" customWidth="1"/>
    <col min="5886" max="5887" width="9.81640625" style="35" customWidth="1"/>
    <col min="5888" max="5888" width="11.1796875" style="35" customWidth="1"/>
    <col min="5889" max="5889" width="2.81640625" style="35" customWidth="1"/>
    <col min="5890" max="5890" width="3.54296875" style="35" customWidth="1"/>
    <col min="5891" max="6135" width="9.1796875" style="35"/>
    <col min="6136" max="6136" width="8.7265625" style="35" customWidth="1"/>
    <col min="6137" max="6137" width="9.81640625" style="35" customWidth="1"/>
    <col min="6138" max="6138" width="14.453125" style="35" customWidth="1"/>
    <col min="6139" max="6139" width="7.26953125" style="35" customWidth="1"/>
    <col min="6140" max="6140" width="5.54296875" style="35" customWidth="1"/>
    <col min="6141" max="6141" width="9" style="35" customWidth="1"/>
    <col min="6142" max="6143" width="9.81640625" style="35" customWidth="1"/>
    <col min="6144" max="6144" width="11.1796875" style="35" customWidth="1"/>
    <col min="6145" max="6145" width="2.81640625" style="35" customWidth="1"/>
    <col min="6146" max="6146" width="3.54296875" style="35" customWidth="1"/>
    <col min="6147" max="6391" width="9.1796875" style="35"/>
    <col min="6392" max="6392" width="8.7265625" style="35" customWidth="1"/>
    <col min="6393" max="6393" width="9.81640625" style="35" customWidth="1"/>
    <col min="6394" max="6394" width="14.453125" style="35" customWidth="1"/>
    <col min="6395" max="6395" width="7.26953125" style="35" customWidth="1"/>
    <col min="6396" max="6396" width="5.54296875" style="35" customWidth="1"/>
    <col min="6397" max="6397" width="9" style="35" customWidth="1"/>
    <col min="6398" max="6399" width="9.81640625" style="35" customWidth="1"/>
    <col min="6400" max="6400" width="11.1796875" style="35" customWidth="1"/>
    <col min="6401" max="6401" width="2.81640625" style="35" customWidth="1"/>
    <col min="6402" max="6402" width="3.54296875" style="35" customWidth="1"/>
    <col min="6403" max="6647" width="9.1796875" style="35"/>
    <col min="6648" max="6648" width="8.7265625" style="35" customWidth="1"/>
    <col min="6649" max="6649" width="9.81640625" style="35" customWidth="1"/>
    <col min="6650" max="6650" width="14.453125" style="35" customWidth="1"/>
    <col min="6651" max="6651" width="7.26953125" style="35" customWidth="1"/>
    <col min="6652" max="6652" width="5.54296875" style="35" customWidth="1"/>
    <col min="6653" max="6653" width="9" style="35" customWidth="1"/>
    <col min="6654" max="6655" width="9.81640625" style="35" customWidth="1"/>
    <col min="6656" max="6656" width="11.1796875" style="35" customWidth="1"/>
    <col min="6657" max="6657" width="2.81640625" style="35" customWidth="1"/>
    <col min="6658" max="6658" width="3.54296875" style="35" customWidth="1"/>
    <col min="6659" max="6903" width="9.1796875" style="35"/>
    <col min="6904" max="6904" width="8.7265625" style="35" customWidth="1"/>
    <col min="6905" max="6905" width="9.81640625" style="35" customWidth="1"/>
    <col min="6906" max="6906" width="14.453125" style="35" customWidth="1"/>
    <col min="6907" max="6907" width="7.26953125" style="35" customWidth="1"/>
    <col min="6908" max="6908" width="5.54296875" style="35" customWidth="1"/>
    <col min="6909" max="6909" width="9" style="35" customWidth="1"/>
    <col min="6910" max="6911" width="9.81640625" style="35" customWidth="1"/>
    <col min="6912" max="6912" width="11.1796875" style="35" customWidth="1"/>
    <col min="6913" max="6913" width="2.81640625" style="35" customWidth="1"/>
    <col min="6914" max="6914" width="3.54296875" style="35" customWidth="1"/>
    <col min="6915" max="7159" width="9.1796875" style="35"/>
    <col min="7160" max="7160" width="8.7265625" style="35" customWidth="1"/>
    <col min="7161" max="7161" width="9.81640625" style="35" customWidth="1"/>
    <col min="7162" max="7162" width="14.453125" style="35" customWidth="1"/>
    <col min="7163" max="7163" width="7.26953125" style="35" customWidth="1"/>
    <col min="7164" max="7164" width="5.54296875" style="35" customWidth="1"/>
    <col min="7165" max="7165" width="9" style="35" customWidth="1"/>
    <col min="7166" max="7167" width="9.81640625" style="35" customWidth="1"/>
    <col min="7168" max="7168" width="11.1796875" style="35" customWidth="1"/>
    <col min="7169" max="7169" width="2.81640625" style="35" customWidth="1"/>
    <col min="7170" max="7170" width="3.54296875" style="35" customWidth="1"/>
    <col min="7171" max="7415" width="9.1796875" style="35"/>
    <col min="7416" max="7416" width="8.7265625" style="35" customWidth="1"/>
    <col min="7417" max="7417" width="9.81640625" style="35" customWidth="1"/>
    <col min="7418" max="7418" width="14.453125" style="35" customWidth="1"/>
    <col min="7419" max="7419" width="7.26953125" style="35" customWidth="1"/>
    <col min="7420" max="7420" width="5.54296875" style="35" customWidth="1"/>
    <col min="7421" max="7421" width="9" style="35" customWidth="1"/>
    <col min="7422" max="7423" width="9.81640625" style="35" customWidth="1"/>
    <col min="7424" max="7424" width="11.1796875" style="35" customWidth="1"/>
    <col min="7425" max="7425" width="2.81640625" style="35" customWidth="1"/>
    <col min="7426" max="7426" width="3.54296875" style="35" customWidth="1"/>
    <col min="7427" max="7671" width="9.1796875" style="35"/>
    <col min="7672" max="7672" width="8.7265625" style="35" customWidth="1"/>
    <col min="7673" max="7673" width="9.81640625" style="35" customWidth="1"/>
    <col min="7674" max="7674" width="14.453125" style="35" customWidth="1"/>
    <col min="7675" max="7675" width="7.26953125" style="35" customWidth="1"/>
    <col min="7676" max="7676" width="5.54296875" style="35" customWidth="1"/>
    <col min="7677" max="7677" width="9" style="35" customWidth="1"/>
    <col min="7678" max="7679" width="9.81640625" style="35" customWidth="1"/>
    <col min="7680" max="7680" width="11.1796875" style="35" customWidth="1"/>
    <col min="7681" max="7681" width="2.81640625" style="35" customWidth="1"/>
    <col min="7682" max="7682" width="3.54296875" style="35" customWidth="1"/>
    <col min="7683" max="7927" width="9.1796875" style="35"/>
    <col min="7928" max="7928" width="8.7265625" style="35" customWidth="1"/>
    <col min="7929" max="7929" width="9.81640625" style="35" customWidth="1"/>
    <col min="7930" max="7930" width="14.453125" style="35" customWidth="1"/>
    <col min="7931" max="7931" width="7.26953125" style="35" customWidth="1"/>
    <col min="7932" max="7932" width="5.54296875" style="35" customWidth="1"/>
    <col min="7933" max="7933" width="9" style="35" customWidth="1"/>
    <col min="7934" max="7935" width="9.81640625" style="35" customWidth="1"/>
    <col min="7936" max="7936" width="11.1796875" style="35" customWidth="1"/>
    <col min="7937" max="7937" width="2.81640625" style="35" customWidth="1"/>
    <col min="7938" max="7938" width="3.54296875" style="35" customWidth="1"/>
    <col min="7939" max="8183" width="9.1796875" style="35"/>
    <col min="8184" max="8184" width="8.7265625" style="35" customWidth="1"/>
    <col min="8185" max="8185" width="9.81640625" style="35" customWidth="1"/>
    <col min="8186" max="8186" width="14.453125" style="35" customWidth="1"/>
    <col min="8187" max="8187" width="7.26953125" style="35" customWidth="1"/>
    <col min="8188" max="8188" width="5.54296875" style="35" customWidth="1"/>
    <col min="8189" max="8189" width="9" style="35" customWidth="1"/>
    <col min="8190" max="8191" width="9.81640625" style="35" customWidth="1"/>
    <col min="8192" max="8192" width="11.1796875" style="35" customWidth="1"/>
    <col min="8193" max="8193" width="2.81640625" style="35" customWidth="1"/>
    <col min="8194" max="8194" width="3.54296875" style="35" customWidth="1"/>
    <col min="8195" max="8439" width="9.1796875" style="35"/>
    <col min="8440" max="8440" width="8.7265625" style="35" customWidth="1"/>
    <col min="8441" max="8441" width="9.81640625" style="35" customWidth="1"/>
    <col min="8442" max="8442" width="14.453125" style="35" customWidth="1"/>
    <col min="8443" max="8443" width="7.26953125" style="35" customWidth="1"/>
    <col min="8444" max="8444" width="5.54296875" style="35" customWidth="1"/>
    <col min="8445" max="8445" width="9" style="35" customWidth="1"/>
    <col min="8446" max="8447" width="9.81640625" style="35" customWidth="1"/>
    <col min="8448" max="8448" width="11.1796875" style="35" customWidth="1"/>
    <col min="8449" max="8449" width="2.81640625" style="35" customWidth="1"/>
    <col min="8450" max="8450" width="3.54296875" style="35" customWidth="1"/>
    <col min="8451" max="8695" width="9.1796875" style="35"/>
    <col min="8696" max="8696" width="8.7265625" style="35" customWidth="1"/>
    <col min="8697" max="8697" width="9.81640625" style="35" customWidth="1"/>
    <col min="8698" max="8698" width="14.453125" style="35" customWidth="1"/>
    <col min="8699" max="8699" width="7.26953125" style="35" customWidth="1"/>
    <col min="8700" max="8700" width="5.54296875" style="35" customWidth="1"/>
    <col min="8701" max="8701" width="9" style="35" customWidth="1"/>
    <col min="8702" max="8703" width="9.81640625" style="35" customWidth="1"/>
    <col min="8704" max="8704" width="11.1796875" style="35" customWidth="1"/>
    <col min="8705" max="8705" width="2.81640625" style="35" customWidth="1"/>
    <col min="8706" max="8706" width="3.54296875" style="35" customWidth="1"/>
    <col min="8707" max="8951" width="9.1796875" style="35"/>
    <col min="8952" max="8952" width="8.7265625" style="35" customWidth="1"/>
    <col min="8953" max="8953" width="9.81640625" style="35" customWidth="1"/>
    <col min="8954" max="8954" width="14.453125" style="35" customWidth="1"/>
    <col min="8955" max="8955" width="7.26953125" style="35" customWidth="1"/>
    <col min="8956" max="8956" width="5.54296875" style="35" customWidth="1"/>
    <col min="8957" max="8957" width="9" style="35" customWidth="1"/>
    <col min="8958" max="8959" width="9.81640625" style="35" customWidth="1"/>
    <col min="8960" max="8960" width="11.1796875" style="35" customWidth="1"/>
    <col min="8961" max="8961" width="2.81640625" style="35" customWidth="1"/>
    <col min="8962" max="8962" width="3.54296875" style="35" customWidth="1"/>
    <col min="8963" max="9207" width="9.1796875" style="35"/>
    <col min="9208" max="9208" width="8.7265625" style="35" customWidth="1"/>
    <col min="9209" max="9209" width="9.81640625" style="35" customWidth="1"/>
    <col min="9210" max="9210" width="14.453125" style="35" customWidth="1"/>
    <col min="9211" max="9211" width="7.26953125" style="35" customWidth="1"/>
    <col min="9212" max="9212" width="5.54296875" style="35" customWidth="1"/>
    <col min="9213" max="9213" width="9" style="35" customWidth="1"/>
    <col min="9214" max="9215" width="9.81640625" style="35" customWidth="1"/>
    <col min="9216" max="9216" width="11.1796875" style="35" customWidth="1"/>
    <col min="9217" max="9217" width="2.81640625" style="35" customWidth="1"/>
    <col min="9218" max="9218" width="3.54296875" style="35" customWidth="1"/>
    <col min="9219" max="9463" width="9.1796875" style="35"/>
    <col min="9464" max="9464" width="8.7265625" style="35" customWidth="1"/>
    <col min="9465" max="9465" width="9.81640625" style="35" customWidth="1"/>
    <col min="9466" max="9466" width="14.453125" style="35" customWidth="1"/>
    <col min="9467" max="9467" width="7.26953125" style="35" customWidth="1"/>
    <col min="9468" max="9468" width="5.54296875" style="35" customWidth="1"/>
    <col min="9469" max="9469" width="9" style="35" customWidth="1"/>
    <col min="9470" max="9471" width="9.81640625" style="35" customWidth="1"/>
    <col min="9472" max="9472" width="11.1796875" style="35" customWidth="1"/>
    <col min="9473" max="9473" width="2.81640625" style="35" customWidth="1"/>
    <col min="9474" max="9474" width="3.54296875" style="35" customWidth="1"/>
    <col min="9475" max="9719" width="9.1796875" style="35"/>
    <col min="9720" max="9720" width="8.7265625" style="35" customWidth="1"/>
    <col min="9721" max="9721" width="9.81640625" style="35" customWidth="1"/>
    <col min="9722" max="9722" width="14.453125" style="35" customWidth="1"/>
    <col min="9723" max="9723" width="7.26953125" style="35" customWidth="1"/>
    <col min="9724" max="9724" width="5.54296875" style="35" customWidth="1"/>
    <col min="9725" max="9725" width="9" style="35" customWidth="1"/>
    <col min="9726" max="9727" width="9.81640625" style="35" customWidth="1"/>
    <col min="9728" max="9728" width="11.1796875" style="35" customWidth="1"/>
    <col min="9729" max="9729" width="2.81640625" style="35" customWidth="1"/>
    <col min="9730" max="9730" width="3.54296875" style="35" customWidth="1"/>
    <col min="9731" max="9975" width="9.1796875" style="35"/>
    <col min="9976" max="9976" width="8.7265625" style="35" customWidth="1"/>
    <col min="9977" max="9977" width="9.81640625" style="35" customWidth="1"/>
    <col min="9978" max="9978" width="14.453125" style="35" customWidth="1"/>
    <col min="9979" max="9979" width="7.26953125" style="35" customWidth="1"/>
    <col min="9980" max="9980" width="5.54296875" style="35" customWidth="1"/>
    <col min="9981" max="9981" width="9" style="35" customWidth="1"/>
    <col min="9982" max="9983" width="9.81640625" style="35" customWidth="1"/>
    <col min="9984" max="9984" width="11.1796875" style="35" customWidth="1"/>
    <col min="9985" max="9985" width="2.81640625" style="35" customWidth="1"/>
    <col min="9986" max="9986" width="3.54296875" style="35" customWidth="1"/>
    <col min="9987" max="10231" width="9.1796875" style="35"/>
    <col min="10232" max="10232" width="8.7265625" style="35" customWidth="1"/>
    <col min="10233" max="10233" width="9.81640625" style="35" customWidth="1"/>
    <col min="10234" max="10234" width="14.453125" style="35" customWidth="1"/>
    <col min="10235" max="10235" width="7.26953125" style="35" customWidth="1"/>
    <col min="10236" max="10236" width="5.54296875" style="35" customWidth="1"/>
    <col min="10237" max="10237" width="9" style="35" customWidth="1"/>
    <col min="10238" max="10239" width="9.81640625" style="35" customWidth="1"/>
    <col min="10240" max="10240" width="11.1796875" style="35" customWidth="1"/>
    <col min="10241" max="10241" width="2.81640625" style="35" customWidth="1"/>
    <col min="10242" max="10242" width="3.54296875" style="35" customWidth="1"/>
    <col min="10243" max="10487" width="9.1796875" style="35"/>
    <col min="10488" max="10488" width="8.7265625" style="35" customWidth="1"/>
    <col min="10489" max="10489" width="9.81640625" style="35" customWidth="1"/>
    <col min="10490" max="10490" width="14.453125" style="35" customWidth="1"/>
    <col min="10491" max="10491" width="7.26953125" style="35" customWidth="1"/>
    <col min="10492" max="10492" width="5.54296875" style="35" customWidth="1"/>
    <col min="10493" max="10493" width="9" style="35" customWidth="1"/>
    <col min="10494" max="10495" width="9.81640625" style="35" customWidth="1"/>
    <col min="10496" max="10496" width="11.1796875" style="35" customWidth="1"/>
    <col min="10497" max="10497" width="2.81640625" style="35" customWidth="1"/>
    <col min="10498" max="10498" width="3.54296875" style="35" customWidth="1"/>
    <col min="10499" max="10743" width="9.1796875" style="35"/>
    <col min="10744" max="10744" width="8.7265625" style="35" customWidth="1"/>
    <col min="10745" max="10745" width="9.81640625" style="35" customWidth="1"/>
    <col min="10746" max="10746" width="14.453125" style="35" customWidth="1"/>
    <col min="10747" max="10747" width="7.26953125" style="35" customWidth="1"/>
    <col min="10748" max="10748" width="5.54296875" style="35" customWidth="1"/>
    <col min="10749" max="10749" width="9" style="35" customWidth="1"/>
    <col min="10750" max="10751" width="9.81640625" style="35" customWidth="1"/>
    <col min="10752" max="10752" width="11.1796875" style="35" customWidth="1"/>
    <col min="10753" max="10753" width="2.81640625" style="35" customWidth="1"/>
    <col min="10754" max="10754" width="3.54296875" style="35" customWidth="1"/>
    <col min="10755" max="10999" width="9.1796875" style="35"/>
    <col min="11000" max="11000" width="8.7265625" style="35" customWidth="1"/>
    <col min="11001" max="11001" width="9.81640625" style="35" customWidth="1"/>
    <col min="11002" max="11002" width="14.453125" style="35" customWidth="1"/>
    <col min="11003" max="11003" width="7.26953125" style="35" customWidth="1"/>
    <col min="11004" max="11004" width="5.54296875" style="35" customWidth="1"/>
    <col min="11005" max="11005" width="9" style="35" customWidth="1"/>
    <col min="11006" max="11007" width="9.81640625" style="35" customWidth="1"/>
    <col min="11008" max="11008" width="11.1796875" style="35" customWidth="1"/>
    <col min="11009" max="11009" width="2.81640625" style="35" customWidth="1"/>
    <col min="11010" max="11010" width="3.54296875" style="35" customWidth="1"/>
    <col min="11011" max="11255" width="9.1796875" style="35"/>
    <col min="11256" max="11256" width="8.7265625" style="35" customWidth="1"/>
    <col min="11257" max="11257" width="9.81640625" style="35" customWidth="1"/>
    <col min="11258" max="11258" width="14.453125" style="35" customWidth="1"/>
    <col min="11259" max="11259" width="7.26953125" style="35" customWidth="1"/>
    <col min="11260" max="11260" width="5.54296875" style="35" customWidth="1"/>
    <col min="11261" max="11261" width="9" style="35" customWidth="1"/>
    <col min="11262" max="11263" width="9.81640625" style="35" customWidth="1"/>
    <col min="11264" max="11264" width="11.1796875" style="35" customWidth="1"/>
    <col min="11265" max="11265" width="2.81640625" style="35" customWidth="1"/>
    <col min="11266" max="11266" width="3.54296875" style="35" customWidth="1"/>
    <col min="11267" max="11511" width="9.1796875" style="35"/>
    <col min="11512" max="11512" width="8.7265625" style="35" customWidth="1"/>
    <col min="11513" max="11513" width="9.81640625" style="35" customWidth="1"/>
    <col min="11514" max="11514" width="14.453125" style="35" customWidth="1"/>
    <col min="11515" max="11515" width="7.26953125" style="35" customWidth="1"/>
    <col min="11516" max="11516" width="5.54296875" style="35" customWidth="1"/>
    <col min="11517" max="11517" width="9" style="35" customWidth="1"/>
    <col min="11518" max="11519" width="9.81640625" style="35" customWidth="1"/>
    <col min="11520" max="11520" width="11.1796875" style="35" customWidth="1"/>
    <col min="11521" max="11521" width="2.81640625" style="35" customWidth="1"/>
    <col min="11522" max="11522" width="3.54296875" style="35" customWidth="1"/>
    <col min="11523" max="11767" width="9.1796875" style="35"/>
    <col min="11768" max="11768" width="8.7265625" style="35" customWidth="1"/>
    <col min="11769" max="11769" width="9.81640625" style="35" customWidth="1"/>
    <col min="11770" max="11770" width="14.453125" style="35" customWidth="1"/>
    <col min="11771" max="11771" width="7.26953125" style="35" customWidth="1"/>
    <col min="11772" max="11772" width="5.54296875" style="35" customWidth="1"/>
    <col min="11773" max="11773" width="9" style="35" customWidth="1"/>
    <col min="11774" max="11775" width="9.81640625" style="35" customWidth="1"/>
    <col min="11776" max="11776" width="11.1796875" style="35" customWidth="1"/>
    <col min="11777" max="11777" width="2.81640625" style="35" customWidth="1"/>
    <col min="11778" max="11778" width="3.54296875" style="35" customWidth="1"/>
    <col min="11779" max="12023" width="9.1796875" style="35"/>
    <col min="12024" max="12024" width="8.7265625" style="35" customWidth="1"/>
    <col min="12025" max="12025" width="9.81640625" style="35" customWidth="1"/>
    <col min="12026" max="12026" width="14.453125" style="35" customWidth="1"/>
    <col min="12027" max="12027" width="7.26953125" style="35" customWidth="1"/>
    <col min="12028" max="12028" width="5.54296875" style="35" customWidth="1"/>
    <col min="12029" max="12029" width="9" style="35" customWidth="1"/>
    <col min="12030" max="12031" width="9.81640625" style="35" customWidth="1"/>
    <col min="12032" max="12032" width="11.1796875" style="35" customWidth="1"/>
    <col min="12033" max="12033" width="2.81640625" style="35" customWidth="1"/>
    <col min="12034" max="12034" width="3.54296875" style="35" customWidth="1"/>
    <col min="12035" max="12279" width="9.1796875" style="35"/>
    <col min="12280" max="12280" width="8.7265625" style="35" customWidth="1"/>
    <col min="12281" max="12281" width="9.81640625" style="35" customWidth="1"/>
    <col min="12282" max="12282" width="14.453125" style="35" customWidth="1"/>
    <col min="12283" max="12283" width="7.26953125" style="35" customWidth="1"/>
    <col min="12284" max="12284" width="5.54296875" style="35" customWidth="1"/>
    <col min="12285" max="12285" width="9" style="35" customWidth="1"/>
    <col min="12286" max="12287" width="9.81640625" style="35" customWidth="1"/>
    <col min="12288" max="12288" width="11.1796875" style="35" customWidth="1"/>
    <col min="12289" max="12289" width="2.81640625" style="35" customWidth="1"/>
    <col min="12290" max="12290" width="3.54296875" style="35" customWidth="1"/>
    <col min="12291" max="12535" width="9.1796875" style="35"/>
    <col min="12536" max="12536" width="8.7265625" style="35" customWidth="1"/>
    <col min="12537" max="12537" width="9.81640625" style="35" customWidth="1"/>
    <col min="12538" max="12538" width="14.453125" style="35" customWidth="1"/>
    <col min="12539" max="12539" width="7.26953125" style="35" customWidth="1"/>
    <col min="12540" max="12540" width="5.54296875" style="35" customWidth="1"/>
    <col min="12541" max="12541" width="9" style="35" customWidth="1"/>
    <col min="12542" max="12543" width="9.81640625" style="35" customWidth="1"/>
    <col min="12544" max="12544" width="11.1796875" style="35" customWidth="1"/>
    <col min="12545" max="12545" width="2.81640625" style="35" customWidth="1"/>
    <col min="12546" max="12546" width="3.54296875" style="35" customWidth="1"/>
    <col min="12547" max="12791" width="9.1796875" style="35"/>
    <col min="12792" max="12792" width="8.7265625" style="35" customWidth="1"/>
    <col min="12793" max="12793" width="9.81640625" style="35" customWidth="1"/>
    <col min="12794" max="12794" width="14.453125" style="35" customWidth="1"/>
    <col min="12795" max="12795" width="7.26953125" style="35" customWidth="1"/>
    <col min="12796" max="12796" width="5.54296875" style="35" customWidth="1"/>
    <col min="12797" max="12797" width="9" style="35" customWidth="1"/>
    <col min="12798" max="12799" width="9.81640625" style="35" customWidth="1"/>
    <col min="12800" max="12800" width="11.1796875" style="35" customWidth="1"/>
    <col min="12801" max="12801" width="2.81640625" style="35" customWidth="1"/>
    <col min="12802" max="12802" width="3.54296875" style="35" customWidth="1"/>
    <col min="12803" max="13047" width="9.1796875" style="35"/>
    <col min="13048" max="13048" width="8.7265625" style="35" customWidth="1"/>
    <col min="13049" max="13049" width="9.81640625" style="35" customWidth="1"/>
    <col min="13050" max="13050" width="14.453125" style="35" customWidth="1"/>
    <col min="13051" max="13051" width="7.26953125" style="35" customWidth="1"/>
    <col min="13052" max="13052" width="5.54296875" style="35" customWidth="1"/>
    <col min="13053" max="13053" width="9" style="35" customWidth="1"/>
    <col min="13054" max="13055" width="9.81640625" style="35" customWidth="1"/>
    <col min="13056" max="13056" width="11.1796875" style="35" customWidth="1"/>
    <col min="13057" max="13057" width="2.81640625" style="35" customWidth="1"/>
    <col min="13058" max="13058" width="3.54296875" style="35" customWidth="1"/>
    <col min="13059" max="13303" width="9.1796875" style="35"/>
    <col min="13304" max="13304" width="8.7265625" style="35" customWidth="1"/>
    <col min="13305" max="13305" width="9.81640625" style="35" customWidth="1"/>
    <col min="13306" max="13306" width="14.453125" style="35" customWidth="1"/>
    <col min="13307" max="13307" width="7.26953125" style="35" customWidth="1"/>
    <col min="13308" max="13308" width="5.54296875" style="35" customWidth="1"/>
    <col min="13309" max="13309" width="9" style="35" customWidth="1"/>
    <col min="13310" max="13311" width="9.81640625" style="35" customWidth="1"/>
    <col min="13312" max="13312" width="11.1796875" style="35" customWidth="1"/>
    <col min="13313" max="13313" width="2.81640625" style="35" customWidth="1"/>
    <col min="13314" max="13314" width="3.54296875" style="35" customWidth="1"/>
    <col min="13315" max="13559" width="9.1796875" style="35"/>
    <col min="13560" max="13560" width="8.7265625" style="35" customWidth="1"/>
    <col min="13561" max="13561" width="9.81640625" style="35" customWidth="1"/>
    <col min="13562" max="13562" width="14.453125" style="35" customWidth="1"/>
    <col min="13563" max="13563" width="7.26953125" style="35" customWidth="1"/>
    <col min="13564" max="13564" width="5.54296875" style="35" customWidth="1"/>
    <col min="13565" max="13565" width="9" style="35" customWidth="1"/>
    <col min="13566" max="13567" width="9.81640625" style="35" customWidth="1"/>
    <col min="13568" max="13568" width="11.1796875" style="35" customWidth="1"/>
    <col min="13569" max="13569" width="2.81640625" style="35" customWidth="1"/>
    <col min="13570" max="13570" width="3.54296875" style="35" customWidth="1"/>
    <col min="13571" max="13815" width="9.1796875" style="35"/>
    <col min="13816" max="13816" width="8.7265625" style="35" customWidth="1"/>
    <col min="13817" max="13817" width="9.81640625" style="35" customWidth="1"/>
    <col min="13818" max="13818" width="14.453125" style="35" customWidth="1"/>
    <col min="13819" max="13819" width="7.26953125" style="35" customWidth="1"/>
    <col min="13820" max="13820" width="5.54296875" style="35" customWidth="1"/>
    <col min="13821" max="13821" width="9" style="35" customWidth="1"/>
    <col min="13822" max="13823" width="9.81640625" style="35" customWidth="1"/>
    <col min="13824" max="13824" width="11.1796875" style="35" customWidth="1"/>
    <col min="13825" max="13825" width="2.81640625" style="35" customWidth="1"/>
    <col min="13826" max="13826" width="3.54296875" style="35" customWidth="1"/>
    <col min="13827" max="14071" width="9.1796875" style="35"/>
    <col min="14072" max="14072" width="8.7265625" style="35" customWidth="1"/>
    <col min="14073" max="14073" width="9.81640625" style="35" customWidth="1"/>
    <col min="14074" max="14074" width="14.453125" style="35" customWidth="1"/>
    <col min="14075" max="14075" width="7.26953125" style="35" customWidth="1"/>
    <col min="14076" max="14076" width="5.54296875" style="35" customWidth="1"/>
    <col min="14077" max="14077" width="9" style="35" customWidth="1"/>
    <col min="14078" max="14079" width="9.81640625" style="35" customWidth="1"/>
    <col min="14080" max="14080" width="11.1796875" style="35" customWidth="1"/>
    <col min="14081" max="14081" width="2.81640625" style="35" customWidth="1"/>
    <col min="14082" max="14082" width="3.54296875" style="35" customWidth="1"/>
    <col min="14083" max="14327" width="9.1796875" style="35"/>
    <col min="14328" max="14328" width="8.7265625" style="35" customWidth="1"/>
    <col min="14329" max="14329" width="9.81640625" style="35" customWidth="1"/>
    <col min="14330" max="14330" width="14.453125" style="35" customWidth="1"/>
    <col min="14331" max="14331" width="7.26953125" style="35" customWidth="1"/>
    <col min="14332" max="14332" width="5.54296875" style="35" customWidth="1"/>
    <col min="14333" max="14333" width="9" style="35" customWidth="1"/>
    <col min="14334" max="14335" width="9.81640625" style="35" customWidth="1"/>
    <col min="14336" max="14336" width="11.1796875" style="35" customWidth="1"/>
    <col min="14337" max="14337" width="2.81640625" style="35" customWidth="1"/>
    <col min="14338" max="14338" width="3.54296875" style="35" customWidth="1"/>
    <col min="14339" max="14583" width="9.1796875" style="35"/>
    <col min="14584" max="14584" width="8.7265625" style="35" customWidth="1"/>
    <col min="14585" max="14585" width="9.81640625" style="35" customWidth="1"/>
    <col min="14586" max="14586" width="14.453125" style="35" customWidth="1"/>
    <col min="14587" max="14587" width="7.26953125" style="35" customWidth="1"/>
    <col min="14588" max="14588" width="5.54296875" style="35" customWidth="1"/>
    <col min="14589" max="14589" width="9" style="35" customWidth="1"/>
    <col min="14590" max="14591" width="9.81640625" style="35" customWidth="1"/>
    <col min="14592" max="14592" width="11.1796875" style="35" customWidth="1"/>
    <col min="14593" max="14593" width="2.81640625" style="35" customWidth="1"/>
    <col min="14594" max="14594" width="3.54296875" style="35" customWidth="1"/>
    <col min="14595" max="14839" width="9.1796875" style="35"/>
    <col min="14840" max="14840" width="8.7265625" style="35" customWidth="1"/>
    <col min="14841" max="14841" width="9.81640625" style="35" customWidth="1"/>
    <col min="14842" max="14842" width="14.453125" style="35" customWidth="1"/>
    <col min="14843" max="14843" width="7.26953125" style="35" customWidth="1"/>
    <col min="14844" max="14844" width="5.54296875" style="35" customWidth="1"/>
    <col min="14845" max="14845" width="9" style="35" customWidth="1"/>
    <col min="14846" max="14847" width="9.81640625" style="35" customWidth="1"/>
    <col min="14848" max="14848" width="11.1796875" style="35" customWidth="1"/>
    <col min="14849" max="14849" width="2.81640625" style="35" customWidth="1"/>
    <col min="14850" max="14850" width="3.54296875" style="35" customWidth="1"/>
    <col min="14851" max="15095" width="9.1796875" style="35"/>
    <col min="15096" max="15096" width="8.7265625" style="35" customWidth="1"/>
    <col min="15097" max="15097" width="9.81640625" style="35" customWidth="1"/>
    <col min="15098" max="15098" width="14.453125" style="35" customWidth="1"/>
    <col min="15099" max="15099" width="7.26953125" style="35" customWidth="1"/>
    <col min="15100" max="15100" width="5.54296875" style="35" customWidth="1"/>
    <col min="15101" max="15101" width="9" style="35" customWidth="1"/>
    <col min="15102" max="15103" width="9.81640625" style="35" customWidth="1"/>
    <col min="15104" max="15104" width="11.1796875" style="35" customWidth="1"/>
    <col min="15105" max="15105" width="2.81640625" style="35" customWidth="1"/>
    <col min="15106" max="15106" width="3.54296875" style="35" customWidth="1"/>
    <col min="15107" max="15351" width="9.1796875" style="35"/>
    <col min="15352" max="15352" width="8.7265625" style="35" customWidth="1"/>
    <col min="15353" max="15353" width="9.81640625" style="35" customWidth="1"/>
    <col min="15354" max="15354" width="14.453125" style="35" customWidth="1"/>
    <col min="15355" max="15355" width="7.26953125" style="35" customWidth="1"/>
    <col min="15356" max="15356" width="5.54296875" style="35" customWidth="1"/>
    <col min="15357" max="15357" width="9" style="35" customWidth="1"/>
    <col min="15358" max="15359" width="9.81640625" style="35" customWidth="1"/>
    <col min="15360" max="15360" width="11.1796875" style="35" customWidth="1"/>
    <col min="15361" max="15361" width="2.81640625" style="35" customWidth="1"/>
    <col min="15362" max="15362" width="3.54296875" style="35" customWidth="1"/>
    <col min="15363" max="15607" width="9.1796875" style="35"/>
    <col min="15608" max="15608" width="8.7265625" style="35" customWidth="1"/>
    <col min="15609" max="15609" width="9.81640625" style="35" customWidth="1"/>
    <col min="15610" max="15610" width="14.453125" style="35" customWidth="1"/>
    <col min="15611" max="15611" width="7.26953125" style="35" customWidth="1"/>
    <col min="15612" max="15612" width="5.54296875" style="35" customWidth="1"/>
    <col min="15613" max="15613" width="9" style="35" customWidth="1"/>
    <col min="15614" max="15615" width="9.81640625" style="35" customWidth="1"/>
    <col min="15616" max="15616" width="11.1796875" style="35" customWidth="1"/>
    <col min="15617" max="15617" width="2.81640625" style="35" customWidth="1"/>
    <col min="15618" max="15618" width="3.54296875" style="35" customWidth="1"/>
    <col min="15619" max="15863" width="9.1796875" style="35"/>
    <col min="15864" max="15864" width="8.7265625" style="35" customWidth="1"/>
    <col min="15865" max="15865" width="9.81640625" style="35" customWidth="1"/>
    <col min="15866" max="15866" width="14.453125" style="35" customWidth="1"/>
    <col min="15867" max="15867" width="7.26953125" style="35" customWidth="1"/>
    <col min="15868" max="15868" width="5.54296875" style="35" customWidth="1"/>
    <col min="15869" max="15869" width="9" style="35" customWidth="1"/>
    <col min="15870" max="15871" width="9.81640625" style="35" customWidth="1"/>
    <col min="15872" max="15872" width="11.1796875" style="35" customWidth="1"/>
    <col min="15873" max="15873" width="2.81640625" style="35" customWidth="1"/>
    <col min="15874" max="15874" width="3.54296875" style="35" customWidth="1"/>
    <col min="15875" max="16119" width="9.1796875" style="35"/>
    <col min="16120" max="16120" width="8.7265625" style="35" customWidth="1"/>
    <col min="16121" max="16121" width="9.81640625" style="35" customWidth="1"/>
    <col min="16122" max="16122" width="14.453125" style="35" customWidth="1"/>
    <col min="16123" max="16123" width="7.26953125" style="35" customWidth="1"/>
    <col min="16124" max="16124" width="5.54296875" style="35" customWidth="1"/>
    <col min="16125" max="16125" width="9" style="35" customWidth="1"/>
    <col min="16126" max="16127" width="9.81640625" style="35" customWidth="1"/>
    <col min="16128" max="16128" width="11.1796875" style="35" customWidth="1"/>
    <col min="16129" max="16129" width="2.81640625" style="35" customWidth="1"/>
    <col min="16130" max="16130" width="3.54296875" style="35" customWidth="1"/>
    <col min="16131" max="16384" width="9.1796875" style="35"/>
  </cols>
  <sheetData>
    <row r="1" spans="1:8" ht="46.5" customHeight="1" x14ac:dyDescent="0.35">
      <c r="A1" s="150" t="s">
        <v>233</v>
      </c>
      <c r="B1" s="150"/>
      <c r="C1" s="150"/>
      <c r="D1" s="150"/>
      <c r="E1" s="150"/>
      <c r="F1" s="150"/>
      <c r="G1" s="150"/>
      <c r="H1" s="150"/>
    </row>
    <row r="2" spans="1:8" ht="16.5" customHeight="1" x14ac:dyDescent="0.35">
      <c r="A2" s="102" t="s">
        <v>0</v>
      </c>
      <c r="B2" s="102"/>
      <c r="C2" s="102"/>
      <c r="D2" s="102"/>
      <c r="E2" s="102"/>
      <c r="F2" s="102"/>
      <c r="G2" s="102"/>
      <c r="H2" s="102"/>
    </row>
    <row r="3" spans="1:8" x14ac:dyDescent="0.35">
      <c r="A3" s="105" t="s">
        <v>1</v>
      </c>
      <c r="B3" s="105"/>
      <c r="C3" s="105"/>
      <c r="D3" s="105"/>
      <c r="E3" s="149" t="str">
        <f ca="1">TEXT(TODAY(),"DD/MM/YYYY")</f>
        <v>23/09/2025</v>
      </c>
      <c r="F3" s="149"/>
      <c r="G3" s="149"/>
      <c r="H3" s="149"/>
    </row>
    <row r="4" spans="1:8" ht="15" customHeight="1" x14ac:dyDescent="0.35">
      <c r="A4" s="105" t="s">
        <v>2</v>
      </c>
      <c r="B4" s="105"/>
      <c r="C4" s="105"/>
      <c r="D4" s="105"/>
      <c r="E4" s="152" t="s">
        <v>184</v>
      </c>
      <c r="F4" s="152"/>
      <c r="G4" s="152"/>
      <c r="H4" s="152"/>
    </row>
    <row r="5" spans="1:8" x14ac:dyDescent="0.35">
      <c r="A5" s="105" t="s">
        <v>3</v>
      </c>
      <c r="B5" s="105"/>
      <c r="C5" s="105"/>
      <c r="D5" s="105"/>
      <c r="E5" s="149">
        <v>45923</v>
      </c>
      <c r="F5" s="149"/>
      <c r="G5" s="149"/>
      <c r="H5" s="149"/>
    </row>
    <row r="6" spans="1:8" ht="16.5" customHeight="1" x14ac:dyDescent="0.35">
      <c r="A6" s="105" t="s">
        <v>4</v>
      </c>
      <c r="B6" s="105"/>
      <c r="C6" s="105"/>
      <c r="D6" s="105"/>
      <c r="E6" s="122" t="s">
        <v>185</v>
      </c>
      <c r="F6" s="122"/>
      <c r="G6" s="122"/>
      <c r="H6" s="122"/>
    </row>
    <row r="7" spans="1:8" ht="15" customHeight="1" x14ac:dyDescent="0.35">
      <c r="A7" s="105" t="s">
        <v>5</v>
      </c>
      <c r="B7" s="105"/>
      <c r="C7" s="105"/>
      <c r="D7" s="105"/>
      <c r="E7" s="122" t="str">
        <f>E6</f>
        <v>M/s.Structura Realty</v>
      </c>
      <c r="F7" s="122"/>
      <c r="G7" s="122"/>
      <c r="H7" s="122"/>
    </row>
    <row r="8" spans="1:8" x14ac:dyDescent="0.35">
      <c r="A8" s="105" t="s">
        <v>6</v>
      </c>
      <c r="B8" s="105"/>
      <c r="C8" s="105"/>
      <c r="D8" s="105"/>
      <c r="E8" s="151" t="s">
        <v>186</v>
      </c>
      <c r="F8" s="151"/>
      <c r="G8" s="151"/>
      <c r="H8" s="151"/>
    </row>
    <row r="9" spans="1:8" x14ac:dyDescent="0.35">
      <c r="A9" s="105" t="s">
        <v>157</v>
      </c>
      <c r="B9" s="105"/>
      <c r="C9" s="105"/>
      <c r="D9" s="105"/>
      <c r="E9" s="105">
        <v>7385019989</v>
      </c>
      <c r="F9" s="105"/>
      <c r="G9" s="105"/>
      <c r="H9" s="105"/>
    </row>
    <row r="10" spans="1:8" x14ac:dyDescent="0.35">
      <c r="A10" s="105" t="s">
        <v>234</v>
      </c>
      <c r="B10" s="105"/>
      <c r="C10" s="105"/>
      <c r="D10" s="105"/>
      <c r="E10" s="105" t="s">
        <v>277</v>
      </c>
      <c r="F10" s="105"/>
      <c r="G10" s="105"/>
      <c r="H10" s="105"/>
    </row>
    <row r="11" spans="1:8" ht="31.5" customHeight="1" x14ac:dyDescent="0.35">
      <c r="A11" s="108" t="s">
        <v>7</v>
      </c>
      <c r="B11" s="108"/>
      <c r="C11" s="108"/>
      <c r="D11" s="108"/>
      <c r="E11" s="125" t="s">
        <v>229</v>
      </c>
      <c r="F11" s="108"/>
      <c r="G11" s="108"/>
      <c r="H11" s="108"/>
    </row>
    <row r="12" spans="1:8" x14ac:dyDescent="0.35">
      <c r="A12" s="105" t="s">
        <v>8</v>
      </c>
      <c r="B12" s="105"/>
      <c r="C12" s="105"/>
      <c r="D12" s="105"/>
      <c r="E12" s="125" t="s">
        <v>208</v>
      </c>
      <c r="F12" s="125"/>
      <c r="G12" s="125"/>
      <c r="H12" s="125"/>
    </row>
    <row r="13" spans="1:8" ht="33.75" customHeight="1" x14ac:dyDescent="0.35">
      <c r="A13" s="105" t="s">
        <v>9</v>
      </c>
      <c r="B13" s="105"/>
      <c r="C13" s="105"/>
      <c r="D13" s="105"/>
      <c r="E13" s="125" t="s">
        <v>235</v>
      </c>
      <c r="F13" s="108"/>
      <c r="G13" s="108"/>
      <c r="H13" s="108"/>
    </row>
    <row r="14" spans="1:8" ht="35.25" customHeight="1" x14ac:dyDescent="0.35">
      <c r="A14" s="122" t="s">
        <v>10</v>
      </c>
      <c r="B14" s="122"/>
      <c r="C14" s="12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Swami Aashray, Survey No.6/2C, near KND More Vidyalay, Internal Road, Bandhiwali, Karjat, Karjat, Raigad.</v>
      </c>
      <c r="D14" s="122"/>
      <c r="E14" s="122"/>
      <c r="F14" s="122"/>
      <c r="G14" s="122"/>
      <c r="H14" s="122"/>
    </row>
    <row r="15" spans="1:8" x14ac:dyDescent="0.35">
      <c r="A15" s="122" t="s">
        <v>187</v>
      </c>
      <c r="B15" s="122"/>
      <c r="C15" s="125" t="s">
        <v>219</v>
      </c>
      <c r="D15" s="125"/>
      <c r="E15" s="125"/>
      <c r="F15" s="125"/>
      <c r="G15" s="125"/>
      <c r="H15" s="125"/>
    </row>
    <row r="16" spans="1:8" ht="15.75" customHeight="1" x14ac:dyDescent="0.35">
      <c r="A16" s="122" t="s">
        <v>11</v>
      </c>
      <c r="B16" s="122"/>
      <c r="C16" s="108" t="s">
        <v>191</v>
      </c>
      <c r="D16" s="108"/>
      <c r="E16" s="122" t="s">
        <v>101</v>
      </c>
      <c r="F16" s="122"/>
      <c r="G16" s="125" t="s">
        <v>188</v>
      </c>
      <c r="H16" s="125"/>
    </row>
    <row r="17" spans="1:8" x14ac:dyDescent="0.35">
      <c r="A17" s="105" t="s">
        <v>13</v>
      </c>
      <c r="B17" s="105"/>
      <c r="C17" s="125" t="s">
        <v>192</v>
      </c>
      <c r="D17" s="125"/>
      <c r="E17" s="122" t="s">
        <v>12</v>
      </c>
      <c r="F17" s="122"/>
      <c r="G17" s="153" t="s">
        <v>189</v>
      </c>
      <c r="H17" s="153"/>
    </row>
    <row r="18" spans="1:8" x14ac:dyDescent="0.35">
      <c r="A18" s="105" t="s">
        <v>102</v>
      </c>
      <c r="B18" s="105"/>
      <c r="C18" s="125" t="s">
        <v>192</v>
      </c>
      <c r="D18" s="125"/>
      <c r="E18" s="122" t="s">
        <v>14</v>
      </c>
      <c r="F18" s="122"/>
      <c r="G18" s="125">
        <v>410101</v>
      </c>
      <c r="H18" s="125"/>
    </row>
    <row r="19" spans="1:8" ht="32.25" customHeight="1" x14ac:dyDescent="0.35">
      <c r="A19" s="105" t="s">
        <v>158</v>
      </c>
      <c r="B19" s="105"/>
      <c r="C19" s="122" t="s">
        <v>193</v>
      </c>
      <c r="D19" s="122"/>
      <c r="E19" s="122" t="s">
        <v>15</v>
      </c>
      <c r="F19" s="122"/>
      <c r="G19" s="125" t="s">
        <v>190</v>
      </c>
      <c r="H19" s="125"/>
    </row>
    <row r="20" spans="1:8" ht="15" customHeight="1" x14ac:dyDescent="0.35">
      <c r="A20" s="122" t="s">
        <v>105</v>
      </c>
      <c r="B20" s="122"/>
      <c r="C20" s="122"/>
      <c r="D20" s="122"/>
      <c r="E20" s="108" t="s">
        <v>16</v>
      </c>
      <c r="F20" s="108"/>
      <c r="G20" s="108"/>
      <c r="H20" s="108"/>
    </row>
    <row r="21" spans="1:8" ht="18.75" customHeight="1" x14ac:dyDescent="0.35">
      <c r="A21" s="122"/>
      <c r="B21" s="122"/>
      <c r="C21" s="122"/>
      <c r="D21" s="122"/>
      <c r="E21" s="108"/>
      <c r="F21" s="108"/>
      <c r="G21" s="108"/>
      <c r="H21" s="108"/>
    </row>
    <row r="22" spans="1:8" ht="15" customHeight="1" x14ac:dyDescent="0.35">
      <c r="A22" s="122" t="s">
        <v>17</v>
      </c>
      <c r="B22" s="122"/>
      <c r="C22" s="122"/>
      <c r="D22" s="122"/>
      <c r="E22" s="125" t="s">
        <v>18</v>
      </c>
      <c r="F22" s="125"/>
      <c r="G22" s="125"/>
      <c r="H22" s="125"/>
    </row>
    <row r="23" spans="1:8" ht="15" customHeight="1" x14ac:dyDescent="0.35">
      <c r="A23" s="105" t="s">
        <v>19</v>
      </c>
      <c r="B23" s="105"/>
      <c r="C23" s="105"/>
      <c r="D23" s="105"/>
      <c r="E23" s="125" t="str">
        <f>IF(AND(G17="Mumbai"),"Upper Class","Middle Class")</f>
        <v>Middle Class</v>
      </c>
      <c r="F23" s="125"/>
      <c r="G23" s="125"/>
      <c r="H23" s="125"/>
    </row>
    <row r="24" spans="1:8" x14ac:dyDescent="0.35">
      <c r="A24" s="105" t="s">
        <v>20</v>
      </c>
      <c r="B24" s="105"/>
      <c r="C24" s="105"/>
      <c r="D24" s="105"/>
      <c r="E24" s="125" t="s">
        <v>21</v>
      </c>
      <c r="F24" s="125"/>
      <c r="G24" s="125"/>
      <c r="H24" s="125"/>
    </row>
    <row r="25" spans="1:8" ht="15.75" customHeight="1" x14ac:dyDescent="0.35">
      <c r="A25" s="105" t="s">
        <v>22</v>
      </c>
      <c r="B25" s="105"/>
      <c r="C25" s="105"/>
      <c r="D25" s="105"/>
      <c r="E25" s="125" t="str">
        <f>IF(AND(G17="Mumbai"),"Developed","Developing")</f>
        <v>Developing</v>
      </c>
      <c r="F25" s="125"/>
      <c r="G25" s="125"/>
      <c r="H25" s="125"/>
    </row>
    <row r="26" spans="1:8" x14ac:dyDescent="0.35">
      <c r="A26" s="105" t="s">
        <v>23</v>
      </c>
      <c r="B26" s="105"/>
      <c r="C26" s="105"/>
      <c r="D26" s="105"/>
      <c r="E26" s="125" t="s">
        <v>24</v>
      </c>
      <c r="F26" s="125"/>
      <c r="G26" s="125"/>
      <c r="H26" s="125"/>
    </row>
    <row r="27" spans="1:8" x14ac:dyDescent="0.35">
      <c r="A27" s="105" t="s">
        <v>112</v>
      </c>
      <c r="B27" s="105"/>
      <c r="C27" s="105"/>
      <c r="D27" s="105"/>
      <c r="E27" s="125" t="s">
        <v>113</v>
      </c>
      <c r="F27" s="125"/>
      <c r="G27" s="125"/>
      <c r="H27" s="125"/>
    </row>
    <row r="28" spans="1:8" ht="15" customHeight="1" x14ac:dyDescent="0.35">
      <c r="A28" s="122" t="s">
        <v>33</v>
      </c>
      <c r="B28" s="122"/>
      <c r="C28" s="122"/>
      <c r="D28" s="122"/>
      <c r="E28" s="152" t="s">
        <v>109</v>
      </c>
      <c r="F28" s="152"/>
      <c r="G28" s="152"/>
      <c r="H28" s="152"/>
    </row>
    <row r="29" spans="1:8" x14ac:dyDescent="0.35">
      <c r="A29" s="122" t="s">
        <v>124</v>
      </c>
      <c r="B29" s="122"/>
      <c r="C29" s="122"/>
      <c r="D29" s="122"/>
      <c r="E29" s="122" t="s">
        <v>34</v>
      </c>
      <c r="F29" s="122"/>
      <c r="G29" s="122"/>
      <c r="H29" s="122"/>
    </row>
    <row r="30" spans="1:8" s="36" customFormat="1" x14ac:dyDescent="0.35">
      <c r="A30" s="157" t="s">
        <v>125</v>
      </c>
      <c r="B30" s="157"/>
      <c r="C30" s="156" t="s">
        <v>29</v>
      </c>
      <c r="D30" s="156"/>
      <c r="E30" s="156"/>
      <c r="F30" s="156" t="s">
        <v>31</v>
      </c>
      <c r="G30" s="156"/>
      <c r="H30" s="156"/>
    </row>
    <row r="31" spans="1:8" s="36" customFormat="1" x14ac:dyDescent="0.35">
      <c r="A31" s="154" t="s">
        <v>25</v>
      </c>
      <c r="B31" s="154" t="s">
        <v>30</v>
      </c>
      <c r="C31" s="155" t="s">
        <v>30</v>
      </c>
      <c r="D31" s="155"/>
      <c r="E31" s="155"/>
      <c r="F31" s="155" t="s">
        <v>194</v>
      </c>
      <c r="G31" s="155"/>
      <c r="H31" s="155"/>
    </row>
    <row r="32" spans="1:8" x14ac:dyDescent="0.35">
      <c r="A32" s="154" t="s">
        <v>26</v>
      </c>
      <c r="B32" s="154" t="s">
        <v>30</v>
      </c>
      <c r="C32" s="155" t="s">
        <v>30</v>
      </c>
      <c r="D32" s="155"/>
      <c r="E32" s="155"/>
      <c r="F32" s="155" t="s">
        <v>193</v>
      </c>
      <c r="G32" s="155"/>
      <c r="H32" s="155"/>
    </row>
    <row r="33" spans="1:8" s="36" customFormat="1" x14ac:dyDescent="0.35">
      <c r="A33" s="154" t="s">
        <v>28</v>
      </c>
      <c r="B33" s="154" t="s">
        <v>30</v>
      </c>
      <c r="C33" s="155" t="s">
        <v>30</v>
      </c>
      <c r="D33" s="155"/>
      <c r="E33" s="155"/>
      <c r="F33" s="155" t="s">
        <v>195</v>
      </c>
      <c r="G33" s="155"/>
      <c r="H33" s="155"/>
    </row>
    <row r="34" spans="1:8" x14ac:dyDescent="0.35">
      <c r="A34" s="154" t="s">
        <v>27</v>
      </c>
      <c r="B34" s="154" t="s">
        <v>30</v>
      </c>
      <c r="C34" s="155" t="s">
        <v>30</v>
      </c>
      <c r="D34" s="155"/>
      <c r="E34" s="155"/>
      <c r="F34" s="155" t="s">
        <v>194</v>
      </c>
      <c r="G34" s="155"/>
      <c r="H34" s="155"/>
    </row>
    <row r="35" spans="1:8" x14ac:dyDescent="0.35">
      <c r="A35" s="105" t="s">
        <v>32</v>
      </c>
      <c r="B35" s="105"/>
      <c r="C35" s="105"/>
      <c r="D35" s="105"/>
      <c r="E35" s="105"/>
      <c r="F35" s="105"/>
      <c r="G35" s="105"/>
      <c r="H35" s="105"/>
    </row>
    <row r="36" spans="1:8" ht="15.75" customHeight="1" x14ac:dyDescent="0.35">
      <c r="A36" s="102" t="s">
        <v>230</v>
      </c>
      <c r="B36" s="102"/>
      <c r="C36" s="162" t="s">
        <v>236</v>
      </c>
      <c r="D36" s="162"/>
      <c r="E36" s="162"/>
      <c r="F36" s="162"/>
      <c r="G36" s="162"/>
      <c r="H36" s="162"/>
    </row>
    <row r="37" spans="1:8" ht="15.75" customHeight="1" x14ac:dyDescent="0.35">
      <c r="A37" s="102" t="s">
        <v>231</v>
      </c>
      <c r="B37" s="102"/>
      <c r="C37" s="163" t="s">
        <v>232</v>
      </c>
      <c r="D37" s="162"/>
      <c r="E37" s="162"/>
      <c r="F37" s="162"/>
      <c r="G37" s="162"/>
      <c r="H37" s="162"/>
    </row>
    <row r="38" spans="1:8" x14ac:dyDescent="0.35">
      <c r="A38" s="151" t="s">
        <v>35</v>
      </c>
      <c r="B38" s="151"/>
      <c r="C38" s="151"/>
      <c r="D38" s="151"/>
      <c r="E38" s="151"/>
      <c r="F38" s="151"/>
      <c r="G38" s="151"/>
      <c r="H38" s="151"/>
    </row>
    <row r="39" spans="1:8" x14ac:dyDescent="0.35">
      <c r="A39" s="105" t="s">
        <v>36</v>
      </c>
      <c r="B39" s="105"/>
      <c r="C39" s="105"/>
      <c r="D39" s="105"/>
      <c r="E39" s="158">
        <v>2978.58</v>
      </c>
      <c r="F39" s="158"/>
      <c r="G39" s="158"/>
      <c r="H39" s="158"/>
    </row>
    <row r="40" spans="1:8" x14ac:dyDescent="0.35">
      <c r="A40" s="105" t="s">
        <v>37</v>
      </c>
      <c r="B40" s="105"/>
      <c r="C40" s="105"/>
      <c r="D40" s="105"/>
      <c r="E40" s="104">
        <v>1</v>
      </c>
      <c r="F40" s="104"/>
      <c r="G40" s="104"/>
      <c r="H40" s="104"/>
    </row>
    <row r="41" spans="1:8" x14ac:dyDescent="0.35">
      <c r="A41" s="105" t="s">
        <v>38</v>
      </c>
      <c r="B41" s="105"/>
      <c r="C41" s="105"/>
      <c r="D41" s="105"/>
      <c r="E41" s="104">
        <f>E43/E39-E40</f>
        <v>0.93101410739345614</v>
      </c>
      <c r="F41" s="104"/>
      <c r="G41" s="104"/>
      <c r="H41" s="104"/>
    </row>
    <row r="42" spans="1:8" x14ac:dyDescent="0.35">
      <c r="A42" s="105" t="s">
        <v>39</v>
      </c>
      <c r="B42" s="105"/>
      <c r="C42" s="105"/>
      <c r="D42" s="105"/>
      <c r="E42" s="104">
        <f>E40+E41</f>
        <v>1.9310141073934561</v>
      </c>
      <c r="F42" s="104"/>
      <c r="G42" s="104"/>
      <c r="H42" s="104"/>
    </row>
    <row r="43" spans="1:8" x14ac:dyDescent="0.35">
      <c r="A43" s="105" t="s">
        <v>123</v>
      </c>
      <c r="B43" s="105"/>
      <c r="C43" s="105"/>
      <c r="D43" s="105"/>
      <c r="E43" s="136">
        <v>5751.68</v>
      </c>
      <c r="F43" s="136"/>
      <c r="G43" s="136"/>
      <c r="H43" s="136"/>
    </row>
    <row r="44" spans="1:8" x14ac:dyDescent="0.35">
      <c r="A44" s="108" t="s">
        <v>40</v>
      </c>
      <c r="B44" s="108"/>
      <c r="C44" s="108"/>
      <c r="D44" s="108"/>
      <c r="E44" s="108" t="s">
        <v>196</v>
      </c>
      <c r="F44" s="108"/>
      <c r="G44" s="108"/>
      <c r="H44" s="108"/>
    </row>
    <row r="45" spans="1:8" x14ac:dyDescent="0.35">
      <c r="A45" s="151" t="s">
        <v>41</v>
      </c>
      <c r="B45" s="151"/>
      <c r="C45" s="151"/>
      <c r="D45" s="151"/>
      <c r="E45" s="151"/>
      <c r="F45" s="151"/>
      <c r="G45" s="151"/>
      <c r="H45" s="151"/>
    </row>
    <row r="46" spans="1:8" x14ac:dyDescent="0.35">
      <c r="A46" s="164" t="s">
        <v>211</v>
      </c>
      <c r="B46" s="165"/>
      <c r="C46" s="165"/>
      <c r="D46" s="165"/>
      <c r="E46" s="165"/>
      <c r="F46" s="165"/>
      <c r="G46" s="165"/>
      <c r="H46" s="166"/>
    </row>
    <row r="47" spans="1:8" ht="33" customHeight="1" x14ac:dyDescent="0.35">
      <c r="A47" s="122" t="s">
        <v>42</v>
      </c>
      <c r="B47" s="122"/>
      <c r="C47" s="125" t="s">
        <v>237</v>
      </c>
      <c r="D47" s="125"/>
      <c r="E47" s="125"/>
      <c r="F47" s="28" t="s">
        <v>43</v>
      </c>
      <c r="G47" s="137">
        <v>45316</v>
      </c>
      <c r="H47" s="137"/>
    </row>
    <row r="48" spans="1:8" x14ac:dyDescent="0.35">
      <c r="A48" s="105" t="s">
        <v>44</v>
      </c>
      <c r="B48" s="105"/>
      <c r="C48" s="125" t="s">
        <v>197</v>
      </c>
      <c r="D48" s="125"/>
      <c r="E48" s="125"/>
      <c r="F48" s="28" t="s">
        <v>43</v>
      </c>
      <c r="G48" s="137">
        <v>43839</v>
      </c>
      <c r="H48" s="137"/>
    </row>
    <row r="49" spans="1:9" s="38" customFormat="1" ht="33" customHeight="1" x14ac:dyDescent="0.35">
      <c r="A49" s="125" t="s">
        <v>226</v>
      </c>
      <c r="B49" s="125"/>
      <c r="C49" s="125" t="s">
        <v>198</v>
      </c>
      <c r="D49" s="108"/>
      <c r="E49" s="108"/>
      <c r="F49" s="37" t="s">
        <v>43</v>
      </c>
      <c r="G49" s="137">
        <v>43839</v>
      </c>
      <c r="H49" s="137"/>
    </row>
    <row r="50" spans="1:9" s="38" customFormat="1" x14ac:dyDescent="0.35">
      <c r="A50" s="125"/>
      <c r="B50" s="125"/>
      <c r="C50" s="170" t="s">
        <v>238</v>
      </c>
      <c r="D50" s="171"/>
      <c r="E50" s="171"/>
      <c r="F50" s="171"/>
      <c r="G50" s="171"/>
      <c r="H50" s="172"/>
    </row>
    <row r="51" spans="1:9" x14ac:dyDescent="0.35">
      <c r="A51" s="167" t="s">
        <v>215</v>
      </c>
      <c r="B51" s="168"/>
      <c r="C51" s="168"/>
      <c r="D51" s="168"/>
      <c r="E51" s="168"/>
      <c r="F51" s="168"/>
      <c r="G51" s="168"/>
      <c r="H51" s="169"/>
    </row>
    <row r="52" spans="1:9" ht="35.25" customHeight="1" x14ac:dyDescent="0.35">
      <c r="A52" s="122" t="s">
        <v>42</v>
      </c>
      <c r="B52" s="122"/>
      <c r="C52" s="125" t="s">
        <v>237</v>
      </c>
      <c r="D52" s="125"/>
      <c r="E52" s="125"/>
      <c r="F52" s="64" t="s">
        <v>43</v>
      </c>
      <c r="G52" s="137">
        <v>45316</v>
      </c>
      <c r="H52" s="137"/>
    </row>
    <row r="53" spans="1:9" ht="35.25" customHeight="1" x14ac:dyDescent="0.35">
      <c r="A53" s="105" t="s">
        <v>44</v>
      </c>
      <c r="B53" s="105"/>
      <c r="C53" s="125" t="str">
        <f>C52</f>
        <v>MS/LNA-1/Token no. 16838/P.K.96/2022</v>
      </c>
      <c r="D53" s="125"/>
      <c r="E53" s="125"/>
      <c r="F53" s="64" t="s">
        <v>43</v>
      </c>
      <c r="G53" s="137">
        <f>G52</f>
        <v>45316</v>
      </c>
      <c r="H53" s="137"/>
    </row>
    <row r="54" spans="1:9" s="38" customFormat="1" ht="32.25" customHeight="1" x14ac:dyDescent="0.35">
      <c r="A54" s="125" t="s">
        <v>226</v>
      </c>
      <c r="B54" s="125"/>
      <c r="C54" s="125" t="s">
        <v>275</v>
      </c>
      <c r="D54" s="108"/>
      <c r="E54" s="108"/>
      <c r="F54" s="37" t="s">
        <v>43</v>
      </c>
      <c r="G54" s="137">
        <v>45316</v>
      </c>
      <c r="H54" s="137"/>
    </row>
    <row r="55" spans="1:9" s="38" customFormat="1" x14ac:dyDescent="0.35">
      <c r="A55" s="125"/>
      <c r="B55" s="125"/>
      <c r="C55" s="170" t="s">
        <v>239</v>
      </c>
      <c r="D55" s="171"/>
      <c r="E55" s="171"/>
      <c r="F55" s="171"/>
      <c r="G55" s="171"/>
      <c r="H55" s="172"/>
    </row>
    <row r="56" spans="1:9" ht="48" customHeight="1" x14ac:dyDescent="0.35">
      <c r="A56" s="126" t="s">
        <v>45</v>
      </c>
      <c r="B56" s="126"/>
      <c r="C56" s="123" t="s">
        <v>267</v>
      </c>
      <c r="D56" s="121"/>
      <c r="E56" s="121" t="s">
        <v>46</v>
      </c>
      <c r="F56" s="30" t="s">
        <v>43</v>
      </c>
      <c r="G56" s="107">
        <v>45449</v>
      </c>
      <c r="H56" s="107"/>
    </row>
    <row r="57" spans="1:9" hidden="1" x14ac:dyDescent="0.35">
      <c r="A57" s="126" t="s">
        <v>45</v>
      </c>
      <c r="B57" s="126"/>
      <c r="C57" s="123" t="s">
        <v>273</v>
      </c>
      <c r="D57" s="121"/>
      <c r="E57" s="121" t="s">
        <v>46</v>
      </c>
      <c r="F57" s="82" t="s">
        <v>43</v>
      </c>
      <c r="G57" s="107"/>
      <c r="H57" s="107"/>
    </row>
    <row r="58" spans="1:9" x14ac:dyDescent="0.35">
      <c r="A58" s="147" t="s">
        <v>48</v>
      </c>
      <c r="B58" s="147"/>
      <c r="C58" s="147"/>
      <c r="D58" s="147"/>
      <c r="E58" s="147"/>
      <c r="F58" s="147"/>
      <c r="G58" s="147"/>
      <c r="H58" s="147"/>
    </row>
    <row r="59" spans="1:9" x14ac:dyDescent="0.35">
      <c r="A59" s="122" t="s">
        <v>122</v>
      </c>
      <c r="B59" s="122"/>
      <c r="C59" s="122"/>
      <c r="D59" s="105">
        <f>E43</f>
        <v>5751.68</v>
      </c>
      <c r="E59" s="105"/>
      <c r="F59" s="105"/>
      <c r="G59" s="105"/>
      <c r="H59" s="105"/>
    </row>
    <row r="60" spans="1:9" x14ac:dyDescent="0.35">
      <c r="A60" s="125" t="s">
        <v>49</v>
      </c>
      <c r="B60" s="108"/>
      <c r="C60" s="108"/>
      <c r="D60" s="108" t="s">
        <v>264</v>
      </c>
      <c r="E60" s="108"/>
      <c r="F60" s="108"/>
      <c r="G60" s="108"/>
      <c r="H60" s="108"/>
      <c r="I60" s="39"/>
    </row>
    <row r="61" spans="1:9" ht="32.25" customHeight="1" x14ac:dyDescent="0.35">
      <c r="A61" s="159" t="s">
        <v>50</v>
      </c>
      <c r="B61" s="160"/>
      <c r="C61" s="161"/>
      <c r="D61" s="125" t="s">
        <v>240</v>
      </c>
      <c r="E61" s="108"/>
      <c r="F61" s="108"/>
      <c r="G61" s="108"/>
      <c r="H61" s="108"/>
    </row>
    <row r="62" spans="1:9" ht="15.75" customHeight="1" x14ac:dyDescent="0.35">
      <c r="A62" s="125" t="s">
        <v>120</v>
      </c>
      <c r="B62" s="125"/>
      <c r="C62" s="125"/>
      <c r="D62" s="108" t="s">
        <v>228</v>
      </c>
      <c r="E62" s="108"/>
      <c r="F62" s="108"/>
      <c r="G62" s="108"/>
      <c r="H62" s="108"/>
    </row>
    <row r="63" spans="1:9" ht="15.75" hidden="1" customHeight="1" x14ac:dyDescent="0.35">
      <c r="A63" s="125"/>
      <c r="B63" s="125"/>
      <c r="C63" s="125"/>
      <c r="D63" s="108" t="s">
        <v>210</v>
      </c>
      <c r="E63" s="108"/>
      <c r="F63" s="108"/>
      <c r="G63" s="108"/>
      <c r="H63" s="108"/>
    </row>
    <row r="64" spans="1:9" ht="15.75" customHeight="1" x14ac:dyDescent="0.35">
      <c r="A64" s="125"/>
      <c r="B64" s="125"/>
      <c r="C64" s="125"/>
      <c r="D64" s="108" t="s">
        <v>241</v>
      </c>
      <c r="E64" s="108"/>
      <c r="F64" s="108"/>
      <c r="G64" s="108"/>
      <c r="H64" s="108"/>
    </row>
    <row r="65" spans="1:14" ht="15.75" customHeight="1" x14ac:dyDescent="0.35">
      <c r="A65" s="105" t="s">
        <v>47</v>
      </c>
      <c r="B65" s="105"/>
      <c r="C65" s="105"/>
      <c r="D65" s="122" t="s">
        <v>266</v>
      </c>
      <c r="E65" s="122"/>
      <c r="F65" s="122"/>
      <c r="G65" s="122"/>
      <c r="H65" s="122"/>
      <c r="J65" s="40"/>
      <c r="K65" s="39"/>
      <c r="N65" s="39"/>
    </row>
    <row r="66" spans="1:14" ht="15.75" customHeight="1" x14ac:dyDescent="0.35">
      <c r="A66" s="105" t="s">
        <v>118</v>
      </c>
      <c r="B66" s="105"/>
      <c r="C66" s="105"/>
      <c r="D66" s="177" t="str">
        <f ca="1">(IF(G56="NA","60 Years After Completion",IF(G56&lt;&gt;"NA",""&amp;60-ROUNDDOWN((E3-G56)/360,0)&amp;" Years"," ")))</f>
        <v>59 Years</v>
      </c>
      <c r="E66" s="177"/>
      <c r="F66" s="177"/>
      <c r="G66" s="177"/>
      <c r="H66" s="177"/>
      <c r="N66" s="39"/>
    </row>
    <row r="67" spans="1:14" ht="15.75" customHeight="1" x14ac:dyDescent="0.35">
      <c r="A67" s="105" t="s">
        <v>119</v>
      </c>
      <c r="B67" s="105"/>
      <c r="C67" s="105"/>
      <c r="D67" s="122" t="s">
        <v>24</v>
      </c>
      <c r="E67" s="122"/>
      <c r="F67" s="122"/>
      <c r="G67" s="122"/>
      <c r="H67" s="122"/>
      <c r="J67" s="21"/>
      <c r="K67" s="21"/>
    </row>
    <row r="68" spans="1:14" ht="15.75" customHeight="1" thickBot="1" x14ac:dyDescent="0.4">
      <c r="A68" s="179" t="s">
        <v>117</v>
      </c>
      <c r="B68" s="179"/>
      <c r="C68" s="179"/>
      <c r="D68" s="180" t="str">
        <f ca="1">(IF(G89&gt;95%,"Nothing",IF(G89&gt;0%,"Cement, Aggregate, Steel, etc",IF(G89=0%,"Work not yet Started"))))</f>
        <v>Cement, Aggregate, Steel, etc</v>
      </c>
      <c r="E68" s="180"/>
      <c r="F68" s="180"/>
      <c r="G68" s="180"/>
      <c r="H68" s="180"/>
      <c r="J68" s="21"/>
    </row>
    <row r="69" spans="1:14" ht="15.75" customHeight="1" x14ac:dyDescent="0.35">
      <c r="A69" s="183" t="s">
        <v>176</v>
      </c>
      <c r="B69" s="184"/>
      <c r="C69" s="184" t="str">
        <f>D62</f>
        <v>Building No.1 (A &amp; B Wing) = G + 1st to 4th Floor</v>
      </c>
      <c r="D69" s="184"/>
      <c r="E69" s="184"/>
      <c r="F69" s="184"/>
      <c r="G69" s="184"/>
      <c r="H69" s="185"/>
      <c r="I69" s="20" t="str">
        <f ca="1">(IF(E75&gt;99%,"All work completed. Please provide OC.",IF(E75&gt;89.8%,"Plinth, RCC, Brick, Plaster, Flooring, Painting work Completed. Finishing work is in process.",IF(E75&lt;94%,(IF(C75=0,"Work not yet Started.",IF(D75=25%,"Piling work in process",IF(D75=50%,"Excavation work in process",IF(D75=100%,"Excavation work Completed. ","0")))&amp;(IF(C76=0%,"",IF(C76=J77,"Footing work is process",IF(C76=J78,"Footing work Completed",IF(C76=J79,"1st Basement Completed",IF(C76=J80,"1st &amp; 2nd Basement Completed",IF(C76=J81,"1st to 3rd Basement Completed",IF(C76=J82,"1st to 4th Basement Completed",IF(C76=J83,"Plinth work is process",IF(C76=J84,"Plinth work completed","0")))))))))))&amp;(IF(C77=(D70+F70+H70),", RCC Slab",IF(C77&gt;0,", RCC upto "&amp;C77&amp;" Slab",""))&amp;(IF(C78=H70,", Brickwork",IF(C78&gt;0,", Brickwork upto "&amp;C78&amp;" Floor",""))&amp;(IF(C79=H70,", Internal Plaster",IF(C79&gt;0,", Internal Plaster upto "&amp;C79&amp;" Floor",""))&amp;(IF(C80=H70,", External Plaster",IF(C80&gt;0,", External Plaster upto "&amp;C80&amp;" Floor",""))&amp;(IF(C81=H70,", Flooring",IF(C81&gt;0,", Flooring upto "&amp;C81&amp;" Floor",""))&amp;(IF(C82=H70,", Painting",IF(C82&gt;0,", Painting upto "&amp;C82&amp;" Floor",""))&amp;(IF(C83&gt;0,", Finishing upto "&amp;C83&amp;" Floor","")&amp;(IF(C77&gt;0.5," Completed",""))))))))))))))</f>
        <v>All work completed. Please provide OC.</v>
      </c>
      <c r="J69" s="41"/>
    </row>
    <row r="70" spans="1:14" x14ac:dyDescent="0.35">
      <c r="A70" s="23" t="s">
        <v>178</v>
      </c>
      <c r="B70" s="81">
        <v>0</v>
      </c>
      <c r="C70" s="81" t="s">
        <v>100</v>
      </c>
      <c r="D70" s="81">
        <v>1</v>
      </c>
      <c r="E70" s="81" t="s">
        <v>99</v>
      </c>
      <c r="F70" s="81">
        <v>0</v>
      </c>
      <c r="G70" s="33" t="s">
        <v>111</v>
      </c>
      <c r="H70" s="24">
        <f ca="1">--TRIM(RIGHT(SUBSTITUTE(LEFT(C69,_xlfn.AGGREGATE(16,6,FIND({0,1,2,3,4,5,6,7,8,9},C69,ROW(INDIRECT("1:"&amp;LEN(C69)))),1))," ",REPT(" ",LEN(C69))),LEN(C69)))</f>
        <v>4</v>
      </c>
      <c r="I70" s="21"/>
      <c r="J70" s="42"/>
    </row>
    <row r="71" spans="1:14" x14ac:dyDescent="0.35">
      <c r="A71" s="181" t="s">
        <v>121</v>
      </c>
      <c r="B71" s="182"/>
      <c r="C71" s="123" t="str">
        <f>I71</f>
        <v>All work Completed. OC Received.</v>
      </c>
      <c r="D71" s="123"/>
      <c r="E71" s="123"/>
      <c r="F71" s="123"/>
      <c r="G71" s="123"/>
      <c r="H71" s="124"/>
      <c r="I71" s="21" t="s">
        <v>137</v>
      </c>
      <c r="J71" s="42"/>
    </row>
    <row r="72" spans="1:14" s="65" customFormat="1" x14ac:dyDescent="0.35">
      <c r="A72" s="112" t="s">
        <v>116</v>
      </c>
      <c r="B72" s="113"/>
      <c r="C72" s="116">
        <v>1</v>
      </c>
      <c r="D72" s="117"/>
      <c r="E72" s="117" t="s">
        <v>115</v>
      </c>
      <c r="F72" s="117"/>
      <c r="G72" s="116">
        <v>1</v>
      </c>
      <c r="H72" s="119"/>
      <c r="I72" s="70"/>
      <c r="J72" s="71"/>
    </row>
    <row r="73" spans="1:14" s="65" customFormat="1" ht="16" thickBot="1" x14ac:dyDescent="0.4">
      <c r="A73" s="114"/>
      <c r="B73" s="115"/>
      <c r="C73" s="118"/>
      <c r="D73" s="118"/>
      <c r="E73" s="118"/>
      <c r="F73" s="118"/>
      <c r="G73" s="118"/>
      <c r="H73" s="120"/>
      <c r="I73" s="70"/>
      <c r="J73" s="71"/>
    </row>
    <row r="74" spans="1:14" ht="15.75" hidden="1" customHeight="1" x14ac:dyDescent="0.35">
      <c r="A74" s="178" t="s">
        <v>51</v>
      </c>
      <c r="B74" s="178"/>
      <c r="C74" s="83" t="s">
        <v>175</v>
      </c>
      <c r="D74" s="83" t="s">
        <v>114</v>
      </c>
      <c r="E74" s="131" t="s">
        <v>116</v>
      </c>
      <c r="F74" s="131"/>
      <c r="G74" s="131" t="s">
        <v>115</v>
      </c>
      <c r="H74" s="131"/>
      <c r="I74" s="19" t="s">
        <v>177</v>
      </c>
      <c r="J74" s="43">
        <f ca="1">H70*25%</f>
        <v>1</v>
      </c>
    </row>
    <row r="75" spans="1:14" ht="16" hidden="1" thickBot="1" x14ac:dyDescent="0.4">
      <c r="A75" s="106" t="s">
        <v>164</v>
      </c>
      <c r="B75" s="106"/>
      <c r="C75" s="44">
        <f ca="1">J76</f>
        <v>4</v>
      </c>
      <c r="D75" s="76">
        <f ca="1">((100/H70)*C75)/100</f>
        <v>1</v>
      </c>
      <c r="E75" s="197">
        <f ca="1">(((C76/H70*10)+(40/(D70+F70+H70)*C77)+(7.5/(H70)*C78)+(7.5/(H70)*C79)+(10/H70*C80)+(10/H70*C81)+(5/H70*C82)+(5/H70*C83)+(5/H70*C84))/100)</f>
        <v>1</v>
      </c>
      <c r="F75" s="197"/>
      <c r="G75" s="197">
        <f ca="1">((((C75/H70)*20)+((C76/H70)*25)+(30/(H70+F70+D70)*C77)+(5/H70*C78)+(5/H70*C79)+(5/H70*C80)+(5/H70*C81)+(0/H70*C82)+(0/H70*C83)+(5/H70*C84))/100)</f>
        <v>1</v>
      </c>
      <c r="H75" s="197"/>
      <c r="I75" s="19" t="s">
        <v>132</v>
      </c>
      <c r="J75" s="46">
        <f ca="1">H70*50%</f>
        <v>2</v>
      </c>
    </row>
    <row r="76" spans="1:14" ht="16" hidden="1" thickBot="1" x14ac:dyDescent="0.4">
      <c r="A76" s="106" t="s">
        <v>52</v>
      </c>
      <c r="B76" s="106"/>
      <c r="C76" s="47">
        <f ca="1">J84</f>
        <v>4</v>
      </c>
      <c r="D76" s="76">
        <f ca="1">((100/H70)*C76)/100</f>
        <v>1</v>
      </c>
      <c r="E76" s="197"/>
      <c r="F76" s="197"/>
      <c r="G76" s="197"/>
      <c r="H76" s="197"/>
      <c r="I76" s="19" t="s">
        <v>133</v>
      </c>
      <c r="J76" s="46">
        <f ca="1">H70</f>
        <v>4</v>
      </c>
    </row>
    <row r="77" spans="1:14" ht="15.75" hidden="1" customHeight="1" x14ac:dyDescent="0.35">
      <c r="A77" s="106" t="s">
        <v>165</v>
      </c>
      <c r="B77" s="106"/>
      <c r="C77" s="47">
        <v>5</v>
      </c>
      <c r="D77" s="76">
        <f ca="1">((100/(D70+F70+H70))*C77)/100</f>
        <v>1</v>
      </c>
      <c r="E77" s="197"/>
      <c r="F77" s="197"/>
      <c r="G77" s="197"/>
      <c r="H77" s="197"/>
      <c r="I77" s="19" t="s">
        <v>134</v>
      </c>
      <c r="J77" s="48">
        <f ca="1">(IF(B70&gt;1,(H70/(B70+2)),H70/4))</f>
        <v>1</v>
      </c>
    </row>
    <row r="78" spans="1:14" ht="15.75" hidden="1" customHeight="1" x14ac:dyDescent="0.35">
      <c r="A78" s="106" t="s">
        <v>172</v>
      </c>
      <c r="B78" s="106" t="s">
        <v>166</v>
      </c>
      <c r="C78" s="44">
        <v>4</v>
      </c>
      <c r="D78" s="76">
        <f ca="1">((100/H70)*C78)/100</f>
        <v>1</v>
      </c>
      <c r="E78" s="197"/>
      <c r="F78" s="197"/>
      <c r="G78" s="197"/>
      <c r="H78" s="197"/>
      <c r="I78" s="19" t="s">
        <v>135</v>
      </c>
      <c r="J78" s="48">
        <f ca="1">(IF(B70&gt;1,(H70/(B70+2)+J77),H70/4+J77))</f>
        <v>2</v>
      </c>
    </row>
    <row r="79" spans="1:14" ht="15.75" hidden="1" customHeight="1" x14ac:dyDescent="0.35">
      <c r="A79" s="106" t="s">
        <v>173</v>
      </c>
      <c r="B79" s="106" t="s">
        <v>166</v>
      </c>
      <c r="C79" s="44">
        <v>4</v>
      </c>
      <c r="D79" s="76">
        <f ca="1">((100/H70)*C79)/100</f>
        <v>1</v>
      </c>
      <c r="E79" s="197"/>
      <c r="F79" s="197"/>
      <c r="G79" s="197"/>
      <c r="H79" s="197"/>
      <c r="I79" s="19" t="s">
        <v>182</v>
      </c>
      <c r="J79" s="48">
        <f>(IF(B70&gt;1,(H70/(B70+2)+J78),0))</f>
        <v>0</v>
      </c>
    </row>
    <row r="80" spans="1:14" ht="15" hidden="1" customHeight="1" x14ac:dyDescent="0.35">
      <c r="A80" s="106" t="s">
        <v>171</v>
      </c>
      <c r="B80" s="106" t="s">
        <v>168</v>
      </c>
      <c r="C80" s="44">
        <v>4</v>
      </c>
      <c r="D80" s="76">
        <f ca="1">((100/(H70))*C80)/100</f>
        <v>1</v>
      </c>
      <c r="E80" s="197"/>
      <c r="F80" s="197"/>
      <c r="G80" s="197"/>
      <c r="H80" s="197"/>
      <c r="I80" s="19" t="s">
        <v>179</v>
      </c>
      <c r="J80" s="48">
        <f>(IF(B70&gt;2,(H70/(B70+2)+J79),0))</f>
        <v>0</v>
      </c>
    </row>
    <row r="81" spans="1:10" ht="15.75" hidden="1" customHeight="1" x14ac:dyDescent="0.35">
      <c r="A81" s="106" t="s">
        <v>167</v>
      </c>
      <c r="B81" s="106" t="s">
        <v>167</v>
      </c>
      <c r="C81" s="44">
        <v>4</v>
      </c>
      <c r="D81" s="76">
        <f ca="1">((100/H70)*C81)/100</f>
        <v>1</v>
      </c>
      <c r="E81" s="197"/>
      <c r="F81" s="197"/>
      <c r="G81" s="197"/>
      <c r="H81" s="197"/>
      <c r="I81" s="19" t="s">
        <v>180</v>
      </c>
      <c r="J81" s="49">
        <f>(IF(B70&gt;3,(H70/(B70+2)+J80),0))</f>
        <v>0</v>
      </c>
    </row>
    <row r="82" spans="1:10" ht="15.75" hidden="1" customHeight="1" x14ac:dyDescent="0.35">
      <c r="A82" s="186" t="s">
        <v>174</v>
      </c>
      <c r="B82" s="186"/>
      <c r="C82" s="44">
        <v>4</v>
      </c>
      <c r="D82" s="76">
        <f ca="1">((100/H70)*C82)/100</f>
        <v>1</v>
      </c>
      <c r="E82" s="197"/>
      <c r="F82" s="197"/>
      <c r="G82" s="197"/>
      <c r="H82" s="197"/>
      <c r="I82" s="19" t="s">
        <v>181</v>
      </c>
      <c r="J82" s="48">
        <f>(IF(B70&gt;4,(H70/(B70+2)+J81),0))</f>
        <v>0</v>
      </c>
    </row>
    <row r="83" spans="1:10" ht="15.75" hidden="1" customHeight="1" x14ac:dyDescent="0.35">
      <c r="A83" s="106" t="s">
        <v>169</v>
      </c>
      <c r="B83" s="106" t="s">
        <v>169</v>
      </c>
      <c r="C83" s="44">
        <v>4</v>
      </c>
      <c r="D83" s="76">
        <f ca="1">((100/(H70))*C83)/100</f>
        <v>1</v>
      </c>
      <c r="E83" s="197"/>
      <c r="F83" s="197"/>
      <c r="G83" s="197"/>
      <c r="H83" s="197"/>
      <c r="I83" s="19" t="s">
        <v>183</v>
      </c>
      <c r="J83" s="48">
        <f ca="1">(IF(B70=1,(H70/(B70+3)+J78),IF(B70=0,(H70/4+J78),IF(B70&gt;1,0))))</f>
        <v>3</v>
      </c>
    </row>
    <row r="84" spans="1:10" ht="16" hidden="1" thickBot="1" x14ac:dyDescent="0.4">
      <c r="A84" s="106" t="s">
        <v>170</v>
      </c>
      <c r="B84" s="106"/>
      <c r="C84" s="44">
        <v>4</v>
      </c>
      <c r="D84" s="76">
        <f ca="1">((100/(H70))*C84)/100</f>
        <v>1</v>
      </c>
      <c r="E84" s="197"/>
      <c r="F84" s="197"/>
      <c r="G84" s="197"/>
      <c r="H84" s="197"/>
      <c r="I84" s="22" t="s">
        <v>136</v>
      </c>
      <c r="J84" s="52">
        <f ca="1">(IF(B70&gt;1.5,(H70/(B70+2)+J78+MAX(0,J79-J78)+MAX(0,J80-J79)+MAX(0,J81-J80)+MAX(0,J82-J81)+MAX(0,J83-J82)),IF(B70=1,(H70/(B70+3)+J83),IF(B70=0,H70/4+J83))))</f>
        <v>4</v>
      </c>
    </row>
    <row r="85" spans="1:10" ht="15.75" customHeight="1" x14ac:dyDescent="0.35">
      <c r="A85" s="126" t="s">
        <v>176</v>
      </c>
      <c r="B85" s="126"/>
      <c r="C85" s="126" t="str">
        <f>D64</f>
        <v>Building No.2 (C &amp; D Wing) = G + 1st to 7th Floor</v>
      </c>
      <c r="D85" s="126"/>
      <c r="E85" s="126"/>
      <c r="F85" s="126"/>
      <c r="G85" s="126"/>
      <c r="H85" s="126"/>
      <c r="I85" s="20" t="str">
        <f ca="1">(IF(E89&gt;99%,"All work completed. Please provide OC.",IF(E89&gt;89.8%,"Plinth, RCC, Brick, Plaster, Flooring, Painting work Completed. Finishing work is in process.",IF(E89&lt;94%,(IF(C89=0,"Work not yet Started.",IF(D89=25%,"Piling work in process",IF(D89=50%,"Excavation work in process",IF(D89=100%,"Excavation work Completed. ","0")))&amp;(IF(C90=0%,"",IF(C90=J91,"Footing work is process",IF(C90=J92,"Footing work Completed",IF(C90=J93,"1st Basement Completed",IF(C90=J94,"1st &amp; 2nd Basement Completed",IF(C90=J95,"1st to 3rd Basement Completed",IF(C90=J96,"1st to 4th Basement Completed",IF(C90=J97,"Plinth work is process",IF(C90=J98,"Plinth work completed","0")))))))))))&amp;(IF(C91=(D86+F86+H86),", RCC Slab",IF(C91&gt;0,", RCC upto "&amp;C91&amp;" Slab",""))&amp;(IF(C92=H86,", Brickwork",IF(C92&gt;0,", Brickwork upto "&amp;C92&amp;" Floor",""))&amp;(IF(C93=H86,", Internal Plaster",IF(C93&gt;0,", Internal Plaster upto "&amp;C93&amp;" Floor",""))&amp;(IF(C94=H86,", External Plaster",IF(C94&gt;0,", External Plaster upto "&amp;C94&amp;" Floor",""))&amp;(IF(C95=H86,", Flooring",IF(C95&gt;0,", Flooring upto "&amp;C95&amp;" Floor",""))&amp;(IF(C96=H86,", Painting",IF(C96&gt;0,", Painting upto "&amp;C96&amp;" Floor",""))&amp;(IF(C97&gt;0,", Finishing upto "&amp;C97&amp;" Floor","")&amp;(IF(C91&gt;0.5," Completed",""))))))))))))))</f>
        <v>Excavation work Completed. Plinth work completed, RCC Slab, Brickwork, Internal Plaster, External Plaster upto 5 Floor, Flooring upto 3 Floor, Painting upto 1 Floor Completed</v>
      </c>
      <c r="J85" s="41"/>
    </row>
    <row r="86" spans="1:10" x14ac:dyDescent="0.35">
      <c r="A86" s="78" t="s">
        <v>178</v>
      </c>
      <c r="B86" s="78">
        <v>0</v>
      </c>
      <c r="C86" s="78" t="s">
        <v>100</v>
      </c>
      <c r="D86" s="78">
        <v>1</v>
      </c>
      <c r="E86" s="78" t="s">
        <v>99</v>
      </c>
      <c r="F86" s="78">
        <v>0</v>
      </c>
      <c r="G86" s="33" t="s">
        <v>111</v>
      </c>
      <c r="H86" s="78">
        <f ca="1">--TRIM(RIGHT(SUBSTITUTE(LEFT(C85,_xlfn.AGGREGATE(16,6,FIND({0,1,2,3,4,5,6,7,8,9},C85,ROW(INDIRECT("1:"&amp;LEN(C85)))),1))," ",REPT(" ",LEN(C85))),LEN(C85)))</f>
        <v>7</v>
      </c>
      <c r="I86" s="21"/>
      <c r="J86" s="42"/>
    </row>
    <row r="87" spans="1:10" ht="49" customHeight="1" x14ac:dyDescent="0.35">
      <c r="A87" s="121" t="s">
        <v>121</v>
      </c>
      <c r="B87" s="121"/>
      <c r="C87" s="123" t="str">
        <f ca="1">I85</f>
        <v>Excavation work Completed. Plinth work completed, RCC Slab, Brickwork, Internal Plaster, External Plaster upto 5 Floor, Flooring upto 3 Floor, Painting upto 1 Floor Completed</v>
      </c>
      <c r="D87" s="123"/>
      <c r="E87" s="123"/>
      <c r="F87" s="123"/>
      <c r="G87" s="123"/>
      <c r="H87" s="123"/>
      <c r="I87" s="21" t="s">
        <v>137</v>
      </c>
      <c r="J87" s="42"/>
    </row>
    <row r="88" spans="1:10" ht="15.75" customHeight="1" x14ac:dyDescent="0.35">
      <c r="A88" s="106" t="s">
        <v>51</v>
      </c>
      <c r="B88" s="106"/>
      <c r="C88" s="75" t="s">
        <v>175</v>
      </c>
      <c r="D88" s="75" t="s">
        <v>114</v>
      </c>
      <c r="E88" s="186" t="s">
        <v>116</v>
      </c>
      <c r="F88" s="186"/>
      <c r="G88" s="186" t="s">
        <v>115</v>
      </c>
      <c r="H88" s="186"/>
      <c r="I88" s="19" t="s">
        <v>177</v>
      </c>
      <c r="J88" s="43">
        <f ca="1">H86*25%</f>
        <v>1.75</v>
      </c>
    </row>
    <row r="89" spans="1:10" x14ac:dyDescent="0.35">
      <c r="A89" s="106" t="s">
        <v>164</v>
      </c>
      <c r="B89" s="106"/>
      <c r="C89" s="44">
        <f ca="1">J90</f>
        <v>7</v>
      </c>
      <c r="D89" s="76">
        <f ca="1">((100/H86)*C89)/100</f>
        <v>1</v>
      </c>
      <c r="E89" s="197">
        <f ca="1">(((C90/H86*10)+(40/(D86+F86+H86)*C91)+(7.5/(H86)*C92)+(7.5/(H86)*C93)+(10/H86*C94)+(10/H86*C95)+(5/H86*C96)+(5/H86*C97)+(5/H86*C98))/100)</f>
        <v>0.77142857142857135</v>
      </c>
      <c r="F89" s="197"/>
      <c r="G89" s="197">
        <f ca="1">((((C89/H86)*20)+((C90/H86)*25)+(30/(H86+F86+D86)*C91)+(5/H86*C92)+(5/H86*C93)+(5/H86*C94)+(5/H86*C95)+(0/H86*C96)+(0/H86*C97)+(5/H86*C98))/100)</f>
        <v>0.90714285714285703</v>
      </c>
      <c r="H89" s="197"/>
      <c r="I89" s="19" t="s">
        <v>132</v>
      </c>
      <c r="J89" s="46">
        <f ca="1">H86*50%</f>
        <v>3.5</v>
      </c>
    </row>
    <row r="90" spans="1:10" x14ac:dyDescent="0.35">
      <c r="A90" s="106" t="s">
        <v>52</v>
      </c>
      <c r="B90" s="106"/>
      <c r="C90" s="47">
        <v>7</v>
      </c>
      <c r="D90" s="76">
        <f ca="1">((100/H86)*C90)/100</f>
        <v>1</v>
      </c>
      <c r="E90" s="197"/>
      <c r="F90" s="197"/>
      <c r="G90" s="197"/>
      <c r="H90" s="197"/>
      <c r="I90" s="19" t="s">
        <v>133</v>
      </c>
      <c r="J90" s="46">
        <f ca="1">H86</f>
        <v>7</v>
      </c>
    </row>
    <row r="91" spans="1:10" ht="15.75" customHeight="1" x14ac:dyDescent="0.35">
      <c r="A91" s="106" t="s">
        <v>165</v>
      </c>
      <c r="B91" s="106"/>
      <c r="C91" s="47">
        <v>8</v>
      </c>
      <c r="D91" s="76">
        <f ca="1">((100/(D86+F86+H86))*C91)/100</f>
        <v>1</v>
      </c>
      <c r="E91" s="197"/>
      <c r="F91" s="197"/>
      <c r="G91" s="197"/>
      <c r="H91" s="197"/>
      <c r="I91" s="19" t="s">
        <v>134</v>
      </c>
      <c r="J91" s="48">
        <f ca="1">(IF(B86&gt;1,(H86/(B86+2)),H86/4))</f>
        <v>1.75</v>
      </c>
    </row>
    <row r="92" spans="1:10" ht="15.75" customHeight="1" x14ac:dyDescent="0.35">
      <c r="A92" s="106" t="s">
        <v>172</v>
      </c>
      <c r="B92" s="106" t="s">
        <v>166</v>
      </c>
      <c r="C92" s="44">
        <v>7</v>
      </c>
      <c r="D92" s="76">
        <f ca="1">((100/H86)*C92)/100</f>
        <v>1</v>
      </c>
      <c r="E92" s="197"/>
      <c r="F92" s="197"/>
      <c r="G92" s="197"/>
      <c r="H92" s="197"/>
      <c r="I92" s="19" t="s">
        <v>135</v>
      </c>
      <c r="J92" s="48">
        <f ca="1">(IF(B86&gt;1,(H86/(B86+2)+J91),H86/4+J91))</f>
        <v>3.5</v>
      </c>
    </row>
    <row r="93" spans="1:10" ht="15.75" customHeight="1" x14ac:dyDescent="0.35">
      <c r="A93" s="106" t="s">
        <v>173</v>
      </c>
      <c r="B93" s="106" t="s">
        <v>166</v>
      </c>
      <c r="C93" s="44">
        <v>7</v>
      </c>
      <c r="D93" s="76">
        <f ca="1">((100/H86)*C93)/100</f>
        <v>1</v>
      </c>
      <c r="E93" s="197"/>
      <c r="F93" s="197"/>
      <c r="G93" s="197"/>
      <c r="H93" s="197"/>
      <c r="I93" s="19" t="s">
        <v>182</v>
      </c>
      <c r="J93" s="48">
        <f>(IF(B86&gt;1,(H86/(B86+2)+J92),0))</f>
        <v>0</v>
      </c>
    </row>
    <row r="94" spans="1:10" ht="15" customHeight="1" x14ac:dyDescent="0.35">
      <c r="A94" s="106" t="s">
        <v>171</v>
      </c>
      <c r="B94" s="106" t="s">
        <v>168</v>
      </c>
      <c r="C94" s="44">
        <v>5</v>
      </c>
      <c r="D94" s="76">
        <f ca="1">((100/(H86))*C94)/100</f>
        <v>0.7142857142857143</v>
      </c>
      <c r="E94" s="197"/>
      <c r="F94" s="197"/>
      <c r="G94" s="197"/>
      <c r="H94" s="197"/>
      <c r="I94" s="19" t="s">
        <v>179</v>
      </c>
      <c r="J94" s="48">
        <f>(IF(B86&gt;2,(H86/(B86+2)+J93),0))</f>
        <v>0</v>
      </c>
    </row>
    <row r="95" spans="1:10" ht="15.75" customHeight="1" x14ac:dyDescent="0.35">
      <c r="A95" s="106" t="s">
        <v>167</v>
      </c>
      <c r="B95" s="106" t="s">
        <v>167</v>
      </c>
      <c r="C95" s="44">
        <v>3</v>
      </c>
      <c r="D95" s="76">
        <f ca="1">((100/H86)*C95)/100</f>
        <v>0.4285714285714286</v>
      </c>
      <c r="E95" s="197"/>
      <c r="F95" s="197"/>
      <c r="G95" s="197"/>
      <c r="H95" s="197"/>
      <c r="I95" s="19" t="s">
        <v>180</v>
      </c>
      <c r="J95" s="49">
        <f>(IF(B86&gt;3,(H86/(B86+2)+J94),0))</f>
        <v>0</v>
      </c>
    </row>
    <row r="96" spans="1:10" ht="15.75" customHeight="1" x14ac:dyDescent="0.35">
      <c r="A96" s="106" t="s">
        <v>174</v>
      </c>
      <c r="B96" s="106"/>
      <c r="C96" s="44">
        <v>1</v>
      </c>
      <c r="D96" s="76">
        <f ca="1">((100/H86)*C96)/100</f>
        <v>0.14285714285714288</v>
      </c>
      <c r="E96" s="197"/>
      <c r="F96" s="197"/>
      <c r="G96" s="197"/>
      <c r="H96" s="197"/>
      <c r="I96" s="19" t="s">
        <v>181</v>
      </c>
      <c r="J96" s="48">
        <f>(IF(B86&gt;4,(H86/(B86+2)+J95),0))</f>
        <v>0</v>
      </c>
    </row>
    <row r="97" spans="1:10" ht="15.75" customHeight="1" x14ac:dyDescent="0.35">
      <c r="A97" s="186" t="s">
        <v>169</v>
      </c>
      <c r="B97" s="186" t="s">
        <v>169</v>
      </c>
      <c r="C97" s="44">
        <v>0</v>
      </c>
      <c r="D97" s="76">
        <f ca="1">((100/(H86))*C97)/100</f>
        <v>0</v>
      </c>
      <c r="E97" s="197"/>
      <c r="F97" s="197"/>
      <c r="G97" s="197"/>
      <c r="H97" s="197"/>
      <c r="I97" s="19" t="s">
        <v>183</v>
      </c>
      <c r="J97" s="48">
        <f ca="1">(IF(B86=1,(H86/(B86+3)+J92),IF(B86=0,(H86/4+J92),IF(B86&gt;1,0))))</f>
        <v>5.25</v>
      </c>
    </row>
    <row r="98" spans="1:10" ht="16" thickBot="1" x14ac:dyDescent="0.4">
      <c r="A98" s="106" t="s">
        <v>170</v>
      </c>
      <c r="B98" s="106"/>
      <c r="C98" s="44">
        <v>0</v>
      </c>
      <c r="D98" s="76">
        <f ca="1">((100/(H86))*C98)/100</f>
        <v>0</v>
      </c>
      <c r="E98" s="197"/>
      <c r="F98" s="197"/>
      <c r="G98" s="197"/>
      <c r="H98" s="197"/>
      <c r="I98" s="22" t="s">
        <v>136</v>
      </c>
      <c r="J98" s="52">
        <f ca="1">(IF(B86&gt;1.5,(H86/(B86+2)+J92+MAX(0,J93-J92)+MAX(0,J94-J93)+MAX(0,J95-J94)+MAX(0,J96-J95)+MAX(0,J97-J96)),IF(B86=1,(H86/(B86+3)+J97),IF(B86=0,H86/4+J97))))</f>
        <v>7</v>
      </c>
    </row>
    <row r="99" spans="1:10" ht="15.75" hidden="1" customHeight="1" x14ac:dyDescent="0.35">
      <c r="A99" s="210" t="s">
        <v>176</v>
      </c>
      <c r="B99" s="211"/>
      <c r="C99" s="212" t="s">
        <v>214</v>
      </c>
      <c r="D99" s="213"/>
      <c r="E99" s="213"/>
      <c r="F99" s="213"/>
      <c r="G99" s="213"/>
      <c r="H99" s="214"/>
      <c r="I99" s="20" t="str">
        <f ca="1">(IF(E103&gt;99%,"All work completed. Please provide OC.",IF(E103&gt;89.8%,"Plinth, RCC, Brick, Plaster, Flooring, Painting work Completed. Finishing work is in process.",IF(E103&lt;94%,(IF(C103=0,"Work not yet Started.",IF(D103=25%,"Piling work in process",IF(D103=50%,"Excavation work in process",IF(D103=100%,"Excavation work Completed. ","0")))&amp;(IF(C104=0%,"",IF(C104=J105,"Footing work is process",IF(C104=J106,"Footing work Completed",IF(C104=J107,"1st Basement Completed",IF(C104=J108,"1st &amp; 2nd Basement Completed",IF(C104=J109,"1st to 3rd Basement Completed",IF(C104=J110,"1st to 4th Basement Completed",IF(C104=J111,"Plinth work is process",IF(C104=J112,"Plinth work completed","0")))))))))))&amp;(IF(C105=(D100+F100+H100),", RCC Slab",IF(C105&gt;0,", RCC upto "&amp;C105&amp;" Slab",""))&amp;(IF(C106=H100,", Brickwork",IF(C106&gt;0,", Brickwork upto "&amp;C106&amp;" Floor",""))&amp;(IF(C107=H100,", Internal Plaster",IF(C107&gt;0,", Internal Plaster upto "&amp;C107&amp;" Floor",""))&amp;(IF(C108=H100,", External Plaster",IF(C108&gt;0,", External Plaster upto "&amp;C108&amp;" Floor",""))&amp;(IF(C109=H100,", Flooring",IF(C109&gt;0,", Flooring upto "&amp;C109&amp;" Floor",""))&amp;(IF(C110=H100,", Painting",IF(C110&gt;0,", Painting upto "&amp;C110&amp;" Floor",""))&amp;(IF(C111&gt;0,", Finishing upto "&amp;C111&amp;" Floor","")&amp;(IF(C105&gt;0.5," Completed",""))))))))))))))</f>
        <v>Excavation work Completed. Footing work Completed</v>
      </c>
      <c r="J99" s="41"/>
    </row>
    <row r="100" spans="1:10" hidden="1" x14ac:dyDescent="0.35">
      <c r="A100" s="23" t="s">
        <v>178</v>
      </c>
      <c r="B100" s="32">
        <v>0</v>
      </c>
      <c r="C100" s="32" t="s">
        <v>100</v>
      </c>
      <c r="D100" s="32">
        <v>1</v>
      </c>
      <c r="E100" s="32" t="s">
        <v>99</v>
      </c>
      <c r="F100" s="32">
        <v>0</v>
      </c>
      <c r="G100" s="33" t="s">
        <v>111</v>
      </c>
      <c r="H100" s="24">
        <f ca="1">--TRIM(RIGHT(SUBSTITUTE(LEFT(C99,_xlfn.AGGREGATE(16,6,FIND({0,1,2,3,4,5,6,7,8,9},C99,ROW(INDIRECT("1:"&amp;LEN(C99)))),1))," ",REPT(" ",LEN(C99))),LEN(C99)))</f>
        <v>3</v>
      </c>
      <c r="I100" s="21"/>
      <c r="J100" s="42"/>
    </row>
    <row r="101" spans="1:10" ht="15.75" hidden="1" customHeight="1" x14ac:dyDescent="0.35">
      <c r="A101" s="215" t="s">
        <v>121</v>
      </c>
      <c r="B101" s="216"/>
      <c r="C101" s="217" t="str">
        <f ca="1">I99</f>
        <v>Excavation work Completed. Footing work Completed</v>
      </c>
      <c r="D101" s="218"/>
      <c r="E101" s="218"/>
      <c r="F101" s="218"/>
      <c r="G101" s="218"/>
      <c r="H101" s="219"/>
      <c r="I101" s="21" t="s">
        <v>137</v>
      </c>
      <c r="J101" s="42"/>
    </row>
    <row r="102" spans="1:10" ht="15.75" hidden="1" customHeight="1" x14ac:dyDescent="0.35">
      <c r="A102" s="187" t="s">
        <v>51</v>
      </c>
      <c r="B102" s="106"/>
      <c r="C102" s="34" t="s">
        <v>175</v>
      </c>
      <c r="D102" s="34" t="s">
        <v>114</v>
      </c>
      <c r="E102" s="220" t="s">
        <v>116</v>
      </c>
      <c r="F102" s="221"/>
      <c r="G102" s="220" t="s">
        <v>115</v>
      </c>
      <c r="H102" s="222"/>
      <c r="I102" s="19" t="s">
        <v>177</v>
      </c>
      <c r="J102" s="43">
        <f ca="1">H100*25%</f>
        <v>0.75</v>
      </c>
    </row>
    <row r="103" spans="1:10" hidden="1" x14ac:dyDescent="0.35">
      <c r="A103" s="187" t="s">
        <v>164</v>
      </c>
      <c r="B103" s="106"/>
      <c r="C103" s="44">
        <f ca="1">J104</f>
        <v>3</v>
      </c>
      <c r="D103" s="45">
        <f ca="1">((100/H100)*C103)/100</f>
        <v>1</v>
      </c>
      <c r="E103" s="188">
        <f ca="1">(((C104/H100*10)+(40/(D100+F100+H100)*C105)+(7.5/(H100)*C106)+(7.5/(H100)*C107)+(10/H100*C108)+(10/H100*C109)+(5/H100*C110)+(5/H100*C111)+(5/H100*C112))/100)</f>
        <v>0.05</v>
      </c>
      <c r="F103" s="189"/>
      <c r="G103" s="188">
        <f ca="1">((((C103/H100)*20)+((C104/H100)*25)+(30/(H100+F100+D100)*C105)+(5/H100*C106)+(5/H100*C107)+(5/H100*C108)+(5/H100*C109)+(0/H100*C110)+(0/H100*C111)+(5/H100*C112))/100)</f>
        <v>0.32500000000000001</v>
      </c>
      <c r="H103" s="194"/>
      <c r="I103" s="19" t="s">
        <v>132</v>
      </c>
      <c r="J103" s="46">
        <f ca="1">H100*50%</f>
        <v>1.5</v>
      </c>
    </row>
    <row r="104" spans="1:10" hidden="1" x14ac:dyDescent="0.35">
      <c r="A104" s="187" t="s">
        <v>52</v>
      </c>
      <c r="B104" s="106"/>
      <c r="C104" s="47">
        <f ca="1">J106</f>
        <v>1.5</v>
      </c>
      <c r="D104" s="45">
        <f ca="1">((100/H100)*C104)/100</f>
        <v>0.5</v>
      </c>
      <c r="E104" s="190"/>
      <c r="F104" s="191"/>
      <c r="G104" s="190"/>
      <c r="H104" s="195"/>
      <c r="I104" s="19" t="s">
        <v>133</v>
      </c>
      <c r="J104" s="46">
        <f ca="1">H100</f>
        <v>3</v>
      </c>
    </row>
    <row r="105" spans="1:10" ht="15.75" hidden="1" customHeight="1" x14ac:dyDescent="0.35">
      <c r="A105" s="187" t="s">
        <v>165</v>
      </c>
      <c r="B105" s="106"/>
      <c r="C105" s="47">
        <v>0</v>
      </c>
      <c r="D105" s="45">
        <f ca="1">((100/(D100+F100+H100))*C105)/100</f>
        <v>0</v>
      </c>
      <c r="E105" s="190"/>
      <c r="F105" s="191"/>
      <c r="G105" s="190"/>
      <c r="H105" s="195"/>
      <c r="I105" s="19" t="s">
        <v>134</v>
      </c>
      <c r="J105" s="48">
        <f ca="1">(IF(B100&gt;1,(H100/(B100+2)),H100/4))</f>
        <v>0.75</v>
      </c>
    </row>
    <row r="106" spans="1:10" ht="15.75" hidden="1" customHeight="1" x14ac:dyDescent="0.35">
      <c r="A106" s="187" t="s">
        <v>172</v>
      </c>
      <c r="B106" s="106" t="s">
        <v>166</v>
      </c>
      <c r="C106" s="44">
        <v>0</v>
      </c>
      <c r="D106" s="45">
        <f ca="1">((100/H100)*C106)/100</f>
        <v>0</v>
      </c>
      <c r="E106" s="190"/>
      <c r="F106" s="191"/>
      <c r="G106" s="190"/>
      <c r="H106" s="195"/>
      <c r="I106" s="19" t="s">
        <v>135</v>
      </c>
      <c r="J106" s="48">
        <f ca="1">(IF(B100&gt;1,(H100/(B100+2)+J105),H100/4+J105))</f>
        <v>1.5</v>
      </c>
    </row>
    <row r="107" spans="1:10" ht="15.75" hidden="1" customHeight="1" x14ac:dyDescent="0.35">
      <c r="A107" s="187" t="s">
        <v>173</v>
      </c>
      <c r="B107" s="106" t="s">
        <v>166</v>
      </c>
      <c r="C107" s="44">
        <v>0</v>
      </c>
      <c r="D107" s="45">
        <f ca="1">((100/H100)*C107)/100</f>
        <v>0</v>
      </c>
      <c r="E107" s="190"/>
      <c r="F107" s="191"/>
      <c r="G107" s="190"/>
      <c r="H107" s="195"/>
      <c r="I107" s="19" t="s">
        <v>182</v>
      </c>
      <c r="J107" s="48">
        <f>(IF(B100&gt;1,(H100/(B100+2)+J106),0))</f>
        <v>0</v>
      </c>
    </row>
    <row r="108" spans="1:10" ht="15" hidden="1" customHeight="1" x14ac:dyDescent="0.35">
      <c r="A108" s="187" t="s">
        <v>171</v>
      </c>
      <c r="B108" s="106" t="s">
        <v>168</v>
      </c>
      <c r="C108" s="44">
        <v>0</v>
      </c>
      <c r="D108" s="45">
        <f ca="1">((100/(H100))*C108)/100</f>
        <v>0</v>
      </c>
      <c r="E108" s="190"/>
      <c r="F108" s="191"/>
      <c r="G108" s="190"/>
      <c r="H108" s="195"/>
      <c r="I108" s="19" t="s">
        <v>179</v>
      </c>
      <c r="J108" s="48">
        <f>(IF(B100&gt;2,(H100/(B100+2)+J107),0))</f>
        <v>0</v>
      </c>
    </row>
    <row r="109" spans="1:10" ht="15.75" hidden="1" customHeight="1" x14ac:dyDescent="0.35">
      <c r="A109" s="187" t="s">
        <v>167</v>
      </c>
      <c r="B109" s="106" t="s">
        <v>167</v>
      </c>
      <c r="C109" s="44">
        <v>0</v>
      </c>
      <c r="D109" s="45">
        <f ca="1">((100/H100)*C109)/100</f>
        <v>0</v>
      </c>
      <c r="E109" s="190"/>
      <c r="F109" s="191"/>
      <c r="G109" s="190"/>
      <c r="H109" s="195"/>
      <c r="I109" s="19" t="s">
        <v>180</v>
      </c>
      <c r="J109" s="49">
        <f>(IF(B100&gt;3,(H100/(B100+2)+J108),0))</f>
        <v>0</v>
      </c>
    </row>
    <row r="110" spans="1:10" ht="15.75" hidden="1" customHeight="1" x14ac:dyDescent="0.35">
      <c r="A110" s="187" t="s">
        <v>174</v>
      </c>
      <c r="B110" s="106"/>
      <c r="C110" s="44">
        <v>0</v>
      </c>
      <c r="D110" s="45">
        <f ca="1">((100/H100)*C110)/100</f>
        <v>0</v>
      </c>
      <c r="E110" s="190"/>
      <c r="F110" s="191"/>
      <c r="G110" s="190"/>
      <c r="H110" s="195"/>
      <c r="I110" s="19" t="s">
        <v>181</v>
      </c>
      <c r="J110" s="48">
        <f>(IF(B100&gt;4,(H100/(B100+2)+J109),0))</f>
        <v>0</v>
      </c>
    </row>
    <row r="111" spans="1:10" ht="15.75" hidden="1" customHeight="1" x14ac:dyDescent="0.35">
      <c r="A111" s="198" t="s">
        <v>169</v>
      </c>
      <c r="B111" s="186" t="s">
        <v>169</v>
      </c>
      <c r="C111" s="44">
        <v>0</v>
      </c>
      <c r="D111" s="45">
        <f ca="1">((100/(H100))*C111)/100</f>
        <v>0</v>
      </c>
      <c r="E111" s="190"/>
      <c r="F111" s="191"/>
      <c r="G111" s="190"/>
      <c r="H111" s="195"/>
      <c r="I111" s="19" t="s">
        <v>183</v>
      </c>
      <c r="J111" s="48">
        <f ca="1">(IF(B100=1,(H100/(B100+3)+J106),IF(B100=0,(H100/4+J106),IF(B100&gt;1,0))))</f>
        <v>2.25</v>
      </c>
    </row>
    <row r="112" spans="1:10" ht="16" hidden="1" thickBot="1" x14ac:dyDescent="0.4">
      <c r="A112" s="199" t="s">
        <v>170</v>
      </c>
      <c r="B112" s="200"/>
      <c r="C112" s="50">
        <v>0</v>
      </c>
      <c r="D112" s="51">
        <f ca="1">((100/(H100))*C112)/100</f>
        <v>0</v>
      </c>
      <c r="E112" s="192"/>
      <c r="F112" s="193"/>
      <c r="G112" s="192"/>
      <c r="H112" s="196"/>
      <c r="I112" s="22" t="s">
        <v>136</v>
      </c>
      <c r="J112" s="52">
        <f ca="1">(IF(B100&gt;1.5,(H100/(B100+2)+J106+MAX(0,J107-J106)+MAX(0,J108-J107)+MAX(0,J109-J108)+MAX(0,J110-J109)+MAX(0,J111-J110)),IF(B100=1,(H100/(B100+3)+J111),IF(B100=0,H100/4+J111))))</f>
        <v>3</v>
      </c>
    </row>
    <row r="113" spans="1:8" x14ac:dyDescent="0.35">
      <c r="A113" s="173" t="s">
        <v>151</v>
      </c>
      <c r="B113" s="174"/>
      <c r="C113" s="174"/>
      <c r="D113" s="174"/>
      <c r="E113" s="175"/>
      <c r="F113" s="173" t="str">
        <f ca="1">(IF(D68="Nothing","Yes",IF(D68="Cement, Aggregate, Steel, etc","Under Construction",IF(D68="Work not yet Started","Work not yet Started"))))</f>
        <v>Under Construction</v>
      </c>
      <c r="G113" s="174"/>
      <c r="H113" s="175"/>
    </row>
    <row r="114" spans="1:8" x14ac:dyDescent="0.35">
      <c r="A114" s="105" t="s">
        <v>53</v>
      </c>
      <c r="B114" s="105"/>
      <c r="C114" s="105"/>
      <c r="D114" s="105"/>
      <c r="E114" s="105"/>
      <c r="F114" s="105"/>
      <c r="G114" s="105"/>
      <c r="H114" s="105"/>
    </row>
    <row r="115" spans="1:8" ht="15" customHeight="1" x14ac:dyDescent="0.35">
      <c r="A115" s="121" t="s">
        <v>103</v>
      </c>
      <c r="B115" s="121"/>
      <c r="C115" s="123" t="s">
        <v>217</v>
      </c>
      <c r="D115" s="123"/>
      <c r="E115" s="123"/>
      <c r="F115" s="123"/>
      <c r="G115" s="123"/>
      <c r="H115" s="123"/>
    </row>
    <row r="116" spans="1:8" x14ac:dyDescent="0.35">
      <c r="A116" s="151" t="s">
        <v>54</v>
      </c>
      <c r="B116" s="151"/>
      <c r="C116" s="151"/>
      <c r="D116" s="151"/>
      <c r="E116" s="151"/>
      <c r="F116" s="151"/>
      <c r="G116" s="151"/>
      <c r="H116" s="151"/>
    </row>
    <row r="117" spans="1:8" s="84" customFormat="1" ht="33.75" customHeight="1" x14ac:dyDescent="0.3">
      <c r="A117" s="126" t="s">
        <v>269</v>
      </c>
      <c r="B117" s="151"/>
      <c r="C117" s="151"/>
      <c r="D117" s="151"/>
      <c r="E117" s="151"/>
      <c r="F117" s="121">
        <v>3100</v>
      </c>
      <c r="G117" s="121"/>
      <c r="H117" s="121"/>
    </row>
    <row r="118" spans="1:8" s="84" customFormat="1" ht="33.75" customHeight="1" x14ac:dyDescent="0.3">
      <c r="A118" s="225" t="s">
        <v>270</v>
      </c>
      <c r="B118" s="226"/>
      <c r="C118" s="226"/>
      <c r="D118" s="226"/>
      <c r="E118" s="226"/>
      <c r="F118" s="227">
        <v>3400</v>
      </c>
      <c r="G118" s="227"/>
      <c r="H118" s="227"/>
    </row>
    <row r="119" spans="1:8" x14ac:dyDescent="0.35">
      <c r="A119" s="105" t="s">
        <v>110</v>
      </c>
      <c r="B119" s="105"/>
      <c r="C119" s="105"/>
      <c r="D119" s="105"/>
      <c r="E119" s="105"/>
      <c r="F119" s="108">
        <v>7000</v>
      </c>
      <c r="G119" s="108"/>
      <c r="H119" s="108"/>
    </row>
    <row r="120" spans="1:8" s="53" customFormat="1" x14ac:dyDescent="0.3">
      <c r="A120" s="105" t="s">
        <v>126</v>
      </c>
      <c r="B120" s="105"/>
      <c r="C120" s="105"/>
      <c r="D120" s="105"/>
      <c r="E120" s="105"/>
      <c r="F120" s="208" t="s">
        <v>220</v>
      </c>
      <c r="G120" s="108"/>
      <c r="H120" s="108"/>
    </row>
    <row r="121" spans="1:8" s="53" customFormat="1" x14ac:dyDescent="0.3">
      <c r="A121" s="105" t="s">
        <v>221</v>
      </c>
      <c r="B121" s="105"/>
      <c r="C121" s="105"/>
      <c r="D121" s="105"/>
      <c r="E121" s="105"/>
      <c r="F121" s="108" t="s">
        <v>222</v>
      </c>
      <c r="G121" s="108"/>
      <c r="H121" s="108"/>
    </row>
    <row r="122" spans="1:8" s="53" customFormat="1" hidden="1" x14ac:dyDescent="0.3">
      <c r="A122" s="105" t="s">
        <v>127</v>
      </c>
      <c r="B122" s="105"/>
      <c r="C122" s="105"/>
      <c r="D122" s="105"/>
      <c r="E122" s="105"/>
      <c r="F122" s="208" t="s">
        <v>223</v>
      </c>
      <c r="G122" s="108"/>
      <c r="H122" s="108"/>
    </row>
    <row r="123" spans="1:8" s="53" customFormat="1" hidden="1" x14ac:dyDescent="0.3">
      <c r="A123" s="105" t="s">
        <v>128</v>
      </c>
      <c r="B123" s="105"/>
      <c r="C123" s="105"/>
      <c r="D123" s="105"/>
      <c r="E123" s="105"/>
      <c r="F123" s="108" t="s">
        <v>30</v>
      </c>
      <c r="G123" s="108"/>
      <c r="H123" s="108"/>
    </row>
    <row r="124" spans="1:8" s="53" customFormat="1" hidden="1" x14ac:dyDescent="0.3">
      <c r="A124" s="105" t="s">
        <v>129</v>
      </c>
      <c r="B124" s="105"/>
      <c r="C124" s="105"/>
      <c r="D124" s="105"/>
      <c r="E124" s="105"/>
      <c r="F124" s="108" t="s">
        <v>30</v>
      </c>
      <c r="G124" s="108"/>
      <c r="H124" s="108"/>
    </row>
    <row r="125" spans="1:8" s="53" customFormat="1" hidden="1" x14ac:dyDescent="0.3">
      <c r="A125" s="105" t="s">
        <v>130</v>
      </c>
      <c r="B125" s="105"/>
      <c r="C125" s="105"/>
      <c r="D125" s="105"/>
      <c r="E125" s="105"/>
      <c r="F125" s="108" t="s">
        <v>30</v>
      </c>
      <c r="G125" s="108"/>
      <c r="H125" s="108"/>
    </row>
    <row r="126" spans="1:8" s="53" customFormat="1" hidden="1" x14ac:dyDescent="0.3">
      <c r="A126" s="105" t="s">
        <v>131</v>
      </c>
      <c r="B126" s="105"/>
      <c r="C126" s="105"/>
      <c r="D126" s="105"/>
      <c r="E126" s="105"/>
      <c r="F126" s="108" t="s">
        <v>30</v>
      </c>
      <c r="G126" s="108"/>
      <c r="H126" s="108"/>
    </row>
    <row r="127" spans="1:8" x14ac:dyDescent="0.35">
      <c r="A127" s="105" t="s">
        <v>55</v>
      </c>
      <c r="B127" s="105"/>
      <c r="C127" s="105"/>
      <c r="D127" s="105"/>
      <c r="E127" s="105"/>
      <c r="F127" s="125" t="s">
        <v>209</v>
      </c>
      <c r="G127" s="125"/>
      <c r="H127" s="125"/>
    </row>
    <row r="128" spans="1:8" s="54" customFormat="1" x14ac:dyDescent="0.35">
      <c r="A128" s="151" t="s">
        <v>56</v>
      </c>
      <c r="B128" s="151"/>
      <c r="C128" s="151"/>
      <c r="D128" s="151"/>
      <c r="E128" s="151"/>
      <c r="F128" s="108">
        <f>F117*0.8</f>
        <v>2480</v>
      </c>
      <c r="G128" s="108"/>
      <c r="H128" s="108"/>
    </row>
    <row r="129" spans="1:11" s="55" customFormat="1" ht="15.75" customHeight="1" x14ac:dyDescent="0.35">
      <c r="A129" s="132" t="s">
        <v>104</v>
      </c>
      <c r="B129" s="132"/>
      <c r="C129" s="132"/>
      <c r="D129" s="132"/>
      <c r="E129" s="132"/>
      <c r="F129" s="132"/>
      <c r="G129" s="132"/>
      <c r="H129" s="132"/>
    </row>
    <row r="130" spans="1:11" s="55" customFormat="1" ht="15.75" customHeight="1" x14ac:dyDescent="0.35">
      <c r="A130" s="132" t="s">
        <v>57</v>
      </c>
      <c r="B130" s="132"/>
      <c r="C130" s="176" t="s">
        <v>107</v>
      </c>
      <c r="D130" s="176"/>
      <c r="E130" s="209" t="s">
        <v>58</v>
      </c>
      <c r="F130" s="209"/>
      <c r="G130" s="132" t="s">
        <v>59</v>
      </c>
      <c r="H130" s="132"/>
    </row>
    <row r="131" spans="1:11" s="55" customFormat="1" ht="32.25" customHeight="1" x14ac:dyDescent="0.35">
      <c r="A131" s="201" t="s">
        <v>211</v>
      </c>
      <c r="B131" s="201"/>
      <c r="C131" s="230">
        <f>COUNT(D147:D158)</f>
        <v>12</v>
      </c>
      <c r="D131" s="231"/>
      <c r="E131" s="206">
        <f>SUM(D147:D158)</f>
        <v>2494.5569999999993</v>
      </c>
      <c r="F131" s="207"/>
      <c r="G131" s="206">
        <f>SUM(F147:F158)</f>
        <v>3741.8355000000001</v>
      </c>
      <c r="H131" s="207"/>
    </row>
    <row r="132" spans="1:11" s="55" customFormat="1" ht="30" customHeight="1" x14ac:dyDescent="0.35">
      <c r="A132" s="201" t="s">
        <v>215</v>
      </c>
      <c r="B132" s="201"/>
      <c r="C132" s="202">
        <f>COUNT(D162:D174)</f>
        <v>13</v>
      </c>
      <c r="D132" s="203"/>
      <c r="E132" s="204">
        <f>SUM(D162:D174)</f>
        <v>1719.7642800000001</v>
      </c>
      <c r="F132" s="205"/>
      <c r="G132" s="204">
        <f>SUM(F162:F174)</f>
        <v>2579.64642</v>
      </c>
      <c r="H132" s="205"/>
    </row>
    <row r="133" spans="1:11" s="55" customFormat="1" x14ac:dyDescent="0.35">
      <c r="A133" s="132" t="s">
        <v>61</v>
      </c>
      <c r="B133" s="132"/>
      <c r="C133" s="223">
        <f>SUM(C131:D132)</f>
        <v>25</v>
      </c>
      <c r="D133" s="176"/>
      <c r="E133" s="224">
        <f>SUM(E131:F132)</f>
        <v>4214.3212799999992</v>
      </c>
      <c r="F133" s="209"/>
      <c r="G133" s="132">
        <f>SUM(G131:H132)</f>
        <v>6321.4819200000002</v>
      </c>
      <c r="H133" s="132"/>
      <c r="K133" s="63">
        <f>G133+G139</f>
        <v>78040.749736359998</v>
      </c>
    </row>
    <row r="134" spans="1:11" s="55" customFormat="1" x14ac:dyDescent="0.35">
      <c r="A134" s="132" t="s">
        <v>98</v>
      </c>
      <c r="B134" s="132"/>
      <c r="C134" s="132"/>
      <c r="D134" s="132"/>
      <c r="E134" s="132"/>
      <c r="F134" s="132"/>
      <c r="G134" s="132"/>
      <c r="H134" s="132"/>
      <c r="K134" s="63">
        <f>E133+E139</f>
        <v>50317.762528799998</v>
      </c>
    </row>
    <row r="135" spans="1:11" s="55" customFormat="1" ht="15.75" customHeight="1" x14ac:dyDescent="0.35">
      <c r="A135" s="109" t="s">
        <v>57</v>
      </c>
      <c r="B135" s="109"/>
      <c r="C135" s="176" t="s">
        <v>107</v>
      </c>
      <c r="D135" s="176"/>
      <c r="E135" s="232" t="s">
        <v>58</v>
      </c>
      <c r="F135" s="232"/>
      <c r="G135" s="109" t="s">
        <v>59</v>
      </c>
      <c r="H135" s="109"/>
    </row>
    <row r="136" spans="1:11" s="55" customFormat="1" x14ac:dyDescent="0.35">
      <c r="A136" s="110" t="s">
        <v>212</v>
      </c>
      <c r="B136" s="25" t="s">
        <v>206</v>
      </c>
      <c r="C136" s="231">
        <f>COUNT(D181)+COUNT(D183:D186)+COUNT(D188:D191)*3</f>
        <v>17</v>
      </c>
      <c r="D136" s="231"/>
      <c r="E136" s="233">
        <f>SUM(D181)+SUM(D183:D186)+SUM(D188:D191)*3</f>
        <v>7257.7346399999997</v>
      </c>
      <c r="F136" s="233"/>
      <c r="G136" s="233">
        <f>SUM(F181)+SUM(F183:F186)+SUM(F188:F191)*3</f>
        <v>12375</v>
      </c>
      <c r="H136" s="233"/>
    </row>
    <row r="137" spans="1:11" s="55" customFormat="1" x14ac:dyDescent="0.35">
      <c r="A137" s="111"/>
      <c r="B137" s="25" t="s">
        <v>207</v>
      </c>
      <c r="C137" s="231">
        <f>COUNT(D194)+COUNT(D196:D203)+COUNT(D205:D212)*3</f>
        <v>33</v>
      </c>
      <c r="D137" s="231"/>
      <c r="E137" s="233">
        <f>SUM(D194)+SUM(D196:D203)+SUM(D205:D212)*3</f>
        <v>10832.222232</v>
      </c>
      <c r="F137" s="233"/>
      <c r="G137" s="233">
        <f>SUM(F194)+SUM(F196:F203)+SUM(F205:F212)*3</f>
        <v>18622</v>
      </c>
      <c r="H137" s="233"/>
    </row>
    <row r="138" spans="1:11" s="55" customFormat="1" ht="36.75" customHeight="1" x14ac:dyDescent="0.35">
      <c r="A138" s="237" t="s">
        <v>263</v>
      </c>
      <c r="B138" s="238"/>
      <c r="C138" s="231">
        <f>COUNT(D216:D217)+COUNT(D219:D228)+COUNT(D230:D239)*6</f>
        <v>72</v>
      </c>
      <c r="D138" s="231"/>
      <c r="E138" s="206">
        <f>SUM(D216:D217)+SUM(D219:D228)+SUM(D230:D239)*6</f>
        <v>28013.484376800003</v>
      </c>
      <c r="F138" s="206"/>
      <c r="G138" s="206">
        <f>SUM(F216:F217)+SUM(F219:F228)+SUM(F230:F239)*6</f>
        <v>40722.267816359992</v>
      </c>
      <c r="H138" s="206"/>
    </row>
    <row r="139" spans="1:11" s="55" customFormat="1" x14ac:dyDescent="0.35">
      <c r="A139" s="132" t="s">
        <v>61</v>
      </c>
      <c r="B139" s="132"/>
      <c r="C139" s="176">
        <f>SUM(C136:D138)</f>
        <v>122</v>
      </c>
      <c r="D139" s="176"/>
      <c r="E139" s="234">
        <f>SUM(E136:F138)</f>
        <v>46103.441248800002</v>
      </c>
      <c r="F139" s="232"/>
      <c r="G139" s="109">
        <f>SUM(G136:H138)</f>
        <v>71719.267816359992</v>
      </c>
      <c r="H139" s="109"/>
    </row>
    <row r="140" spans="1:11" s="54" customFormat="1" x14ac:dyDescent="0.35">
      <c r="A140" s="102" t="s">
        <v>62</v>
      </c>
      <c r="B140" s="102"/>
      <c r="C140" s="102"/>
      <c r="D140" s="102"/>
      <c r="E140" s="102"/>
      <c r="F140" s="102"/>
      <c r="G140" s="102"/>
      <c r="H140" s="102"/>
    </row>
    <row r="141" spans="1:11" x14ac:dyDescent="0.35">
      <c r="A141" s="102" t="s">
        <v>63</v>
      </c>
      <c r="B141" s="102"/>
      <c r="C141" s="102"/>
      <c r="D141" s="102"/>
      <c r="E141" s="102"/>
      <c r="F141" s="102"/>
      <c r="G141" s="102"/>
      <c r="H141" s="102"/>
    </row>
    <row r="142" spans="1:11" ht="47.25" customHeight="1" x14ac:dyDescent="0.35">
      <c r="A142" s="229" t="s">
        <v>154</v>
      </c>
      <c r="B142" s="229" t="s">
        <v>153</v>
      </c>
      <c r="C142" s="229" t="s">
        <v>64</v>
      </c>
      <c r="D142" s="229" t="s">
        <v>65</v>
      </c>
      <c r="E142" s="228" t="s">
        <v>66</v>
      </c>
      <c r="F142" s="79" t="s">
        <v>152</v>
      </c>
      <c r="G142" s="229" t="s">
        <v>67</v>
      </c>
      <c r="H142" s="229"/>
    </row>
    <row r="143" spans="1:11" s="56" customFormat="1" x14ac:dyDescent="0.35">
      <c r="A143" s="229"/>
      <c r="B143" s="229"/>
      <c r="C143" s="229"/>
      <c r="D143" s="229"/>
      <c r="E143" s="228"/>
      <c r="F143" s="80">
        <v>0.5</v>
      </c>
      <c r="G143" s="229"/>
      <c r="H143" s="229"/>
    </row>
    <row r="144" spans="1:11" s="54" customFormat="1" x14ac:dyDescent="0.35">
      <c r="A144" s="102" t="s">
        <v>213</v>
      </c>
      <c r="B144" s="102"/>
      <c r="C144" s="102"/>
      <c r="D144" s="102"/>
      <c r="E144" s="102"/>
      <c r="F144" s="102"/>
      <c r="G144" s="102"/>
      <c r="H144" s="102"/>
    </row>
    <row r="145" spans="1:14" s="54" customFormat="1" x14ac:dyDescent="0.35">
      <c r="A145" s="102" t="s">
        <v>242</v>
      </c>
      <c r="B145" s="102"/>
      <c r="C145" s="102"/>
      <c r="D145" s="102"/>
      <c r="E145" s="102"/>
      <c r="F145" s="102"/>
      <c r="G145" s="102"/>
      <c r="H145" s="102"/>
    </row>
    <row r="146" spans="1:14" s="56" customFormat="1" x14ac:dyDescent="0.35">
      <c r="A146" s="103" t="s">
        <v>199</v>
      </c>
      <c r="B146" s="103"/>
      <c r="C146" s="103"/>
      <c r="D146" s="103"/>
      <c r="E146" s="103"/>
      <c r="F146" s="103"/>
      <c r="G146" s="103"/>
      <c r="H146" s="103"/>
    </row>
    <row r="147" spans="1:14" s="56" customFormat="1" ht="15.75" customHeight="1" x14ac:dyDescent="0.35">
      <c r="A147" s="94">
        <v>1</v>
      </c>
      <c r="B147" s="94"/>
      <c r="C147" s="74" t="s">
        <v>200</v>
      </c>
      <c r="D147" s="74">
        <f>(25.31)*10.764</f>
        <v>272.43683999999996</v>
      </c>
      <c r="E147" s="74">
        <v>0</v>
      </c>
      <c r="F147" s="74">
        <f>D147*(($F$143)+1)+E147</f>
        <v>408.65525999999994</v>
      </c>
      <c r="G147" s="94" t="str">
        <f>A146</f>
        <v xml:space="preserve">Ground Floor for Commercial &amp; Parking </v>
      </c>
      <c r="H147" s="94"/>
      <c r="I147" s="57">
        <f>3681000/F147</f>
        <v>9007.5923652616166</v>
      </c>
      <c r="L147" s="93"/>
      <c r="M147" s="93"/>
      <c r="N147" s="57"/>
    </row>
    <row r="148" spans="1:14" s="56" customFormat="1" ht="15.75" customHeight="1" x14ac:dyDescent="0.35">
      <c r="A148" s="94">
        <f>A147+1</f>
        <v>2</v>
      </c>
      <c r="B148" s="94"/>
      <c r="C148" s="74" t="s">
        <v>200</v>
      </c>
      <c r="D148" s="74">
        <f>(26.7)*10.764</f>
        <v>287.39879999999999</v>
      </c>
      <c r="E148" s="74">
        <v>0</v>
      </c>
      <c r="F148" s="74">
        <f t="shared" ref="F148:F149" si="0">D148*(($F$143)+1)+E148</f>
        <v>431.09820000000002</v>
      </c>
      <c r="G148" s="94"/>
      <c r="H148" s="94"/>
      <c r="I148" s="57">
        <f>3879000/F148</f>
        <v>8997.9498870558946</v>
      </c>
      <c r="L148" s="93"/>
      <c r="M148" s="93"/>
      <c r="N148" s="57"/>
    </row>
    <row r="149" spans="1:14" s="56" customFormat="1" ht="15.75" customHeight="1" x14ac:dyDescent="0.35">
      <c r="A149" s="94">
        <f t="shared" ref="A149:A151" si="1">A148+1</f>
        <v>3</v>
      </c>
      <c r="B149" s="94"/>
      <c r="C149" s="74" t="s">
        <v>200</v>
      </c>
      <c r="D149" s="74">
        <f>(18.09)*10.764</f>
        <v>194.72075999999998</v>
      </c>
      <c r="E149" s="74">
        <v>0</v>
      </c>
      <c r="F149" s="74">
        <f t="shared" si="0"/>
        <v>292.08114</v>
      </c>
      <c r="G149" s="94"/>
      <c r="H149" s="94"/>
      <c r="I149" s="57"/>
      <c r="L149" s="93"/>
      <c r="M149" s="93"/>
      <c r="N149" s="57"/>
    </row>
    <row r="150" spans="1:14" s="56" customFormat="1" ht="15.75" customHeight="1" x14ac:dyDescent="0.35">
      <c r="A150" s="94">
        <f t="shared" si="1"/>
        <v>4</v>
      </c>
      <c r="B150" s="94"/>
      <c r="C150" s="74" t="s">
        <v>200</v>
      </c>
      <c r="D150" s="74">
        <f>(18.09)*10.764</f>
        <v>194.72075999999998</v>
      </c>
      <c r="E150" s="74">
        <v>0</v>
      </c>
      <c r="F150" s="74">
        <f t="shared" ref="F150:F151" si="2">D150*(($F$143)+1)+E150</f>
        <v>292.08114</v>
      </c>
      <c r="G150" s="94"/>
      <c r="H150" s="94"/>
      <c r="I150" s="57"/>
      <c r="L150" s="93"/>
      <c r="M150" s="93"/>
      <c r="N150" s="57"/>
    </row>
    <row r="151" spans="1:14" s="56" customFormat="1" ht="15.75" customHeight="1" x14ac:dyDescent="0.35">
      <c r="A151" s="94">
        <f t="shared" si="1"/>
        <v>5</v>
      </c>
      <c r="B151" s="94"/>
      <c r="C151" s="74" t="s">
        <v>200</v>
      </c>
      <c r="D151" s="74">
        <f>(14.07)*10.764</f>
        <v>151.44947999999999</v>
      </c>
      <c r="E151" s="74">
        <v>0</v>
      </c>
      <c r="F151" s="74">
        <f t="shared" si="2"/>
        <v>227.17421999999999</v>
      </c>
      <c r="G151" s="94"/>
      <c r="H151" s="94"/>
      <c r="I151" s="57"/>
      <c r="L151" s="93"/>
      <c r="M151" s="93"/>
      <c r="N151" s="57"/>
    </row>
    <row r="152" spans="1:14" s="56" customFormat="1" ht="15.75" customHeight="1" x14ac:dyDescent="0.35">
      <c r="A152" s="94">
        <f t="shared" ref="A152:A158" si="3">A151+1</f>
        <v>6</v>
      </c>
      <c r="B152" s="94"/>
      <c r="C152" s="74" t="s">
        <v>200</v>
      </c>
      <c r="D152" s="74">
        <f>(18.09)*10.764</f>
        <v>194.72075999999998</v>
      </c>
      <c r="E152" s="74">
        <v>0</v>
      </c>
      <c r="F152" s="74">
        <f t="shared" ref="F152:F156" si="4">D152*(($F$143)+1)+E152</f>
        <v>292.08114</v>
      </c>
      <c r="G152" s="94"/>
      <c r="H152" s="94"/>
      <c r="I152" s="57"/>
      <c r="L152" s="93"/>
      <c r="M152" s="93"/>
      <c r="N152" s="57"/>
    </row>
    <row r="153" spans="1:14" s="56" customFormat="1" ht="15.75" customHeight="1" x14ac:dyDescent="0.35">
      <c r="A153" s="94">
        <f t="shared" si="3"/>
        <v>7</v>
      </c>
      <c r="B153" s="94"/>
      <c r="C153" s="74" t="s">
        <v>200</v>
      </c>
      <c r="D153" s="74">
        <f>(18.09)*10.764</f>
        <v>194.72075999999998</v>
      </c>
      <c r="E153" s="74">
        <v>0</v>
      </c>
      <c r="F153" s="74">
        <f t="shared" si="4"/>
        <v>292.08114</v>
      </c>
      <c r="G153" s="94"/>
      <c r="H153" s="94"/>
      <c r="I153" s="57"/>
      <c r="L153" s="93"/>
      <c r="M153" s="93"/>
      <c r="N153" s="57"/>
    </row>
    <row r="154" spans="1:14" s="56" customFormat="1" ht="15.75" customHeight="1" x14ac:dyDescent="0.35">
      <c r="A154" s="94">
        <f t="shared" si="3"/>
        <v>8</v>
      </c>
      <c r="B154" s="94"/>
      <c r="C154" s="74" t="s">
        <v>200</v>
      </c>
      <c r="D154" s="74">
        <f>(14.07)*10.764</f>
        <v>151.44947999999999</v>
      </c>
      <c r="E154" s="74">
        <v>0</v>
      </c>
      <c r="F154" s="74">
        <f t="shared" si="4"/>
        <v>227.17421999999999</v>
      </c>
      <c r="G154" s="94"/>
      <c r="H154" s="94"/>
      <c r="I154" s="57"/>
      <c r="L154" s="93"/>
      <c r="M154" s="93"/>
      <c r="N154" s="57"/>
    </row>
    <row r="155" spans="1:14" s="56" customFormat="1" ht="15.75" customHeight="1" x14ac:dyDescent="0.35">
      <c r="A155" s="94">
        <f t="shared" si="3"/>
        <v>9</v>
      </c>
      <c r="B155" s="94"/>
      <c r="C155" s="74" t="s">
        <v>200</v>
      </c>
      <c r="D155" s="74">
        <f>(18.09)*10.764</f>
        <v>194.72075999999998</v>
      </c>
      <c r="E155" s="74">
        <v>0</v>
      </c>
      <c r="F155" s="74">
        <f t="shared" si="4"/>
        <v>292.08114</v>
      </c>
      <c r="G155" s="94"/>
      <c r="H155" s="94"/>
      <c r="I155" s="57"/>
      <c r="L155" s="93"/>
      <c r="M155" s="93"/>
      <c r="N155" s="57"/>
    </row>
    <row r="156" spans="1:14" s="56" customFormat="1" ht="15.75" customHeight="1" x14ac:dyDescent="0.35">
      <c r="A156" s="94">
        <f t="shared" si="3"/>
        <v>10</v>
      </c>
      <c r="B156" s="94"/>
      <c r="C156" s="74" t="s">
        <v>200</v>
      </c>
      <c r="D156" s="74">
        <f>(18.09)*10.764</f>
        <v>194.72075999999998</v>
      </c>
      <c r="E156" s="74">
        <v>0</v>
      </c>
      <c r="F156" s="74">
        <f t="shared" si="4"/>
        <v>292.08114</v>
      </c>
      <c r="G156" s="94"/>
      <c r="H156" s="94"/>
      <c r="I156" s="57"/>
      <c r="L156" s="93"/>
      <c r="M156" s="93"/>
      <c r="N156" s="57"/>
    </row>
    <row r="157" spans="1:14" s="56" customFormat="1" ht="15.75" customHeight="1" x14ac:dyDescent="0.35">
      <c r="A157" s="94">
        <f t="shared" si="3"/>
        <v>11</v>
      </c>
      <c r="B157" s="94"/>
      <c r="C157" s="74" t="s">
        <v>200</v>
      </c>
      <c r="D157" s="74">
        <f>(14.07)*10.764</f>
        <v>151.44947999999999</v>
      </c>
      <c r="E157" s="74">
        <v>0</v>
      </c>
      <c r="F157" s="74">
        <f t="shared" ref="F157:F158" si="5">D157*(($F$143)+1)+E157</f>
        <v>227.17421999999999</v>
      </c>
      <c r="G157" s="94"/>
      <c r="H157" s="94"/>
      <c r="I157" s="57"/>
      <c r="L157" s="93"/>
      <c r="M157" s="93"/>
      <c r="N157" s="57"/>
    </row>
    <row r="158" spans="1:14" s="56" customFormat="1" ht="15.75" customHeight="1" x14ac:dyDescent="0.35">
      <c r="A158" s="94">
        <f t="shared" si="3"/>
        <v>12</v>
      </c>
      <c r="B158" s="94"/>
      <c r="C158" s="74" t="s">
        <v>200</v>
      </c>
      <c r="D158" s="74">
        <f>(28.99)*10.764</f>
        <v>312.04835999999995</v>
      </c>
      <c r="E158" s="74">
        <v>0</v>
      </c>
      <c r="F158" s="74">
        <f t="shared" si="5"/>
        <v>468.07253999999989</v>
      </c>
      <c r="G158" s="94"/>
      <c r="H158" s="94"/>
      <c r="I158" s="57"/>
      <c r="L158" s="93"/>
      <c r="M158" s="93"/>
      <c r="N158" s="57"/>
    </row>
    <row r="159" spans="1:14" s="54" customFormat="1" x14ac:dyDescent="0.35">
      <c r="A159" s="102" t="s">
        <v>216</v>
      </c>
      <c r="B159" s="102"/>
      <c r="C159" s="102"/>
      <c r="D159" s="102"/>
      <c r="E159" s="102"/>
      <c r="F159" s="102"/>
      <c r="G159" s="102"/>
      <c r="H159" s="102"/>
    </row>
    <row r="160" spans="1:14" s="54" customFormat="1" x14ac:dyDescent="0.35">
      <c r="A160" s="102" t="s">
        <v>243</v>
      </c>
      <c r="B160" s="102"/>
      <c r="C160" s="102"/>
      <c r="D160" s="102"/>
      <c r="E160" s="102"/>
      <c r="F160" s="102"/>
      <c r="G160" s="102"/>
      <c r="H160" s="102"/>
    </row>
    <row r="161" spans="1:14" s="56" customFormat="1" x14ac:dyDescent="0.35">
      <c r="A161" s="133" t="s">
        <v>247</v>
      </c>
      <c r="B161" s="134"/>
      <c r="C161" s="134"/>
      <c r="D161" s="134"/>
      <c r="E161" s="134"/>
      <c r="F161" s="134"/>
      <c r="G161" s="134"/>
      <c r="H161" s="135"/>
      <c r="J161" s="72">
        <f>10.764</f>
        <v>10.763999999999999</v>
      </c>
    </row>
    <row r="162" spans="1:14" s="56" customFormat="1" ht="15.75" customHeight="1" x14ac:dyDescent="0.35">
      <c r="A162" s="95">
        <v>1</v>
      </c>
      <c r="B162" s="97"/>
      <c r="C162" s="27" t="s">
        <v>200</v>
      </c>
      <c r="D162" s="72">
        <f>(19.34)*(10.764)</f>
        <v>208.17576</v>
      </c>
      <c r="E162" s="27">
        <v>0</v>
      </c>
      <c r="F162" s="27">
        <f>D162*(($F$143)+1)+E162</f>
        <v>312.26364000000001</v>
      </c>
      <c r="G162" s="87" t="str">
        <f>A161</f>
        <v xml:space="preserve">Ground Floor for Commercial, Meter Room, Driver Room, Society Office, Residential &amp; Parking </v>
      </c>
      <c r="H162" s="88"/>
      <c r="I162" s="57"/>
      <c r="L162" s="93"/>
      <c r="M162" s="93"/>
      <c r="N162" s="57"/>
    </row>
    <row r="163" spans="1:14" s="56" customFormat="1" ht="15.75" customHeight="1" x14ac:dyDescent="0.35">
      <c r="A163" s="95">
        <f>A162+1</f>
        <v>2</v>
      </c>
      <c r="B163" s="97"/>
      <c r="C163" s="27" t="s">
        <v>200</v>
      </c>
      <c r="D163" s="72">
        <f>(11.28)*(10.764)</f>
        <v>121.41791999999998</v>
      </c>
      <c r="E163" s="27">
        <v>0</v>
      </c>
      <c r="F163" s="27">
        <f t="shared" ref="F163:F173" si="6">D163*(($F$143)+1)+E163</f>
        <v>182.12687999999997</v>
      </c>
      <c r="G163" s="89"/>
      <c r="H163" s="90"/>
      <c r="I163" s="57"/>
      <c r="L163" s="93"/>
      <c r="M163" s="93"/>
      <c r="N163" s="57"/>
    </row>
    <row r="164" spans="1:14" s="56" customFormat="1" ht="15.75" customHeight="1" x14ac:dyDescent="0.35">
      <c r="A164" s="95">
        <f t="shared" ref="A164:A174" si="7">A163+1</f>
        <v>3</v>
      </c>
      <c r="B164" s="97"/>
      <c r="C164" s="27" t="s">
        <v>200</v>
      </c>
      <c r="D164" s="72">
        <f>(8.73)*(10.764)</f>
        <v>93.969719999999995</v>
      </c>
      <c r="E164" s="27">
        <v>0</v>
      </c>
      <c r="F164" s="27">
        <f t="shared" si="6"/>
        <v>140.95457999999999</v>
      </c>
      <c r="G164" s="89"/>
      <c r="H164" s="90"/>
      <c r="I164" s="57"/>
      <c r="L164" s="93"/>
      <c r="M164" s="93"/>
      <c r="N164" s="57"/>
    </row>
    <row r="165" spans="1:14" s="56" customFormat="1" ht="15.75" customHeight="1" x14ac:dyDescent="0.35">
      <c r="A165" s="95">
        <f t="shared" si="7"/>
        <v>4</v>
      </c>
      <c r="B165" s="97"/>
      <c r="C165" s="27" t="s">
        <v>200</v>
      </c>
      <c r="D165" s="72">
        <f>(13.6)*(10.764)</f>
        <v>146.3904</v>
      </c>
      <c r="E165" s="27">
        <v>0</v>
      </c>
      <c r="F165" s="27">
        <f t="shared" si="6"/>
        <v>219.5856</v>
      </c>
      <c r="G165" s="89"/>
      <c r="H165" s="90"/>
      <c r="I165" s="57"/>
      <c r="L165" s="93"/>
      <c r="M165" s="93"/>
      <c r="N165" s="57"/>
    </row>
    <row r="166" spans="1:14" s="56" customFormat="1" ht="15.75" customHeight="1" x14ac:dyDescent="0.35">
      <c r="A166" s="95">
        <f t="shared" si="7"/>
        <v>5</v>
      </c>
      <c r="B166" s="97"/>
      <c r="C166" s="27" t="s">
        <v>200</v>
      </c>
      <c r="D166" s="72">
        <f>(14.66)*(10.764)</f>
        <v>157.80024</v>
      </c>
      <c r="E166" s="27">
        <v>0</v>
      </c>
      <c r="F166" s="27">
        <f t="shared" si="6"/>
        <v>236.70035999999999</v>
      </c>
      <c r="G166" s="89"/>
      <c r="H166" s="90"/>
      <c r="I166" s="57"/>
      <c r="L166" s="93"/>
      <c r="M166" s="93"/>
      <c r="N166" s="57"/>
    </row>
    <row r="167" spans="1:14" s="56" customFormat="1" ht="15.75" customHeight="1" x14ac:dyDescent="0.35">
      <c r="A167" s="95">
        <f t="shared" si="7"/>
        <v>6</v>
      </c>
      <c r="B167" s="97"/>
      <c r="C167" s="27" t="s">
        <v>200</v>
      </c>
      <c r="D167" s="72">
        <f>(11.52)*(10.764)</f>
        <v>124.00127999999999</v>
      </c>
      <c r="E167" s="27">
        <v>0</v>
      </c>
      <c r="F167" s="27">
        <f t="shared" si="6"/>
        <v>186.00191999999998</v>
      </c>
      <c r="G167" s="89"/>
      <c r="H167" s="90"/>
      <c r="I167" s="57"/>
      <c r="L167" s="93"/>
      <c r="M167" s="93"/>
      <c r="N167" s="57"/>
    </row>
    <row r="168" spans="1:14" s="56" customFormat="1" ht="15.75" customHeight="1" x14ac:dyDescent="0.35">
      <c r="A168" s="95">
        <f t="shared" si="7"/>
        <v>7</v>
      </c>
      <c r="B168" s="97"/>
      <c r="C168" s="27" t="s">
        <v>200</v>
      </c>
      <c r="D168" s="72">
        <f>(9.94)*(10.764)</f>
        <v>106.99415999999999</v>
      </c>
      <c r="E168" s="27">
        <v>0</v>
      </c>
      <c r="F168" s="27">
        <f t="shared" si="6"/>
        <v>160.49124</v>
      </c>
      <c r="G168" s="89"/>
      <c r="H168" s="90"/>
      <c r="I168" s="57"/>
      <c r="L168" s="93"/>
      <c r="M168" s="93"/>
      <c r="N168" s="57"/>
    </row>
    <row r="169" spans="1:14" s="56" customFormat="1" ht="15.75" customHeight="1" x14ac:dyDescent="0.35">
      <c r="A169" s="95">
        <f t="shared" si="7"/>
        <v>8</v>
      </c>
      <c r="B169" s="97"/>
      <c r="C169" s="27" t="s">
        <v>200</v>
      </c>
      <c r="D169" s="72">
        <f>(9.94)*(10.764)</f>
        <v>106.99415999999999</v>
      </c>
      <c r="E169" s="27">
        <v>0</v>
      </c>
      <c r="F169" s="27">
        <f t="shared" si="6"/>
        <v>160.49124</v>
      </c>
      <c r="G169" s="89"/>
      <c r="H169" s="90"/>
      <c r="I169" s="57"/>
      <c r="L169" s="93"/>
      <c r="M169" s="93"/>
      <c r="N169" s="57"/>
    </row>
    <row r="170" spans="1:14" s="56" customFormat="1" ht="15.75" customHeight="1" x14ac:dyDescent="0.35">
      <c r="A170" s="95">
        <f t="shared" si="7"/>
        <v>9</v>
      </c>
      <c r="B170" s="97"/>
      <c r="C170" s="27" t="s">
        <v>200</v>
      </c>
      <c r="D170" s="72">
        <f>(9.71)*(10.764)</f>
        <v>104.51844</v>
      </c>
      <c r="E170" s="27">
        <v>0</v>
      </c>
      <c r="F170" s="27">
        <f t="shared" si="6"/>
        <v>156.77766</v>
      </c>
      <c r="G170" s="89"/>
      <c r="H170" s="90"/>
      <c r="I170" s="57"/>
      <c r="L170" s="93"/>
      <c r="M170" s="93"/>
      <c r="N170" s="57"/>
    </row>
    <row r="171" spans="1:14" s="56" customFormat="1" ht="15.75" customHeight="1" x14ac:dyDescent="0.35">
      <c r="A171" s="95">
        <f t="shared" si="7"/>
        <v>10</v>
      </c>
      <c r="B171" s="97"/>
      <c r="C171" s="27" t="s">
        <v>200</v>
      </c>
      <c r="D171" s="72">
        <f>(14.72)*(10.764)</f>
        <v>158.44607999999999</v>
      </c>
      <c r="E171" s="27">
        <v>0</v>
      </c>
      <c r="F171" s="27">
        <f t="shared" si="6"/>
        <v>237.66911999999999</v>
      </c>
      <c r="G171" s="89"/>
      <c r="H171" s="90"/>
      <c r="I171" s="57"/>
      <c r="L171" s="93"/>
      <c r="M171" s="93"/>
      <c r="N171" s="57"/>
    </row>
    <row r="172" spans="1:14" s="56" customFormat="1" ht="15.75" customHeight="1" x14ac:dyDescent="0.35">
      <c r="A172" s="95">
        <f t="shared" si="7"/>
        <v>11</v>
      </c>
      <c r="B172" s="97"/>
      <c r="C172" s="27" t="s">
        <v>200</v>
      </c>
      <c r="D172" s="72">
        <f>(14.66)*(10.764)</f>
        <v>157.80024</v>
      </c>
      <c r="E172" s="27">
        <v>0</v>
      </c>
      <c r="F172" s="27">
        <f t="shared" si="6"/>
        <v>236.70035999999999</v>
      </c>
      <c r="G172" s="89"/>
      <c r="H172" s="90"/>
      <c r="I172" s="57"/>
      <c r="L172" s="93"/>
      <c r="M172" s="93"/>
      <c r="N172" s="57"/>
    </row>
    <row r="173" spans="1:14" s="56" customFormat="1" ht="15.75" customHeight="1" x14ac:dyDescent="0.35">
      <c r="A173" s="95">
        <f t="shared" si="7"/>
        <v>12</v>
      </c>
      <c r="B173" s="97"/>
      <c r="C173" s="27" t="s">
        <v>200</v>
      </c>
      <c r="D173" s="72">
        <f>(11.58)*(10.764)</f>
        <v>124.64711999999999</v>
      </c>
      <c r="E173" s="27">
        <v>0</v>
      </c>
      <c r="F173" s="27">
        <f t="shared" si="6"/>
        <v>186.97067999999999</v>
      </c>
      <c r="G173" s="89"/>
      <c r="H173" s="90"/>
      <c r="I173" s="57"/>
      <c r="L173" s="93"/>
      <c r="M173" s="93"/>
      <c r="N173" s="57"/>
    </row>
    <row r="174" spans="1:14" s="65" customFormat="1" ht="15.75" customHeight="1" x14ac:dyDescent="0.35">
      <c r="A174" s="95">
        <f t="shared" si="7"/>
        <v>13</v>
      </c>
      <c r="B174" s="97"/>
      <c r="C174" s="66" t="s">
        <v>200</v>
      </c>
      <c r="D174" s="72">
        <f>(10.09)*(10.764)</f>
        <v>108.60875999999999</v>
      </c>
      <c r="E174" s="66">
        <v>0</v>
      </c>
      <c r="F174" s="66">
        <f t="shared" ref="F174" si="8">D174*(($F$143)+1)+E174</f>
        <v>162.91314</v>
      </c>
      <c r="G174" s="91"/>
      <c r="H174" s="92"/>
      <c r="I174" s="67"/>
      <c r="L174" s="93"/>
      <c r="M174" s="93"/>
      <c r="N174" s="67"/>
    </row>
    <row r="175" spans="1:14" s="56" customFormat="1" x14ac:dyDescent="0.35">
      <c r="A175" s="95"/>
      <c r="B175" s="96"/>
      <c r="C175" s="96"/>
      <c r="D175" s="96"/>
      <c r="E175" s="96"/>
      <c r="F175" s="96"/>
      <c r="G175" s="96"/>
      <c r="H175" s="97"/>
      <c r="I175" s="57"/>
      <c r="N175" s="57"/>
    </row>
    <row r="176" spans="1:14" ht="47.25" customHeight="1" x14ac:dyDescent="0.35">
      <c r="A176" s="98" t="s">
        <v>155</v>
      </c>
      <c r="B176" s="98" t="s">
        <v>156</v>
      </c>
      <c r="C176" s="100" t="s">
        <v>64</v>
      </c>
      <c r="D176" s="100" t="s">
        <v>65</v>
      </c>
      <c r="E176" s="235" t="s">
        <v>66</v>
      </c>
      <c r="F176" s="29" t="s">
        <v>227</v>
      </c>
      <c r="G176" s="98" t="s">
        <v>67</v>
      </c>
      <c r="H176" s="239"/>
      <c r="I176" s="57"/>
    </row>
    <row r="177" spans="1:16" s="56" customFormat="1" hidden="1" x14ac:dyDescent="0.35">
      <c r="A177" s="99"/>
      <c r="B177" s="99"/>
      <c r="C177" s="101"/>
      <c r="D177" s="101"/>
      <c r="E177" s="236"/>
      <c r="F177" s="18">
        <v>0.45</v>
      </c>
      <c r="G177" s="99"/>
      <c r="H177" s="240"/>
      <c r="I177" s="57"/>
    </row>
    <row r="178" spans="1:16" s="54" customFormat="1" x14ac:dyDescent="0.35">
      <c r="A178" s="102" t="s">
        <v>213</v>
      </c>
      <c r="B178" s="102"/>
      <c r="C178" s="102"/>
      <c r="D178" s="102"/>
      <c r="E178" s="102"/>
      <c r="F178" s="102"/>
      <c r="G178" s="102"/>
      <c r="H178" s="102"/>
    </row>
    <row r="179" spans="1:16" s="54" customFormat="1" x14ac:dyDescent="0.35">
      <c r="A179" s="102" t="s">
        <v>244</v>
      </c>
      <c r="B179" s="102"/>
      <c r="C179" s="102"/>
      <c r="D179" s="102"/>
      <c r="E179" s="102"/>
      <c r="F179" s="102"/>
      <c r="G179" s="102"/>
      <c r="H179" s="102"/>
    </row>
    <row r="180" spans="1:16" s="56" customFormat="1" x14ac:dyDescent="0.35">
      <c r="A180" s="103" t="s">
        <v>218</v>
      </c>
      <c r="B180" s="103"/>
      <c r="C180" s="103"/>
      <c r="D180" s="103"/>
      <c r="E180" s="103"/>
      <c r="F180" s="103"/>
      <c r="G180" s="103"/>
      <c r="H180" s="103"/>
      <c r="I180" s="57"/>
      <c r="L180" s="93"/>
      <c r="M180" s="93"/>
    </row>
    <row r="181" spans="1:16" s="56" customFormat="1" ht="36.75" customHeight="1" x14ac:dyDescent="0.35">
      <c r="A181" s="94">
        <v>1</v>
      </c>
      <c r="B181" s="94"/>
      <c r="C181" s="77" t="s">
        <v>201</v>
      </c>
      <c r="D181" s="77">
        <f>(24.41+1.2*(2.75+2.75))*10.764</f>
        <v>333.79163999999997</v>
      </c>
      <c r="E181" s="77">
        <v>0</v>
      </c>
      <c r="F181" s="77">
        <v>483</v>
      </c>
      <c r="G181" s="94" t="str">
        <f>A180</f>
        <v>Ground Floor for Residential &amp; Parking</v>
      </c>
      <c r="H181" s="94"/>
      <c r="I181" s="57"/>
      <c r="J181" s="62">
        <f>F181/D181</f>
        <v>1.4470104763558489</v>
      </c>
      <c r="N181" s="57"/>
    </row>
    <row r="182" spans="1:16" s="56" customFormat="1" x14ac:dyDescent="0.35">
      <c r="A182" s="103" t="s">
        <v>202</v>
      </c>
      <c r="B182" s="103"/>
      <c r="C182" s="103"/>
      <c r="D182" s="103"/>
      <c r="E182" s="103"/>
      <c r="F182" s="103"/>
      <c r="G182" s="103"/>
      <c r="H182" s="103"/>
      <c r="I182" s="57"/>
      <c r="J182" s="62" t="e">
        <f t="shared" ref="J182:J212" si="9">F182/D182</f>
        <v>#DIV/0!</v>
      </c>
      <c r="L182" s="93"/>
      <c r="M182" s="93"/>
    </row>
    <row r="183" spans="1:16" s="56" customFormat="1" ht="15.75" customHeight="1" x14ac:dyDescent="0.35">
      <c r="A183" s="94">
        <v>101</v>
      </c>
      <c r="B183" s="94"/>
      <c r="C183" s="77" t="s">
        <v>201</v>
      </c>
      <c r="D183" s="77">
        <f>(25.15+1.2*(2.75+2.75))*10.764</f>
        <v>341.75700000000001</v>
      </c>
      <c r="E183" s="77">
        <v>0</v>
      </c>
      <c r="F183" s="77">
        <v>578</v>
      </c>
      <c r="G183" s="94" t="str">
        <f>A182</f>
        <v>1st Floor for Residential</v>
      </c>
      <c r="H183" s="94"/>
      <c r="I183" s="57"/>
      <c r="J183" s="62">
        <f t="shared" si="9"/>
        <v>1.6912601643858063</v>
      </c>
      <c r="N183" s="57"/>
    </row>
    <row r="184" spans="1:16" s="56" customFormat="1" ht="15.75" customHeight="1" x14ac:dyDescent="0.35">
      <c r="A184" s="94">
        <v>102</v>
      </c>
      <c r="B184" s="94"/>
      <c r="C184" s="77" t="s">
        <v>201</v>
      </c>
      <c r="D184" s="77">
        <f>(30.78)*10.764</f>
        <v>331.31592000000001</v>
      </c>
      <c r="E184" s="77">
        <f>(12.58)*10.764</f>
        <v>135.41111999999998</v>
      </c>
      <c r="F184" s="77">
        <v>690</v>
      </c>
      <c r="G184" s="94"/>
      <c r="H184" s="94"/>
      <c r="I184" s="57"/>
      <c r="J184" s="62">
        <f t="shared" si="9"/>
        <v>2.0826044217857085</v>
      </c>
      <c r="N184" s="57"/>
    </row>
    <row r="185" spans="1:16" s="56" customFormat="1" ht="15.75" customHeight="1" x14ac:dyDescent="0.35">
      <c r="A185" s="94">
        <v>103</v>
      </c>
      <c r="B185" s="94"/>
      <c r="C185" s="77" t="s">
        <v>203</v>
      </c>
      <c r="D185" s="77">
        <f>(47.68)*10.764</f>
        <v>513.22751999999991</v>
      </c>
      <c r="E185" s="77">
        <f>(16+5.57)*10.764</f>
        <v>232.17947999999998</v>
      </c>
      <c r="F185" s="77">
        <v>1015</v>
      </c>
      <c r="G185" s="94"/>
      <c r="H185" s="94"/>
      <c r="I185" s="57"/>
      <c r="J185" s="62">
        <f t="shared" si="9"/>
        <v>1.9776803862739087</v>
      </c>
      <c r="N185" s="57"/>
    </row>
    <row r="186" spans="1:16" s="56" customFormat="1" ht="15.75" customHeight="1" x14ac:dyDescent="0.35">
      <c r="A186" s="94">
        <v>104</v>
      </c>
      <c r="B186" s="94"/>
      <c r="C186" s="77" t="s">
        <v>203</v>
      </c>
      <c r="D186" s="77">
        <f>(40.44+1.2*(2.75+2.75+2.75))*10.764</f>
        <v>541.85975999999994</v>
      </c>
      <c r="E186" s="77">
        <v>0</v>
      </c>
      <c r="F186" s="77">
        <v>885</v>
      </c>
      <c r="G186" s="94"/>
      <c r="H186" s="94"/>
      <c r="I186" s="57"/>
      <c r="J186" s="62">
        <f t="shared" si="9"/>
        <v>1.6332639279211287</v>
      </c>
      <c r="N186" s="57"/>
    </row>
    <row r="187" spans="1:16" s="56" customFormat="1" x14ac:dyDescent="0.35">
      <c r="A187" s="103" t="s">
        <v>204</v>
      </c>
      <c r="B187" s="103"/>
      <c r="C187" s="103"/>
      <c r="D187" s="103"/>
      <c r="E187" s="103"/>
      <c r="F187" s="103"/>
      <c r="G187" s="103"/>
      <c r="H187" s="103"/>
      <c r="I187" s="57"/>
      <c r="J187" s="62" t="e">
        <f t="shared" si="9"/>
        <v>#DIV/0!</v>
      </c>
    </row>
    <row r="188" spans="1:16" s="56" customFormat="1" ht="15.75" customHeight="1" x14ac:dyDescent="0.35">
      <c r="A188" s="95" t="str">
        <f t="shared" ref="A188:A191" ca="1" si="10">N188</f>
        <v>201 to 401</v>
      </c>
      <c r="B188" s="97"/>
      <c r="C188" s="27" t="s">
        <v>201</v>
      </c>
      <c r="D188" s="27">
        <f>(25.15+1.2*(2.75+2.75))*10.764</f>
        <v>341.75700000000001</v>
      </c>
      <c r="E188" s="27">
        <v>0</v>
      </c>
      <c r="F188" s="27">
        <v>578</v>
      </c>
      <c r="G188" s="87" t="str">
        <f>A187</f>
        <v>2nd to 4th Floor</v>
      </c>
      <c r="H188" s="88"/>
      <c r="I188" s="57">
        <f>1452000/F188</f>
        <v>2512.1107266435988</v>
      </c>
      <c r="J188" s="62">
        <f t="shared" si="9"/>
        <v>1.6912601643858063</v>
      </c>
      <c r="N188" s="56" t="str">
        <f t="shared" ref="N188:N191" ca="1" si="11">O188&amp;""&amp;" to "&amp;""&amp;P188</f>
        <v>201 to 401</v>
      </c>
      <c r="O188" s="56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10^ROW(INDIRECT("1:"&amp;LEN((LEFT(A187,SUM(LEN(A187)-LEN(SUBSTITUTE(A187,{"0","1","2"},""))))))))/10))*100+1</f>
        <v>201</v>
      </c>
      <c r="P188" s="56">
        <f ca="1">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",LEN(A187))),LEN(A187)))))))/10))*100+1</f>
        <v>401</v>
      </c>
    </row>
    <row r="189" spans="1:16" s="56" customFormat="1" ht="15.75" customHeight="1" x14ac:dyDescent="0.35">
      <c r="A189" s="95" t="str">
        <f t="shared" ca="1" si="10"/>
        <v>202 to 402</v>
      </c>
      <c r="B189" s="97"/>
      <c r="C189" s="27" t="s">
        <v>201</v>
      </c>
      <c r="D189" s="27">
        <f>(30.78)*10.764</f>
        <v>331.31592000000001</v>
      </c>
      <c r="E189" s="27">
        <v>0</v>
      </c>
      <c r="F189" s="27">
        <v>575</v>
      </c>
      <c r="G189" s="89"/>
      <c r="H189" s="90"/>
      <c r="I189" s="57">
        <f>1440000/F189</f>
        <v>2504.3478260869565</v>
      </c>
      <c r="J189" s="62">
        <f t="shared" si="9"/>
        <v>1.7355036848214236</v>
      </c>
      <c r="N189" s="56" t="str">
        <f t="shared" ca="1" si="11"/>
        <v>202 to 402</v>
      </c>
      <c r="O189" s="56">
        <f t="shared" ref="O189:P191" ca="1" si="12">O188+1</f>
        <v>202</v>
      </c>
      <c r="P189" s="56">
        <f t="shared" ca="1" si="12"/>
        <v>402</v>
      </c>
    </row>
    <row r="190" spans="1:16" s="56" customFormat="1" ht="15.75" customHeight="1" x14ac:dyDescent="0.35">
      <c r="A190" s="95" t="str">
        <f t="shared" ca="1" si="10"/>
        <v>203 to 403</v>
      </c>
      <c r="B190" s="97"/>
      <c r="C190" s="27" t="s">
        <v>203</v>
      </c>
      <c r="D190" s="27">
        <f>(48.03)*10.764</f>
        <v>516.99491999999998</v>
      </c>
      <c r="E190" s="27">
        <v>0</v>
      </c>
      <c r="F190" s="27">
        <v>870</v>
      </c>
      <c r="G190" s="89"/>
      <c r="H190" s="90"/>
      <c r="I190" s="57">
        <f>2670000/F190</f>
        <v>3068.9655172413795</v>
      </c>
      <c r="J190" s="62">
        <f t="shared" si="9"/>
        <v>1.6828018348806988</v>
      </c>
      <c r="N190" s="56" t="str">
        <f t="shared" ca="1" si="11"/>
        <v>203 to 403</v>
      </c>
      <c r="O190" s="56">
        <f t="shared" ca="1" si="12"/>
        <v>203</v>
      </c>
      <c r="P190" s="56">
        <f t="shared" ca="1" si="12"/>
        <v>403</v>
      </c>
    </row>
    <row r="191" spans="1:16" s="56" customFormat="1" ht="15.75" customHeight="1" x14ac:dyDescent="0.35">
      <c r="A191" s="95" t="str">
        <f t="shared" ca="1" si="10"/>
        <v>204 to 404</v>
      </c>
      <c r="B191" s="97"/>
      <c r="C191" s="27" t="s">
        <v>203</v>
      </c>
      <c r="D191" s="27">
        <f>(40.44+1.2*(2.75+2.75+2.75))*10.764</f>
        <v>541.85975999999994</v>
      </c>
      <c r="E191" s="27">
        <v>0</v>
      </c>
      <c r="F191" s="27">
        <v>885</v>
      </c>
      <c r="G191" s="91"/>
      <c r="H191" s="92"/>
      <c r="I191" s="57">
        <f>2358000/F191</f>
        <v>2664.406779661017</v>
      </c>
      <c r="J191" s="62">
        <f t="shared" si="9"/>
        <v>1.6332639279211287</v>
      </c>
      <c r="N191" s="56" t="str">
        <f t="shared" ca="1" si="11"/>
        <v>204 to 404</v>
      </c>
      <c r="O191" s="56">
        <f t="shared" ca="1" si="12"/>
        <v>204</v>
      </c>
      <c r="P191" s="56">
        <f t="shared" ca="1" si="12"/>
        <v>404</v>
      </c>
    </row>
    <row r="192" spans="1:16" s="54" customFormat="1" x14ac:dyDescent="0.35">
      <c r="A192" s="102" t="s">
        <v>245</v>
      </c>
      <c r="B192" s="102"/>
      <c r="C192" s="102"/>
      <c r="D192" s="102"/>
      <c r="E192" s="102"/>
      <c r="F192" s="102"/>
      <c r="G192" s="102"/>
      <c r="H192" s="102"/>
      <c r="J192" s="62" t="e">
        <f t="shared" si="9"/>
        <v>#DIV/0!</v>
      </c>
    </row>
    <row r="193" spans="1:16" s="56" customFormat="1" x14ac:dyDescent="0.35">
      <c r="A193" s="103" t="s">
        <v>218</v>
      </c>
      <c r="B193" s="103"/>
      <c r="C193" s="103"/>
      <c r="D193" s="103"/>
      <c r="E193" s="103"/>
      <c r="F193" s="103"/>
      <c r="G193" s="103"/>
      <c r="H193" s="103"/>
      <c r="I193" s="57"/>
      <c r="J193" s="62" t="e">
        <f t="shared" si="9"/>
        <v>#DIV/0!</v>
      </c>
      <c r="L193" s="93"/>
      <c r="M193" s="93"/>
    </row>
    <row r="194" spans="1:16" s="56" customFormat="1" x14ac:dyDescent="0.35">
      <c r="A194" s="94">
        <v>1</v>
      </c>
      <c r="B194" s="94"/>
      <c r="C194" s="27" t="s">
        <v>201</v>
      </c>
      <c r="D194" s="27">
        <f>(24.41+1.2*(2.75+2.75))*10.764</f>
        <v>333.79163999999997</v>
      </c>
      <c r="E194" s="27">
        <v>0</v>
      </c>
      <c r="F194" s="27">
        <v>483</v>
      </c>
      <c r="G194" s="94" t="str">
        <f>A193</f>
        <v>Ground Floor for Residential &amp; Parking</v>
      </c>
      <c r="H194" s="94"/>
      <c r="I194" s="57"/>
      <c r="J194" s="62">
        <f t="shared" si="9"/>
        <v>1.4470104763558489</v>
      </c>
      <c r="N194" s="57"/>
    </row>
    <row r="195" spans="1:16" s="56" customFormat="1" x14ac:dyDescent="0.35">
      <c r="A195" s="103" t="s">
        <v>202</v>
      </c>
      <c r="B195" s="103"/>
      <c r="C195" s="103"/>
      <c r="D195" s="103"/>
      <c r="E195" s="103"/>
      <c r="F195" s="103"/>
      <c r="G195" s="103"/>
      <c r="H195" s="103"/>
      <c r="I195" s="57"/>
      <c r="J195" s="62" t="e">
        <f t="shared" si="9"/>
        <v>#DIV/0!</v>
      </c>
      <c r="L195" s="93"/>
      <c r="M195" s="93"/>
    </row>
    <row r="196" spans="1:16" s="56" customFormat="1" ht="15.75" customHeight="1" x14ac:dyDescent="0.35">
      <c r="A196" s="94">
        <v>101</v>
      </c>
      <c r="B196" s="94"/>
      <c r="C196" s="27" t="s">
        <v>201</v>
      </c>
      <c r="D196" s="27">
        <f>(22.76+1.2*(2.9+2.13+2.75))*10.764</f>
        <v>345.48134400000004</v>
      </c>
      <c r="E196" s="27">
        <v>0</v>
      </c>
      <c r="F196" s="27">
        <v>587</v>
      </c>
      <c r="G196" s="87" t="str">
        <f>A195</f>
        <v>1st Floor for Residential</v>
      </c>
      <c r="H196" s="88"/>
      <c r="I196" s="57"/>
      <c r="J196" s="62">
        <f t="shared" si="9"/>
        <v>1.6990787207311546</v>
      </c>
      <c r="N196" s="57"/>
    </row>
    <row r="197" spans="1:16" s="56" customFormat="1" ht="15.75" customHeight="1" x14ac:dyDescent="0.35">
      <c r="A197" s="94">
        <v>102</v>
      </c>
      <c r="B197" s="94"/>
      <c r="C197" s="27" t="s">
        <v>201</v>
      </c>
      <c r="D197" s="27">
        <f>(25.15+1.2*(2.75+2.75))*10.764</f>
        <v>341.75700000000001</v>
      </c>
      <c r="E197" s="27">
        <v>0</v>
      </c>
      <c r="F197" s="27">
        <v>577</v>
      </c>
      <c r="G197" s="89"/>
      <c r="H197" s="90"/>
      <c r="I197" s="57"/>
      <c r="J197" s="62">
        <f t="shared" si="9"/>
        <v>1.6883341087380799</v>
      </c>
      <c r="N197" s="57"/>
    </row>
    <row r="198" spans="1:16" s="56" customFormat="1" ht="15.75" customHeight="1" x14ac:dyDescent="0.35">
      <c r="A198" s="94">
        <v>103</v>
      </c>
      <c r="B198" s="94"/>
      <c r="C198" s="27" t="s">
        <v>201</v>
      </c>
      <c r="D198" s="27">
        <f>(25.15+1.2*(2.75+2.75))*10.764</f>
        <v>341.75700000000001</v>
      </c>
      <c r="E198" s="27">
        <v>0</v>
      </c>
      <c r="F198" s="27">
        <v>649</v>
      </c>
      <c r="G198" s="89"/>
      <c r="H198" s="90"/>
      <c r="I198" s="57"/>
      <c r="J198" s="62">
        <f t="shared" si="9"/>
        <v>1.8990101153743741</v>
      </c>
      <c r="N198" s="57"/>
    </row>
    <row r="199" spans="1:16" s="56" customFormat="1" ht="15.75" customHeight="1" x14ac:dyDescent="0.35">
      <c r="A199" s="94">
        <v>104</v>
      </c>
      <c r="B199" s="94"/>
      <c r="C199" s="27" t="s">
        <v>201</v>
      </c>
      <c r="D199" s="27">
        <f>(30.78)*10.764</f>
        <v>331.31592000000001</v>
      </c>
      <c r="E199" s="27">
        <f>(21.18)*10.764</f>
        <v>227.98151999999999</v>
      </c>
      <c r="F199" s="27">
        <v>683</v>
      </c>
      <c r="G199" s="89"/>
      <c r="H199" s="90"/>
      <c r="I199" s="57"/>
      <c r="J199" s="62">
        <f t="shared" si="9"/>
        <v>2.0614765508400561</v>
      </c>
      <c r="N199" s="57"/>
    </row>
    <row r="200" spans="1:16" s="56" customFormat="1" ht="15.75" customHeight="1" x14ac:dyDescent="0.35">
      <c r="A200" s="94">
        <v>105</v>
      </c>
      <c r="B200" s="94"/>
      <c r="C200" s="27" t="s">
        <v>201</v>
      </c>
      <c r="D200" s="27">
        <f>(30.78)*10.764</f>
        <v>331.31592000000001</v>
      </c>
      <c r="E200" s="27">
        <f>(12.58)*10.764</f>
        <v>135.41111999999998</v>
      </c>
      <c r="F200" s="27">
        <v>690</v>
      </c>
      <c r="G200" s="89"/>
      <c r="H200" s="90"/>
      <c r="I200" s="57">
        <v>1900000</v>
      </c>
      <c r="J200" s="62">
        <f t="shared" si="9"/>
        <v>2.0826044217857085</v>
      </c>
      <c r="N200" s="57"/>
    </row>
    <row r="201" spans="1:16" s="56" customFormat="1" ht="15.75" customHeight="1" x14ac:dyDescent="0.35">
      <c r="A201" s="94">
        <v>106</v>
      </c>
      <c r="B201" s="94"/>
      <c r="C201" s="27" t="s">
        <v>205</v>
      </c>
      <c r="D201" s="27">
        <f>(16.71+1.2*(2.35+2.75))*10.764</f>
        <v>245.74211999999997</v>
      </c>
      <c r="E201" s="27">
        <v>0</v>
      </c>
      <c r="F201" s="27">
        <v>418</v>
      </c>
      <c r="G201" s="89"/>
      <c r="H201" s="90"/>
      <c r="I201" s="57"/>
      <c r="J201" s="62">
        <f t="shared" si="9"/>
        <v>1.700970106386321</v>
      </c>
      <c r="N201" s="57"/>
    </row>
    <row r="202" spans="1:16" s="56" customFormat="1" ht="15.75" customHeight="1" x14ac:dyDescent="0.35">
      <c r="A202" s="94">
        <v>107</v>
      </c>
      <c r="B202" s="94"/>
      <c r="C202" s="27" t="s">
        <v>201</v>
      </c>
      <c r="D202" s="27">
        <f>(25.15+1.2*(2.75+2.75))*10.764</f>
        <v>341.75700000000001</v>
      </c>
      <c r="E202" s="27">
        <v>0</v>
      </c>
      <c r="F202" s="27">
        <v>577</v>
      </c>
      <c r="G202" s="89"/>
      <c r="H202" s="90"/>
      <c r="I202" s="57"/>
      <c r="J202" s="62">
        <f t="shared" si="9"/>
        <v>1.6883341087380799</v>
      </c>
      <c r="N202" s="57"/>
    </row>
    <row r="203" spans="1:16" s="56" customFormat="1" ht="15.75" customHeight="1" x14ac:dyDescent="0.35">
      <c r="A203" s="94">
        <v>108</v>
      </c>
      <c r="B203" s="94"/>
      <c r="C203" s="27" t="s">
        <v>201</v>
      </c>
      <c r="D203" s="27">
        <f>(22.76+1.2*(2.75+2.13+2.9))*10.764</f>
        <v>345.48134400000004</v>
      </c>
      <c r="E203" s="27">
        <v>0</v>
      </c>
      <c r="F203" s="27">
        <v>587</v>
      </c>
      <c r="G203" s="91"/>
      <c r="H203" s="92"/>
      <c r="I203" s="57"/>
      <c r="J203" s="62">
        <f t="shared" si="9"/>
        <v>1.6990787207311546</v>
      </c>
      <c r="N203" s="57"/>
    </row>
    <row r="204" spans="1:16" s="56" customFormat="1" x14ac:dyDescent="0.35">
      <c r="A204" s="133" t="s">
        <v>204</v>
      </c>
      <c r="B204" s="134"/>
      <c r="C204" s="134"/>
      <c r="D204" s="134"/>
      <c r="E204" s="134"/>
      <c r="F204" s="134"/>
      <c r="G204" s="134"/>
      <c r="H204" s="135"/>
      <c r="I204" s="57"/>
      <c r="J204" s="62" t="e">
        <f t="shared" si="9"/>
        <v>#DIV/0!</v>
      </c>
    </row>
    <row r="205" spans="1:16" s="56" customFormat="1" ht="15.75" customHeight="1" x14ac:dyDescent="0.35">
      <c r="A205" s="95" t="str">
        <f t="shared" ref="A205:A208" ca="1" si="13">N205</f>
        <v>201 to 401</v>
      </c>
      <c r="B205" s="97"/>
      <c r="C205" s="27" t="s">
        <v>201</v>
      </c>
      <c r="D205" s="27">
        <f>(22.76+1.2*(2.9+2.13+2.75))*10.764</f>
        <v>345.48134400000004</v>
      </c>
      <c r="E205" s="27">
        <v>0</v>
      </c>
      <c r="F205" s="27">
        <v>587</v>
      </c>
      <c r="G205" s="87" t="str">
        <f>A204</f>
        <v>2nd to 4th Floor</v>
      </c>
      <c r="H205" s="88"/>
      <c r="I205" s="57">
        <f>F205*3000</f>
        <v>1761000</v>
      </c>
      <c r="J205" s="62">
        <f t="shared" si="9"/>
        <v>1.6990787207311546</v>
      </c>
      <c r="N205" s="56" t="str">
        <f t="shared" ref="N205:N208" ca="1" si="14">O205&amp;""&amp;" to "&amp;""&amp;P205</f>
        <v>201 to 401</v>
      </c>
      <c r="O205" s="56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10^ROW(INDIRECT("1:"&amp;LEN((LEFT(A204,SUM(LEN(A204)-LEN(SUBSTITUTE(A204,{"0","1","2"},""))))))))/10))*100+1</f>
        <v>201</v>
      </c>
      <c r="P205" s="56">
        <f ca="1">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",LEN(A204))),LEN(A204)))))))/10))*100+1</f>
        <v>401</v>
      </c>
    </row>
    <row r="206" spans="1:16" s="56" customFormat="1" ht="15.75" customHeight="1" x14ac:dyDescent="0.35">
      <c r="A206" s="95" t="str">
        <f t="shared" ca="1" si="13"/>
        <v>202 to 402</v>
      </c>
      <c r="B206" s="97"/>
      <c r="C206" s="27" t="s">
        <v>201</v>
      </c>
      <c r="D206" s="27">
        <f>(25.15+1.2*(2.75+2.75))*10.764</f>
        <v>341.75700000000001</v>
      </c>
      <c r="E206" s="27">
        <v>0</v>
      </c>
      <c r="F206" s="27">
        <v>577</v>
      </c>
      <c r="G206" s="89"/>
      <c r="H206" s="90"/>
      <c r="I206" s="57">
        <f t="shared" ref="I206:I212" si="15">F206*3000</f>
        <v>1731000</v>
      </c>
      <c r="J206" s="62">
        <f t="shared" si="9"/>
        <v>1.6883341087380799</v>
      </c>
      <c r="N206" s="56" t="str">
        <f t="shared" ca="1" si="14"/>
        <v>202 to 402</v>
      </c>
      <c r="O206" s="56">
        <f t="shared" ref="O206:P206" ca="1" si="16">O205+1</f>
        <v>202</v>
      </c>
      <c r="P206" s="56">
        <f t="shared" ca="1" si="16"/>
        <v>402</v>
      </c>
    </row>
    <row r="207" spans="1:16" s="56" customFormat="1" ht="15.75" customHeight="1" x14ac:dyDescent="0.35">
      <c r="A207" s="95" t="str">
        <f t="shared" ca="1" si="13"/>
        <v>203 to 403</v>
      </c>
      <c r="B207" s="97"/>
      <c r="C207" s="27" t="s">
        <v>201</v>
      </c>
      <c r="D207" s="27">
        <f>(25.15+1.2*(2.75+2.75))*10.764</f>
        <v>341.75700000000001</v>
      </c>
      <c r="E207" s="27">
        <v>0</v>
      </c>
      <c r="F207" s="27">
        <v>561</v>
      </c>
      <c r="G207" s="89"/>
      <c r="H207" s="90"/>
      <c r="I207" s="57">
        <f t="shared" si="15"/>
        <v>1683000</v>
      </c>
      <c r="J207" s="62">
        <f t="shared" si="9"/>
        <v>1.6415172183744591</v>
      </c>
      <c r="N207" s="56" t="str">
        <f t="shared" ca="1" si="14"/>
        <v>203 to 403</v>
      </c>
      <c r="O207" s="56">
        <f t="shared" ref="O207:P207" ca="1" si="17">O206+1</f>
        <v>203</v>
      </c>
      <c r="P207" s="56">
        <f t="shared" ca="1" si="17"/>
        <v>403</v>
      </c>
    </row>
    <row r="208" spans="1:16" s="56" customFormat="1" ht="15.75" customHeight="1" x14ac:dyDescent="0.35">
      <c r="A208" s="95" t="str">
        <f t="shared" ca="1" si="13"/>
        <v>204 to 404</v>
      </c>
      <c r="B208" s="97"/>
      <c r="C208" s="27" t="s">
        <v>201</v>
      </c>
      <c r="D208" s="27">
        <f>(30.78)*10.764</f>
        <v>331.31592000000001</v>
      </c>
      <c r="E208" s="27">
        <v>0</v>
      </c>
      <c r="F208" s="27">
        <v>575</v>
      </c>
      <c r="G208" s="89"/>
      <c r="H208" s="90"/>
      <c r="I208" s="57">
        <f t="shared" si="15"/>
        <v>1725000</v>
      </c>
      <c r="J208" s="62">
        <f t="shared" si="9"/>
        <v>1.7355036848214236</v>
      </c>
      <c r="N208" s="56" t="str">
        <f t="shared" ca="1" si="14"/>
        <v>204 to 404</v>
      </c>
      <c r="O208" s="56">
        <f t="shared" ref="O208:P208" ca="1" si="18">O207+1</f>
        <v>204</v>
      </c>
      <c r="P208" s="56">
        <f t="shared" ca="1" si="18"/>
        <v>404</v>
      </c>
    </row>
    <row r="209" spans="1:16" s="56" customFormat="1" ht="15.75" customHeight="1" x14ac:dyDescent="0.35">
      <c r="A209" s="95" t="str">
        <f t="shared" ref="A209:A211" ca="1" si="19">N209</f>
        <v>205 to 405</v>
      </c>
      <c r="B209" s="97"/>
      <c r="C209" s="27" t="s">
        <v>201</v>
      </c>
      <c r="D209" s="27">
        <f>(30.78)*10.764</f>
        <v>331.31592000000001</v>
      </c>
      <c r="E209" s="27">
        <v>0</v>
      </c>
      <c r="F209" s="27">
        <v>575</v>
      </c>
      <c r="G209" s="89"/>
      <c r="H209" s="90"/>
      <c r="I209" s="57">
        <f t="shared" si="15"/>
        <v>1725000</v>
      </c>
      <c r="J209" s="62">
        <f t="shared" si="9"/>
        <v>1.7355036848214236</v>
      </c>
      <c r="N209" s="56" t="str">
        <f t="shared" ref="N209:N211" ca="1" si="20">O209&amp;""&amp;" to "&amp;""&amp;P209</f>
        <v>205 to 405</v>
      </c>
      <c r="O209" s="56">
        <f t="shared" ref="O209:P209" ca="1" si="21">O208+1</f>
        <v>205</v>
      </c>
      <c r="P209" s="56">
        <f t="shared" ca="1" si="21"/>
        <v>405</v>
      </c>
    </row>
    <row r="210" spans="1:16" s="56" customFormat="1" ht="15.75" customHeight="1" x14ac:dyDescent="0.35">
      <c r="A210" s="95" t="str">
        <f t="shared" ca="1" si="19"/>
        <v>206 to 406</v>
      </c>
      <c r="B210" s="97"/>
      <c r="C210" s="27" t="s">
        <v>205</v>
      </c>
      <c r="D210" s="27">
        <f>(16.71+1.2*(2.35+2.75))*10.764</f>
        <v>245.74211999999997</v>
      </c>
      <c r="E210" s="27">
        <v>0</v>
      </c>
      <c r="F210" s="27">
        <v>418</v>
      </c>
      <c r="G210" s="89"/>
      <c r="H210" s="90"/>
      <c r="I210" s="57">
        <f t="shared" si="15"/>
        <v>1254000</v>
      </c>
      <c r="J210" s="62">
        <f t="shared" si="9"/>
        <v>1.700970106386321</v>
      </c>
      <c r="N210" s="56" t="str">
        <f t="shared" ca="1" si="20"/>
        <v>206 to 406</v>
      </c>
      <c r="O210" s="56">
        <f t="shared" ref="O210:P210" ca="1" si="22">O209+1</f>
        <v>206</v>
      </c>
      <c r="P210" s="56">
        <f t="shared" ca="1" si="22"/>
        <v>406</v>
      </c>
    </row>
    <row r="211" spans="1:16" s="56" customFormat="1" ht="15.75" customHeight="1" x14ac:dyDescent="0.35">
      <c r="A211" s="95" t="str">
        <f t="shared" ca="1" si="19"/>
        <v>207 to 407</v>
      </c>
      <c r="B211" s="97"/>
      <c r="C211" s="27" t="s">
        <v>201</v>
      </c>
      <c r="D211" s="27">
        <f>(25.15+1.2*(2.75+2.75))*10.764</f>
        <v>341.75700000000001</v>
      </c>
      <c r="E211" s="27">
        <v>0</v>
      </c>
      <c r="F211" s="27">
        <v>577</v>
      </c>
      <c r="G211" s="89"/>
      <c r="H211" s="90"/>
      <c r="I211" s="57">
        <f t="shared" si="15"/>
        <v>1731000</v>
      </c>
      <c r="J211" s="62">
        <f t="shared" si="9"/>
        <v>1.6883341087380799</v>
      </c>
      <c r="N211" s="56" t="str">
        <f t="shared" ca="1" si="20"/>
        <v>207 to 407</v>
      </c>
      <c r="O211" s="56">
        <f t="shared" ref="O211:P212" ca="1" si="23">O210+1</f>
        <v>207</v>
      </c>
      <c r="P211" s="56">
        <f t="shared" ca="1" si="23"/>
        <v>407</v>
      </c>
    </row>
    <row r="212" spans="1:16" s="56" customFormat="1" ht="15.75" customHeight="1" x14ac:dyDescent="0.35">
      <c r="A212" s="95" t="str">
        <f t="shared" ref="A212" ca="1" si="24">N212</f>
        <v>208 to 408</v>
      </c>
      <c r="B212" s="97"/>
      <c r="C212" s="27" t="s">
        <v>201</v>
      </c>
      <c r="D212" s="27">
        <f>(22.76+1.2*(2.75+2.13+2.9))*10.764</f>
        <v>345.48134400000004</v>
      </c>
      <c r="E212" s="27">
        <v>0</v>
      </c>
      <c r="F212" s="27">
        <v>587</v>
      </c>
      <c r="G212" s="91"/>
      <c r="H212" s="92"/>
      <c r="I212" s="57">
        <f t="shared" si="15"/>
        <v>1761000</v>
      </c>
      <c r="J212" s="62">
        <f t="shared" si="9"/>
        <v>1.6990787207311546</v>
      </c>
      <c r="N212" s="56" t="str">
        <f t="shared" ref="N212" ca="1" si="25">O212&amp;""&amp;" to "&amp;""&amp;P212</f>
        <v>208 to 408</v>
      </c>
      <c r="O212" s="56">
        <f t="shared" ca="1" si="23"/>
        <v>208</v>
      </c>
      <c r="P212" s="56">
        <f t="shared" ca="1" si="23"/>
        <v>408</v>
      </c>
    </row>
    <row r="213" spans="1:16" s="54" customFormat="1" x14ac:dyDescent="0.35">
      <c r="A213" s="102" t="s">
        <v>216</v>
      </c>
      <c r="B213" s="102"/>
      <c r="C213" s="102"/>
      <c r="D213" s="102"/>
      <c r="E213" s="102"/>
      <c r="F213" s="102"/>
      <c r="G213" s="102"/>
      <c r="H213" s="102"/>
    </row>
    <row r="214" spans="1:16" s="54" customFormat="1" x14ac:dyDescent="0.35">
      <c r="A214" s="102" t="s">
        <v>246</v>
      </c>
      <c r="B214" s="102"/>
      <c r="C214" s="102"/>
      <c r="D214" s="102"/>
      <c r="E214" s="102"/>
      <c r="F214" s="102"/>
      <c r="G214" s="102"/>
      <c r="H214" s="102"/>
    </row>
    <row r="215" spans="1:16" s="54" customFormat="1" x14ac:dyDescent="0.35">
      <c r="A215" s="133" t="s">
        <v>247</v>
      </c>
      <c r="B215" s="134"/>
      <c r="C215" s="134"/>
      <c r="D215" s="134"/>
      <c r="E215" s="134"/>
      <c r="F215" s="134"/>
      <c r="G215" s="134"/>
      <c r="H215" s="135"/>
    </row>
    <row r="216" spans="1:16" s="65" customFormat="1" ht="15.75" customHeight="1" x14ac:dyDescent="0.35">
      <c r="A216" s="68">
        <v>1</v>
      </c>
      <c r="B216" s="68" t="s">
        <v>252</v>
      </c>
      <c r="C216" s="66" t="s">
        <v>205</v>
      </c>
      <c r="D216" s="66">
        <f>(5.28*2.75+2.26*2.13+2.1*1.1+0.8*1.1)*10.764</f>
        <v>242.44618319999995</v>
      </c>
      <c r="E216" s="66">
        <v>0</v>
      </c>
      <c r="F216" s="66">
        <f>D216*(($F$177)+1)+E216</f>
        <v>351.54696563999994</v>
      </c>
      <c r="G216" s="127"/>
      <c r="H216" s="128"/>
      <c r="I216" s="67">
        <v>378</v>
      </c>
      <c r="N216" s="67"/>
    </row>
    <row r="217" spans="1:16" s="65" customFormat="1" ht="15.75" customHeight="1" x14ac:dyDescent="0.35">
      <c r="A217" s="68">
        <v>2</v>
      </c>
      <c r="B217" s="68" t="s">
        <v>253</v>
      </c>
      <c r="C217" s="66" t="s">
        <v>205</v>
      </c>
      <c r="D217" s="66">
        <f>(4.23*2.74+2.01*2.31+2.1*1.1)*10.764</f>
        <v>199.60008120000001</v>
      </c>
      <c r="E217" s="66">
        <v>0</v>
      </c>
      <c r="F217" s="66">
        <f>D217*(($F$177)+1)+E217/2</f>
        <v>289.42011774000002</v>
      </c>
      <c r="G217" s="129"/>
      <c r="H217" s="130"/>
      <c r="I217" s="67">
        <v>320</v>
      </c>
      <c r="N217" s="67"/>
    </row>
    <row r="218" spans="1:16" s="56" customFormat="1" x14ac:dyDescent="0.35">
      <c r="A218" s="103" t="s">
        <v>202</v>
      </c>
      <c r="B218" s="103"/>
      <c r="C218" s="103"/>
      <c r="D218" s="103"/>
      <c r="E218" s="103"/>
      <c r="F218" s="103"/>
      <c r="G218" s="103"/>
      <c r="H218" s="103"/>
      <c r="I218" s="57"/>
      <c r="L218" s="93"/>
      <c r="M218" s="93"/>
    </row>
    <row r="219" spans="1:16" s="56" customFormat="1" ht="15.75" customHeight="1" x14ac:dyDescent="0.35">
      <c r="A219" s="68">
        <v>1</v>
      </c>
      <c r="B219" s="68" t="s">
        <v>252</v>
      </c>
      <c r="C219" s="66" t="s">
        <v>201</v>
      </c>
      <c r="D219" s="66">
        <f>(4.12*2.9+1.9*2.28+2.75*3.23+1.2*1.5+1.2*0.95+0.9*1.98+2.75)*10.764</f>
        <v>351.27775800000001</v>
      </c>
      <c r="E219" s="27">
        <v>0</v>
      </c>
      <c r="F219" s="27">
        <f>D219*(($F$177)+1)+E219</f>
        <v>509.35274909999998</v>
      </c>
      <c r="G219" s="87" t="str">
        <f>A218</f>
        <v>1st Floor for Residential</v>
      </c>
      <c r="H219" s="88"/>
      <c r="I219" s="66"/>
      <c r="N219" s="57"/>
    </row>
    <row r="220" spans="1:16" s="56" customFormat="1" ht="15.75" customHeight="1" x14ac:dyDescent="0.35">
      <c r="A220" s="68">
        <v>2</v>
      </c>
      <c r="B220" s="68" t="s">
        <v>259</v>
      </c>
      <c r="C220" s="27" t="s">
        <v>201</v>
      </c>
      <c r="D220" s="66">
        <f>(2.75*4.26+2.13*1.95+2.6*2.9+1.2*0.95+1.2*1.5+2.25*0.45+0.5*1.2+0.9*2.13+2.75+0.85*2.13)*10.764</f>
        <v>370.69601399999993</v>
      </c>
      <c r="E220" s="27">
        <v>0</v>
      </c>
      <c r="F220" s="27">
        <f>D220*(($F$177)+1)+E220/2</f>
        <v>537.50922029999992</v>
      </c>
      <c r="G220" s="89"/>
      <c r="H220" s="90"/>
      <c r="I220" s="66"/>
      <c r="N220" s="57"/>
    </row>
    <row r="221" spans="1:16" s="56" customFormat="1" ht="15.75" customHeight="1" x14ac:dyDescent="0.35">
      <c r="A221" s="68">
        <v>3</v>
      </c>
      <c r="B221" s="68" t="s">
        <v>260</v>
      </c>
      <c r="C221" s="27" t="s">
        <v>201</v>
      </c>
      <c r="D221" s="66">
        <f>(2.75*4.26+2.13*1.95+3*2.9+1.2*0.95+1.1*1.5+2.25*0.45+0.5*1.2+0.9*2.13+2.75+0.85*2.13)*10.764</f>
        <v>381.567654</v>
      </c>
      <c r="E221" s="27">
        <v>0</v>
      </c>
      <c r="F221" s="27">
        <f>D221*(($F$177)+1)+E221/2</f>
        <v>553.27309830000002</v>
      </c>
      <c r="G221" s="89"/>
      <c r="H221" s="90"/>
      <c r="I221" s="85"/>
      <c r="J221" s="86"/>
      <c r="K221" s="86"/>
      <c r="N221" s="57"/>
    </row>
    <row r="222" spans="1:16" s="56" customFormat="1" ht="15.75" customHeight="1" x14ac:dyDescent="0.35">
      <c r="A222" s="68">
        <v>4</v>
      </c>
      <c r="B222" s="68" t="s">
        <v>261</v>
      </c>
      <c r="C222" s="27" t="s">
        <v>201</v>
      </c>
      <c r="D222" s="66">
        <f>(2.75*4.26+2.13*2.44+2.75*2.75+1.2*0.95+1.1*1.5+2*0.45+0.5*1.2+0.9*2.13+0.9*2.75+0.75*2.75)*10.764</f>
        <v>379.09946880000001</v>
      </c>
      <c r="E222" s="27">
        <v>0</v>
      </c>
      <c r="F222" s="27">
        <f>D222*(($F$177)+1)+E222</f>
        <v>549.69422975999998</v>
      </c>
      <c r="G222" s="89"/>
      <c r="H222" s="90"/>
      <c r="I222" s="57"/>
      <c r="N222" s="57"/>
    </row>
    <row r="223" spans="1:16" s="56" customFormat="1" ht="15.75" customHeight="1" x14ac:dyDescent="0.35">
      <c r="A223" s="68">
        <v>5</v>
      </c>
      <c r="B223" s="68" t="s">
        <v>262</v>
      </c>
      <c r="C223" s="27" t="s">
        <v>201</v>
      </c>
      <c r="D223" s="66">
        <f t="shared" ref="D223:D225" si="26">(2.75*4.26+2.13*2.44+2.75*2.75+1.2*0.95+1.1*1.5+2*0.45+0.5*1.2+0.9*2.13+0.9*2.75+0.75*2.75)*10.764</f>
        <v>379.09946880000001</v>
      </c>
      <c r="E223" s="27">
        <v>0</v>
      </c>
      <c r="F223" s="27">
        <f>D223*(($F$177)+1)+E223</f>
        <v>549.69422975999998</v>
      </c>
      <c r="G223" s="89"/>
      <c r="H223" s="90"/>
      <c r="I223" s="57"/>
      <c r="N223" s="57"/>
    </row>
    <row r="224" spans="1:16" s="56" customFormat="1" ht="15.75" customHeight="1" x14ac:dyDescent="0.35">
      <c r="A224" s="68">
        <v>6</v>
      </c>
      <c r="B224" s="68" t="s">
        <v>254</v>
      </c>
      <c r="C224" s="27" t="s">
        <v>201</v>
      </c>
      <c r="D224" s="66">
        <f t="shared" si="26"/>
        <v>379.09946880000001</v>
      </c>
      <c r="E224" s="27">
        <v>0</v>
      </c>
      <c r="F224" s="27">
        <f>D224*(($F$177)+1)+E224/2</f>
        <v>549.69422975999998</v>
      </c>
      <c r="G224" s="89"/>
      <c r="H224" s="90"/>
      <c r="I224" s="57"/>
      <c r="N224" s="57"/>
    </row>
    <row r="225" spans="1:16" s="65" customFormat="1" ht="15.75" customHeight="1" x14ac:dyDescent="0.35">
      <c r="A225" s="68">
        <v>7</v>
      </c>
      <c r="B225" s="68" t="s">
        <v>255</v>
      </c>
      <c r="C225" s="66" t="s">
        <v>201</v>
      </c>
      <c r="D225" s="66">
        <f t="shared" si="26"/>
        <v>379.09946880000001</v>
      </c>
      <c r="E225" s="66">
        <v>0</v>
      </c>
      <c r="F225" s="66">
        <f>D225*(($F$177)+1)+E225/2</f>
        <v>549.69422975999998</v>
      </c>
      <c r="G225" s="89"/>
      <c r="H225" s="90"/>
      <c r="I225" s="85"/>
      <c r="J225" s="86"/>
      <c r="K225" s="86"/>
      <c r="N225" s="67"/>
    </row>
    <row r="226" spans="1:16" s="65" customFormat="1" ht="15.75" customHeight="1" x14ac:dyDescent="0.35">
      <c r="A226" s="68">
        <v>8</v>
      </c>
      <c r="B226" s="68" t="s">
        <v>256</v>
      </c>
      <c r="C226" s="66" t="s">
        <v>201</v>
      </c>
      <c r="D226" s="66">
        <f>(2.75*4.26+2.13*2.26+3.47*2.94+1.2*0.95+1.1*1.5+2*0.45+0.5*1.2+0.9*2.13+2.75)*10.764</f>
        <v>384.14132640000003</v>
      </c>
      <c r="E226" s="66">
        <f>2.75*3.47*10.764</f>
        <v>102.71547</v>
      </c>
      <c r="F226" s="66">
        <f>D226*(($F$177)+1)+E226</f>
        <v>659.72039328000005</v>
      </c>
      <c r="G226" s="89"/>
      <c r="H226" s="90"/>
      <c r="I226" s="67"/>
      <c r="N226" s="67"/>
    </row>
    <row r="227" spans="1:16" s="65" customFormat="1" ht="15.75" customHeight="1" x14ac:dyDescent="0.35">
      <c r="A227" s="68">
        <v>9</v>
      </c>
      <c r="B227" s="68" t="s">
        <v>257</v>
      </c>
      <c r="C227" s="66" t="s">
        <v>203</v>
      </c>
      <c r="D227" s="66">
        <f>(5.28*2.75+2.26*2.13+3.07*2.94+3.17*2.75+2.1*1.1+2.13*1.1+0.9*1.1+0.9*2.13+2.75+0.85*2.13+0.85*2.94)*10.764</f>
        <v>556.46220240000014</v>
      </c>
      <c r="E227" s="66">
        <v>0</v>
      </c>
      <c r="F227" s="66">
        <f>D227*(($F$177)+1)+E227</f>
        <v>806.87019348000013</v>
      </c>
      <c r="G227" s="89"/>
      <c r="H227" s="90"/>
      <c r="I227" s="67">
        <v>891</v>
      </c>
      <c r="N227" s="67"/>
    </row>
    <row r="228" spans="1:16" s="65" customFormat="1" ht="15.75" customHeight="1" x14ac:dyDescent="0.35">
      <c r="A228" s="68">
        <v>10</v>
      </c>
      <c r="B228" s="68" t="s">
        <v>258</v>
      </c>
      <c r="C228" s="66" t="s">
        <v>201</v>
      </c>
      <c r="D228" s="66">
        <f>(4.23*2.74+2.01*2.31+3.14*3+2*0.45+2.13*1.1+1.2*1.1+0.9*2.31+0.8*1.1+0.85*2.31)*10.764</f>
        <v>378.23404320000003</v>
      </c>
      <c r="E228" s="66">
        <v>0</v>
      </c>
      <c r="F228" s="66">
        <f>D228*(($F$177)+1)+E228/2</f>
        <v>548.43936264000001</v>
      </c>
      <c r="G228" s="91"/>
      <c r="H228" s="92"/>
      <c r="I228" s="67"/>
      <c r="N228" s="67"/>
    </row>
    <row r="229" spans="1:16" s="65" customFormat="1" x14ac:dyDescent="0.35">
      <c r="A229" s="103" t="s">
        <v>248</v>
      </c>
      <c r="B229" s="103"/>
      <c r="C229" s="103"/>
      <c r="D229" s="103"/>
      <c r="E229" s="103"/>
      <c r="F229" s="103"/>
      <c r="G229" s="103"/>
      <c r="H229" s="103"/>
      <c r="I229" s="67"/>
      <c r="J229" s="62"/>
    </row>
    <row r="230" spans="1:16" s="65" customFormat="1" ht="15.75" customHeight="1" x14ac:dyDescent="0.35">
      <c r="A230" s="77">
        <v>1</v>
      </c>
      <c r="B230" s="77" t="s">
        <v>252</v>
      </c>
      <c r="C230" s="77" t="s">
        <v>201</v>
      </c>
      <c r="D230" s="77">
        <f>(4.12*2.9+1.9*2.28+2.75*3.23+1.2*1.5+1.2*0.95+0.9*1.98+2.75)*10.764</f>
        <v>351.27775800000001</v>
      </c>
      <c r="E230" s="77">
        <v>0</v>
      </c>
      <c r="F230" s="77">
        <f>D230*(($F$177)+1)+E230</f>
        <v>509.35274909999998</v>
      </c>
      <c r="G230" s="94" t="str">
        <f>A229</f>
        <v>2nd to 7th Floor</v>
      </c>
      <c r="H230" s="94"/>
      <c r="I230" s="67"/>
      <c r="J230" s="62"/>
      <c r="N230" s="65" t="str">
        <f t="shared" ref="N230:N233" ca="1" si="27">O230&amp;""&amp;" to "&amp;""&amp;P230</f>
        <v>201 to 701</v>
      </c>
      <c r="O230" s="65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10^ROW(INDIRECT("1:"&amp;LEN((LEFT(A229,SUM(LEN(A229)-LEN(SUBSTITUTE(A229,{"0","1","2"},""))))))))/10))*100+1</f>
        <v>201</v>
      </c>
      <c r="P230" s="65">
        <f ca="1">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",LEN(A229))),LEN(A229)))))))/10))*100+1</f>
        <v>701</v>
      </c>
    </row>
    <row r="231" spans="1:16" s="65" customFormat="1" ht="15.75" customHeight="1" x14ac:dyDescent="0.35">
      <c r="A231" s="77">
        <v>2</v>
      </c>
      <c r="B231" s="77" t="s">
        <v>259</v>
      </c>
      <c r="C231" s="77" t="s">
        <v>201</v>
      </c>
      <c r="D231" s="77">
        <f>(2.75*4.26+2.13*1.95+2.6*2.9+1.2*0.95+1.2*1.5+2.25*0.45+0.5*1.2+0.9*2.13+2.75+0.85*2.13)*10.764</f>
        <v>370.69601399999993</v>
      </c>
      <c r="E231" s="77">
        <v>0</v>
      </c>
      <c r="F231" s="77">
        <f>D231*(($F$177)+1)+E231/2</f>
        <v>537.50922029999992</v>
      </c>
      <c r="G231" s="94"/>
      <c r="H231" s="94"/>
      <c r="I231" s="67"/>
      <c r="J231" s="62"/>
      <c r="N231" s="65" t="str">
        <f t="shared" ca="1" si="27"/>
        <v>202 to 702</v>
      </c>
      <c r="O231" s="65">
        <f t="shared" ref="O231:P231" ca="1" si="28">O230+1</f>
        <v>202</v>
      </c>
      <c r="P231" s="65">
        <f t="shared" ca="1" si="28"/>
        <v>702</v>
      </c>
    </row>
    <row r="232" spans="1:16" s="65" customFormat="1" ht="15.75" customHeight="1" x14ac:dyDescent="0.35">
      <c r="A232" s="77">
        <v>3</v>
      </c>
      <c r="B232" s="77" t="s">
        <v>260</v>
      </c>
      <c r="C232" s="77" t="s">
        <v>201</v>
      </c>
      <c r="D232" s="77">
        <f>(2.75*4.26+2.13*1.95+3*2.9+1.2*0.95+1.1*1.5+2.25*0.45+0.5*1.2+0.9*2.13+2.75+0.85*2.13)*10.764</f>
        <v>381.567654</v>
      </c>
      <c r="E232" s="77">
        <v>0</v>
      </c>
      <c r="F232" s="77">
        <f>D232*(($F$177)+1)+E232/2</f>
        <v>553.27309830000002</v>
      </c>
      <c r="G232" s="94"/>
      <c r="H232" s="94"/>
      <c r="I232" s="67"/>
      <c r="J232" s="62"/>
      <c r="N232" s="65" t="str">
        <f t="shared" ca="1" si="27"/>
        <v>203 to 703</v>
      </c>
      <c r="O232" s="65">
        <f t="shared" ref="O232:P232" ca="1" si="29">O231+1</f>
        <v>203</v>
      </c>
      <c r="P232" s="65">
        <f t="shared" ca="1" si="29"/>
        <v>703</v>
      </c>
    </row>
    <row r="233" spans="1:16" s="65" customFormat="1" ht="15.75" customHeight="1" x14ac:dyDescent="0.35">
      <c r="A233" s="77">
        <v>4</v>
      </c>
      <c r="B233" s="77" t="s">
        <v>261</v>
      </c>
      <c r="C233" s="77" t="s">
        <v>201</v>
      </c>
      <c r="D233" s="77">
        <f>(2.75*4.26+2.13*2.44+2.75*2.75+1.2*0.95+1.1*1.5+2*0.45+0.5*1.2+0.9*2.13+0.9*2.75+0.75*2.75)*10.764</f>
        <v>379.09946880000001</v>
      </c>
      <c r="E233" s="77">
        <v>0</v>
      </c>
      <c r="F233" s="77">
        <f>D233*(($F$177)+1)+E233</f>
        <v>549.69422975999998</v>
      </c>
      <c r="G233" s="94"/>
      <c r="H233" s="94"/>
      <c r="I233" s="67"/>
      <c r="J233" s="62"/>
      <c r="N233" s="65" t="str">
        <f t="shared" ca="1" si="27"/>
        <v>204 to 704</v>
      </c>
      <c r="O233" s="65">
        <f t="shared" ref="O233:P233" ca="1" si="30">O232+1</f>
        <v>204</v>
      </c>
      <c r="P233" s="65">
        <f t="shared" ca="1" si="30"/>
        <v>704</v>
      </c>
    </row>
    <row r="234" spans="1:16" s="65" customFormat="1" ht="15.75" customHeight="1" x14ac:dyDescent="0.35">
      <c r="A234" s="77">
        <v>5</v>
      </c>
      <c r="B234" s="77" t="s">
        <v>262</v>
      </c>
      <c r="C234" s="77" t="s">
        <v>201</v>
      </c>
      <c r="D234" s="77">
        <f t="shared" ref="D234:D236" si="31">(2.75*4.26+2.13*2.44+2.75*2.75+1.2*0.95+1.1*1.5+2*0.45+0.5*1.2+0.9*2.13+0.9*2.75+0.75*2.75)*10.764</f>
        <v>379.09946880000001</v>
      </c>
      <c r="E234" s="77">
        <v>0</v>
      </c>
      <c r="F234" s="77">
        <f>D234*(($F$177)+1)+E234</f>
        <v>549.69422975999998</v>
      </c>
      <c r="G234" s="94"/>
      <c r="H234" s="94"/>
      <c r="I234" s="67"/>
      <c r="J234" s="62"/>
      <c r="N234" s="65" t="str">
        <f t="shared" ref="N234:N237" ca="1" si="32">O234&amp;""&amp;" to "&amp;""&amp;P234</f>
        <v>205 to 705</v>
      </c>
      <c r="O234" s="65">
        <f t="shared" ref="O234:P234" ca="1" si="33">O233+1</f>
        <v>205</v>
      </c>
      <c r="P234" s="65">
        <f t="shared" ca="1" si="33"/>
        <v>705</v>
      </c>
    </row>
    <row r="235" spans="1:16" s="65" customFormat="1" ht="15.75" customHeight="1" x14ac:dyDescent="0.35">
      <c r="A235" s="77">
        <v>6</v>
      </c>
      <c r="B235" s="77" t="s">
        <v>254</v>
      </c>
      <c r="C235" s="77" t="s">
        <v>201</v>
      </c>
      <c r="D235" s="77">
        <f t="shared" si="31"/>
        <v>379.09946880000001</v>
      </c>
      <c r="E235" s="77">
        <v>0</v>
      </c>
      <c r="F235" s="77">
        <f>D235*(($F$177)+1)+E235/2</f>
        <v>549.69422975999998</v>
      </c>
      <c r="G235" s="94"/>
      <c r="H235" s="94"/>
      <c r="I235" s="67"/>
      <c r="J235" s="62"/>
      <c r="N235" s="65" t="str">
        <f t="shared" ca="1" si="32"/>
        <v>206 to 706</v>
      </c>
      <c r="O235" s="65">
        <f t="shared" ref="O235:P235" ca="1" si="34">O234+1</f>
        <v>206</v>
      </c>
      <c r="P235" s="65">
        <f t="shared" ca="1" si="34"/>
        <v>706</v>
      </c>
    </row>
    <row r="236" spans="1:16" s="65" customFormat="1" ht="15.75" customHeight="1" x14ac:dyDescent="0.35">
      <c r="A236" s="77">
        <v>7</v>
      </c>
      <c r="B236" s="77" t="s">
        <v>255</v>
      </c>
      <c r="C236" s="77" t="s">
        <v>201</v>
      </c>
      <c r="D236" s="77">
        <f t="shared" si="31"/>
        <v>379.09946880000001</v>
      </c>
      <c r="E236" s="77">
        <v>0</v>
      </c>
      <c r="F236" s="77">
        <f>D236*(($F$177)+1)+E236/2</f>
        <v>549.69422975999998</v>
      </c>
      <c r="G236" s="94"/>
      <c r="H236" s="94"/>
      <c r="I236" s="67"/>
      <c r="J236" s="62"/>
      <c r="N236" s="65" t="str">
        <f t="shared" ca="1" si="32"/>
        <v>207 to 707</v>
      </c>
      <c r="O236" s="65">
        <f t="shared" ref="O236:P236" ca="1" si="35">O235+1</f>
        <v>207</v>
      </c>
      <c r="P236" s="65">
        <f t="shared" ca="1" si="35"/>
        <v>707</v>
      </c>
    </row>
    <row r="237" spans="1:16" s="65" customFormat="1" ht="15.75" customHeight="1" x14ac:dyDescent="0.35">
      <c r="A237" s="77">
        <v>8</v>
      </c>
      <c r="B237" s="77" t="s">
        <v>256</v>
      </c>
      <c r="C237" s="77" t="s">
        <v>201</v>
      </c>
      <c r="D237" s="77">
        <f>(2.75*4.26+2.13*2.26+3.47*2.94+1.2*0.95+1.1*1.5+2*0.45+0.5*1.2+0.9*2.13+2.75)*10.764</f>
        <v>384.14132640000003</v>
      </c>
      <c r="E237" s="77">
        <v>0</v>
      </c>
      <c r="F237" s="77">
        <f>D237*(($F$177)+1)+E237</f>
        <v>557.00492328000007</v>
      </c>
      <c r="G237" s="94"/>
      <c r="H237" s="94"/>
      <c r="I237" s="67"/>
      <c r="J237" s="62"/>
      <c r="N237" s="65" t="str">
        <f t="shared" ca="1" si="32"/>
        <v>208 to 708</v>
      </c>
      <c r="O237" s="65">
        <f t="shared" ref="O237:P237" ca="1" si="36">O236+1</f>
        <v>208</v>
      </c>
      <c r="P237" s="65">
        <f t="shared" ca="1" si="36"/>
        <v>708</v>
      </c>
    </row>
    <row r="238" spans="1:16" s="65" customFormat="1" ht="15.75" customHeight="1" x14ac:dyDescent="0.35">
      <c r="A238" s="77">
        <v>9</v>
      </c>
      <c r="B238" s="77" t="s">
        <v>257</v>
      </c>
      <c r="C238" s="77" t="s">
        <v>203</v>
      </c>
      <c r="D238" s="77">
        <f>(5.28*2.75+2.26*2.13+3.07*2.94+3.17*2.75+2.1*1.1+2.13*1.1+0.9*1.1+0.9*2.13+2.75+0.85*2.13+0.85*2.94)*10.764</f>
        <v>556.46220240000014</v>
      </c>
      <c r="E238" s="77">
        <v>0</v>
      </c>
      <c r="F238" s="77">
        <f>D238*(($F$177)+1)+E238</f>
        <v>806.87019348000013</v>
      </c>
      <c r="G238" s="94"/>
      <c r="H238" s="94"/>
      <c r="I238" s="67"/>
      <c r="J238" s="62"/>
      <c r="N238" s="65" t="str">
        <f t="shared" ref="N238:N239" ca="1" si="37">O238&amp;""&amp;" to "&amp;""&amp;P238</f>
        <v>209 to 709</v>
      </c>
      <c r="O238" s="65">
        <f t="shared" ref="O238:P238" ca="1" si="38">O237+1</f>
        <v>209</v>
      </c>
      <c r="P238" s="65">
        <f t="shared" ca="1" si="38"/>
        <v>709</v>
      </c>
    </row>
    <row r="239" spans="1:16" s="65" customFormat="1" ht="15.75" customHeight="1" x14ac:dyDescent="0.35">
      <c r="A239" s="77">
        <v>10</v>
      </c>
      <c r="B239" s="77" t="s">
        <v>258</v>
      </c>
      <c r="C239" s="77" t="s">
        <v>201</v>
      </c>
      <c r="D239" s="77">
        <f>(4.23*2.74+2.01*2.31+3.14*3+2*0.45+2.13*1.1+1.2*1.1+0.9*2.31+0.8*1.1+0.85*2.31)*10.764</f>
        <v>378.23404320000003</v>
      </c>
      <c r="E239" s="77">
        <v>0</v>
      </c>
      <c r="F239" s="77">
        <f>D239*(($F$177)+1)+E239/2</f>
        <v>548.43936264000001</v>
      </c>
      <c r="G239" s="94"/>
      <c r="H239" s="94"/>
      <c r="I239" s="67"/>
      <c r="J239" s="62"/>
      <c r="N239" s="65" t="str">
        <f t="shared" ca="1" si="37"/>
        <v>210 to 710</v>
      </c>
      <c r="O239" s="65">
        <f t="shared" ref="O239:P239" ca="1" si="39">O238+1</f>
        <v>210</v>
      </c>
      <c r="P239" s="65">
        <f t="shared" ca="1" si="39"/>
        <v>710</v>
      </c>
    </row>
    <row r="240" spans="1:16" s="55" customFormat="1" x14ac:dyDescent="0.35">
      <c r="A240" s="138" t="s">
        <v>75</v>
      </c>
      <c r="B240" s="138"/>
      <c r="C240" s="138"/>
      <c r="D240" s="138"/>
      <c r="E240" s="138"/>
      <c r="F240" s="138"/>
      <c r="G240" s="138"/>
      <c r="H240" s="138"/>
    </row>
    <row r="241" spans="1:8" s="55" customFormat="1" ht="33.75" customHeight="1" x14ac:dyDescent="0.35">
      <c r="A241" s="31">
        <v>1</v>
      </c>
      <c r="B241" s="139" t="s">
        <v>274</v>
      </c>
      <c r="C241" s="140"/>
      <c r="D241" s="140"/>
      <c r="E241" s="140"/>
      <c r="F241" s="140"/>
      <c r="G241" s="140"/>
      <c r="H241" s="141"/>
    </row>
    <row r="242" spans="1:8" s="55" customFormat="1" ht="37.5" customHeight="1" x14ac:dyDescent="0.35">
      <c r="A242" s="31">
        <f>A241+1</f>
        <v>2</v>
      </c>
      <c r="B242" s="139" t="s">
        <v>271</v>
      </c>
      <c r="C242" s="140"/>
      <c r="D242" s="140"/>
      <c r="E242" s="140"/>
      <c r="F242" s="140"/>
      <c r="G242" s="140"/>
      <c r="H242" s="141"/>
    </row>
    <row r="243" spans="1:8" s="55" customFormat="1" x14ac:dyDescent="0.35">
      <c r="A243" s="31">
        <f t="shared" ref="A243:A247" si="40">A242+1</f>
        <v>3</v>
      </c>
      <c r="B243" s="144" t="s">
        <v>159</v>
      </c>
      <c r="C243" s="145"/>
      <c r="D243" s="145"/>
      <c r="E243" s="145"/>
      <c r="F243" s="145"/>
      <c r="G243" s="145"/>
      <c r="H243" s="146"/>
    </row>
    <row r="244" spans="1:8" s="55" customFormat="1" x14ac:dyDescent="0.35">
      <c r="A244" s="31">
        <f t="shared" si="40"/>
        <v>4</v>
      </c>
      <c r="B244" s="144" t="s">
        <v>249</v>
      </c>
      <c r="C244" s="145"/>
      <c r="D244" s="145"/>
      <c r="E244" s="145"/>
      <c r="F244" s="145"/>
      <c r="G244" s="145"/>
      <c r="H244" s="146"/>
    </row>
    <row r="245" spans="1:8" s="55" customFormat="1" x14ac:dyDescent="0.35">
      <c r="A245" s="69">
        <f t="shared" si="40"/>
        <v>5</v>
      </c>
      <c r="B245" s="144" t="s">
        <v>160</v>
      </c>
      <c r="C245" s="145"/>
      <c r="D245" s="145"/>
      <c r="E245" s="145"/>
      <c r="F245" s="145"/>
      <c r="G245" s="145"/>
      <c r="H245" s="146"/>
    </row>
    <row r="246" spans="1:8" s="55" customFormat="1" x14ac:dyDescent="0.35">
      <c r="A246" s="69">
        <f t="shared" si="40"/>
        <v>6</v>
      </c>
      <c r="B246" s="144" t="s">
        <v>161</v>
      </c>
      <c r="C246" s="145"/>
      <c r="D246" s="145"/>
      <c r="E246" s="145"/>
      <c r="F246" s="145"/>
      <c r="G246" s="145"/>
      <c r="H246" s="146"/>
    </row>
    <row r="247" spans="1:8" s="55" customFormat="1" hidden="1" x14ac:dyDescent="0.35">
      <c r="A247" s="31">
        <f t="shared" si="40"/>
        <v>7</v>
      </c>
      <c r="B247" s="139" t="s">
        <v>250</v>
      </c>
      <c r="C247" s="140"/>
      <c r="D247" s="140"/>
      <c r="E247" s="140"/>
      <c r="F247" s="140"/>
      <c r="G247" s="140"/>
      <c r="H247" s="141"/>
    </row>
    <row r="248" spans="1:8" s="55" customFormat="1" x14ac:dyDescent="0.35">
      <c r="A248" s="69">
        <v>7</v>
      </c>
      <c r="B248" s="139" t="s">
        <v>251</v>
      </c>
      <c r="C248" s="140"/>
      <c r="D248" s="140"/>
      <c r="E248" s="140"/>
      <c r="F248" s="140"/>
      <c r="G248" s="140"/>
      <c r="H248" s="141"/>
    </row>
    <row r="249" spans="1:8" s="55" customFormat="1" x14ac:dyDescent="0.35">
      <c r="A249" s="73">
        <v>8</v>
      </c>
      <c r="B249" s="139" t="s">
        <v>268</v>
      </c>
      <c r="C249" s="140"/>
      <c r="D249" s="140"/>
      <c r="E249" s="140"/>
      <c r="F249" s="140"/>
      <c r="G249" s="140"/>
      <c r="H249" s="141"/>
    </row>
    <row r="250" spans="1:8" x14ac:dyDescent="0.35">
      <c r="A250" s="147" t="s">
        <v>68</v>
      </c>
      <c r="B250" s="147"/>
      <c r="C250" s="147"/>
      <c r="D250" s="147"/>
      <c r="E250" s="147"/>
      <c r="F250" s="147"/>
      <c r="G250" s="147"/>
      <c r="H250" s="147"/>
    </row>
    <row r="251" spans="1:8" x14ac:dyDescent="0.35">
      <c r="A251" s="105" t="s">
        <v>69</v>
      </c>
      <c r="B251" s="105"/>
      <c r="C251" s="105"/>
      <c r="D251" s="105"/>
      <c r="E251" s="105"/>
      <c r="F251" s="105"/>
      <c r="G251" s="105"/>
      <c r="H251" s="105"/>
    </row>
    <row r="252" spans="1:8" ht="15.75" customHeight="1" x14ac:dyDescent="0.35">
      <c r="A252" s="148" t="s">
        <v>70</v>
      </c>
      <c r="B252" s="148"/>
      <c r="C252" s="148"/>
      <c r="D252" s="148"/>
      <c r="E252" s="148"/>
      <c r="F252" s="148"/>
      <c r="G252" s="148"/>
      <c r="H252" s="148"/>
    </row>
    <row r="253" spans="1:8" x14ac:dyDescent="0.35">
      <c r="A253" s="105" t="s">
        <v>71</v>
      </c>
      <c r="B253" s="105"/>
      <c r="C253" s="105"/>
      <c r="D253" s="105"/>
      <c r="E253" s="105"/>
      <c r="F253" s="105"/>
      <c r="G253" s="105"/>
      <c r="H253" s="105"/>
    </row>
    <row r="254" spans="1:8" x14ac:dyDescent="0.35">
      <c r="A254" s="105" t="s">
        <v>72</v>
      </c>
      <c r="B254" s="105"/>
      <c r="C254" s="105"/>
      <c r="D254" s="105"/>
      <c r="E254" s="105"/>
      <c r="F254" s="105"/>
      <c r="G254" s="105"/>
      <c r="H254" s="105"/>
    </row>
    <row r="255" spans="1:8" x14ac:dyDescent="0.35">
      <c r="A255" s="105" t="s">
        <v>162</v>
      </c>
      <c r="B255" s="105"/>
      <c r="C255" s="105"/>
      <c r="D255" s="105"/>
      <c r="E255" s="105"/>
      <c r="F255" s="105"/>
      <c r="G255" s="105"/>
      <c r="H255" s="105"/>
    </row>
    <row r="256" spans="1:8" ht="35.25" customHeight="1" x14ac:dyDescent="0.35">
      <c r="A256" s="122" t="s">
        <v>163</v>
      </c>
      <c r="B256" s="122"/>
      <c r="C256" s="122"/>
      <c r="D256" s="122"/>
      <c r="E256" s="122"/>
      <c r="F256" s="122"/>
      <c r="G256" s="122"/>
      <c r="H256" s="122"/>
    </row>
    <row r="257" spans="1:8" x14ac:dyDescent="0.35">
      <c r="A257" s="143" t="s">
        <v>106</v>
      </c>
      <c r="B257" s="143"/>
      <c r="C257" s="143" t="s">
        <v>272</v>
      </c>
      <c r="D257" s="143"/>
      <c r="E257" s="143" t="s">
        <v>138</v>
      </c>
      <c r="F257" s="143"/>
      <c r="G257" s="143" t="s">
        <v>276</v>
      </c>
      <c r="H257" s="143"/>
    </row>
    <row r="258" spans="1:8" x14ac:dyDescent="0.35">
      <c r="A258" s="142" t="s">
        <v>108</v>
      </c>
      <c r="B258" s="142"/>
      <c r="C258" s="142"/>
      <c r="D258" s="142"/>
      <c r="E258" s="142"/>
      <c r="F258" s="142"/>
      <c r="G258" s="142"/>
      <c r="H258" s="142"/>
    </row>
    <row r="259" spans="1:8" x14ac:dyDescent="0.35">
      <c r="A259" s="142"/>
      <c r="B259" s="142"/>
      <c r="C259" s="142"/>
      <c r="D259" s="142"/>
      <c r="E259" s="142"/>
      <c r="F259" s="142"/>
      <c r="G259" s="142"/>
      <c r="H259" s="142"/>
    </row>
    <row r="260" spans="1:8" x14ac:dyDescent="0.35">
      <c r="A260" s="142"/>
      <c r="B260" s="142"/>
      <c r="C260" s="142"/>
      <c r="D260" s="142"/>
      <c r="E260" s="142"/>
      <c r="F260" s="142"/>
      <c r="G260" s="142"/>
      <c r="H260" s="142"/>
    </row>
    <row r="261" spans="1:8" x14ac:dyDescent="0.35">
      <c r="A261" s="142"/>
      <c r="B261" s="142"/>
      <c r="C261" s="142"/>
      <c r="D261" s="142"/>
      <c r="E261" s="142"/>
      <c r="F261" s="142"/>
      <c r="G261" s="142"/>
      <c r="H261" s="142"/>
    </row>
    <row r="262" spans="1:8" x14ac:dyDescent="0.35">
      <c r="A262" s="58" t="s">
        <v>73</v>
      </c>
      <c r="B262" s="59"/>
      <c r="C262" s="59"/>
      <c r="D262" s="58" t="str">
        <f>E8</f>
        <v>Swami Aashray</v>
      </c>
      <c r="F262" s="59"/>
      <c r="G262" s="59"/>
      <c r="H262" s="59"/>
    </row>
    <row r="263" spans="1:8" x14ac:dyDescent="0.35">
      <c r="A263" s="59"/>
      <c r="B263" s="59"/>
      <c r="C263" s="59"/>
      <c r="D263" s="59"/>
      <c r="E263" s="59"/>
      <c r="F263" s="59"/>
      <c r="G263" s="59"/>
      <c r="H263" s="59"/>
    </row>
    <row r="264" spans="1:8" x14ac:dyDescent="0.35">
      <c r="A264" s="59"/>
      <c r="B264" s="59"/>
      <c r="C264" s="59"/>
      <c r="D264" s="59"/>
      <c r="E264" s="59"/>
      <c r="F264" s="59"/>
      <c r="G264" s="59"/>
      <c r="H264" s="59"/>
    </row>
    <row r="265" spans="1:8" ht="15" customHeight="1" x14ac:dyDescent="0.35"/>
    <row r="307" spans="1:1" x14ac:dyDescent="0.35">
      <c r="A307" s="61" t="s">
        <v>265</v>
      </c>
    </row>
    <row r="351" spans="1:1" x14ac:dyDescent="0.35">
      <c r="A351" s="61" t="s">
        <v>74</v>
      </c>
    </row>
  </sheetData>
  <mergeCells count="422">
    <mergeCell ref="A208:B208"/>
    <mergeCell ref="A209:B209"/>
    <mergeCell ref="C53:E53"/>
    <mergeCell ref="G53:H53"/>
    <mergeCell ref="A54:B55"/>
    <mergeCell ref="C54:E54"/>
    <mergeCell ref="G54:H54"/>
    <mergeCell ref="C55:H55"/>
    <mergeCell ref="G162:H174"/>
    <mergeCell ref="A138:B138"/>
    <mergeCell ref="A88:B88"/>
    <mergeCell ref="E88:F88"/>
    <mergeCell ref="G88:H88"/>
    <mergeCell ref="A89:B89"/>
    <mergeCell ref="A82:B82"/>
    <mergeCell ref="D65:H65"/>
    <mergeCell ref="E75:F84"/>
    <mergeCell ref="G75:H84"/>
    <mergeCell ref="A83:B83"/>
    <mergeCell ref="G176:H177"/>
    <mergeCell ref="A183:B183"/>
    <mergeCell ref="A188:B188"/>
    <mergeCell ref="A189:B189"/>
    <mergeCell ref="D142:D143"/>
    <mergeCell ref="L173:M173"/>
    <mergeCell ref="A180:H180"/>
    <mergeCell ref="A181:B181"/>
    <mergeCell ref="D176:D177"/>
    <mergeCell ref="E176:E177"/>
    <mergeCell ref="A178:H178"/>
    <mergeCell ref="L195:M195"/>
    <mergeCell ref="A190:B190"/>
    <mergeCell ref="A173:B173"/>
    <mergeCell ref="A192:H192"/>
    <mergeCell ref="A193:H193"/>
    <mergeCell ref="L174:M174"/>
    <mergeCell ref="A170:B170"/>
    <mergeCell ref="A169:B169"/>
    <mergeCell ref="A165:B165"/>
    <mergeCell ref="A166:B166"/>
    <mergeCell ref="A167:B167"/>
    <mergeCell ref="A168:B168"/>
    <mergeCell ref="L170:M170"/>
    <mergeCell ref="L171:M171"/>
    <mergeCell ref="L172:M172"/>
    <mergeCell ref="A157:B157"/>
    <mergeCell ref="L162:M162"/>
    <mergeCell ref="L163:M163"/>
    <mergeCell ref="L164:M164"/>
    <mergeCell ref="L165:M165"/>
    <mergeCell ref="L166:M166"/>
    <mergeCell ref="L167:M167"/>
    <mergeCell ref="L168:M168"/>
    <mergeCell ref="L169:M169"/>
    <mergeCell ref="A159:H159"/>
    <mergeCell ref="A160:H160"/>
    <mergeCell ref="A135:B135"/>
    <mergeCell ref="F127:H127"/>
    <mergeCell ref="L157:M157"/>
    <mergeCell ref="A154:B154"/>
    <mergeCell ref="G147:H158"/>
    <mergeCell ref="L153:M153"/>
    <mergeCell ref="L152:M152"/>
    <mergeCell ref="L151:M151"/>
    <mergeCell ref="L150:M150"/>
    <mergeCell ref="L149:M149"/>
    <mergeCell ref="L148:M148"/>
    <mergeCell ref="L147:M147"/>
    <mergeCell ref="A148:B148"/>
    <mergeCell ref="A149:B149"/>
    <mergeCell ref="A150:B150"/>
    <mergeCell ref="A151:B151"/>
    <mergeCell ref="A153:B153"/>
    <mergeCell ref="L158:M158"/>
    <mergeCell ref="A158:B158"/>
    <mergeCell ref="L154:M154"/>
    <mergeCell ref="A155:B155"/>
    <mergeCell ref="L155:M155"/>
    <mergeCell ref="A156:B156"/>
    <mergeCell ref="L156:M156"/>
    <mergeCell ref="E139:F139"/>
    <mergeCell ref="A140:H140"/>
    <mergeCell ref="A141:H141"/>
    <mergeCell ref="B142:B143"/>
    <mergeCell ref="A142:A143"/>
    <mergeCell ref="C142:C143"/>
    <mergeCell ref="C137:D137"/>
    <mergeCell ref="E137:F137"/>
    <mergeCell ref="G137:H137"/>
    <mergeCell ref="A146:H146"/>
    <mergeCell ref="E142:E143"/>
    <mergeCell ref="G142:H143"/>
    <mergeCell ref="A144:H144"/>
    <mergeCell ref="A145:H145"/>
    <mergeCell ref="F119:H119"/>
    <mergeCell ref="C131:D131"/>
    <mergeCell ref="E131:F131"/>
    <mergeCell ref="C136:D136"/>
    <mergeCell ref="E135:F135"/>
    <mergeCell ref="A129:H129"/>
    <mergeCell ref="A127:E127"/>
    <mergeCell ref="A120:E120"/>
    <mergeCell ref="A119:E119"/>
    <mergeCell ref="A126:E126"/>
    <mergeCell ref="C135:D135"/>
    <mergeCell ref="G135:H135"/>
    <mergeCell ref="G138:H138"/>
    <mergeCell ref="E136:F136"/>
    <mergeCell ref="G136:H136"/>
    <mergeCell ref="C138:D138"/>
    <mergeCell ref="E138:F138"/>
    <mergeCell ref="F125:H125"/>
    <mergeCell ref="C139:D139"/>
    <mergeCell ref="C115:H115"/>
    <mergeCell ref="A133:B133"/>
    <mergeCell ref="C133:D133"/>
    <mergeCell ref="E133:F133"/>
    <mergeCell ref="G133:H133"/>
    <mergeCell ref="A116:H116"/>
    <mergeCell ref="F120:H120"/>
    <mergeCell ref="A134:H134"/>
    <mergeCell ref="A118:E118"/>
    <mergeCell ref="F118:H118"/>
    <mergeCell ref="A121:E121"/>
    <mergeCell ref="F121:H121"/>
    <mergeCell ref="A122:E122"/>
    <mergeCell ref="A124:E124"/>
    <mergeCell ref="A123:E123"/>
    <mergeCell ref="A128:E128"/>
    <mergeCell ref="F128:H128"/>
    <mergeCell ref="A131:B131"/>
    <mergeCell ref="A85:B85"/>
    <mergeCell ref="C85:H85"/>
    <mergeCell ref="A109:B109"/>
    <mergeCell ref="A92:B92"/>
    <mergeCell ref="A93:B93"/>
    <mergeCell ref="A132:B132"/>
    <mergeCell ref="C132:D132"/>
    <mergeCell ref="E132:F132"/>
    <mergeCell ref="G132:H132"/>
    <mergeCell ref="G131:H131"/>
    <mergeCell ref="F122:H122"/>
    <mergeCell ref="A117:E117"/>
    <mergeCell ref="E130:F130"/>
    <mergeCell ref="A104:B104"/>
    <mergeCell ref="A105:B105"/>
    <mergeCell ref="A99:B99"/>
    <mergeCell ref="C99:H99"/>
    <mergeCell ref="A101:B101"/>
    <mergeCell ref="C101:H101"/>
    <mergeCell ref="A102:B102"/>
    <mergeCell ref="E102:F102"/>
    <mergeCell ref="G102:H102"/>
    <mergeCell ref="A87:B87"/>
    <mergeCell ref="C87:H87"/>
    <mergeCell ref="A94:B94"/>
    <mergeCell ref="A96:B96"/>
    <mergeCell ref="A97:B97"/>
    <mergeCell ref="A103:B103"/>
    <mergeCell ref="E103:F112"/>
    <mergeCell ref="G103:H112"/>
    <mergeCell ref="A90:B90"/>
    <mergeCell ref="A91:B91"/>
    <mergeCell ref="E89:F98"/>
    <mergeCell ref="G89:H98"/>
    <mergeCell ref="A98:B98"/>
    <mergeCell ref="A106:B106"/>
    <mergeCell ref="A107:B107"/>
    <mergeCell ref="A108:B108"/>
    <mergeCell ref="A110:B110"/>
    <mergeCell ref="A111:B111"/>
    <mergeCell ref="A112:B112"/>
    <mergeCell ref="A66:C66"/>
    <mergeCell ref="A113:E113"/>
    <mergeCell ref="F113:H113"/>
    <mergeCell ref="A130:B130"/>
    <mergeCell ref="F123:H123"/>
    <mergeCell ref="C130:D130"/>
    <mergeCell ref="F126:H126"/>
    <mergeCell ref="F124:H124"/>
    <mergeCell ref="G130:H130"/>
    <mergeCell ref="A125:E125"/>
    <mergeCell ref="A84:B84"/>
    <mergeCell ref="D66:H66"/>
    <mergeCell ref="A81:B81"/>
    <mergeCell ref="A74:B74"/>
    <mergeCell ref="A77:B77"/>
    <mergeCell ref="A68:C68"/>
    <mergeCell ref="D68:H68"/>
    <mergeCell ref="A75:B75"/>
    <mergeCell ref="G74:H74"/>
    <mergeCell ref="A71:B71"/>
    <mergeCell ref="A69:B69"/>
    <mergeCell ref="C69:H69"/>
    <mergeCell ref="A79:B79"/>
    <mergeCell ref="A67:C67"/>
    <mergeCell ref="A58:H58"/>
    <mergeCell ref="A59:C59"/>
    <mergeCell ref="A60:C60"/>
    <mergeCell ref="D60:H60"/>
    <mergeCell ref="A62:C64"/>
    <mergeCell ref="A46:H46"/>
    <mergeCell ref="A51:H51"/>
    <mergeCell ref="A52:B52"/>
    <mergeCell ref="C52:E52"/>
    <mergeCell ref="G52:H52"/>
    <mergeCell ref="A53:B53"/>
    <mergeCell ref="C50:H50"/>
    <mergeCell ref="A57:B57"/>
    <mergeCell ref="C57:E57"/>
    <mergeCell ref="G57:H57"/>
    <mergeCell ref="A35:H35"/>
    <mergeCell ref="A34:B34"/>
    <mergeCell ref="C34:E34"/>
    <mergeCell ref="A39:D39"/>
    <mergeCell ref="E39:H39"/>
    <mergeCell ref="F31:H31"/>
    <mergeCell ref="F32:H32"/>
    <mergeCell ref="A38:H38"/>
    <mergeCell ref="A65:C65"/>
    <mergeCell ref="F34:H34"/>
    <mergeCell ref="A36:B36"/>
    <mergeCell ref="A43:D43"/>
    <mergeCell ref="A44:D44"/>
    <mergeCell ref="A45:H45"/>
    <mergeCell ref="D61:H61"/>
    <mergeCell ref="A61:C61"/>
    <mergeCell ref="G48:H48"/>
    <mergeCell ref="A49:B50"/>
    <mergeCell ref="A47:B47"/>
    <mergeCell ref="C47:E47"/>
    <mergeCell ref="G47:H47"/>
    <mergeCell ref="C36:H36"/>
    <mergeCell ref="A37:B37"/>
    <mergeCell ref="C37:H37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58:H261"/>
    <mergeCell ref="A257:B257"/>
    <mergeCell ref="E257:F257"/>
    <mergeCell ref="C257:D257"/>
    <mergeCell ref="G257:H257"/>
    <mergeCell ref="A256:H256"/>
    <mergeCell ref="A254:H254"/>
    <mergeCell ref="B243:H243"/>
    <mergeCell ref="B244:H244"/>
    <mergeCell ref="B245:H245"/>
    <mergeCell ref="A253:H253"/>
    <mergeCell ref="A250:H250"/>
    <mergeCell ref="A251:H251"/>
    <mergeCell ref="B246:H246"/>
    <mergeCell ref="B247:H247"/>
    <mergeCell ref="A255:H255"/>
    <mergeCell ref="B248:H248"/>
    <mergeCell ref="A252:H252"/>
    <mergeCell ref="B249:H249"/>
    <mergeCell ref="A207:B207"/>
    <mergeCell ref="A240:H240"/>
    <mergeCell ref="A187:H187"/>
    <mergeCell ref="A215:H215"/>
    <mergeCell ref="B241:H241"/>
    <mergeCell ref="B242:H242"/>
    <mergeCell ref="A194:B194"/>
    <mergeCell ref="G194:H194"/>
    <mergeCell ref="A195:H195"/>
    <mergeCell ref="A212:B212"/>
    <mergeCell ref="A200:B200"/>
    <mergeCell ref="G230:H239"/>
    <mergeCell ref="A196:B196"/>
    <mergeCell ref="A197:B197"/>
    <mergeCell ref="A198:B198"/>
    <mergeCell ref="A206:B206"/>
    <mergeCell ref="A201:B201"/>
    <mergeCell ref="A202:B202"/>
    <mergeCell ref="A203:B203"/>
    <mergeCell ref="A204:H204"/>
    <mergeCell ref="A205:B205"/>
    <mergeCell ref="A199:B199"/>
    <mergeCell ref="A229:H229"/>
    <mergeCell ref="A210:B210"/>
    <mergeCell ref="G216:H217"/>
    <mergeCell ref="A78:B78"/>
    <mergeCell ref="E74:F74"/>
    <mergeCell ref="A41:D41"/>
    <mergeCell ref="E41:H41"/>
    <mergeCell ref="B176:B177"/>
    <mergeCell ref="A152:B152"/>
    <mergeCell ref="A139:B139"/>
    <mergeCell ref="A161:H161"/>
    <mergeCell ref="A162:B162"/>
    <mergeCell ref="A163:B163"/>
    <mergeCell ref="A164:B164"/>
    <mergeCell ref="A174:B174"/>
    <mergeCell ref="A171:B171"/>
    <mergeCell ref="A172:B172"/>
    <mergeCell ref="E42:H42"/>
    <mergeCell ref="E43:H43"/>
    <mergeCell ref="E44:H44"/>
    <mergeCell ref="A42:D42"/>
    <mergeCell ref="G49:H49"/>
    <mergeCell ref="D59:H59"/>
    <mergeCell ref="C49:E49"/>
    <mergeCell ref="D62:H62"/>
    <mergeCell ref="A211:B211"/>
    <mergeCell ref="E40:H40"/>
    <mergeCell ref="A40:D40"/>
    <mergeCell ref="A80:B80"/>
    <mergeCell ref="A147:B147"/>
    <mergeCell ref="G56:H56"/>
    <mergeCell ref="D64:H64"/>
    <mergeCell ref="G139:H139"/>
    <mergeCell ref="A136:A137"/>
    <mergeCell ref="A72:B73"/>
    <mergeCell ref="C72:D73"/>
    <mergeCell ref="E72:F73"/>
    <mergeCell ref="G72:H73"/>
    <mergeCell ref="A95:B95"/>
    <mergeCell ref="F117:H117"/>
    <mergeCell ref="A114:H114"/>
    <mergeCell ref="A115:B115"/>
    <mergeCell ref="D67:H67"/>
    <mergeCell ref="C71:H71"/>
    <mergeCell ref="A76:B76"/>
    <mergeCell ref="D63:H63"/>
    <mergeCell ref="C48:E48"/>
    <mergeCell ref="A56:B56"/>
    <mergeCell ref="C56:E56"/>
    <mergeCell ref="A48:B48"/>
    <mergeCell ref="I225:K225"/>
    <mergeCell ref="G219:H228"/>
    <mergeCell ref="L182:M182"/>
    <mergeCell ref="L193:M193"/>
    <mergeCell ref="L180:M180"/>
    <mergeCell ref="G181:H181"/>
    <mergeCell ref="A175:H175"/>
    <mergeCell ref="A176:A177"/>
    <mergeCell ref="C176:C177"/>
    <mergeCell ref="A191:B191"/>
    <mergeCell ref="G183:H186"/>
    <mergeCell ref="G188:H191"/>
    <mergeCell ref="A185:B185"/>
    <mergeCell ref="I221:K221"/>
    <mergeCell ref="A213:H213"/>
    <mergeCell ref="A214:H214"/>
    <mergeCell ref="A186:B186"/>
    <mergeCell ref="A179:H179"/>
    <mergeCell ref="A182:H182"/>
    <mergeCell ref="A184:B184"/>
    <mergeCell ref="G196:H203"/>
    <mergeCell ref="G205:H212"/>
    <mergeCell ref="A218:H218"/>
    <mergeCell ref="L218:M218"/>
  </mergeCells>
  <hyperlinks>
    <hyperlink ref="C37" r:id="rId1"/>
  </hyperlinks>
  <printOptions horizontalCentered="1"/>
  <pageMargins left="0.39370078740157483" right="0.39370078740157483" top="0.86614173228346458" bottom="0.78740157480314965" header="0.19685039370078741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                                              &amp;P</oddFooter>
  </headerFooter>
  <rowBreaks count="4" manualBreakCount="4">
    <brk id="84" max="16383" man="1"/>
    <brk id="261" max="16383" man="1"/>
    <brk id="306" max="16383" man="1"/>
    <brk id="35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76</v>
      </c>
      <c r="C2" s="241"/>
      <c r="D2" s="241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77</v>
      </c>
      <c r="B4" s="3" t="s">
        <v>78</v>
      </c>
      <c r="C4" s="242" t="s">
        <v>79</v>
      </c>
      <c r="D4" s="242"/>
      <c r="E4" s="242"/>
      <c r="F4" s="4"/>
      <c r="G4" s="242" t="s">
        <v>80</v>
      </c>
      <c r="H4" s="242"/>
      <c r="I4" s="242"/>
      <c r="J4" s="242" t="s">
        <v>81</v>
      </c>
      <c r="K4" s="242"/>
      <c r="L4" s="242"/>
    </row>
    <row r="5" spans="1:12" x14ac:dyDescent="0.35">
      <c r="A5" s="1">
        <v>202</v>
      </c>
      <c r="B5" s="3"/>
      <c r="C5" s="3" t="s">
        <v>82</v>
      </c>
      <c r="D5" s="3" t="s">
        <v>83</v>
      </c>
      <c r="E5" s="3" t="s">
        <v>60</v>
      </c>
      <c r="F5" s="3"/>
      <c r="G5" s="3" t="s">
        <v>82</v>
      </c>
      <c r="H5" s="3" t="s">
        <v>83</v>
      </c>
      <c r="I5" s="3" t="s">
        <v>60</v>
      </c>
      <c r="J5" s="3" t="s">
        <v>82</v>
      </c>
      <c r="K5" s="3" t="s">
        <v>83</v>
      </c>
      <c r="L5" s="3" t="s">
        <v>60</v>
      </c>
    </row>
    <row r="6" spans="1:12" x14ac:dyDescent="0.35">
      <c r="B6" s="5" t="s">
        <v>84</v>
      </c>
      <c r="C6" s="5"/>
      <c r="D6" s="5"/>
      <c r="E6" s="5">
        <f>C6*D6</f>
        <v>0</v>
      </c>
      <c r="F6" s="5" t="s">
        <v>85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86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87</v>
      </c>
      <c r="C9" s="5"/>
      <c r="D9" s="5"/>
      <c r="E9" s="5">
        <f t="shared" si="0"/>
        <v>0</v>
      </c>
      <c r="F9" s="5" t="s">
        <v>85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86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88</v>
      </c>
      <c r="C13" s="5"/>
      <c r="D13" s="5"/>
      <c r="E13" s="5">
        <f t="shared" si="0"/>
        <v>0</v>
      </c>
      <c r="F13" s="5" t="s">
        <v>85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86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89</v>
      </c>
      <c r="C17" s="5"/>
      <c r="D17" s="5"/>
      <c r="E17" s="5">
        <f t="shared" si="0"/>
        <v>0</v>
      </c>
      <c r="F17" s="5" t="s">
        <v>85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86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89</v>
      </c>
      <c r="C20" s="5"/>
      <c r="D20" s="5"/>
      <c r="E20" s="5">
        <f t="shared" si="0"/>
        <v>0</v>
      </c>
      <c r="F20" s="5" t="s">
        <v>85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86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90</v>
      </c>
      <c r="C23" s="5"/>
      <c r="D23" s="5"/>
      <c r="E23" s="5">
        <f t="shared" si="0"/>
        <v>0</v>
      </c>
      <c r="F23" s="5" t="s">
        <v>91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92</v>
      </c>
      <c r="C24" s="5"/>
      <c r="D24" s="5"/>
      <c r="E24" s="5">
        <f t="shared" si="0"/>
        <v>0</v>
      </c>
      <c r="F24" s="5" t="s">
        <v>91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93</v>
      </c>
      <c r="C25" s="5"/>
      <c r="D25" s="5"/>
      <c r="E25" s="5">
        <f t="shared" si="0"/>
        <v>0</v>
      </c>
      <c r="F25" s="5" t="s">
        <v>91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94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95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96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97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61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6"/>
    <col min="2" max="2" width="22.1796875" style="6" customWidth="1"/>
    <col min="3" max="3" width="37" style="6" customWidth="1"/>
    <col min="4" max="5" width="11.453125" style="6" customWidth="1"/>
    <col min="6" max="6" width="14" style="6" customWidth="1"/>
    <col min="7" max="7" width="20" style="6" customWidth="1"/>
    <col min="8" max="8" width="16.453125" style="6" customWidth="1"/>
    <col min="9" max="16384" width="8.7265625" style="6"/>
  </cols>
  <sheetData>
    <row r="1" spans="1:9" ht="15" customHeight="1" x14ac:dyDescent="0.35"/>
    <row r="2" spans="1:9" ht="15" customHeight="1" x14ac:dyDescent="0.35">
      <c r="A2" s="7"/>
      <c r="B2" s="7"/>
      <c r="C2" s="7"/>
      <c r="D2" s="7"/>
      <c r="E2" s="7"/>
      <c r="F2" s="7"/>
      <c r="G2" s="7"/>
      <c r="H2" s="7"/>
    </row>
    <row r="3" spans="1:9" ht="15.75" customHeight="1" x14ac:dyDescent="0.35">
      <c r="A3" s="7"/>
      <c r="B3" s="243" t="s">
        <v>139</v>
      </c>
      <c r="C3" s="243"/>
      <c r="D3" s="243"/>
      <c r="E3" s="243"/>
      <c r="F3" s="243"/>
      <c r="G3" s="243"/>
      <c r="H3" s="243"/>
    </row>
    <row r="4" spans="1:9" x14ac:dyDescent="0.35">
      <c r="A4" s="7"/>
      <c r="B4" s="8" t="s">
        <v>140</v>
      </c>
      <c r="C4" s="8" t="s">
        <v>141</v>
      </c>
      <c r="D4" s="8" t="s">
        <v>77</v>
      </c>
      <c r="E4" s="8" t="s">
        <v>142</v>
      </c>
      <c r="F4" s="8" t="s">
        <v>149</v>
      </c>
      <c r="G4" s="8" t="s">
        <v>150</v>
      </c>
      <c r="H4" s="8" t="s">
        <v>143</v>
      </c>
    </row>
    <row r="5" spans="1:9" ht="15" customHeight="1" x14ac:dyDescent="0.35">
      <c r="A5" s="7"/>
      <c r="B5" s="10" t="s">
        <v>144</v>
      </c>
      <c r="C5" s="11"/>
      <c r="D5" s="10" t="s">
        <v>145</v>
      </c>
      <c r="E5" s="10">
        <v>1106</v>
      </c>
      <c r="F5" s="12">
        <f>E5*1.6</f>
        <v>1769.6000000000001</v>
      </c>
      <c r="G5" s="12">
        <f>H5/F5</f>
        <v>31532.549728752259</v>
      </c>
      <c r="H5" s="13">
        <v>55800000</v>
      </c>
    </row>
    <row r="6" spans="1:9" x14ac:dyDescent="0.35">
      <c r="A6" s="7"/>
      <c r="B6" s="10" t="s">
        <v>144</v>
      </c>
      <c r="C6" s="14"/>
      <c r="D6" s="10"/>
      <c r="E6" s="10"/>
      <c r="F6" s="12">
        <f t="shared" ref="F6:F11" si="0">E6*1.6</f>
        <v>0</v>
      </c>
      <c r="G6" s="12" t="e">
        <f t="shared" ref="G6:G11" si="1">H6/F6</f>
        <v>#DIV/0!</v>
      </c>
      <c r="H6" s="13"/>
    </row>
    <row r="7" spans="1:9" ht="15" customHeight="1" x14ac:dyDescent="0.35">
      <c r="A7" s="7"/>
      <c r="B7" s="10" t="s">
        <v>144</v>
      </c>
      <c r="C7" s="11"/>
      <c r="D7" s="10"/>
      <c r="E7" s="10"/>
      <c r="F7" s="12">
        <f t="shared" si="0"/>
        <v>0</v>
      </c>
      <c r="G7" s="12" t="e">
        <f t="shared" si="1"/>
        <v>#DIV/0!</v>
      </c>
      <c r="H7" s="13"/>
    </row>
    <row r="8" spans="1:9" x14ac:dyDescent="0.35">
      <c r="A8" s="7"/>
      <c r="B8" s="10" t="s">
        <v>144</v>
      </c>
      <c r="C8" s="14"/>
      <c r="D8" s="10"/>
      <c r="E8" s="10"/>
      <c r="F8" s="12">
        <f t="shared" si="0"/>
        <v>0</v>
      </c>
      <c r="G8" s="12" t="e">
        <f t="shared" si="1"/>
        <v>#DIV/0!</v>
      </c>
      <c r="H8" s="13"/>
    </row>
    <row r="9" spans="1:9" ht="15" customHeight="1" x14ac:dyDescent="0.35">
      <c r="A9" s="7"/>
      <c r="B9" s="10" t="s">
        <v>144</v>
      </c>
      <c r="C9" s="14"/>
      <c r="D9" s="10"/>
      <c r="E9" s="10"/>
      <c r="F9" s="12">
        <f t="shared" si="0"/>
        <v>0</v>
      </c>
      <c r="G9" s="12" t="e">
        <f t="shared" si="1"/>
        <v>#DIV/0!</v>
      </c>
      <c r="H9" s="13"/>
    </row>
    <row r="10" spans="1:9" ht="15" customHeight="1" x14ac:dyDescent="0.35">
      <c r="A10" s="7"/>
      <c r="B10" s="10" t="s">
        <v>146</v>
      </c>
      <c r="C10" s="11"/>
      <c r="D10" s="10"/>
      <c r="E10" s="10"/>
      <c r="F10" s="12">
        <f t="shared" si="0"/>
        <v>0</v>
      </c>
      <c r="G10" s="12" t="e">
        <f t="shared" si="1"/>
        <v>#DIV/0!</v>
      </c>
      <c r="H10" s="13"/>
    </row>
    <row r="11" spans="1:9" ht="15" customHeight="1" x14ac:dyDescent="0.35">
      <c r="A11" s="7"/>
      <c r="B11" s="10" t="s">
        <v>146</v>
      </c>
      <c r="C11" s="11"/>
      <c r="D11" s="10"/>
      <c r="E11" s="10"/>
      <c r="F11" s="12">
        <f t="shared" si="0"/>
        <v>0</v>
      </c>
      <c r="G11" s="12" t="e">
        <f t="shared" si="1"/>
        <v>#DIV/0!</v>
      </c>
      <c r="H11" s="13"/>
    </row>
    <row r="12" spans="1:9" ht="15" customHeight="1" x14ac:dyDescent="0.35">
      <c r="A12" s="7"/>
      <c r="B12" s="15" t="s">
        <v>147</v>
      </c>
      <c r="C12" s="10"/>
      <c r="D12" s="10"/>
      <c r="E12" s="10"/>
      <c r="F12" s="10"/>
      <c r="G12" s="16" t="e">
        <f>AVERAGE(G5:G11)</f>
        <v>#DIV/0!</v>
      </c>
      <c r="H12" s="10"/>
    </row>
    <row r="13" spans="1:9" ht="15" customHeight="1" x14ac:dyDescent="0.35">
      <c r="B13" s="15" t="s">
        <v>148</v>
      </c>
      <c r="C13" s="10"/>
      <c r="D13" s="10"/>
      <c r="E13" s="10"/>
      <c r="F13" s="17"/>
      <c r="G13" s="15"/>
      <c r="H13" s="15"/>
      <c r="I13" s="9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C1"/>
  <sheetViews>
    <sheetView workbookViewId="0">
      <selection activeCell="D10" sqref="D10"/>
    </sheetView>
  </sheetViews>
  <sheetFormatPr defaultRowHeight="14.5" x14ac:dyDescent="0.35"/>
  <cols>
    <col min="1" max="1" width="10.7265625" bestFit="1" customWidth="1"/>
    <col min="3" max="3" width="10.453125" customWidth="1"/>
  </cols>
  <sheetData>
    <row r="1" spans="1:3" x14ac:dyDescent="0.35">
      <c r="A1" s="26">
        <v>44513</v>
      </c>
      <c r="B1" t="s">
        <v>224</v>
      </c>
      <c r="C1" t="s">
        <v>225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4097" r:id="rId3">
          <objectPr defaultSize="0" r:id="rId4">
            <anchor moveWithCells="1">
              <from>
                <xdr:col>3</xdr:col>
                <xdr:colOff>0</xdr:colOff>
                <xdr:row>0</xdr:row>
                <xdr:rowOff>0</xdr:rowOff>
              </from>
              <to>
                <xdr:col>4</xdr:col>
                <xdr:colOff>304800</xdr:colOff>
                <xdr:row>3</xdr:row>
                <xdr:rowOff>114300</xdr:rowOff>
              </to>
            </anchor>
          </objectPr>
        </oleObject>
      </mc:Choice>
      <mc:Fallback>
        <oleObject progId="Acrobat Document" dvAspect="DVASPECT_ICON" shapeId="409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2025-09-23T12:54:07Z</cp:lastPrinted>
  <dcterms:created xsi:type="dcterms:W3CDTF">2019-07-16T09:29:46Z</dcterms:created>
  <dcterms:modified xsi:type="dcterms:W3CDTF">2025-09-23T12:54:34Z</dcterms:modified>
</cp:coreProperties>
</file>