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Update\Sept 2025\22570 - Borivali Project - P\"/>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Wing A" sheetId="8" r:id="rId5"/>
    <sheet name="Wing B" sheetId="7" r:id="rId6"/>
  </sheets>
  <definedNames>
    <definedName name="_xlnm._FilterDatabase" localSheetId="0" hidden="1">Report!$A$1:$P$447</definedName>
    <definedName name="_xlnm.Print_Area" localSheetId="0">Report!$A$1:$H$567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5" i="1" l="1"/>
  <c r="D275" i="1" s="1"/>
  <c r="E274" i="1"/>
  <c r="D274" i="1" s="1"/>
  <c r="E413" i="1"/>
  <c r="D413" i="1" s="1"/>
  <c r="E412" i="1"/>
  <c r="D412" i="1"/>
  <c r="E280" i="1" l="1"/>
  <c r="D280" i="1" s="1"/>
  <c r="E279" i="1"/>
  <c r="D279" i="1" s="1"/>
  <c r="E278" i="1"/>
  <c r="D278" i="1"/>
  <c r="E277" i="1"/>
  <c r="D277" i="1"/>
  <c r="E408" i="1"/>
  <c r="D408" i="1" s="1"/>
  <c r="E407" i="1"/>
  <c r="D407" i="1" s="1"/>
  <c r="E406" i="1"/>
  <c r="D406" i="1" s="1"/>
  <c r="E267" i="1"/>
  <c r="D267" i="1" s="1"/>
  <c r="E270" i="1"/>
  <c r="D270" i="1" s="1"/>
  <c r="E269" i="1"/>
  <c r="D269" i="1"/>
  <c r="E265" i="1"/>
  <c r="D265" i="1" s="1"/>
  <c r="E264" i="1"/>
  <c r="D264" i="1" s="1"/>
  <c r="E262" i="1"/>
  <c r="D262" i="1" s="1"/>
  <c r="E403" i="1"/>
  <c r="D403" i="1" s="1"/>
  <c r="E402" i="1"/>
  <c r="D402" i="1" s="1"/>
  <c r="E401" i="1"/>
  <c r="D401" i="1" s="1"/>
  <c r="E398" i="1"/>
  <c r="D398" i="1"/>
  <c r="E397" i="1"/>
  <c r="D397" i="1" s="1"/>
  <c r="E396" i="1"/>
  <c r="D396" i="1" s="1"/>
  <c r="E395" i="1"/>
  <c r="D395" i="1" s="1"/>
  <c r="E393" i="1"/>
  <c r="D393" i="1" s="1"/>
  <c r="E392" i="1"/>
  <c r="D392" i="1"/>
  <c r="E391" i="1"/>
  <c r="D391" i="1"/>
  <c r="E390" i="1"/>
  <c r="D390" i="1"/>
  <c r="E388" i="1"/>
  <c r="D388" i="1" s="1"/>
  <c r="E387" i="1"/>
  <c r="D387" i="1"/>
  <c r="E386" i="1"/>
  <c r="D386" i="1" s="1"/>
  <c r="E385" i="1"/>
  <c r="D385" i="1"/>
  <c r="E260" i="1"/>
  <c r="D260" i="1" s="1"/>
  <c r="E259" i="1"/>
  <c r="D259" i="1" s="1"/>
  <c r="E258" i="1"/>
  <c r="D258" i="1" s="1"/>
  <c r="E257" i="1"/>
  <c r="D257" i="1"/>
  <c r="E255" i="1"/>
  <c r="D255" i="1" s="1"/>
  <c r="E254" i="1"/>
  <c r="D254" i="1" s="1"/>
  <c r="E253" i="1"/>
  <c r="D253" i="1"/>
  <c r="E252" i="1"/>
  <c r="D252" i="1"/>
  <c r="E250" i="1" l="1"/>
  <c r="D250" i="1" s="1"/>
  <c r="E249" i="1"/>
  <c r="D249" i="1" s="1"/>
  <c r="E248" i="1"/>
  <c r="D248" i="1" s="1"/>
  <c r="E247" i="1"/>
  <c r="D247" i="1" s="1"/>
  <c r="E383" i="1"/>
  <c r="D383" i="1" s="1"/>
  <c r="E382" i="1"/>
  <c r="D382" i="1"/>
  <c r="E381" i="1"/>
  <c r="D381" i="1" s="1"/>
  <c r="E380" i="1"/>
  <c r="D380" i="1" s="1"/>
  <c r="E378" i="1"/>
  <c r="D378" i="1" s="1"/>
  <c r="E377" i="1"/>
  <c r="D377" i="1"/>
  <c r="E376" i="1"/>
  <c r="D376" i="1" s="1"/>
  <c r="E375" i="1"/>
  <c r="D375" i="1" s="1"/>
  <c r="E245" i="1"/>
  <c r="D245" i="1" s="1"/>
  <c r="E244" i="1"/>
  <c r="D244" i="1"/>
  <c r="E243" i="1"/>
  <c r="D243" i="1" s="1"/>
  <c r="E242" i="1"/>
  <c r="D242" i="1"/>
  <c r="E240" i="1"/>
  <c r="D240" i="1"/>
  <c r="E239" i="1"/>
  <c r="D239" i="1" s="1"/>
  <c r="E238" i="1"/>
  <c r="D238" i="1"/>
  <c r="E237" i="1"/>
  <c r="D237" i="1" s="1"/>
  <c r="E235" i="1"/>
  <c r="D235" i="1" s="1"/>
  <c r="E234" i="1"/>
  <c r="D234" i="1" s="1"/>
  <c r="E233" i="1"/>
  <c r="D233" i="1" s="1"/>
  <c r="E232" i="1"/>
  <c r="D232" i="1"/>
  <c r="E373" i="1"/>
  <c r="D373" i="1" s="1"/>
  <c r="E372" i="1"/>
  <c r="D372" i="1"/>
  <c r="E371" i="1"/>
  <c r="D371" i="1" s="1"/>
  <c r="E370" i="1"/>
  <c r="D370" i="1" s="1"/>
  <c r="E368" i="1"/>
  <c r="D368" i="1" s="1"/>
  <c r="E367" i="1"/>
  <c r="D367" i="1"/>
  <c r="E366" i="1"/>
  <c r="D366" i="1" s="1"/>
  <c r="E365" i="1"/>
  <c r="D365" i="1" s="1"/>
  <c r="E363" i="1"/>
  <c r="D363" i="1" s="1"/>
  <c r="E362" i="1"/>
  <c r="D362" i="1" s="1"/>
  <c r="E361" i="1"/>
  <c r="D361" i="1" s="1"/>
  <c r="E360" i="1"/>
  <c r="D360" i="1"/>
  <c r="E358" i="1"/>
  <c r="D358" i="1" s="1"/>
  <c r="E210" i="1"/>
  <c r="D210" i="1" s="1"/>
  <c r="E209" i="1"/>
  <c r="D209" i="1"/>
  <c r="E208" i="1"/>
  <c r="D208" i="1" s="1"/>
  <c r="E207" i="1"/>
  <c r="D207" i="1"/>
  <c r="E215" i="1"/>
  <c r="D215" i="1" s="1"/>
  <c r="E214" i="1"/>
  <c r="D214" i="1" s="1"/>
  <c r="E213" i="1"/>
  <c r="D213" i="1" s="1"/>
  <c r="E212" i="1"/>
  <c r="D212" i="1" s="1"/>
  <c r="E220" i="1"/>
  <c r="D220" i="1"/>
  <c r="E219" i="1"/>
  <c r="D219" i="1"/>
  <c r="E218" i="1"/>
  <c r="D218" i="1"/>
  <c r="E217" i="1"/>
  <c r="D217" i="1" s="1"/>
  <c r="E230" i="1"/>
  <c r="D230" i="1" s="1"/>
  <c r="E229" i="1"/>
  <c r="D229" i="1" s="1"/>
  <c r="E228" i="1"/>
  <c r="D228" i="1"/>
  <c r="E227" i="1"/>
  <c r="D227" i="1"/>
  <c r="D224" i="1"/>
  <c r="E224" i="1"/>
  <c r="E225" i="1"/>
  <c r="D225" i="1" s="1"/>
  <c r="E223" i="1"/>
  <c r="D223" i="1"/>
  <c r="E222" i="1"/>
  <c r="D222" i="1" s="1"/>
  <c r="E357" i="1"/>
  <c r="D357" i="1" s="1"/>
  <c r="E356" i="1"/>
  <c r="D356" i="1" s="1"/>
  <c r="E355" i="1"/>
  <c r="D355" i="1" s="1"/>
  <c r="E205" i="1"/>
  <c r="D205" i="1" s="1"/>
  <c r="D204" i="1"/>
  <c r="E203" i="1"/>
  <c r="D203" i="1"/>
  <c r="E202" i="1"/>
  <c r="D202" i="1" s="1"/>
  <c r="D353" i="1"/>
  <c r="E352" i="1"/>
  <c r="D352" i="1"/>
  <c r="E351" i="1"/>
  <c r="D351" i="1"/>
  <c r="E350" i="1"/>
  <c r="D350" i="1" s="1"/>
  <c r="E200" i="1"/>
  <c r="D200" i="1" s="1"/>
  <c r="D199" i="1"/>
  <c r="E197" i="1"/>
  <c r="D197" i="1" s="1"/>
  <c r="D348" i="1"/>
  <c r="E347" i="1"/>
  <c r="D347" i="1" s="1"/>
  <c r="E346" i="1"/>
  <c r="D346" i="1" s="1"/>
  <c r="E342" i="1"/>
  <c r="D342" i="1" s="1"/>
  <c r="D343" i="1"/>
  <c r="E341" i="1"/>
  <c r="D341" i="1"/>
  <c r="E340" i="1"/>
  <c r="D340" i="1" s="1"/>
  <c r="D195" i="1"/>
  <c r="E195" i="1"/>
  <c r="D194" i="1"/>
  <c r="E193" i="1"/>
  <c r="D193" i="1" s="1"/>
  <c r="E192" i="1"/>
  <c r="D192" i="1"/>
  <c r="D338" i="1"/>
  <c r="D337" i="1"/>
  <c r="E336" i="1"/>
  <c r="D336" i="1" s="1"/>
  <c r="E335" i="1"/>
  <c r="D335" i="1" s="1"/>
  <c r="D333" i="1"/>
  <c r="D332" i="1"/>
  <c r="E331" i="1"/>
  <c r="D331" i="1"/>
  <c r="E330" i="1"/>
  <c r="D330" i="1" s="1"/>
  <c r="D328" i="1"/>
  <c r="D327" i="1"/>
  <c r="E326" i="1"/>
  <c r="D326" i="1" s="1"/>
  <c r="E325" i="1"/>
  <c r="D325" i="1" s="1"/>
  <c r="D190" i="1"/>
  <c r="D189" i="1"/>
  <c r="E188" i="1"/>
  <c r="D188" i="1" s="1"/>
  <c r="E187" i="1"/>
  <c r="D187" i="1" s="1"/>
  <c r="D185" i="1"/>
  <c r="D184" i="1"/>
  <c r="E183" i="1"/>
  <c r="D183" i="1" s="1"/>
  <c r="E182" i="1"/>
  <c r="D182" i="1" s="1"/>
  <c r="E178" i="1"/>
  <c r="D178" i="1"/>
  <c r="E177" i="1"/>
  <c r="D177" i="1"/>
  <c r="E321" i="1"/>
  <c r="D321" i="1" s="1"/>
  <c r="E320" i="1"/>
  <c r="D320" i="1" s="1"/>
  <c r="E316" i="1"/>
  <c r="D316" i="1" s="1"/>
  <c r="E311" i="1"/>
  <c r="D311" i="1" s="1"/>
  <c r="E310" i="1"/>
  <c r="D310" i="1" s="1"/>
  <c r="E306" i="1"/>
  <c r="D306" i="1"/>
  <c r="E305" i="1"/>
  <c r="D305" i="1" s="1"/>
  <c r="E301" i="1"/>
  <c r="D301" i="1" s="1"/>
  <c r="E300" i="1"/>
  <c r="D300" i="1" s="1"/>
  <c r="E296" i="1"/>
  <c r="D296" i="1"/>
  <c r="E295" i="1"/>
  <c r="D295" i="1"/>
  <c r="E291" i="1"/>
  <c r="D291" i="1" s="1"/>
  <c r="E290" i="1"/>
  <c r="D290" i="1"/>
  <c r="E286" i="1"/>
  <c r="D286" i="1" s="1"/>
  <c r="E285" i="1"/>
  <c r="D285" i="1" s="1"/>
  <c r="E172" i="1"/>
  <c r="D172" i="1" s="1"/>
  <c r="E168" i="1"/>
  <c r="D168" i="1" s="1"/>
  <c r="E167" i="1"/>
  <c r="D167" i="1"/>
  <c r="E163" i="1"/>
  <c r="D163" i="1" s="1"/>
  <c r="E162" i="1"/>
  <c r="D162" i="1" s="1"/>
  <c r="E158" i="1"/>
  <c r="D158" i="1" s="1"/>
  <c r="E157" i="1"/>
  <c r="D157" i="1"/>
  <c r="E153" i="1"/>
  <c r="D153" i="1" s="1"/>
  <c r="E152" i="1"/>
  <c r="D152" i="1" s="1"/>
  <c r="E148" i="1"/>
  <c r="D148" i="1" s="1"/>
  <c r="E147" i="1"/>
  <c r="D147" i="1" s="1"/>
  <c r="E143" i="1"/>
  <c r="D143" i="1" s="1"/>
  <c r="E142" i="1"/>
  <c r="D142" i="1" s="1"/>
  <c r="I143" i="1"/>
  <c r="F407" i="1" l="1"/>
  <c r="H407" i="1" s="1"/>
  <c r="F413" i="1"/>
  <c r="H413" i="1" s="1"/>
  <c r="A411" i="1"/>
  <c r="A412" i="1" s="1"/>
  <c r="A413" i="1" s="1"/>
  <c r="A406" i="1"/>
  <c r="A407" i="1" s="1"/>
  <c r="A408" i="1" s="1"/>
  <c r="A401" i="1"/>
  <c r="A402" i="1" s="1"/>
  <c r="A403" i="1" s="1"/>
  <c r="F397" i="1"/>
  <c r="H397" i="1" s="1"/>
  <c r="A396" i="1"/>
  <c r="A397" i="1" s="1"/>
  <c r="A398" i="1" s="1"/>
  <c r="A391" i="1"/>
  <c r="A392" i="1" s="1"/>
  <c r="A393" i="1" s="1"/>
  <c r="A386" i="1"/>
  <c r="A387" i="1" s="1"/>
  <c r="A388" i="1" s="1"/>
  <c r="F382" i="1"/>
  <c r="H382" i="1" s="1"/>
  <c r="A381" i="1"/>
  <c r="A382" i="1" s="1"/>
  <c r="A383" i="1" s="1"/>
  <c r="A376" i="1"/>
  <c r="A377" i="1" s="1"/>
  <c r="A378" i="1" s="1"/>
  <c r="A371" i="1"/>
  <c r="A372" i="1" s="1"/>
  <c r="A373" i="1" s="1"/>
  <c r="A366" i="1"/>
  <c r="A367" i="1" s="1"/>
  <c r="A368" i="1" s="1"/>
  <c r="F357" i="1"/>
  <c r="H357" i="1" s="1"/>
  <c r="A361" i="1"/>
  <c r="A362" i="1" s="1"/>
  <c r="A363" i="1" s="1"/>
  <c r="A356" i="1"/>
  <c r="A357" i="1" s="1"/>
  <c r="A358" i="1" s="1"/>
  <c r="F353" i="1"/>
  <c r="H353" i="1" s="1"/>
  <c r="A351" i="1"/>
  <c r="A352" i="1" s="1"/>
  <c r="A353" i="1" s="1"/>
  <c r="F348" i="1"/>
  <c r="H348" i="1" s="1"/>
  <c r="A346" i="1"/>
  <c r="A347" i="1" s="1"/>
  <c r="A348" i="1" s="1"/>
  <c r="L132" i="7"/>
  <c r="I132" i="7"/>
  <c r="E132" i="7"/>
  <c r="L131" i="7"/>
  <c r="I131" i="7"/>
  <c r="E131" i="7"/>
  <c r="L130" i="7"/>
  <c r="I130" i="7"/>
  <c r="E130" i="7"/>
  <c r="L129" i="7"/>
  <c r="I129" i="7"/>
  <c r="E129" i="7"/>
  <c r="L128" i="7"/>
  <c r="I128" i="7"/>
  <c r="E128" i="7"/>
  <c r="L127" i="7"/>
  <c r="I127" i="7"/>
  <c r="E127" i="7"/>
  <c r="L126" i="7"/>
  <c r="I126" i="7"/>
  <c r="E126" i="7"/>
  <c r="L125" i="7"/>
  <c r="I125" i="7"/>
  <c r="E125" i="7"/>
  <c r="L124" i="7"/>
  <c r="I124" i="7"/>
  <c r="E124" i="7"/>
  <c r="L123" i="7"/>
  <c r="I123" i="7"/>
  <c r="E123" i="7"/>
  <c r="L122" i="7"/>
  <c r="I122" i="7"/>
  <c r="E122" i="7"/>
  <c r="L121" i="7"/>
  <c r="I121" i="7"/>
  <c r="E121" i="7"/>
  <c r="L120" i="7"/>
  <c r="I120" i="7"/>
  <c r="E120" i="7"/>
  <c r="L119" i="7"/>
  <c r="I119" i="7"/>
  <c r="E119" i="7"/>
  <c r="L118" i="7"/>
  <c r="I118" i="7"/>
  <c r="E118" i="7"/>
  <c r="L117" i="7"/>
  <c r="I117" i="7"/>
  <c r="E117" i="7"/>
  <c r="L116" i="7"/>
  <c r="I116" i="7"/>
  <c r="E116" i="7"/>
  <c r="L115" i="7"/>
  <c r="I115" i="7"/>
  <c r="E115" i="7"/>
  <c r="L114" i="7"/>
  <c r="I114" i="7"/>
  <c r="E114" i="7"/>
  <c r="L113" i="7"/>
  <c r="I113" i="7"/>
  <c r="E113" i="7"/>
  <c r="L112" i="7"/>
  <c r="I112" i="7"/>
  <c r="E112" i="7"/>
  <c r="L111" i="7"/>
  <c r="I111" i="7"/>
  <c r="E111" i="7"/>
  <c r="L110" i="7"/>
  <c r="I110" i="7"/>
  <c r="E110" i="7"/>
  <c r="L109" i="7"/>
  <c r="I109" i="7"/>
  <c r="E109" i="7"/>
  <c r="L108" i="7"/>
  <c r="I108" i="7"/>
  <c r="E108" i="7"/>
  <c r="L107" i="7"/>
  <c r="I107" i="7"/>
  <c r="E107" i="7"/>
  <c r="L106" i="7"/>
  <c r="I106" i="7"/>
  <c r="E106" i="7"/>
  <c r="L105" i="7"/>
  <c r="I105" i="7"/>
  <c r="E105" i="7"/>
  <c r="L104" i="7"/>
  <c r="I104" i="7"/>
  <c r="E104" i="7"/>
  <c r="L103" i="7"/>
  <c r="I103" i="7"/>
  <c r="E103" i="7"/>
  <c r="L102" i="7"/>
  <c r="I102" i="7"/>
  <c r="E102" i="7"/>
  <c r="L101" i="7"/>
  <c r="I101" i="7"/>
  <c r="E101" i="7"/>
  <c r="L100" i="7"/>
  <c r="I100" i="7"/>
  <c r="E100" i="7"/>
  <c r="L99" i="7"/>
  <c r="I99" i="7"/>
  <c r="E99" i="7"/>
  <c r="L98" i="7"/>
  <c r="I98" i="7"/>
  <c r="E98" i="7"/>
  <c r="L97" i="7"/>
  <c r="I97" i="7"/>
  <c r="E97" i="7"/>
  <c r="L96" i="7"/>
  <c r="I96" i="7"/>
  <c r="E96" i="7"/>
  <c r="L112" i="8"/>
  <c r="I112" i="8"/>
  <c r="E112" i="8"/>
  <c r="L134" i="8"/>
  <c r="I134" i="8"/>
  <c r="E134" i="8"/>
  <c r="L133" i="8"/>
  <c r="I133" i="8"/>
  <c r="E133" i="8"/>
  <c r="L132" i="8"/>
  <c r="I132" i="8"/>
  <c r="E132" i="8"/>
  <c r="L131" i="8"/>
  <c r="I131" i="8"/>
  <c r="E131" i="8"/>
  <c r="L130" i="8"/>
  <c r="I130" i="8"/>
  <c r="E130" i="8"/>
  <c r="L129" i="8"/>
  <c r="I129" i="8"/>
  <c r="E129" i="8"/>
  <c r="L128" i="8"/>
  <c r="I128" i="8"/>
  <c r="E128" i="8"/>
  <c r="L127" i="8"/>
  <c r="I127" i="8"/>
  <c r="E127" i="8"/>
  <c r="L126" i="8"/>
  <c r="I126" i="8"/>
  <c r="E126" i="8"/>
  <c r="L125" i="8"/>
  <c r="I125" i="8"/>
  <c r="E125" i="8"/>
  <c r="L124" i="8"/>
  <c r="I124" i="8"/>
  <c r="E124" i="8"/>
  <c r="L123" i="8"/>
  <c r="I123" i="8"/>
  <c r="E123" i="8"/>
  <c r="L122" i="8"/>
  <c r="I122" i="8"/>
  <c r="E122" i="8"/>
  <c r="L121" i="8"/>
  <c r="I121" i="8"/>
  <c r="E121" i="8"/>
  <c r="L120" i="8"/>
  <c r="I120" i="8"/>
  <c r="E120" i="8"/>
  <c r="L119" i="8"/>
  <c r="I119" i="8"/>
  <c r="E119" i="8"/>
  <c r="L118" i="8"/>
  <c r="I118" i="8"/>
  <c r="E118" i="8"/>
  <c r="L117" i="8"/>
  <c r="I117" i="8"/>
  <c r="E117" i="8"/>
  <c r="L116" i="8"/>
  <c r="I116" i="8"/>
  <c r="E116" i="8"/>
  <c r="L115" i="8"/>
  <c r="I115" i="8"/>
  <c r="E115" i="8"/>
  <c r="L114" i="8"/>
  <c r="I114" i="8"/>
  <c r="E114" i="8"/>
  <c r="L113" i="8"/>
  <c r="I113" i="8"/>
  <c r="E113" i="8"/>
  <c r="L111" i="8"/>
  <c r="I111" i="8"/>
  <c r="E111" i="8"/>
  <c r="L110" i="8"/>
  <c r="I110" i="8"/>
  <c r="E110" i="8"/>
  <c r="L109" i="8"/>
  <c r="I109" i="8"/>
  <c r="E109" i="8"/>
  <c r="L108" i="8"/>
  <c r="I108" i="8"/>
  <c r="E108" i="8"/>
  <c r="L107" i="8"/>
  <c r="I107" i="8"/>
  <c r="E107" i="8"/>
  <c r="L106" i="8"/>
  <c r="I106" i="8"/>
  <c r="E106" i="8"/>
  <c r="L105" i="8"/>
  <c r="I105" i="8"/>
  <c r="E105" i="8"/>
  <c r="L104" i="8"/>
  <c r="I104" i="8"/>
  <c r="E104" i="8"/>
  <c r="L103" i="8"/>
  <c r="I103" i="8"/>
  <c r="E103" i="8"/>
  <c r="L102" i="8"/>
  <c r="I102" i="8"/>
  <c r="E102" i="8"/>
  <c r="L101" i="8"/>
  <c r="I101" i="8"/>
  <c r="E101" i="8"/>
  <c r="L100" i="8"/>
  <c r="I100" i="8"/>
  <c r="E100" i="8"/>
  <c r="L99" i="8"/>
  <c r="I99" i="8"/>
  <c r="E99" i="8"/>
  <c r="L98" i="8"/>
  <c r="I98" i="8"/>
  <c r="E98" i="8"/>
  <c r="A278" i="1"/>
  <c r="A279" i="1" s="1"/>
  <c r="A280" i="1" s="1"/>
  <c r="A273" i="1"/>
  <c r="A274" i="1" s="1"/>
  <c r="A275" i="1" s="1"/>
  <c r="A268" i="1"/>
  <c r="A269" i="1" s="1"/>
  <c r="A270" i="1" s="1"/>
  <c r="A263" i="1"/>
  <c r="A264" i="1" s="1"/>
  <c r="A265" i="1" s="1"/>
  <c r="A258" i="1"/>
  <c r="A259" i="1" s="1"/>
  <c r="A260" i="1" s="1"/>
  <c r="A253" i="1"/>
  <c r="A254" i="1" s="1"/>
  <c r="A255" i="1" s="1"/>
  <c r="A248" i="1"/>
  <c r="A249" i="1" s="1"/>
  <c r="A250" i="1" s="1"/>
  <c r="F245" i="1"/>
  <c r="H245" i="1" s="1"/>
  <c r="F239" i="1"/>
  <c r="H239" i="1" s="1"/>
  <c r="A243" i="1"/>
  <c r="A244" i="1" s="1"/>
  <c r="A245" i="1" s="1"/>
  <c r="A238" i="1"/>
  <c r="A239" i="1" s="1"/>
  <c r="A240" i="1" s="1"/>
  <c r="A233" i="1"/>
  <c r="A234" i="1" s="1"/>
  <c r="A235" i="1" s="1"/>
  <c r="A228" i="1"/>
  <c r="A229" i="1" s="1"/>
  <c r="A230" i="1" s="1"/>
  <c r="A223" i="1"/>
  <c r="A224" i="1" s="1"/>
  <c r="A225" i="1" s="1"/>
  <c r="A218" i="1"/>
  <c r="A219" i="1" s="1"/>
  <c r="A220" i="1" s="1"/>
  <c r="A213" i="1"/>
  <c r="A214" i="1" s="1"/>
  <c r="A215" i="1" s="1"/>
  <c r="A208" i="1"/>
  <c r="A209" i="1" s="1"/>
  <c r="A210" i="1" s="1"/>
  <c r="F204" i="1"/>
  <c r="H204" i="1" s="1"/>
  <c r="A203" i="1"/>
  <c r="A204" i="1" s="1"/>
  <c r="A205" i="1" s="1"/>
  <c r="F199" i="1"/>
  <c r="H199" i="1" s="1"/>
  <c r="A198" i="1"/>
  <c r="A199" i="1" s="1"/>
  <c r="A200" i="1" s="1"/>
  <c r="Y86" i="7"/>
  <c r="V86" i="7"/>
  <c r="R86" i="7"/>
  <c r="Y85" i="7"/>
  <c r="V85" i="7"/>
  <c r="R85" i="7"/>
  <c r="Y84" i="7"/>
  <c r="V84" i="7"/>
  <c r="R84" i="7"/>
  <c r="Y83" i="7"/>
  <c r="V83" i="7"/>
  <c r="R83" i="7"/>
  <c r="Y82" i="7"/>
  <c r="V82" i="7"/>
  <c r="R82" i="7"/>
  <c r="Y81" i="7"/>
  <c r="V81" i="7"/>
  <c r="R81" i="7"/>
  <c r="Y80" i="7"/>
  <c r="V80" i="7"/>
  <c r="R80" i="7"/>
  <c r="Y79" i="7"/>
  <c r="V79" i="7"/>
  <c r="R79" i="7"/>
  <c r="Y78" i="7"/>
  <c r="V78" i="7"/>
  <c r="R78" i="7"/>
  <c r="Y77" i="7"/>
  <c r="V77" i="7"/>
  <c r="R77" i="7"/>
  <c r="Y76" i="7"/>
  <c r="V76" i="7"/>
  <c r="R76" i="7"/>
  <c r="Y75" i="7"/>
  <c r="V75" i="7"/>
  <c r="R75" i="7"/>
  <c r="Y74" i="7"/>
  <c r="V74" i="7"/>
  <c r="R74" i="7"/>
  <c r="Y73" i="7"/>
  <c r="V73" i="7"/>
  <c r="R73" i="7"/>
  <c r="Y72" i="7"/>
  <c r="V72" i="7"/>
  <c r="R72" i="7"/>
  <c r="Y71" i="7"/>
  <c r="V71" i="7"/>
  <c r="R71" i="7"/>
  <c r="Y70" i="7"/>
  <c r="V70" i="7"/>
  <c r="R70" i="7"/>
  <c r="Y69" i="7"/>
  <c r="V69" i="7"/>
  <c r="R69" i="7"/>
  <c r="Y68" i="7"/>
  <c r="V68" i="7"/>
  <c r="R68" i="7"/>
  <c r="Y67" i="7"/>
  <c r="V67" i="7"/>
  <c r="R67" i="7"/>
  <c r="Y66" i="7"/>
  <c r="V66" i="7"/>
  <c r="R66" i="7"/>
  <c r="Y65" i="7"/>
  <c r="V65" i="7"/>
  <c r="R65" i="7"/>
  <c r="Y64" i="7"/>
  <c r="V64" i="7"/>
  <c r="R64" i="7"/>
  <c r="Y63" i="7"/>
  <c r="V63" i="7"/>
  <c r="R63" i="7"/>
  <c r="Y62" i="7"/>
  <c r="V62" i="7"/>
  <c r="R62" i="7"/>
  <c r="Y61" i="7"/>
  <c r="V61" i="7"/>
  <c r="R61" i="7"/>
  <c r="Y60" i="7"/>
  <c r="V60" i="7"/>
  <c r="R60" i="7"/>
  <c r="Y59" i="7"/>
  <c r="V59" i="7"/>
  <c r="R59" i="7"/>
  <c r="Y58" i="7"/>
  <c r="V58" i="7"/>
  <c r="R58" i="7"/>
  <c r="Y57" i="7"/>
  <c r="V57" i="7"/>
  <c r="R57" i="7"/>
  <c r="Y56" i="7"/>
  <c r="V56" i="7"/>
  <c r="R56" i="7"/>
  <c r="Y55" i="7"/>
  <c r="V55" i="7"/>
  <c r="R55" i="7"/>
  <c r="Y54" i="7"/>
  <c r="V54" i="7"/>
  <c r="R54" i="7"/>
  <c r="Y53" i="7"/>
  <c r="V53" i="7"/>
  <c r="R53" i="7"/>
  <c r="Y52" i="7"/>
  <c r="V52" i="7"/>
  <c r="R52" i="7"/>
  <c r="Y51" i="7"/>
  <c r="V51" i="7"/>
  <c r="R51" i="7"/>
  <c r="R87" i="7" s="1"/>
  <c r="L86" i="7"/>
  <c r="I86" i="7"/>
  <c r="E86" i="7"/>
  <c r="L85" i="7"/>
  <c r="I85" i="7"/>
  <c r="E85" i="7"/>
  <c r="L84" i="7"/>
  <c r="I84" i="7"/>
  <c r="E84" i="7"/>
  <c r="L83" i="7"/>
  <c r="I83" i="7"/>
  <c r="E83" i="7"/>
  <c r="L82" i="7"/>
  <c r="I82" i="7"/>
  <c r="E82" i="7"/>
  <c r="L81" i="7"/>
  <c r="I81" i="7"/>
  <c r="E81" i="7"/>
  <c r="L80" i="7"/>
  <c r="I80" i="7"/>
  <c r="E80" i="7"/>
  <c r="L79" i="7"/>
  <c r="I79" i="7"/>
  <c r="E79" i="7"/>
  <c r="L78" i="7"/>
  <c r="I78" i="7"/>
  <c r="E78" i="7"/>
  <c r="L77" i="7"/>
  <c r="I77" i="7"/>
  <c r="E77" i="7"/>
  <c r="L76" i="7"/>
  <c r="I76" i="7"/>
  <c r="E76" i="7"/>
  <c r="L75" i="7"/>
  <c r="I75" i="7"/>
  <c r="E75" i="7"/>
  <c r="L74" i="7"/>
  <c r="I74" i="7"/>
  <c r="E74" i="7"/>
  <c r="L73" i="7"/>
  <c r="I73" i="7"/>
  <c r="E73" i="7"/>
  <c r="L72" i="7"/>
  <c r="I72" i="7"/>
  <c r="E72" i="7"/>
  <c r="L71" i="7"/>
  <c r="I71" i="7"/>
  <c r="E71" i="7"/>
  <c r="L70" i="7"/>
  <c r="I70" i="7"/>
  <c r="E70" i="7"/>
  <c r="L69" i="7"/>
  <c r="I69" i="7"/>
  <c r="E69" i="7"/>
  <c r="L68" i="7"/>
  <c r="I68" i="7"/>
  <c r="E68" i="7"/>
  <c r="L67" i="7"/>
  <c r="I67" i="7"/>
  <c r="E67" i="7"/>
  <c r="L66" i="7"/>
  <c r="I66" i="7"/>
  <c r="E66" i="7"/>
  <c r="L65" i="7"/>
  <c r="I65" i="7"/>
  <c r="E65" i="7"/>
  <c r="L64" i="7"/>
  <c r="I64" i="7"/>
  <c r="E64" i="7"/>
  <c r="L63" i="7"/>
  <c r="I63" i="7"/>
  <c r="E63" i="7"/>
  <c r="L62" i="7"/>
  <c r="I62" i="7"/>
  <c r="E62" i="7"/>
  <c r="L61" i="7"/>
  <c r="I61" i="7"/>
  <c r="E61" i="7"/>
  <c r="L60" i="7"/>
  <c r="I60" i="7"/>
  <c r="E60" i="7"/>
  <c r="L59" i="7"/>
  <c r="I59" i="7"/>
  <c r="E59" i="7"/>
  <c r="L58" i="7"/>
  <c r="I58" i="7"/>
  <c r="E58" i="7"/>
  <c r="L57" i="7"/>
  <c r="I57" i="7"/>
  <c r="E57" i="7"/>
  <c r="L56" i="7"/>
  <c r="I56" i="7"/>
  <c r="E56" i="7"/>
  <c r="L55" i="7"/>
  <c r="I55" i="7"/>
  <c r="E55" i="7"/>
  <c r="L54" i="7"/>
  <c r="I54" i="7"/>
  <c r="E54" i="7"/>
  <c r="L53" i="7"/>
  <c r="I53" i="7"/>
  <c r="E53" i="7"/>
  <c r="L52" i="7"/>
  <c r="I52" i="7"/>
  <c r="E52" i="7"/>
  <c r="L51" i="7"/>
  <c r="I51" i="7"/>
  <c r="E51" i="7"/>
  <c r="Y87" i="8"/>
  <c r="V87" i="8"/>
  <c r="R87" i="8"/>
  <c r="Y86" i="8"/>
  <c r="V86" i="8"/>
  <c r="R86" i="8"/>
  <c r="Y85" i="8"/>
  <c r="V85" i="8"/>
  <c r="R85" i="8"/>
  <c r="Y84" i="8"/>
  <c r="V84" i="8"/>
  <c r="R84" i="8"/>
  <c r="Y83" i="8"/>
  <c r="V83" i="8"/>
  <c r="R83" i="8"/>
  <c r="Y82" i="8"/>
  <c r="V82" i="8"/>
  <c r="R82" i="8"/>
  <c r="Y81" i="8"/>
  <c r="V81" i="8"/>
  <c r="R81" i="8"/>
  <c r="Y80" i="8"/>
  <c r="V80" i="8"/>
  <c r="R80" i="8"/>
  <c r="Y79" i="8"/>
  <c r="V79" i="8"/>
  <c r="R79" i="8"/>
  <c r="Y78" i="8"/>
  <c r="V78" i="8"/>
  <c r="R78" i="8"/>
  <c r="Y77" i="8"/>
  <c r="V77" i="8"/>
  <c r="R77" i="8"/>
  <c r="Y76" i="8"/>
  <c r="V76" i="8"/>
  <c r="R76" i="8"/>
  <c r="Y75" i="8"/>
  <c r="V75" i="8"/>
  <c r="R75" i="8"/>
  <c r="Y74" i="8"/>
  <c r="V74" i="8"/>
  <c r="R74" i="8"/>
  <c r="Y73" i="8"/>
  <c r="V73" i="8"/>
  <c r="R73" i="8"/>
  <c r="Y72" i="8"/>
  <c r="V72" i="8"/>
  <c r="R72" i="8"/>
  <c r="Y71" i="8"/>
  <c r="V71" i="8"/>
  <c r="R71" i="8"/>
  <c r="Y70" i="8"/>
  <c r="V70" i="8"/>
  <c r="R70" i="8"/>
  <c r="Y69" i="8"/>
  <c r="V69" i="8"/>
  <c r="R69" i="8"/>
  <c r="Y68" i="8"/>
  <c r="V68" i="8"/>
  <c r="R68" i="8"/>
  <c r="Y67" i="8"/>
  <c r="V67" i="8"/>
  <c r="R67" i="8"/>
  <c r="Y66" i="8"/>
  <c r="V66" i="8"/>
  <c r="R66" i="8"/>
  <c r="Y65" i="8"/>
  <c r="V65" i="8"/>
  <c r="R65" i="8"/>
  <c r="Y64" i="8"/>
  <c r="V64" i="8"/>
  <c r="R64" i="8"/>
  <c r="Y63" i="8"/>
  <c r="V63" i="8"/>
  <c r="R63" i="8"/>
  <c r="Y62" i="8"/>
  <c r="V62" i="8"/>
  <c r="R62" i="8"/>
  <c r="Y61" i="8"/>
  <c r="V61" i="8"/>
  <c r="R61" i="8"/>
  <c r="Y60" i="8"/>
  <c r="V60" i="8"/>
  <c r="R60" i="8"/>
  <c r="Y59" i="8"/>
  <c r="V59" i="8"/>
  <c r="R59" i="8"/>
  <c r="Y58" i="8"/>
  <c r="V58" i="8"/>
  <c r="R58" i="8"/>
  <c r="Y57" i="8"/>
  <c r="V57" i="8"/>
  <c r="R57" i="8"/>
  <c r="Y56" i="8"/>
  <c r="V56" i="8"/>
  <c r="R56" i="8"/>
  <c r="Y55" i="8"/>
  <c r="V55" i="8"/>
  <c r="R55" i="8"/>
  <c r="Y54" i="8"/>
  <c r="V54" i="8"/>
  <c r="R54" i="8"/>
  <c r="Y53" i="8"/>
  <c r="V53" i="8"/>
  <c r="R53" i="8"/>
  <c r="Y52" i="8"/>
  <c r="V52" i="8"/>
  <c r="R52" i="8"/>
  <c r="L87" i="8"/>
  <c r="I87" i="8"/>
  <c r="E87" i="8"/>
  <c r="L86" i="8"/>
  <c r="I86" i="8"/>
  <c r="E86" i="8"/>
  <c r="L85" i="8"/>
  <c r="I85" i="8"/>
  <c r="E85" i="8"/>
  <c r="L84" i="8"/>
  <c r="I84" i="8"/>
  <c r="E84" i="8"/>
  <c r="L83" i="8"/>
  <c r="I83" i="8"/>
  <c r="E83" i="8"/>
  <c r="L82" i="8"/>
  <c r="I82" i="8"/>
  <c r="E82" i="8"/>
  <c r="L81" i="8"/>
  <c r="I81" i="8"/>
  <c r="E81" i="8"/>
  <c r="L80" i="8"/>
  <c r="I80" i="8"/>
  <c r="E80" i="8"/>
  <c r="L79" i="8"/>
  <c r="I79" i="8"/>
  <c r="E79" i="8"/>
  <c r="L78" i="8"/>
  <c r="I78" i="8"/>
  <c r="E78" i="8"/>
  <c r="L77" i="8"/>
  <c r="I77" i="8"/>
  <c r="E77" i="8"/>
  <c r="L76" i="8"/>
  <c r="I76" i="8"/>
  <c r="E76" i="8"/>
  <c r="L75" i="8"/>
  <c r="I75" i="8"/>
  <c r="E75" i="8"/>
  <c r="L74" i="8"/>
  <c r="I74" i="8"/>
  <c r="E74" i="8"/>
  <c r="L73" i="8"/>
  <c r="I73" i="8"/>
  <c r="E73" i="8"/>
  <c r="L72" i="8"/>
  <c r="I72" i="8"/>
  <c r="E72" i="8"/>
  <c r="L71" i="8"/>
  <c r="I71" i="8"/>
  <c r="E71" i="8"/>
  <c r="L70" i="8"/>
  <c r="I70" i="8"/>
  <c r="E70" i="8"/>
  <c r="L69" i="8"/>
  <c r="I69" i="8"/>
  <c r="E69" i="8"/>
  <c r="L68" i="8"/>
  <c r="I68" i="8"/>
  <c r="E68" i="8"/>
  <c r="L67" i="8"/>
  <c r="I67" i="8"/>
  <c r="E67" i="8"/>
  <c r="L66" i="8"/>
  <c r="I66" i="8"/>
  <c r="E66" i="8"/>
  <c r="L65" i="8"/>
  <c r="I65" i="8"/>
  <c r="E65" i="8"/>
  <c r="L64" i="8"/>
  <c r="I64" i="8"/>
  <c r="E64" i="8"/>
  <c r="L63" i="8"/>
  <c r="I63" i="8"/>
  <c r="E63" i="8"/>
  <c r="L62" i="8"/>
  <c r="I62" i="8"/>
  <c r="E62" i="8"/>
  <c r="L61" i="8"/>
  <c r="I61" i="8"/>
  <c r="E61" i="8"/>
  <c r="L60" i="8"/>
  <c r="I60" i="8"/>
  <c r="E60" i="8"/>
  <c r="L59" i="8"/>
  <c r="I59" i="8"/>
  <c r="E59" i="8"/>
  <c r="L58" i="8"/>
  <c r="I58" i="8"/>
  <c r="E58" i="8"/>
  <c r="L57" i="8"/>
  <c r="I57" i="8"/>
  <c r="E57" i="8"/>
  <c r="L56" i="8"/>
  <c r="I56" i="8"/>
  <c r="E56" i="8"/>
  <c r="L55" i="8"/>
  <c r="I55" i="8"/>
  <c r="E55" i="8"/>
  <c r="L54" i="8"/>
  <c r="I54" i="8"/>
  <c r="E54" i="8"/>
  <c r="L53" i="8"/>
  <c r="I53" i="8"/>
  <c r="E53" i="8"/>
  <c r="L52" i="8"/>
  <c r="I52" i="8"/>
  <c r="E52" i="8"/>
  <c r="Y41" i="7"/>
  <c r="V41" i="7"/>
  <c r="R41" i="7"/>
  <c r="Y40" i="7"/>
  <c r="V40" i="7"/>
  <c r="R40" i="7"/>
  <c r="Y39" i="7"/>
  <c r="V39" i="7"/>
  <c r="R39" i="7"/>
  <c r="Y38" i="7"/>
  <c r="V38" i="7"/>
  <c r="R38" i="7"/>
  <c r="Y37" i="7"/>
  <c r="V37" i="7"/>
  <c r="R37" i="7"/>
  <c r="Y36" i="7"/>
  <c r="V36" i="7"/>
  <c r="R36" i="7"/>
  <c r="Y35" i="7"/>
  <c r="V35" i="7"/>
  <c r="R35" i="7"/>
  <c r="Y34" i="7"/>
  <c r="V34" i="7"/>
  <c r="R34" i="7"/>
  <c r="Y33" i="7"/>
  <c r="V33" i="7"/>
  <c r="R33" i="7"/>
  <c r="Y32" i="7"/>
  <c r="V32" i="7"/>
  <c r="R32" i="7"/>
  <c r="Y31" i="7"/>
  <c r="V31" i="7"/>
  <c r="R31" i="7"/>
  <c r="Y30" i="7"/>
  <c r="V30" i="7"/>
  <c r="R30" i="7"/>
  <c r="Y29" i="7"/>
  <c r="V29" i="7"/>
  <c r="R29" i="7"/>
  <c r="Y28" i="7"/>
  <c r="V28" i="7"/>
  <c r="R28" i="7"/>
  <c r="Y27" i="7"/>
  <c r="V27" i="7"/>
  <c r="R27" i="7"/>
  <c r="Y26" i="7"/>
  <c r="V26" i="7"/>
  <c r="R26" i="7"/>
  <c r="Y25" i="7"/>
  <c r="V25" i="7"/>
  <c r="R25" i="7"/>
  <c r="Y24" i="7"/>
  <c r="V24" i="7"/>
  <c r="R24" i="7"/>
  <c r="Y23" i="7"/>
  <c r="V23" i="7"/>
  <c r="R23" i="7"/>
  <c r="Y22" i="7"/>
  <c r="V22" i="7"/>
  <c r="R22" i="7"/>
  <c r="Y21" i="7"/>
  <c r="V21" i="7"/>
  <c r="R21" i="7"/>
  <c r="Y20" i="7"/>
  <c r="V20" i="7"/>
  <c r="R20" i="7"/>
  <c r="Y19" i="7"/>
  <c r="V19" i="7"/>
  <c r="R19" i="7"/>
  <c r="Y18" i="7"/>
  <c r="V18" i="7"/>
  <c r="R18" i="7"/>
  <c r="Y17" i="7"/>
  <c r="V17" i="7"/>
  <c r="R17" i="7"/>
  <c r="Y16" i="7"/>
  <c r="V16" i="7"/>
  <c r="R16" i="7"/>
  <c r="Y15" i="7"/>
  <c r="V15" i="7"/>
  <c r="R15" i="7"/>
  <c r="Y14" i="7"/>
  <c r="V14" i="7"/>
  <c r="R14" i="7"/>
  <c r="Y13" i="7"/>
  <c r="V13" i="7"/>
  <c r="R13" i="7"/>
  <c r="Y12" i="7"/>
  <c r="V12" i="7"/>
  <c r="R12" i="7"/>
  <c r="Y11" i="7"/>
  <c r="V11" i="7"/>
  <c r="R11" i="7"/>
  <c r="Y10" i="7"/>
  <c r="V10" i="7"/>
  <c r="R10" i="7"/>
  <c r="Y9" i="7"/>
  <c r="V9" i="7"/>
  <c r="R9" i="7"/>
  <c r="Y8" i="7"/>
  <c r="V8" i="7"/>
  <c r="R8" i="7"/>
  <c r="Y7" i="7"/>
  <c r="V7" i="7"/>
  <c r="R7" i="7"/>
  <c r="Y6" i="7"/>
  <c r="V6" i="7"/>
  <c r="R6" i="7"/>
  <c r="R42" i="7"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Y41" i="8"/>
  <c r="V41" i="8"/>
  <c r="R41" i="8"/>
  <c r="Y40" i="8"/>
  <c r="V40" i="8"/>
  <c r="R40" i="8"/>
  <c r="Y39" i="8"/>
  <c r="V39" i="8"/>
  <c r="R39" i="8"/>
  <c r="Y38" i="8"/>
  <c r="V38" i="8"/>
  <c r="R38" i="8"/>
  <c r="Y37" i="8"/>
  <c r="V37" i="8"/>
  <c r="R37" i="8"/>
  <c r="Y36" i="8"/>
  <c r="V36" i="8"/>
  <c r="R36" i="8"/>
  <c r="Y35" i="8"/>
  <c r="V35" i="8"/>
  <c r="R35" i="8"/>
  <c r="Y34" i="8"/>
  <c r="V34" i="8"/>
  <c r="R34" i="8"/>
  <c r="Y33" i="8"/>
  <c r="V33" i="8"/>
  <c r="R33" i="8"/>
  <c r="Y32" i="8"/>
  <c r="V32" i="8"/>
  <c r="R32" i="8"/>
  <c r="Y31" i="8"/>
  <c r="V31" i="8"/>
  <c r="R31" i="8"/>
  <c r="Y30" i="8"/>
  <c r="V30" i="8"/>
  <c r="R30" i="8"/>
  <c r="Y29" i="8"/>
  <c r="V29" i="8"/>
  <c r="R29" i="8"/>
  <c r="Y28" i="8"/>
  <c r="V28" i="8"/>
  <c r="R28" i="8"/>
  <c r="Y27" i="8"/>
  <c r="V27" i="8"/>
  <c r="R27" i="8"/>
  <c r="Y26" i="8"/>
  <c r="V26" i="8"/>
  <c r="R26" i="8"/>
  <c r="Y25" i="8"/>
  <c r="V25" i="8"/>
  <c r="R25" i="8"/>
  <c r="Y24" i="8"/>
  <c r="V24" i="8"/>
  <c r="R24" i="8"/>
  <c r="Y23" i="8"/>
  <c r="V23" i="8"/>
  <c r="R23" i="8"/>
  <c r="Y22" i="8"/>
  <c r="V22" i="8"/>
  <c r="R22" i="8"/>
  <c r="Y21" i="8"/>
  <c r="V21" i="8"/>
  <c r="R21" i="8"/>
  <c r="Y20" i="8"/>
  <c r="V20" i="8"/>
  <c r="R20" i="8"/>
  <c r="Y19" i="8"/>
  <c r="V19" i="8"/>
  <c r="R19" i="8"/>
  <c r="Y18" i="8"/>
  <c r="V18" i="8"/>
  <c r="R18" i="8"/>
  <c r="Y17" i="8"/>
  <c r="V17" i="8"/>
  <c r="R17" i="8"/>
  <c r="Y16" i="8"/>
  <c r="V16" i="8"/>
  <c r="R16" i="8"/>
  <c r="Y15" i="8"/>
  <c r="V15" i="8"/>
  <c r="R15" i="8"/>
  <c r="Y14" i="8"/>
  <c r="V14" i="8"/>
  <c r="R14" i="8"/>
  <c r="Y13" i="8"/>
  <c r="V13" i="8"/>
  <c r="R13" i="8"/>
  <c r="Y12" i="8"/>
  <c r="V12" i="8"/>
  <c r="R12" i="8"/>
  <c r="Y11" i="8"/>
  <c r="V11" i="8"/>
  <c r="R11" i="8"/>
  <c r="Y10" i="8"/>
  <c r="V10" i="8"/>
  <c r="R10" i="8"/>
  <c r="Y9" i="8"/>
  <c r="V9" i="8"/>
  <c r="R9" i="8"/>
  <c r="Y8" i="8"/>
  <c r="V8" i="8"/>
  <c r="R8" i="8"/>
  <c r="Y7" i="8"/>
  <c r="V7" i="8"/>
  <c r="R7" i="8"/>
  <c r="Y6" i="8"/>
  <c r="V6" i="8"/>
  <c r="R6" i="8"/>
  <c r="I133" i="7" l="1"/>
  <c r="H133" i="7" s="1"/>
  <c r="E411" i="1" s="1"/>
  <c r="L133" i="7"/>
  <c r="K133" i="7" s="1"/>
  <c r="V42" i="8"/>
  <c r="U42" i="8" s="1"/>
  <c r="V42" i="7"/>
  <c r="U42" i="7" s="1"/>
  <c r="L87" i="7"/>
  <c r="K87" i="7" s="1"/>
  <c r="Y88" i="8"/>
  <c r="X88" i="8" s="1"/>
  <c r="V87" i="7"/>
  <c r="U87" i="7" s="1"/>
  <c r="I42" i="7"/>
  <c r="H42" i="7" s="1"/>
  <c r="I87" i="7"/>
  <c r="H87" i="7" s="1"/>
  <c r="E87" i="7"/>
  <c r="D87" i="7" s="1"/>
  <c r="D89" i="7" s="1"/>
  <c r="I135" i="8"/>
  <c r="H135" i="8" s="1"/>
  <c r="E272" i="1" s="1"/>
  <c r="Y42" i="8"/>
  <c r="X42" i="8" s="1"/>
  <c r="E133" i="7"/>
  <c r="E42" i="7"/>
  <c r="L135" i="8"/>
  <c r="K135" i="8" s="1"/>
  <c r="L42" i="7"/>
  <c r="K42" i="7" s="1"/>
  <c r="L88" i="8"/>
  <c r="K88" i="8" s="1"/>
  <c r="Y42" i="7"/>
  <c r="X42" i="7" s="1"/>
  <c r="Y87" i="7"/>
  <c r="X87" i="7" s="1"/>
  <c r="V88" i="8"/>
  <c r="U88" i="8" s="1"/>
  <c r="F398" i="1"/>
  <c r="H398" i="1" s="1"/>
  <c r="F378" i="1"/>
  <c r="H378" i="1" s="1"/>
  <c r="F209" i="1"/>
  <c r="H209" i="1" s="1"/>
  <c r="F363" i="1"/>
  <c r="H363" i="1" s="1"/>
  <c r="F388" i="1"/>
  <c r="H388" i="1" s="1"/>
  <c r="F402" i="1"/>
  <c r="H402" i="1" s="1"/>
  <c r="F383" i="1"/>
  <c r="H383" i="1" s="1"/>
  <c r="F358" i="1"/>
  <c r="H358" i="1" s="1"/>
  <c r="F367" i="1"/>
  <c r="H367" i="1" s="1"/>
  <c r="F392" i="1"/>
  <c r="H392" i="1" s="1"/>
  <c r="F412" i="1"/>
  <c r="F373" i="1"/>
  <c r="H373" i="1" s="1"/>
  <c r="F377" i="1"/>
  <c r="H377" i="1" s="1"/>
  <c r="F408" i="1"/>
  <c r="H408" i="1" s="1"/>
  <c r="F396" i="1"/>
  <c r="H396" i="1" s="1"/>
  <c r="F390" i="1"/>
  <c r="H390" i="1" s="1"/>
  <c r="F387" i="1"/>
  <c r="H387" i="1" s="1"/>
  <c r="F371" i="1"/>
  <c r="H371" i="1" s="1"/>
  <c r="F406" i="1"/>
  <c r="H406" i="1" s="1"/>
  <c r="F401" i="1"/>
  <c r="H401" i="1" s="1"/>
  <c r="F376" i="1"/>
  <c r="H376" i="1" s="1"/>
  <c r="F403" i="1"/>
  <c r="H403" i="1" s="1"/>
  <c r="F385" i="1"/>
  <c r="H385" i="1" s="1"/>
  <c r="F395" i="1"/>
  <c r="H395" i="1" s="1"/>
  <c r="F393" i="1"/>
  <c r="H393" i="1" s="1"/>
  <c r="F386" i="1"/>
  <c r="H386" i="1" s="1"/>
  <c r="F391" i="1"/>
  <c r="H391" i="1" s="1"/>
  <c r="F365" i="1"/>
  <c r="H365" i="1" s="1"/>
  <c r="F375" i="1"/>
  <c r="H375" i="1" s="1"/>
  <c r="F368" i="1"/>
  <c r="H368" i="1" s="1"/>
  <c r="F370" i="1"/>
  <c r="H370" i="1" s="1"/>
  <c r="F380" i="1"/>
  <c r="H380" i="1" s="1"/>
  <c r="F372" i="1"/>
  <c r="H372" i="1" s="1"/>
  <c r="F381" i="1"/>
  <c r="H381" i="1" s="1"/>
  <c r="F366" i="1"/>
  <c r="H366" i="1" s="1"/>
  <c r="F346" i="1"/>
  <c r="H346" i="1" s="1"/>
  <c r="F360" i="1"/>
  <c r="H360" i="1" s="1"/>
  <c r="F355" i="1"/>
  <c r="H355" i="1" s="1"/>
  <c r="F356" i="1"/>
  <c r="H356" i="1" s="1"/>
  <c r="F277" i="1"/>
  <c r="H277" i="1" s="1"/>
  <c r="F361" i="1"/>
  <c r="H361" i="1" s="1"/>
  <c r="F362" i="1"/>
  <c r="H362" i="1" s="1"/>
  <c r="F225" i="1"/>
  <c r="H225" i="1" s="1"/>
  <c r="F350" i="1"/>
  <c r="H350" i="1" s="1"/>
  <c r="F352" i="1"/>
  <c r="H352" i="1" s="1"/>
  <c r="F351" i="1"/>
  <c r="H351" i="1" s="1"/>
  <c r="F347" i="1"/>
  <c r="H347" i="1" s="1"/>
  <c r="F275" i="1"/>
  <c r="H275" i="1" s="1"/>
  <c r="D133" i="7"/>
  <c r="F279" i="1"/>
  <c r="H279" i="1" s="1"/>
  <c r="F234" i="1"/>
  <c r="H234" i="1" s="1"/>
  <c r="F274" i="1"/>
  <c r="E135" i="8"/>
  <c r="D135" i="8" s="1"/>
  <c r="F278" i="1"/>
  <c r="H278" i="1" s="1"/>
  <c r="F280" i="1"/>
  <c r="H280" i="1" s="1"/>
  <c r="F269" i="1"/>
  <c r="H269" i="1" s="1"/>
  <c r="F270" i="1"/>
  <c r="H270" i="1" s="1"/>
  <c r="F267" i="1"/>
  <c r="H267" i="1" s="1"/>
  <c r="F264" i="1"/>
  <c r="H264" i="1" s="1"/>
  <c r="F265" i="1"/>
  <c r="H265" i="1" s="1"/>
  <c r="F262" i="1"/>
  <c r="H262" i="1" s="1"/>
  <c r="F254" i="1"/>
  <c r="H254" i="1" s="1"/>
  <c r="F214" i="1"/>
  <c r="H214" i="1" s="1"/>
  <c r="F215" i="1"/>
  <c r="H215" i="1" s="1"/>
  <c r="F219" i="1"/>
  <c r="H219" i="1" s="1"/>
  <c r="F220" i="1"/>
  <c r="H220" i="1" s="1"/>
  <c r="F200" i="1"/>
  <c r="H200" i="1" s="1"/>
  <c r="F205" i="1"/>
  <c r="H205" i="1" s="1"/>
  <c r="F240" i="1"/>
  <c r="H240" i="1" s="1"/>
  <c r="F252" i="1"/>
  <c r="H252" i="1" s="1"/>
  <c r="F257" i="1"/>
  <c r="H257" i="1" s="1"/>
  <c r="F242" i="1"/>
  <c r="H242" i="1" s="1"/>
  <c r="F247" i="1"/>
  <c r="H247" i="1" s="1"/>
  <c r="F253" i="1"/>
  <c r="H253" i="1" s="1"/>
  <c r="F238" i="1"/>
  <c r="H238" i="1" s="1"/>
  <c r="F243" i="1"/>
  <c r="H243" i="1" s="1"/>
  <c r="F248" i="1"/>
  <c r="H248" i="1" s="1"/>
  <c r="F260" i="1"/>
  <c r="H260" i="1" s="1"/>
  <c r="F259" i="1"/>
  <c r="H259" i="1" s="1"/>
  <c r="F258" i="1"/>
  <c r="H258" i="1" s="1"/>
  <c r="F255" i="1"/>
  <c r="H255" i="1" s="1"/>
  <c r="F249" i="1"/>
  <c r="H249" i="1" s="1"/>
  <c r="F250" i="1"/>
  <c r="H250" i="1" s="1"/>
  <c r="F244" i="1"/>
  <c r="H244" i="1" s="1"/>
  <c r="F237" i="1"/>
  <c r="H237" i="1" s="1"/>
  <c r="F233" i="1"/>
  <c r="H233" i="1" s="1"/>
  <c r="F232" i="1"/>
  <c r="H232" i="1" s="1"/>
  <c r="F235" i="1"/>
  <c r="H235" i="1" s="1"/>
  <c r="F227" i="1"/>
  <c r="H227" i="1" s="1"/>
  <c r="F224" i="1"/>
  <c r="H224" i="1" s="1"/>
  <c r="F228" i="1"/>
  <c r="H228" i="1" s="1"/>
  <c r="F223" i="1"/>
  <c r="H223" i="1" s="1"/>
  <c r="F207" i="1"/>
  <c r="H207" i="1" s="1"/>
  <c r="F217" i="1"/>
  <c r="H217" i="1" s="1"/>
  <c r="F222" i="1"/>
  <c r="H222" i="1" s="1"/>
  <c r="F229" i="1"/>
  <c r="H229" i="1" s="1"/>
  <c r="F230" i="1"/>
  <c r="H230" i="1" s="1"/>
  <c r="F197" i="1"/>
  <c r="H197" i="1" s="1"/>
  <c r="F212" i="1"/>
  <c r="H212" i="1" s="1"/>
  <c r="F213" i="1"/>
  <c r="H213" i="1" s="1"/>
  <c r="F218" i="1"/>
  <c r="H218" i="1" s="1"/>
  <c r="F210" i="1"/>
  <c r="H210" i="1" s="1"/>
  <c r="F208" i="1"/>
  <c r="H208" i="1" s="1"/>
  <c r="F202" i="1"/>
  <c r="H202" i="1" s="1"/>
  <c r="F203" i="1"/>
  <c r="H203" i="1" s="1"/>
  <c r="R89" i="7"/>
  <c r="Q87" i="7"/>
  <c r="Q89" i="7" s="1"/>
  <c r="R88" i="8"/>
  <c r="Q88" i="8" s="1"/>
  <c r="Q90" i="8" s="1"/>
  <c r="I88" i="8"/>
  <c r="H88" i="8" s="1"/>
  <c r="E88" i="8"/>
  <c r="D88" i="8" s="1"/>
  <c r="D90" i="8" s="1"/>
  <c r="R44" i="7"/>
  <c r="Q42" i="7"/>
  <c r="Q44" i="7" s="1"/>
  <c r="D42" i="7"/>
  <c r="D44" i="7" s="1"/>
  <c r="R42" i="8"/>
  <c r="R44" i="8" s="1"/>
  <c r="L41" i="8"/>
  <c r="I41" i="8"/>
  <c r="E41" i="8"/>
  <c r="L40" i="8"/>
  <c r="I40" i="8"/>
  <c r="E40" i="8"/>
  <c r="L39" i="8"/>
  <c r="I39" i="8"/>
  <c r="E39" i="8"/>
  <c r="L38" i="8"/>
  <c r="I38" i="8"/>
  <c r="E38" i="8"/>
  <c r="L37" i="8"/>
  <c r="I37" i="8"/>
  <c r="E37" i="8"/>
  <c r="L36" i="8"/>
  <c r="I36" i="8"/>
  <c r="E36" i="8"/>
  <c r="L35" i="8"/>
  <c r="I35" i="8"/>
  <c r="E35" i="8"/>
  <c r="L34" i="8"/>
  <c r="I34" i="8"/>
  <c r="E34" i="8"/>
  <c r="L33" i="8"/>
  <c r="I33" i="8"/>
  <c r="E33" i="8"/>
  <c r="L32" i="8"/>
  <c r="I32" i="8"/>
  <c r="E32" i="8"/>
  <c r="L31" i="8"/>
  <c r="I31" i="8"/>
  <c r="E31" i="8"/>
  <c r="L30" i="8"/>
  <c r="I30" i="8"/>
  <c r="E30" i="8"/>
  <c r="L29" i="8"/>
  <c r="I29" i="8"/>
  <c r="E29" i="8"/>
  <c r="L28" i="8"/>
  <c r="I28" i="8"/>
  <c r="E28" i="8"/>
  <c r="L27" i="8"/>
  <c r="I27" i="8"/>
  <c r="E27" i="8"/>
  <c r="L26" i="8"/>
  <c r="I26" i="8"/>
  <c r="E26" i="8"/>
  <c r="L25" i="8"/>
  <c r="I25" i="8"/>
  <c r="E25" i="8"/>
  <c r="L24" i="8"/>
  <c r="I24" i="8"/>
  <c r="E24" i="8"/>
  <c r="L23" i="8"/>
  <c r="I23" i="8"/>
  <c r="E23" i="8"/>
  <c r="L22" i="8"/>
  <c r="I22" i="8"/>
  <c r="E22" i="8"/>
  <c r="L21" i="8"/>
  <c r="I21" i="8"/>
  <c r="E21" i="8"/>
  <c r="L20" i="8"/>
  <c r="I20" i="8"/>
  <c r="E20" i="8"/>
  <c r="L19" i="8"/>
  <c r="I19" i="8"/>
  <c r="E19" i="8"/>
  <c r="L18" i="8"/>
  <c r="I18" i="8"/>
  <c r="E18" i="8"/>
  <c r="L17" i="8"/>
  <c r="I17" i="8"/>
  <c r="E17" i="8"/>
  <c r="L16" i="8"/>
  <c r="I16" i="8"/>
  <c r="E16" i="8"/>
  <c r="L15" i="8"/>
  <c r="I15" i="8"/>
  <c r="E15" i="8"/>
  <c r="L14" i="8"/>
  <c r="I14" i="8"/>
  <c r="E14" i="8"/>
  <c r="L13" i="8"/>
  <c r="I13" i="8"/>
  <c r="E13" i="8"/>
  <c r="L12" i="8"/>
  <c r="I12" i="8"/>
  <c r="E12" i="8"/>
  <c r="L11" i="8"/>
  <c r="I11" i="8"/>
  <c r="E11" i="8"/>
  <c r="L10" i="8"/>
  <c r="I10" i="8"/>
  <c r="E10" i="8"/>
  <c r="L9" i="8"/>
  <c r="I9" i="8"/>
  <c r="E9" i="8"/>
  <c r="L8" i="8"/>
  <c r="I8" i="8"/>
  <c r="E8" i="8"/>
  <c r="L7" i="8"/>
  <c r="I7" i="8"/>
  <c r="E7" i="8"/>
  <c r="L6" i="8"/>
  <c r="I6" i="8"/>
  <c r="E6" i="8"/>
  <c r="I342" i="1"/>
  <c r="F342" i="1"/>
  <c r="H342" i="1" s="1"/>
  <c r="F195" i="1"/>
  <c r="H195" i="1" s="1"/>
  <c r="F193" i="1"/>
  <c r="H193" i="1" s="1"/>
  <c r="F194" i="1"/>
  <c r="H194" i="1" s="1"/>
  <c r="A193" i="1"/>
  <c r="A194" i="1" s="1"/>
  <c r="A195" i="1" s="1"/>
  <c r="F192" i="1"/>
  <c r="H192" i="1" s="1"/>
  <c r="F190" i="1"/>
  <c r="H190" i="1" s="1"/>
  <c r="F185" i="1"/>
  <c r="H185" i="1" s="1"/>
  <c r="F328" i="1"/>
  <c r="H328" i="1" s="1"/>
  <c r="F327" i="1"/>
  <c r="F333" i="1"/>
  <c r="H333" i="1" s="1"/>
  <c r="F332" i="1"/>
  <c r="H332" i="1" s="1"/>
  <c r="F337" i="1"/>
  <c r="H337" i="1" s="1"/>
  <c r="I337" i="1"/>
  <c r="F343" i="1"/>
  <c r="H343" i="1" s="1"/>
  <c r="F341" i="1"/>
  <c r="H341" i="1" s="1"/>
  <c r="A341" i="1"/>
  <c r="A342" i="1" s="1"/>
  <c r="A343" i="1" s="1"/>
  <c r="F340" i="1"/>
  <c r="H340" i="1" s="1"/>
  <c r="F338" i="1"/>
  <c r="H338" i="1" s="1"/>
  <c r="F336" i="1"/>
  <c r="H336" i="1" s="1"/>
  <c r="A336" i="1"/>
  <c r="A337" i="1" s="1"/>
  <c r="A338" i="1" s="1"/>
  <c r="F335" i="1"/>
  <c r="H335" i="1" s="1"/>
  <c r="F331" i="1"/>
  <c r="H331" i="1" s="1"/>
  <c r="A331" i="1"/>
  <c r="A332" i="1" s="1"/>
  <c r="A333" i="1" s="1"/>
  <c r="F330" i="1"/>
  <c r="H330" i="1" s="1"/>
  <c r="F326" i="1"/>
  <c r="H326" i="1" s="1"/>
  <c r="F325" i="1"/>
  <c r="H325" i="1" s="1"/>
  <c r="A326" i="1"/>
  <c r="A327" i="1" s="1"/>
  <c r="A328" i="1" s="1"/>
  <c r="F189" i="1"/>
  <c r="H189" i="1" s="1"/>
  <c r="F188" i="1"/>
  <c r="H188" i="1" s="1"/>
  <c r="A188" i="1"/>
  <c r="A189" i="1" s="1"/>
  <c r="A190" i="1" s="1"/>
  <c r="F187" i="1"/>
  <c r="H187" i="1" s="1"/>
  <c r="I185" i="1"/>
  <c r="F184" i="1"/>
  <c r="H184" i="1" s="1"/>
  <c r="F183" i="1"/>
  <c r="H183" i="1" s="1"/>
  <c r="F182" i="1"/>
  <c r="H182" i="1" s="1"/>
  <c r="A183" i="1"/>
  <c r="A184" i="1" s="1"/>
  <c r="A185" i="1" s="1"/>
  <c r="F178" i="1"/>
  <c r="H178" i="1" s="1"/>
  <c r="F177" i="1"/>
  <c r="H177" i="1" s="1"/>
  <c r="A178" i="1"/>
  <c r="A179" i="1" s="1"/>
  <c r="A180" i="1" s="1"/>
  <c r="F321" i="1"/>
  <c r="H321" i="1" s="1"/>
  <c r="F320" i="1"/>
  <c r="H320" i="1" s="1"/>
  <c r="A321" i="1"/>
  <c r="A322" i="1" s="1"/>
  <c r="A323" i="1" s="1"/>
  <c r="F316" i="1"/>
  <c r="H316" i="1" s="1"/>
  <c r="A316" i="1"/>
  <c r="A317" i="1" s="1"/>
  <c r="A318" i="1" s="1"/>
  <c r="A173" i="1"/>
  <c r="A174" i="1" s="1"/>
  <c r="A175" i="1" s="1"/>
  <c r="F172" i="1"/>
  <c r="H172" i="1" s="1"/>
  <c r="F168" i="1"/>
  <c r="C125" i="1" s="1"/>
  <c r="A168" i="1"/>
  <c r="A169" i="1" s="1"/>
  <c r="A170" i="1" s="1"/>
  <c r="F167" i="1"/>
  <c r="H167" i="1" s="1"/>
  <c r="F311" i="1"/>
  <c r="H311" i="1" s="1"/>
  <c r="A311" i="1"/>
  <c r="A312" i="1" s="1"/>
  <c r="A313" i="1" s="1"/>
  <c r="F310" i="1"/>
  <c r="H310" i="1" s="1"/>
  <c r="D135" i="7" l="1"/>
  <c r="D411" i="1"/>
  <c r="F411" i="1" s="1"/>
  <c r="H411" i="1" s="1"/>
  <c r="E135" i="7"/>
  <c r="L42" i="8"/>
  <c r="K42" i="8" s="1"/>
  <c r="E89" i="7"/>
  <c r="D137" i="8"/>
  <c r="D272" i="1"/>
  <c r="F272" i="1" s="1"/>
  <c r="H272" i="1" s="1"/>
  <c r="C126" i="1"/>
  <c r="C127" i="1" s="1"/>
  <c r="E44" i="7"/>
  <c r="H274" i="1"/>
  <c r="C120" i="1"/>
  <c r="H412" i="1"/>
  <c r="H168" i="1"/>
  <c r="G125" i="1" s="1"/>
  <c r="E125" i="1"/>
  <c r="E127" i="1" s="1"/>
  <c r="H327" i="1"/>
  <c r="G126" i="1" s="1"/>
  <c r="E126" i="1"/>
  <c r="E137" i="8"/>
  <c r="R90" i="8"/>
  <c r="E90" i="8"/>
  <c r="I42" i="8"/>
  <c r="H42" i="8" s="1"/>
  <c r="Q42" i="8"/>
  <c r="Q44" i="8" s="1"/>
  <c r="E42" i="8"/>
  <c r="F163" i="1"/>
  <c r="H163" i="1" s="1"/>
  <c r="A163" i="1"/>
  <c r="A164" i="1" s="1"/>
  <c r="A165" i="1" s="1"/>
  <c r="F162" i="1"/>
  <c r="F306" i="1"/>
  <c r="H306" i="1" s="1"/>
  <c r="A306" i="1"/>
  <c r="A307" i="1" s="1"/>
  <c r="A308" i="1" s="1"/>
  <c r="F305" i="1"/>
  <c r="F301" i="1"/>
  <c r="H301" i="1" s="1"/>
  <c r="A301" i="1"/>
  <c r="A302" i="1" s="1"/>
  <c r="A303" i="1" s="1"/>
  <c r="F300" i="1"/>
  <c r="H300" i="1" s="1"/>
  <c r="F158" i="1"/>
  <c r="H158" i="1" s="1"/>
  <c r="A158" i="1"/>
  <c r="A159" i="1" s="1"/>
  <c r="A160" i="1" s="1"/>
  <c r="F157" i="1"/>
  <c r="H157" i="1" s="1"/>
  <c r="F148" i="1"/>
  <c r="H148" i="1" s="1"/>
  <c r="A148" i="1"/>
  <c r="A149" i="1" s="1"/>
  <c r="A150" i="1" s="1"/>
  <c r="F147" i="1"/>
  <c r="H147" i="1" s="1"/>
  <c r="F291" i="1"/>
  <c r="H291" i="1" s="1"/>
  <c r="A291" i="1"/>
  <c r="A292" i="1" s="1"/>
  <c r="A293" i="1" s="1"/>
  <c r="F290" i="1"/>
  <c r="H290" i="1" s="1"/>
  <c r="F286" i="1"/>
  <c r="H286" i="1" s="1"/>
  <c r="A286" i="1"/>
  <c r="A287" i="1" s="1"/>
  <c r="A288" i="1" s="1"/>
  <c r="F285" i="1"/>
  <c r="F143" i="1"/>
  <c r="H143" i="1" s="1"/>
  <c r="A143" i="1"/>
  <c r="A144" i="1" s="1"/>
  <c r="A145" i="1" s="1"/>
  <c r="F142" i="1"/>
  <c r="F296" i="1"/>
  <c r="H296" i="1" s="1"/>
  <c r="A296" i="1"/>
  <c r="A297" i="1" s="1"/>
  <c r="A298" i="1" s="1"/>
  <c r="F295" i="1"/>
  <c r="H295" i="1" s="1"/>
  <c r="F153" i="1"/>
  <c r="H153" i="1" s="1"/>
  <c r="A153" i="1"/>
  <c r="A154" i="1" s="1"/>
  <c r="A155" i="1" s="1"/>
  <c r="F152" i="1"/>
  <c r="H152" i="1" s="1"/>
  <c r="C130" i="1" l="1"/>
  <c r="G127" i="1"/>
  <c r="C121" i="1"/>
  <c r="E44" i="8"/>
  <c r="I142" i="1"/>
  <c r="C131" i="1"/>
  <c r="H305" i="1"/>
  <c r="G121" i="1" s="1"/>
  <c r="E121" i="1"/>
  <c r="H285" i="1"/>
  <c r="G131" i="1" s="1"/>
  <c r="E131" i="1"/>
  <c r="H162" i="1"/>
  <c r="G120" i="1" s="1"/>
  <c r="E120" i="1"/>
  <c r="H142" i="1"/>
  <c r="G130" i="1" s="1"/>
  <c r="E130" i="1"/>
  <c r="D42" i="8"/>
  <c r="D44" i="8" s="1"/>
  <c r="K99" i="1"/>
  <c r="L97" i="1"/>
  <c r="C132" i="1" l="1"/>
  <c r="C122" i="1"/>
  <c r="I61" i="1"/>
  <c r="C133" i="1" l="1"/>
  <c r="I281" i="1"/>
  <c r="I138" i="1"/>
  <c r="E46" i="1" l="1"/>
  <c r="E47" i="1" s="1"/>
  <c r="E122" i="1" l="1"/>
  <c r="I64" i="1"/>
  <c r="I33" i="1"/>
  <c r="I46" i="1"/>
  <c r="G122" i="1" l="1"/>
  <c r="F11" i="5"/>
  <c r="G11" i="5" s="1"/>
  <c r="F10" i="5"/>
  <c r="G10" i="5" s="1"/>
  <c r="F9" i="5"/>
  <c r="G9" i="5" s="1"/>
  <c r="F8" i="5"/>
  <c r="G8" i="5" s="1"/>
  <c r="F7" i="5"/>
  <c r="G7" i="5" s="1"/>
  <c r="F6" i="5"/>
  <c r="G6" i="5" s="1"/>
  <c r="F5" i="5"/>
  <c r="G5" i="5" s="1"/>
  <c r="G12" i="5" s="1"/>
  <c r="D447" i="1"/>
  <c r="B416" i="1"/>
  <c r="F117" i="1"/>
  <c r="C90" i="1"/>
  <c r="C76" i="1"/>
  <c r="B77" i="1" s="1"/>
  <c r="D70" i="1"/>
  <c r="G58" i="1"/>
  <c r="K56" i="1"/>
  <c r="G53" i="1"/>
  <c r="C53" i="1"/>
  <c r="S35" i="1"/>
  <c r="E30" i="1"/>
  <c r="E28" i="1"/>
  <c r="C18" i="1"/>
  <c r="I17" i="1"/>
  <c r="Z15" i="1"/>
  <c r="E8" i="1"/>
  <c r="E3" i="1"/>
  <c r="I54" i="1" s="1"/>
  <c r="H91" i="1"/>
  <c r="B427" i="1" l="1"/>
  <c r="E132" i="1"/>
  <c r="E133" i="1" s="1"/>
  <c r="J90" i="1"/>
  <c r="J92" i="1" s="1"/>
  <c r="D99" i="1"/>
  <c r="D98" i="1"/>
  <c r="D103" i="1"/>
  <c r="D97" i="1"/>
  <c r="J93" i="1"/>
  <c r="D102" i="1"/>
  <c r="J95" i="1"/>
  <c r="C94" i="1" s="1"/>
  <c r="D96" i="1"/>
  <c r="D101" i="1"/>
  <c r="J94" i="1"/>
  <c r="D100" i="1"/>
  <c r="L56" i="1"/>
  <c r="B91" i="1"/>
  <c r="J87" i="1"/>
  <c r="H77" i="1"/>
  <c r="D88" i="1" l="1"/>
  <c r="D82" i="1"/>
  <c r="J81" i="1"/>
  <c r="C80" i="1" s="1"/>
  <c r="D80" i="1" s="1"/>
  <c r="J82" i="1"/>
  <c r="J83" i="1" s="1"/>
  <c r="J88" i="1" s="1"/>
  <c r="D89" i="1"/>
  <c r="J76" i="1"/>
  <c r="J78" i="1" s="1"/>
  <c r="D83" i="1"/>
  <c r="D85" i="1"/>
  <c r="D87" i="1"/>
  <c r="D84" i="1"/>
  <c r="J80" i="1"/>
  <c r="J79" i="1"/>
  <c r="D86" i="1"/>
  <c r="G132" i="1"/>
  <c r="G133" i="1" s="1"/>
  <c r="D94" i="1"/>
  <c r="J96" i="1"/>
  <c r="J97" i="1" s="1"/>
  <c r="J102" i="1" s="1"/>
  <c r="J101" i="1"/>
  <c r="J84" i="1" l="1"/>
  <c r="J85" i="1" s="1"/>
  <c r="J86" i="1" s="1"/>
  <c r="J98" i="1"/>
  <c r="J99" i="1" s="1"/>
  <c r="J100" i="1" s="1"/>
  <c r="J89" i="1" l="1"/>
  <c r="C81" i="1" s="1"/>
  <c r="J77" i="1" s="1"/>
  <c r="J103" i="1"/>
  <c r="D95" i="1" s="1"/>
  <c r="I91" i="1" s="1"/>
  <c r="I92" i="1" s="1"/>
  <c r="I47" i="1"/>
  <c r="E80" i="1" l="1"/>
  <c r="G80" i="1"/>
  <c r="D74" i="1" s="1"/>
  <c r="F75" i="1" s="1"/>
  <c r="D81" i="1"/>
  <c r="I77" i="1" s="1"/>
  <c r="I78" i="1" s="1"/>
  <c r="G94" i="1"/>
  <c r="J91" i="1"/>
  <c r="I90" i="1" s="1"/>
  <c r="C92" i="1" s="1"/>
  <c r="E94" i="1"/>
  <c r="D75" i="1" l="1"/>
  <c r="I76" i="1"/>
  <c r="C78" i="1" s="1"/>
</calcChain>
</file>

<file path=xl/comments1.xml><?xml version="1.0" encoding="utf-8"?>
<comments xmlns="http://schemas.openxmlformats.org/spreadsheetml/2006/main">
  <authors>
    <author>Sachin</author>
    <author>SACHIN</author>
  </authors>
  <commentList>
    <comment ref="E14" authorId="0" shapeId="0">
      <text>
        <r>
          <rPr>
            <b/>
            <sz val="9"/>
            <color indexed="81"/>
            <rFont val="Tahoma"/>
            <family val="2"/>
          </rPr>
          <t>Sachin:</t>
        </r>
        <r>
          <rPr>
            <sz val="9"/>
            <color indexed="81"/>
            <rFont val="Tahoma"/>
            <family val="2"/>
          </rPr>
          <t xml:space="preserve">
Building No. 
Tower No.
Wing 
Bunglow No., etc</t>
        </r>
      </text>
    </comment>
    <comment ref="E15" authorId="0" shapeId="0">
      <text>
        <r>
          <rPr>
            <b/>
            <sz val="9"/>
            <color indexed="81"/>
            <rFont val="Tahoma"/>
            <family val="2"/>
          </rPr>
          <t>Sachin:</t>
        </r>
        <r>
          <rPr>
            <sz val="9"/>
            <color indexed="81"/>
            <rFont val="Tahoma"/>
            <family val="2"/>
          </rPr>
          <t xml:space="preserve">
If exisiting Building is provided write it or else
NA</t>
        </r>
      </text>
    </comment>
    <comment ref="C57"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Survey Nos.</t>
        </r>
      </text>
    </comment>
    <comment ref="C61" authorId="1" shapeId="0">
      <text>
        <r>
          <rPr>
            <b/>
            <sz val="9"/>
            <color indexed="81"/>
            <rFont val="Tahoma"/>
            <family val="2"/>
          </rPr>
          <t>SACHIN:</t>
        </r>
        <r>
          <rPr>
            <sz val="9"/>
            <color indexed="81"/>
            <rFont val="Tahoma"/>
            <family val="2"/>
          </rPr>
          <t xml:space="preserve">
Height from AMSL</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9"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<sst xmlns="http://schemas.openxmlformats.org/spreadsheetml/2006/main" count="1508" uniqueCount="480">
  <si>
    <t xml:space="preserve">Valuation Report </t>
  </si>
  <si>
    <t>Date:</t>
  </si>
  <si>
    <t>CPC Name:</t>
  </si>
  <si>
    <t>Date Of Property Visit</t>
  </si>
  <si>
    <t>Name of the builder group</t>
  </si>
  <si>
    <t>Name of the builder company</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</si>
  <si>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</si>
  <si>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</si>
  <si>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</si>
  <si>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</si>
  <si>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</si>
  <si>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</si>
  <si>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</si>
  <si>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</si>
  <si>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</si>
  <si>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</si>
  <si>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</si>
  <si>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</si>
  <si>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</si>
  <si>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</si>
  <si>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</si>
  <si>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</si>
  <si>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</si>
  <si>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</si>
  <si>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</si>
  <si>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</si>
  <si>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</si>
  <si>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</si>
  <si>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</si>
  <si>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</si>
  <si>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</si>
  <si>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</si>
  <si>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</si>
  <si>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</si>
  <si>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</si>
  <si>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</si>
  <si>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</si>
  <si>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</si>
  <si>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</si>
  <si>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</si>
  <si>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</si>
  <si>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</si>
  <si>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</si>
  <si>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</si>
  <si>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</si>
  <si>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</si>
  <si>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</si>
  <si>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</si>
  <si>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</si>
  <si>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</si>
  <si>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</si>
  <si>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</si>
  <si>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</si>
  <si>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</si>
  <si>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</si>
  <si>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</si>
  <si>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</si>
  <si>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</si>
  <si>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</si>
  <si>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</si>
  <si>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</si>
  <si>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</si>
  <si>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</si>
  <si>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</si>
  <si>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</si>
  <si>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</si>
  <si>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</si>
  <si>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</si>
  <si>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</si>
  <si>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</si>
  <si>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</si>
  <si>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</si>
  <si>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</si>
  <si>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</si>
  <si>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</si>
  <si>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</si>
  <si>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</si>
  <si>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</si>
  <si>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</si>
  <si>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</si>
  <si>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</si>
  <si>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</si>
  <si>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</si>
  <si>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</si>
  <si>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</si>
  <si>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</si>
  <si>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</si>
  <si>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</si>
  <si>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</si>
  <si>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</si>
  <si>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</si>
  <si>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</si>
  <si>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</si>
  <si>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</si>
  <si>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</si>
  <si>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</si>
  <si>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</si>
  <si>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</si>
  <si>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</si>
  <si>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</si>
  <si>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</si>
  <si>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</si>
  <si>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</si>
  <si>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</si>
  <si>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</si>
  <si>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</si>
  <si>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</si>
  <si>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</si>
  <si>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</si>
  <si>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</si>
  <si>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</si>
  <si>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</si>
  <si>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</si>
  <si>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</si>
  <si>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</si>
  <si>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</si>
  <si>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</si>
  <si>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</si>
  <si>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</si>
  <si>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</si>
  <si>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</si>
  <si>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</si>
  <si>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</si>
  <si>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</si>
  <si>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</si>
  <si>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</si>
  <si>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</si>
  <si>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</si>
  <si>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</si>
  <si>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</si>
  <si>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</si>
  <si>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</si>
  <si>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</si>
  <si>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</si>
  <si>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</si>
  <si>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</si>
  <si>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</si>
  <si>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</si>
  <si>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</si>
  <si>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</si>
  <si>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</si>
  <si>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</si>
  <si>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Flats -, Shops -, Offices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</si>
  <si>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</si>
  <si>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</si>
  <si>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</si>
  <si>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</si>
  <si>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</si>
  <si>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</si>
  <si>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</si>
  <si>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</si>
  <si>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</si>
  <si>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</si>
  <si>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</si>
  <si>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</si>
  <si>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</si>
  <si>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</si>
  <si>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</si>
  <si>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</si>
  <si>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</si>
  <si>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</si>
  <si>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 Wing = 1B + G + 1st to 20th Floor
B Wing = 1B + G + 1st to 20th Floor
C Wing = 1B + G + 1st to 20th Floor</t>
  </si>
  <si>
    <t>Approved Plans, CC, Sale Plans, Builder Saleable Area, Cost Sheet, Airport Noc, Railway Noc, OC</t>
  </si>
  <si>
    <t>Axis Goregaon</t>
  </si>
  <si>
    <t>Name / No of the Existing Building</t>
  </si>
  <si>
    <t>Mumbai</t>
  </si>
  <si>
    <t>As per Layout</t>
  </si>
  <si>
    <t>Floor Rise Rate from    Floor</t>
  </si>
  <si>
    <t>CTS No</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</si>
  <si>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</si>
  <si>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</si>
  <si>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</si>
  <si>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</si>
  <si>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</si>
  <si>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</si>
  <si>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</si>
  <si>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</si>
  <si>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</si>
  <si>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</si>
  <si>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</si>
  <si>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</si>
  <si>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</si>
  <si>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</si>
  <si>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</si>
  <si>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</si>
  <si>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</si>
  <si>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</si>
  <si>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</si>
  <si>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</si>
  <si>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</si>
  <si>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</si>
  <si>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</si>
  <si>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</si>
  <si>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</si>
  <si>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</si>
  <si>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</si>
  <si>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</si>
  <si>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</si>
  <si>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</si>
  <si>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</si>
  <si>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</si>
  <si>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</si>
  <si>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</si>
  <si>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</si>
  <si>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</si>
  <si>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</si>
  <si>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</si>
  <si>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</si>
  <si>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</si>
  <si>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</si>
  <si>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</si>
  <si>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</si>
  <si>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</si>
  <si>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</si>
  <si>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</si>
  <si>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</si>
  <si>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</si>
  <si>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</si>
  <si>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</si>
  <si>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</si>
  <si>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</si>
  <si>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</si>
  <si>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</si>
  <si>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</si>
  <si>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</si>
  <si>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</si>
  <si>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</si>
  <si>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</si>
  <si>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</si>
  <si>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</si>
  <si>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</si>
  <si>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</si>
  <si>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</si>
  <si>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</si>
  <si>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</si>
  <si>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</si>
  <si>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</si>
  <si>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</si>
  <si>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</si>
  <si>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</si>
  <si>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</si>
  <si>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</si>
  <si>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</si>
  <si>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</si>
  <si>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</si>
  <si>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</si>
  <si>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</si>
  <si>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</si>
  <si>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</si>
  <si>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</si>
  <si>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</si>
  <si>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</si>
  <si>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</si>
  <si>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</si>
  <si>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</si>
  <si>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</si>
  <si>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</si>
  <si>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</si>
  <si>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</si>
  <si>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</si>
  <si>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</si>
  <si>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</si>
  <si>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</si>
  <si>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</si>
  <si>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</si>
  <si>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</si>
  <si>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</si>
  <si>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</si>
  <si>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</si>
  <si>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</si>
  <si>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</si>
  <si>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</si>
  <si>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</si>
  <si>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</si>
  <si>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</si>
  <si>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</si>
  <si>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</si>
  <si>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</si>
  <si>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</si>
  <si>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</si>
  <si>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</si>
  <si>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</si>
  <si>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</si>
  <si>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</si>
  <si>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</si>
  <si>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</si>
  <si>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</si>
  <si>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</si>
  <si>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</si>
  <si>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</si>
  <si>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</si>
  <si>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</si>
  <si>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</si>
  <si>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</si>
  <si>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</si>
  <si>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</si>
  <si>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</si>
  <si>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</si>
  <si>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</si>
  <si>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</si>
  <si>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</si>
  <si>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</si>
  <si>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FB</t>
  </si>
  <si>
    <t>Bed1</t>
  </si>
  <si>
    <t>Bed2</t>
  </si>
  <si>
    <t>Bed3</t>
  </si>
  <si>
    <t>Bed4</t>
  </si>
  <si>
    <t>DB</t>
  </si>
  <si>
    <t>toilet2</t>
  </si>
  <si>
    <t>toilet3</t>
  </si>
  <si>
    <t>toilet4</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</si>
  <si>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</si>
  <si>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</si>
  <si>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</si>
  <si>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</si>
  <si>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</si>
  <si>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</si>
  <si>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</si>
  <si>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</si>
  <si>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</si>
  <si>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</si>
  <si>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</si>
  <si>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</si>
  <si>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</si>
  <si>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</si>
  <si>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</si>
  <si>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</si>
  <si>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</si>
  <si>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</si>
  <si>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</si>
  <si>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</si>
  <si>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</si>
  <si>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</si>
  <si>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</si>
  <si>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</si>
  <si>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</si>
  <si>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</si>
  <si>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</si>
  <si>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</si>
  <si>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P51800077358</t>
  </si>
  <si>
    <t>Macrotech Developers Limited</t>
  </si>
  <si>
    <t xml:space="preserve">Mr. Rajendra Giri 9820248856 </t>
  </si>
  <si>
    <t>Mr. Mukesh 9833608863</t>
  </si>
  <si>
    <t>As per RERA - 31/12/2029</t>
  </si>
  <si>
    <t>Wing A &amp; B</t>
  </si>
  <si>
    <t>Om Shree Geetanjali Nagar Wing A, B &amp; C CHSL</t>
  </si>
  <si>
    <t>Magathane</t>
  </si>
  <si>
    <t>Sai Baba Nagar</t>
  </si>
  <si>
    <t>Borivali West</t>
  </si>
  <si>
    <t>19.217690,72.847271</t>
  </si>
  <si>
    <t>https://maps.app.goo.gl/mnFNQ8CcQxfGkges6</t>
  </si>
  <si>
    <t>P-21240/2024/(1(pt.) And Other)/R/C Ward/MAGATHANE R/C/CC/1/New</t>
  </si>
  <si>
    <t>This  C.C. is granted for work upto Plinth level only for the building consisting of Wing A &amp; B, Wing C &amp; D and Wing E as per approved Zero FSI IOD plans dt. 17.05.2024</t>
  </si>
  <si>
    <t>P-21240/2024/(1(pt.) And Other)/R/C Ward/MAGATHANE R/C-CFO/1/New</t>
  </si>
  <si>
    <t xml:space="preserve">Wing A &amp; B = 4B + G / Stilt + 1st to 33rd (Pt) Floor (Height = 106.3m)
Wing C = 2B(Pt) + G / Stilt  + 1st to 23rd Floor (Height = 69.95m)
Wing D = G + 1st to 23rd Floor (Height = 69.95m)
Wing E = G + 1st to 2nd Floor (Height = 11.85m)
</t>
  </si>
  <si>
    <t>JUHU/WESTB/122623/865660</t>
  </si>
  <si>
    <t>Site Elevation = 9.74M
Permissible Top Elevation = 175.29M</t>
  </si>
  <si>
    <t>https://www.lodhagroup.in/projects/campaigns/lodha-borivali-west/?campaign=Google-P&amp;publisher=Google-Perf-RI&amp;banner_size=712809213304&amp;digital_source=Google&amp;digital_medium=CPC&amp;adgroup=Lodha_Borivali_RI_Proj_Phrase_Search-August-24-Lodha-Borivali-Altus-Brand-Exact&amp;keyword=lodha%20altus%20borivali&amp;placement=&amp;adposition=&amp;matchtype=e&amp;network=g&amp;utm_source=Google&amp;utm_medium=CPC&amp;utm_campaign=Borivali-Campaign-Google-BrandPhrase-Perf-RI-Aug2024&amp;gad_source=1&amp;gclid=Cj0KCQiAu8W6BhC-ARIsACEQoDAfSXsaF1JykjV3-NWMFeiTrgmSibwEqTpaais7fiH5YXkuHsRwtUMaApWNEALw_wcB#amenities</t>
  </si>
  <si>
    <t xml:space="preserve">Sports ground for football, cricket and other team sports, Kid’s play area, Swimming pool with pool deck, Kid’s pool, Ganesha shrine with senior citizen seating corner, Walking track, Pet walk/area, Community plaza with tree court and seating, Leisure lawn, EV charging points for electric vehicles, Environmentally sustainable development with wastewater, recycling, rainwater, harvesting and solar panels. </t>
  </si>
  <si>
    <r>
      <t xml:space="preserve">Proposed Amenities :                                                                                                                                                                                                                         </t>
    </r>
    <r>
      <rPr>
        <b/>
        <sz val="12"/>
        <color theme="1"/>
        <rFont val="Times New Roman"/>
        <family val="1"/>
      </rPr>
      <t xml:space="preserve">                                               </t>
    </r>
  </si>
  <si>
    <t>As per Builder Website</t>
  </si>
  <si>
    <t>https://lodha-altus.get-details.in/altus-Borivali.html?utm_source=Digital&amp;utm_medium=cpc&amp;utm_campaign=lodha_altus_google_brand&amp;utm_content=lodha%20altus%20borivali&amp;utm_term=&amp;gad_source=1&amp;gclid=Cj0KCQiAu8W6BhC-ARIsACEQoDCMvlAvsPkGuRNDbw86QgMwil_LZL1cpdgHAh98KkkqulJ9nVN4oucaArXmEALw_wcB</t>
  </si>
  <si>
    <t xml:space="preserve">Please check for Environment Clearance Certificate.
</t>
  </si>
  <si>
    <t>02 Wings</t>
  </si>
  <si>
    <t>Residential</t>
  </si>
  <si>
    <t>2.0KM from Borivali Railway Station (West)</t>
  </si>
  <si>
    <t>Sai Niketan Bldg</t>
  </si>
  <si>
    <t>Sai Baba Mandir Marg</t>
  </si>
  <si>
    <t>Name of the Project As per Developer</t>
  </si>
  <si>
    <t>Lodha Altus</t>
  </si>
  <si>
    <t>Slum</t>
  </si>
  <si>
    <t>Sai Baba Marg / Sai Baba Mandir</t>
  </si>
  <si>
    <t>Sai Niketan / Gurdwara Sri Guru Nanak Borivali</t>
  </si>
  <si>
    <t>Vijay Deep / Bhuvaneshwari Bldg</t>
  </si>
  <si>
    <t>18.30MTR Wide Sai Baba Mandir Marg</t>
  </si>
  <si>
    <t>Other Plot</t>
  </si>
  <si>
    <t xml:space="preserve">As per RERA 2 &amp; As per Plan 6 Wings </t>
  </si>
  <si>
    <r>
      <t xml:space="preserve">Flat No.
</t>
    </r>
    <r>
      <rPr>
        <b/>
        <sz val="11"/>
        <color theme="1"/>
        <rFont val="Times New Roman"/>
        <family val="1"/>
      </rPr>
      <t>(Approved Plan)</t>
    </r>
  </si>
  <si>
    <t>Approved Plans, CC, Airport NOC, Fire NOC</t>
  </si>
  <si>
    <t>OK</t>
  </si>
  <si>
    <t>Wing A</t>
  </si>
  <si>
    <t>Ground Floor For Parking, Driveway, Entrance Lobby, Substation, DG Panel Room, FTTH Room, Society Office</t>
  </si>
  <si>
    <t>Wing B</t>
  </si>
  <si>
    <t>4BHK</t>
  </si>
  <si>
    <t>3BHK</t>
  </si>
  <si>
    <t>Refuge Area</t>
  </si>
  <si>
    <t>Fitness Center</t>
  </si>
  <si>
    <t>Sale</t>
  </si>
  <si>
    <t>Sale / Rehab / MHADA</t>
  </si>
  <si>
    <t>Rehab</t>
  </si>
  <si>
    <t>Wing B  = 4B + G + UG + 1st to 40th Floor</t>
  </si>
  <si>
    <t xml:space="preserve">Details of Residential in Building   </t>
  </si>
  <si>
    <t xml:space="preserve">We have given Valuation for Sale Flats only.
</t>
  </si>
  <si>
    <t>Mr. Rahul Salve</t>
  </si>
  <si>
    <t xml:space="preserve">Grand Total </t>
  </si>
  <si>
    <t>Residential Area Details : Sale Flats</t>
  </si>
  <si>
    <t>Residential Area Details : Rehab Flats</t>
  </si>
  <si>
    <t>Residential Area Details : MHADA Flats</t>
  </si>
  <si>
    <t>Altus</t>
  </si>
  <si>
    <t>We have updated revised approved plans on 02/04/2025.</t>
  </si>
  <si>
    <t>10th Floor</t>
  </si>
  <si>
    <t>11th &amp; 12th Floor</t>
  </si>
  <si>
    <t>As per the floor plan, Wing B Flat No. 3504 is a rehab flat, but as per the sale area tenements list, Flat No. 3504 is a sale flat. Please check from your end.</t>
  </si>
  <si>
    <t>As per the floor plan, Wing A Flat No. 2603 &amp; 2604 is a rehab flat, but as per the sale area tenements list, Flat No. 2603 &amp; 2604 is a sale flat, and as per the rehab area tenements list, 2603 is a rehab flat. Please check from your end.</t>
  </si>
  <si>
    <t>As per the floor plan, Wing A Flat No. 1504 is a Sale flat, but as per the rehab area tenements list, Flat No. 1504 is a rehab flat. Please check from your end.</t>
  </si>
  <si>
    <t>As per the RERA, the name of the building has been changed from the "Borivali project" to "Altus."</t>
  </si>
  <si>
    <t>Name of the Project As per RERA (New Name)</t>
  </si>
  <si>
    <t>Name of the Project As per RERA (Old Name)</t>
  </si>
  <si>
    <t>Borivali Project</t>
  </si>
  <si>
    <t>RATE 22000 by NILESH HATODE VERBAL</t>
  </si>
  <si>
    <t>Pooja Kawale</t>
  </si>
  <si>
    <t>Validity of CC is expired on 18/07/2025. Please provide latest CC.</t>
  </si>
  <si>
    <t>Approved area of building (Sq.Mt)
(Wing A &amp; B)</t>
  </si>
  <si>
    <t>Ground Floor For Parking, Driveway, Entrance Lobby, Fitness Center, Meter Room, Fire Control Room, Panel Room, IBS Room</t>
  </si>
  <si>
    <t>1st Floor / 2nd Podium Floor For Parking, Driveway, Entrance Lobby</t>
  </si>
  <si>
    <t>Upper Ground Floor /1st Podium Floor For Parking, Driveway, Entrance Lobby</t>
  </si>
  <si>
    <t>2nd Floor / 3rd Podium Floor For Parking, Driveway, Entrance Lobby</t>
  </si>
  <si>
    <t>3rd Floor for Residential / 4th Podium Floor For Parking, Driveway</t>
  </si>
  <si>
    <t>Mhada</t>
  </si>
  <si>
    <t>Parking Area</t>
  </si>
  <si>
    <t>4th Floor for Residential / 5th Podium Floor For Parking, Driveway</t>
  </si>
  <si>
    <t>5th Floor for Residential / 6th Podium Floor For Parking, Driveway</t>
  </si>
  <si>
    <t>Mr. Shirish : 8879340090</t>
  </si>
  <si>
    <t>1(PT), 1/A/1/1(PT), 1/B/1/A/1(PT) &amp; 2/B/1/1 (PT) &amp; Redevlopement of " Om Shree Geetanjali Nagar Wing A, B &amp; C CHSL "</t>
  </si>
  <si>
    <t>6th Floor for Residential / 7th Podium Floor For Parking, Driveway</t>
  </si>
  <si>
    <t>7th Floor for Residential / 8th Podium Floor For Parking, Driveway (Part Refuge Area)</t>
  </si>
  <si>
    <t>8th Floor for Fitness Center &amp; Residential</t>
  </si>
  <si>
    <t>9th Floor for Residential</t>
  </si>
  <si>
    <t>9th, 11th, 12th Floor for Residential</t>
  </si>
  <si>
    <t>13th Floor 
(14th Floor as per builder)</t>
  </si>
  <si>
    <t>Study rm</t>
  </si>
  <si>
    <t>toilet1</t>
  </si>
  <si>
    <t>passage</t>
  </si>
  <si>
    <t>Deck</t>
  </si>
  <si>
    <t>Deck Area</t>
  </si>
  <si>
    <t>Kitch</t>
  </si>
  <si>
    <t>Utility</t>
  </si>
  <si>
    <t>SRM</t>
  </si>
  <si>
    <t>14th Floor (Part Refuge Area)
(15th Floor as per Builder)</t>
  </si>
  <si>
    <t>13th Floor 
(14th Floor as per Builder)</t>
  </si>
  <si>
    <t>15th Floor
(16th Floor as per Builder)</t>
  </si>
  <si>
    <t>9th to 12th flr
13th flr
14th flr, 15th flr
16th 18th, 22nd to 24th, 26th flr
17th, 19th &amp; 25th flr
20th, 27th &amp; 33rd flr
29th to 32nd &amp; 34th Flr
21st, 28th, 35th, 36th flr</t>
  </si>
  <si>
    <t>1st to 7th flr
8th flr
9th to 12th flr
13th flr, 14th flr
15th flr
16th 18th, 22nd to 24th, 26th flr
17th, 19th &amp; 25th flr
20th, 27th &amp; 33rd flr
29th to 32nd &amp; 34th Flr
21st, 28th, 36th flr</t>
  </si>
  <si>
    <t>1st to 6th flr
8th flr
9th to 12th flr
13th flr, 15th flr
17th, 19th &amp; 25th flr
20th, 27th &amp; 33rd flr
29th to 32nd &amp; 34th Flr
36th flr</t>
  </si>
  <si>
    <t>35th flr</t>
  </si>
  <si>
    <t>16th, 18th, 24th Floor
(17th, 19th, 25th Floor as per Builder)</t>
  </si>
  <si>
    <t>22nd, 23rd Floor
(23rd, 24th Floor as per Builder)</t>
  </si>
  <si>
    <t>26th Floor
(27th Floor as per Builder)</t>
  </si>
  <si>
    <t>17th Floor
(18th Floor as per Builder)</t>
  </si>
  <si>
    <t>19th &amp; 25th Floor
(20th &amp; 26th Floor as per Builder)</t>
  </si>
  <si>
    <t>20th Floor
(21st Floor as per Builder)</t>
  </si>
  <si>
    <t>27th Floor
(28th Floor as per Builder)</t>
  </si>
  <si>
    <t>33rd Floor
(34th Floor as per Builder)</t>
  </si>
  <si>
    <t>29th, 30th &amp; 34th Floor
(30th, 31st &amp; 35th Floor as per Builder)</t>
  </si>
  <si>
    <t>31st Floor
(32nd Floor as per Builder)</t>
  </si>
  <si>
    <t>32nd Floor
(33rd Floor as per Builder)</t>
  </si>
  <si>
    <t>21st Floor (Part Refuge Area)
(22nd Floor as per Builder)</t>
  </si>
  <si>
    <t>28th Floor (Part Refuge Area)
(29th Floor as per Builder)</t>
  </si>
  <si>
    <t>35th Floor (Part Refuge Area)
(36th Floor as per Builder)</t>
  </si>
  <si>
    <t>36th Floor
(37th Floor as per Builder)</t>
  </si>
  <si>
    <t>35th Floor (Part Terrace Area)
(36th Floor as per Builder)</t>
  </si>
  <si>
    <t>16th, 18th, 23rd, 24th &amp; 26th Floor
(17th, 19th, 24th, 25th &amp; 27th Floor as per Builder)</t>
  </si>
  <si>
    <t>22nd Floor
(23rd Floor)</t>
  </si>
  <si>
    <t>20th &amp; 33rd Floor
(21st &amp; 34th Floor)</t>
  </si>
  <si>
    <t>29th &amp; 30th Floor
(30th &amp; 31st Floor as per Builder)</t>
  </si>
  <si>
    <t>32nd &amp; 34th Floor
(33rd &amp; 35th Floor as per Builder)</t>
  </si>
  <si>
    <t>Since internal visit were not permitted, we were unable to determine building progress from an external visit; so, we are maintaining the same progress as in the previous report.</t>
  </si>
  <si>
    <t>We considered Gross carpet area = Net carpet + Deck Area.</t>
  </si>
  <si>
    <t>As per the floor plan, Wing A Flat No. 602 is a sale, but as per the rehab area tenements list, Flat No. 602 is a rehab flat. Please check from your end.</t>
  </si>
  <si>
    <t>We have updated latest approved floor plans (On 24/09/2025).</t>
  </si>
  <si>
    <t>P-21240/2024/(1(PT.) AND OTHER) /R/C WARD/MAGATHANE
R/C/337/3/AMEND</t>
  </si>
  <si>
    <t>Wing A = Gr + UG + 1st to 36th Floor
Wing B = Gr + UG + 1st to 35th Floor</t>
  </si>
  <si>
    <t>Wing A &amp; B = Gr + UG + 1st to 40th Floor</t>
  </si>
  <si>
    <t>2.5BHK</t>
  </si>
  <si>
    <t>Terrace Area</t>
  </si>
  <si>
    <t>Sale Flats = 167
Rehab Flats = 59
Mhada Flats = 16</t>
  </si>
  <si>
    <t>Utility / Infrastructure Charges</t>
  </si>
  <si>
    <t>pARK 12L &amp; Utility/Infrastructure Charges 9L &amp; RATE 22500 for CASE A2504 by AKASH MOTE  on 26/09/2025</t>
  </si>
  <si>
    <t>Utility/Infrastructure Charges revised from 9L to 11L on 30/09/2025</t>
  </si>
  <si>
    <t>Recommended Rates &amp; Other Charges of the Property have been revised on 30/07/2025, 26/09/2025 &amp;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</si>
</sst>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7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0" fontId="14" fillId="2" borderId="0" xfId="1" applyFont="1" applyFill="1"/>
    <xf numFmtId="14" fontId="11" fillId="0" borderId="0" xfId="1" applyNumberFormat="1" applyFont="1"/>
    <xf numFmtId="0" fontId="0" fillId="0" borderId="1" xfId="0" applyBorder="1" applyAlignment="1">
      <alignment horizontal="left" vertical="top"/>
    </xf>
    <xf numFmtId="0" fontId="6" fillId="0" borderId="1" xfId="1" applyFont="1" applyBorder="1" applyAlignment="1" applyProtection="1">
      <alignment horizontal="center" vertical="top" wrapText="1"/>
      <protection locked="0"/>
    </xf>
    <xf numFmtId="164" fontId="6" fillId="0" borderId="0" xfId="1" applyNumberFormat="1" applyFont="1"/>
    <xf numFmtId="0" fontId="6" fillId="0" borderId="0" xfId="1" applyFont="1" applyAlignment="1">
      <alignment wrapText="1"/>
    </xf>
    <xf numFmtId="0" fontId="25" fillId="0" borderId="0" xfId="10"/>
    <xf numFmtId="0" fontId="16" fillId="0" borderId="0" xfId="1" applyFont="1"/>
    <xf numFmtId="0" fontId="6" fillId="0" borderId="1" xfId="1" applyFont="1" applyBorder="1" applyAlignment="1" applyProtection="1">
      <alignment horizontal="center" vertical="top"/>
      <protection locked="0"/>
    </xf>
    <xf numFmtId="0" fontId="14" fillId="0" borderId="0" xfId="1" applyFont="1" applyAlignment="1">
      <alignment horizontal="center"/>
    </xf>
    <xf numFmtId="2" fontId="6" fillId="0" borderId="0" xfId="1" applyNumberFormat="1" applyFont="1"/>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2" fontId="6" fillId="0" borderId="0" xfId="1" applyNumberFormat="1"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67" fontId="6" fillId="0" borderId="1" xfId="9" applyNumberFormat="1" applyFont="1" applyFill="1" applyBorder="1" applyAlignment="1" applyProtection="1">
      <alignment horizontal="left" vertical="top"/>
      <protection locked="0"/>
    </xf>
    <xf numFmtId="0" fontId="6" fillId="0" borderId="0" xfId="1" applyFont="1" applyAlignment="1">
      <alignment horizontal="center" vertical="center"/>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6" fillId="0" borderId="25" xfId="1" applyNumberFormat="1" applyFont="1" applyBorder="1" applyAlignment="1">
      <alignment horizontal="center" vertical="center" wrapText="1"/>
    </xf>
    <xf numFmtId="1" fontId="6" fillId="0" borderId="0" xfId="1" applyNumberFormat="1" applyFont="1" applyAlignment="1">
      <alignment horizontal="center" vertical="center" wrapText="1"/>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12" fillId="0" borderId="3" xfId="0" applyNumberFormat="1" applyFont="1" applyBorder="1" applyAlignment="1" applyProtection="1">
      <alignment horizontal="center" vertical="center" wrapText="1"/>
      <protection locked="0"/>
    </xf>
    <xf numFmtId="1" fontId="12" fillId="0" borderId="32" xfId="0" applyNumberFormat="1" applyFont="1" applyBorder="1" applyAlignment="1" applyProtection="1">
      <alignment horizontal="center" vertical="center" wrapText="1"/>
      <protection locked="0"/>
    </xf>
    <xf numFmtId="1" fontId="12" fillId="0" borderId="33" xfId="0" applyNumberFormat="1" applyFont="1" applyBorder="1" applyAlignment="1" applyProtection="1">
      <alignment horizontal="center" vertical="center" wrapText="1"/>
      <protection locked="0"/>
    </xf>
    <xf numFmtId="1" fontId="12" fillId="0" borderId="33" xfId="0" applyNumberFormat="1"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14" fillId="0" borderId="1" xfId="1" applyFont="1" applyBorder="1" applyAlignment="1" applyProtection="1">
      <alignment horizontal="left" vertical="top"/>
      <protection locked="0"/>
    </xf>
    <xf numFmtId="1" fontId="7" fillId="5" borderId="8" xfId="1" applyNumberFormat="1" applyFont="1" applyFill="1" applyBorder="1" applyAlignment="1" applyProtection="1">
      <alignment horizontal="center" vertical="center" wrapText="1"/>
      <protection locked="0"/>
    </xf>
    <xf numFmtId="1" fontId="7" fillId="5" borderId="21" xfId="1" applyNumberFormat="1" applyFont="1" applyFill="1" applyBorder="1" applyAlignment="1" applyProtection="1">
      <alignment horizontal="center" vertical="center" wrapText="1"/>
      <protection locked="0"/>
    </xf>
    <xf numFmtId="1" fontId="7" fillId="5" borderId="9" xfId="1"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64" fontId="5" fillId="0" borderId="1" xfId="1" applyNumberFormat="1" applyFont="1" applyBorder="1" applyAlignment="1" applyProtection="1">
      <alignment horizontal="left" vertical="top"/>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1" fontId="12"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12" fillId="0" borderId="3"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1" fontId="12" fillId="0" borderId="3" xfId="0" applyNumberFormat="1"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1" fillId="0" borderId="1" xfId="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2" fillId="0" borderId="16" xfId="1" applyFont="1" applyBorder="1" applyAlignment="1" applyProtection="1">
      <alignment horizontal="center" vertical="top"/>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vertical="top"/>
      <protection locked="0"/>
    </xf>
    <xf numFmtId="1" fontId="12" fillId="0" borderId="1"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9"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1" fillId="0" borderId="21"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center" vertical="center" wrapText="1"/>
      <protection locked="0"/>
    </xf>
    <xf numFmtId="2" fontId="11" fillId="0" borderId="1" xfId="1" applyNumberFormat="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9" fillId="0" borderId="16" xfId="1" applyFont="1" applyBorder="1" applyAlignment="1" applyProtection="1">
      <alignment horizontal="center" vertical="top"/>
      <protection locked="0"/>
    </xf>
    <xf numFmtId="1" fontId="12" fillId="0" borderId="8" xfId="1" applyNumberFormat="1" applyFont="1" applyFill="1" applyBorder="1" applyAlignment="1" applyProtection="1">
      <alignment horizontal="center" vertical="center" wrapText="1"/>
      <protection locked="0"/>
    </xf>
    <xf numFmtId="1" fontId="12" fillId="0" borderId="21" xfId="1" applyNumberFormat="1" applyFont="1" applyFill="1" applyBorder="1" applyAlignment="1" applyProtection="1">
      <alignment horizontal="center" vertical="center" wrapText="1"/>
      <protection locked="0"/>
    </xf>
    <xf numFmtId="1" fontId="12" fillId="0" borderId="9" xfId="1" applyNumberFormat="1"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11</xdr:col>
      <xdr:colOff>114300</xdr:colOff>
      <xdr:row>15</xdr:row>
      <xdr:rowOff>95251</xdr:rowOff>
    </xdr:from>
    <xdr:to>
      <xdr:col>16</xdr:col>
      <xdr:colOff>110925</xdr:colOff>
      <xdr:row>22</xdr:row>
      <xdr:rowOff>114320</xdr:rowOff>
    </xdr:to>
    <xdr:pic>
      <xdr:nvPicPr>
        <xdr:cNvPr id="3" name="Picture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105900" y="3276601"/>
          <a:ext cx="4140000" cy="2209819"/>
        </a:xfrm>
        <a:prstGeom prst="rect">
          <a:avLst/>
        </a:prstGeom>
        <a:ln>
          <a:solidFill>
            <a:schemeClr val="tx1"/>
          </a:solidFill>
        </a:ln>
      </xdr:spPr>
    </xdr:pic>
    <xdr:clientData/>
  </xdr:twoCellAnchor>
  <xdr:twoCellAnchor editAs="oneCell">
    <xdr:from>
      <xdr:col>10</xdr:col>
      <xdr:colOff>37716</xdr:colOff>
      <xdr:row>505</xdr:row>
      <xdr:rowOff>14319</xdr:rowOff>
    </xdr:from>
    <xdr:to>
      <xdr:col>13</xdr:col>
      <xdr:colOff>723516</xdr:colOff>
      <xdr:row>520</xdr:row>
      <xdr:rowOff>71469</xdr:rowOff>
    </xdr:to>
    <xdr:pic>
      <xdr:nvPicPr>
        <xdr:cNvPr id="9" name="Picture 8"/>
        <xdr:cNvPicPr>
          <a:picLocks noChangeAspect="1"/>
        </xdr:cNvPicPr>
      </xdr:nvPicPr>
      <xdr:blipFill>
        <a:blip xmlns:r="http://schemas.openxmlformats.org/officeDocument/2006/relationships" r:embed="rId2"/>
        <a:stretch>
          <a:fillRect/>
        </a:stretch>
      </xdr:blipFill>
      <xdr:spPr>
        <a:xfrm>
          <a:off x="8276841" y="48648969"/>
          <a:ext cx="3152775" cy="3057525"/>
        </a:xfrm>
        <a:prstGeom prst="rect">
          <a:avLst/>
        </a:prstGeom>
        <a:ln>
          <a:solidFill>
            <a:schemeClr val="tx1"/>
          </a:solidFill>
        </a:ln>
      </xdr:spPr>
    </xdr:pic>
    <xdr:clientData/>
  </xdr:twoCellAnchor>
  <xdr:twoCellAnchor>
    <xdr:from>
      <xdr:col>8</xdr:col>
      <xdr:colOff>828675</xdr:colOff>
      <xdr:row>485</xdr:row>
      <xdr:rowOff>161925</xdr:rowOff>
    </xdr:from>
    <xdr:to>
      <xdr:col>15</xdr:col>
      <xdr:colOff>189825</xdr:colOff>
      <xdr:row>503</xdr:row>
      <xdr:rowOff>177876</xdr:rowOff>
    </xdr:to>
    <xdr:grpSp>
      <xdr:nvGrpSpPr>
        <xdr:cNvPr id="10" name="Group 9"/>
        <xdr:cNvGrpSpPr/>
      </xdr:nvGrpSpPr>
      <xdr:grpSpPr>
        <a:xfrm>
          <a:off x="7451725" y="105787825"/>
          <a:ext cx="5685750" cy="3559251"/>
          <a:chOff x="538530" y="895629"/>
          <a:chExt cx="5400000" cy="3616401"/>
        </a:xfrm>
      </xdr:grpSpPr>
      <xdr:pic>
        <xdr:nvPicPr>
          <xdr:cNvPr id="11" name="Picture 10"/>
          <xdr:cNvPicPr>
            <a:picLocks noChangeAspect="1"/>
          </xdr:cNvPicPr>
        </xdr:nvPicPr>
        <xdr:blipFill>
          <a:blip xmlns:r="http://schemas.openxmlformats.org/officeDocument/2006/relationships" r:embed="rId3"/>
          <a:stretch>
            <a:fillRect/>
          </a:stretch>
        </xdr:blipFill>
        <xdr:spPr>
          <a:xfrm>
            <a:off x="538530" y="895629"/>
            <a:ext cx="5400000" cy="3616401"/>
          </a:xfrm>
          <a:prstGeom prst="rect">
            <a:avLst/>
          </a:prstGeom>
          <a:ln>
            <a:solidFill>
              <a:schemeClr val="tx1"/>
            </a:solidFill>
          </a:ln>
        </xdr:spPr>
      </xdr:pic>
      <xdr:sp macro="" textlink="">
        <xdr:nvSpPr>
          <xdr:cNvPr id="12" name="TextBox 78"/>
          <xdr:cNvSpPr txBox="1"/>
        </xdr:nvSpPr>
        <xdr:spPr>
          <a:xfrm>
            <a:off x="3155950" y="2561038"/>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A</a:t>
            </a:r>
            <a:endParaRPr lang="en-IN" sz="1400" b="1"/>
          </a:p>
        </xdr:txBody>
      </xdr:sp>
      <xdr:sp macro="" textlink="">
        <xdr:nvSpPr>
          <xdr:cNvPr id="13" name="TextBox 86"/>
          <xdr:cNvSpPr txBox="1"/>
        </xdr:nvSpPr>
        <xdr:spPr>
          <a:xfrm>
            <a:off x="4504743" y="2561038"/>
            <a:ext cx="7152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B</a:t>
            </a:r>
            <a:endParaRPr lang="en-IN" sz="1400" b="1"/>
          </a:p>
        </xdr:txBody>
      </xdr:sp>
      <xdr:sp macro="" textlink="">
        <xdr:nvSpPr>
          <xdr:cNvPr id="14" name="TextBox 87"/>
          <xdr:cNvSpPr txBox="1"/>
        </xdr:nvSpPr>
        <xdr:spPr>
          <a:xfrm>
            <a:off x="1924607" y="3320714"/>
            <a:ext cx="70884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C</a:t>
            </a:r>
            <a:endParaRPr lang="en-IN" sz="1400" b="1"/>
          </a:p>
        </xdr:txBody>
      </xdr:sp>
      <xdr:sp macro="" textlink="">
        <xdr:nvSpPr>
          <xdr:cNvPr id="15" name="TextBox 88"/>
          <xdr:cNvSpPr txBox="1"/>
        </xdr:nvSpPr>
        <xdr:spPr>
          <a:xfrm>
            <a:off x="1195478" y="2448659"/>
            <a:ext cx="70243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E</a:t>
            </a:r>
            <a:endParaRPr lang="en-IN" sz="1400" b="1"/>
          </a:p>
        </xdr:txBody>
      </xdr:sp>
      <xdr:sp macro="" textlink="">
        <xdr:nvSpPr>
          <xdr:cNvPr id="16" name="TextBox 89"/>
          <xdr:cNvSpPr txBox="1"/>
        </xdr:nvSpPr>
        <xdr:spPr>
          <a:xfrm>
            <a:off x="1914989" y="2496392"/>
            <a:ext cx="72808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D</a:t>
            </a:r>
            <a:endParaRPr lang="en-IN" sz="1400" b="1"/>
          </a:p>
        </xdr:txBody>
      </xdr:sp>
    </xdr:grpSp>
    <xdr:clientData/>
  </xdr:twoCellAnchor>
  <xdr:twoCellAnchor editAs="oneCell">
    <xdr:from>
      <xdr:col>10</xdr:col>
      <xdr:colOff>600612</xdr:colOff>
      <xdr:row>527</xdr:row>
      <xdr:rowOff>28575</xdr:rowOff>
    </xdr:from>
    <xdr:to>
      <xdr:col>13</xdr:col>
      <xdr:colOff>617114</xdr:colOff>
      <xdr:row>539</xdr:row>
      <xdr:rowOff>148275</xdr:rowOff>
    </xdr:to>
    <xdr:pic>
      <xdr:nvPicPr>
        <xdr:cNvPr id="17" name="Picture 16"/>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8839737" y="91039950"/>
          <a:ext cx="2483477" cy="2520000"/>
        </a:xfrm>
        <a:prstGeom prst="rect">
          <a:avLst/>
        </a:prstGeom>
        <a:ln>
          <a:solidFill>
            <a:schemeClr val="tx1"/>
          </a:solidFill>
        </a:ln>
      </xdr:spPr>
    </xdr:pic>
    <xdr:clientData/>
  </xdr:twoCellAnchor>
  <xdr:twoCellAnchor>
    <xdr:from>
      <xdr:col>8</xdr:col>
      <xdr:colOff>990600</xdr:colOff>
      <xdr:row>541</xdr:row>
      <xdr:rowOff>13205</xdr:rowOff>
    </xdr:from>
    <xdr:to>
      <xdr:col>15</xdr:col>
      <xdr:colOff>629110</xdr:colOff>
      <xdr:row>561</xdr:row>
      <xdr:rowOff>116253</xdr:rowOff>
    </xdr:to>
    <xdr:grpSp>
      <xdr:nvGrpSpPr>
        <xdr:cNvPr id="18" name="Group 17"/>
        <xdr:cNvGrpSpPr/>
      </xdr:nvGrpSpPr>
      <xdr:grpSpPr>
        <a:xfrm>
          <a:off x="7613650" y="116662705"/>
          <a:ext cx="5963110" cy="4040048"/>
          <a:chOff x="727478" y="4988303"/>
          <a:chExt cx="5677360" cy="4103548"/>
        </a:xfrm>
      </xdr:grpSpPr>
      <xdr:grpSp>
        <xdr:nvGrpSpPr>
          <xdr:cNvPr id="19" name="Group 18"/>
          <xdr:cNvGrpSpPr/>
        </xdr:nvGrpSpPr>
        <xdr:grpSpPr>
          <a:xfrm>
            <a:off x="727478" y="4988303"/>
            <a:ext cx="5677360" cy="4103548"/>
            <a:chOff x="1420634" y="4935677"/>
            <a:chExt cx="4500000" cy="3177198"/>
          </a:xfrm>
        </xdr:grpSpPr>
        <xdr:pic>
          <xdr:nvPicPr>
            <xdr:cNvPr id="21" name="Picture 20"/>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420634" y="4935677"/>
              <a:ext cx="4500000" cy="3177198"/>
            </a:xfrm>
            <a:prstGeom prst="rect">
              <a:avLst/>
            </a:prstGeom>
            <a:ln>
              <a:solidFill>
                <a:schemeClr val="tx1"/>
              </a:solidFill>
            </a:ln>
          </xdr:spPr>
        </xdr:pic>
        <xdr:sp macro="" textlink="">
          <xdr:nvSpPr>
            <xdr:cNvPr id="22" name="Freeform 21"/>
            <xdr:cNvSpPr/>
          </xdr:nvSpPr>
          <xdr:spPr>
            <a:xfrm>
              <a:off x="3305175" y="5619750"/>
              <a:ext cx="942975" cy="1600200"/>
            </a:xfrm>
            <a:custGeom>
              <a:avLst/>
              <a:gdLst>
                <a:gd name="connsiteX0" fmla="*/ 0 w 942975"/>
                <a:gd name="connsiteY0" fmla="*/ 438150 h 1600200"/>
                <a:gd name="connsiteX1" fmla="*/ 247650 w 942975"/>
                <a:gd name="connsiteY1" fmla="*/ 409575 h 1600200"/>
                <a:gd name="connsiteX2" fmla="*/ 228600 w 942975"/>
                <a:gd name="connsiteY2" fmla="*/ 0 h 1600200"/>
                <a:gd name="connsiteX3" fmla="*/ 885825 w 942975"/>
                <a:gd name="connsiteY3" fmla="*/ 38100 h 1600200"/>
                <a:gd name="connsiteX4" fmla="*/ 942975 w 942975"/>
                <a:gd name="connsiteY4" fmla="*/ 1371600 h 1600200"/>
                <a:gd name="connsiteX5" fmla="*/ 628650 w 942975"/>
                <a:gd name="connsiteY5" fmla="*/ 1371600 h 1600200"/>
                <a:gd name="connsiteX6" fmla="*/ 638175 w 942975"/>
                <a:gd name="connsiteY6" fmla="*/ 1590675 h 1600200"/>
                <a:gd name="connsiteX7" fmla="*/ 333375 w 942975"/>
                <a:gd name="connsiteY7" fmla="*/ 1600200 h 1600200"/>
                <a:gd name="connsiteX8" fmla="*/ 323850 w 942975"/>
                <a:gd name="connsiteY8" fmla="*/ 866775 h 1600200"/>
                <a:gd name="connsiteX9" fmla="*/ 28575 w 942975"/>
                <a:gd name="connsiteY9" fmla="*/ 866775 h 1600200"/>
                <a:gd name="connsiteX10" fmla="*/ 0 w 942975"/>
                <a:gd name="connsiteY10" fmla="*/ 438150 h 160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942975" h="1600200">
                  <a:moveTo>
                    <a:pt x="0" y="438150"/>
                  </a:moveTo>
                  <a:lnTo>
                    <a:pt x="247650" y="409575"/>
                  </a:lnTo>
                  <a:lnTo>
                    <a:pt x="228600" y="0"/>
                  </a:lnTo>
                  <a:lnTo>
                    <a:pt x="885825" y="38100"/>
                  </a:lnTo>
                  <a:lnTo>
                    <a:pt x="942975" y="1371600"/>
                  </a:lnTo>
                  <a:lnTo>
                    <a:pt x="628650" y="1371600"/>
                  </a:lnTo>
                  <a:lnTo>
                    <a:pt x="638175" y="1590675"/>
                  </a:lnTo>
                  <a:lnTo>
                    <a:pt x="333375" y="1600200"/>
                  </a:lnTo>
                  <a:lnTo>
                    <a:pt x="323850" y="866775"/>
                  </a:lnTo>
                  <a:lnTo>
                    <a:pt x="28575" y="866775"/>
                  </a:lnTo>
                  <a:lnTo>
                    <a:pt x="0" y="43815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TextBox 94"/>
            <xdr:cNvSpPr txBox="1"/>
          </xdr:nvSpPr>
          <xdr:spPr>
            <a:xfrm>
              <a:off x="4036093" y="4949243"/>
              <a:ext cx="1884541" cy="285958"/>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Borivali Project (Lodha Altus</a:t>
              </a:r>
              <a:r>
                <a:rPr lang="en-US"/>
                <a:t>)</a:t>
              </a:r>
              <a:endParaRPr lang="en-IN"/>
            </a:p>
          </xdr:txBody>
        </xdr:sp>
      </xdr:grpSp>
      <xdr:cxnSp macro="">
        <xdr:nvCxnSpPr>
          <xdr:cNvPr id="20" name="Straight Arrow Connector 19"/>
          <xdr:cNvCxnSpPr>
            <a:stCxn id="23" idx="1"/>
            <a:endCxn id="22" idx="2"/>
          </xdr:cNvCxnSpPr>
        </xdr:nvCxnSpPr>
        <xdr:spPr>
          <a:xfrm flipH="1">
            <a:off x="3393492" y="5190490"/>
            <a:ext cx="633742" cy="68133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10</xdr:col>
      <xdr:colOff>628650</xdr:colOff>
      <xdr:row>5</xdr:row>
      <xdr:rowOff>9525</xdr:rowOff>
    </xdr:from>
    <xdr:to>
      <xdr:col>15</xdr:col>
      <xdr:colOff>113850</xdr:colOff>
      <xdr:row>13</xdr:row>
      <xdr:rowOff>191713</xdr:rowOff>
    </xdr:to>
    <xdr:pic>
      <xdr:nvPicPr>
        <xdr:cNvPr id="24" name="Picture 23"/>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867775" y="1390650"/>
          <a:ext cx="3600000" cy="1782388"/>
        </a:xfrm>
        <a:prstGeom prst="rect">
          <a:avLst/>
        </a:prstGeom>
        <a:ln>
          <a:solidFill>
            <a:schemeClr val="tx1"/>
          </a:solidFill>
        </a:ln>
      </xdr:spPr>
    </xdr:pic>
    <xdr:clientData/>
  </xdr:twoCellAnchor>
  <xdr:twoCellAnchor editAs="oneCell">
    <xdr:from>
      <xdr:col>11</xdr:col>
      <xdr:colOff>12700</xdr:colOff>
      <xdr:row>51</xdr:row>
      <xdr:rowOff>403226</xdr:rowOff>
    </xdr:from>
    <xdr:to>
      <xdr:col>16</xdr:col>
      <xdr:colOff>167100</xdr:colOff>
      <xdr:row>53</xdr:row>
      <xdr:rowOff>297832</xdr:rowOff>
    </xdr:to>
    <xdr:pic>
      <xdr:nvPicPr>
        <xdr:cNvPr id="26" name="Picture 25"/>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442450" y="12309476"/>
          <a:ext cx="4491450" cy="1097931"/>
        </a:xfrm>
        <a:prstGeom prst="rect">
          <a:avLst/>
        </a:prstGeom>
        <a:ln>
          <a:solidFill>
            <a:schemeClr val="tx1"/>
          </a:solidFill>
        </a:ln>
      </xdr:spPr>
    </xdr:pic>
    <xdr:clientData/>
  </xdr:twoCellAnchor>
  <xdr:twoCellAnchor editAs="oneCell">
    <xdr:from>
      <xdr:col>11</xdr:col>
      <xdr:colOff>38100</xdr:colOff>
      <xdr:row>53</xdr:row>
      <xdr:rowOff>352426</xdr:rowOff>
    </xdr:from>
    <xdr:to>
      <xdr:col>15</xdr:col>
      <xdr:colOff>275775</xdr:colOff>
      <xdr:row>64</xdr:row>
      <xdr:rowOff>279324</xdr:rowOff>
    </xdr:to>
    <xdr:pic>
      <xdr:nvPicPr>
        <xdr:cNvPr id="27" name="Picture 26"/>
        <xdr:cNvPicPr>
          <a:picLocks noChangeAspect="1"/>
        </xdr:cNvPicPr>
      </xdr:nvPicPr>
      <xdr:blipFill>
        <a:blip xmlns:r="http://schemas.openxmlformats.org/officeDocument/2006/relationships" r:embed="rId8"/>
        <a:stretch>
          <a:fillRect/>
        </a:stretch>
      </xdr:blipFill>
      <xdr:spPr>
        <a:xfrm>
          <a:off x="9029700" y="13468351"/>
          <a:ext cx="3600000" cy="3447973"/>
        </a:xfrm>
        <a:prstGeom prst="rect">
          <a:avLst/>
        </a:prstGeom>
        <a:ln>
          <a:solidFill>
            <a:schemeClr val="tx1"/>
          </a:solidFill>
        </a:ln>
      </xdr:spPr>
    </xdr:pic>
    <xdr:clientData/>
  </xdr:twoCellAnchor>
  <xdr:twoCellAnchor editAs="oneCell">
    <xdr:from>
      <xdr:col>9</xdr:col>
      <xdr:colOff>400050</xdr:colOff>
      <xdr:row>63</xdr:row>
      <xdr:rowOff>19050</xdr:rowOff>
    </xdr:from>
    <xdr:to>
      <xdr:col>13</xdr:col>
      <xdr:colOff>771075</xdr:colOff>
      <xdr:row>71</xdr:row>
      <xdr:rowOff>145862</xdr:rowOff>
    </xdr:to>
    <xdr:pic>
      <xdr:nvPicPr>
        <xdr:cNvPr id="28" name="Picture 27"/>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7877175" y="15878175"/>
          <a:ext cx="3600000" cy="2381062"/>
        </a:xfrm>
        <a:prstGeom prst="rect">
          <a:avLst/>
        </a:prstGeom>
        <a:ln>
          <a:solidFill>
            <a:schemeClr val="tx1"/>
          </a:solidFill>
        </a:ln>
      </xdr:spPr>
    </xdr:pic>
    <xdr:clientData/>
  </xdr:twoCellAnchor>
  <xdr:twoCellAnchor>
    <xdr:from>
      <xdr:col>0</xdr:col>
      <xdr:colOff>66675</xdr:colOff>
      <xdr:row>488</xdr:row>
      <xdr:rowOff>104775</xdr:rowOff>
    </xdr:from>
    <xdr:to>
      <xdr:col>7</xdr:col>
      <xdr:colOff>676275</xdr:colOff>
      <xdr:row>520</xdr:row>
      <xdr:rowOff>1102</xdr:rowOff>
    </xdr:to>
    <xdr:grpSp>
      <xdr:nvGrpSpPr>
        <xdr:cNvPr id="39" name="Group 38"/>
        <xdr:cNvGrpSpPr/>
      </xdr:nvGrpSpPr>
      <xdr:grpSpPr>
        <a:xfrm>
          <a:off x="66675" y="106321225"/>
          <a:ext cx="6464300" cy="6195527"/>
          <a:chOff x="-643890" y="161574"/>
          <a:chExt cx="8145780" cy="7249627"/>
        </a:xfrm>
      </xdr:grpSpPr>
      <xdr:grpSp>
        <xdr:nvGrpSpPr>
          <xdr:cNvPr id="40" name="Group 39"/>
          <xdr:cNvGrpSpPr/>
        </xdr:nvGrpSpPr>
        <xdr:grpSpPr>
          <a:xfrm>
            <a:off x="-643890" y="161574"/>
            <a:ext cx="8145780" cy="4587240"/>
            <a:chOff x="0" y="68580"/>
            <a:chExt cx="8145780" cy="4587240"/>
          </a:xfrm>
        </xdr:grpSpPr>
        <xdr:pic>
          <xdr:nvPicPr>
            <xdr:cNvPr id="42" name="Picture 41"/>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a:ext>
              </a:extLst>
            </a:blip>
            <a:srcRect l="-1" t="1458" r="558" b="1053"/>
            <a:stretch/>
          </xdr:blipFill>
          <xdr:spPr>
            <a:xfrm>
              <a:off x="0" y="68580"/>
              <a:ext cx="8145780" cy="458724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rot="5400000">
              <a:off x="925010" y="3755820"/>
              <a:ext cx="900000" cy="900000"/>
            </a:xfrm>
            <a:prstGeom prst="rect">
              <a:avLst/>
            </a:prstGeom>
          </xdr:spPr>
        </xdr:pic>
        <xdr:sp macro="" textlink="">
          <xdr:nvSpPr>
            <xdr:cNvPr id="44" name="Rectangle 43"/>
            <xdr:cNvSpPr/>
          </xdr:nvSpPr>
          <xdr:spPr>
            <a:xfrm>
              <a:off x="3765550" y="1752600"/>
              <a:ext cx="1911350" cy="1250950"/>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5" name="Rectangle 44"/>
            <xdr:cNvSpPr/>
          </xdr:nvSpPr>
          <xdr:spPr>
            <a:xfrm>
              <a:off x="5676900" y="1752600"/>
              <a:ext cx="1911350" cy="1250950"/>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6" name="TextBox 5"/>
            <xdr:cNvSpPr txBox="1"/>
          </xdr:nvSpPr>
          <xdr:spPr>
            <a:xfrm>
              <a:off x="4095463" y="1383267"/>
              <a:ext cx="1167962" cy="43073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2060"/>
                  </a:solidFill>
                </a:rPr>
                <a:t>Wing A</a:t>
              </a:r>
              <a:endParaRPr lang="en-IN" b="1">
                <a:solidFill>
                  <a:srgbClr val="002060"/>
                </a:solidFill>
              </a:endParaRPr>
            </a:p>
          </xdr:txBody>
        </xdr:sp>
        <xdr:sp macro="" textlink="">
          <xdr:nvSpPr>
            <xdr:cNvPr id="47" name="TextBox 7"/>
            <xdr:cNvSpPr txBox="1"/>
          </xdr:nvSpPr>
          <xdr:spPr>
            <a:xfrm>
              <a:off x="6006813" y="1383267"/>
              <a:ext cx="1167962" cy="43073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2060"/>
                  </a:solidFill>
                </a:rPr>
                <a:t>Wing B</a:t>
              </a:r>
              <a:endParaRPr lang="en-IN" b="1">
                <a:solidFill>
                  <a:srgbClr val="002060"/>
                </a:solidFill>
              </a:endParaRPr>
            </a:p>
          </xdr:txBody>
        </xdr:sp>
      </xdr:grpSp>
      <xdr:pic>
        <xdr:nvPicPr>
          <xdr:cNvPr id="41" name="Picture 40"/>
          <xdr:cNvPicPr>
            <a:picLocks noChangeAspect="1"/>
          </xdr:cNvPicPr>
        </xdr:nvPicPr>
        <xdr:blipFill>
          <a:blip xmlns:r="http://schemas.openxmlformats.org/officeDocument/2006/relationships" r:embed="rId12"/>
          <a:stretch>
            <a:fillRect/>
          </a:stretch>
        </xdr:blipFill>
        <xdr:spPr>
          <a:xfrm>
            <a:off x="2021433" y="4891201"/>
            <a:ext cx="2815135" cy="2520000"/>
          </a:xfrm>
          <a:prstGeom prst="rect">
            <a:avLst/>
          </a:prstGeom>
          <a:ln>
            <a:solidFill>
              <a:schemeClr val="tx1"/>
            </a:solidFill>
          </a:ln>
        </xdr:spPr>
      </xdr:pic>
    </xdr:grpSp>
    <xdr:clientData/>
  </xdr:twoCellAnchor>
  <xdr:twoCellAnchor>
    <xdr:from>
      <xdr:col>0</xdr:col>
      <xdr:colOff>352425</xdr:colOff>
      <xdr:row>529</xdr:row>
      <xdr:rowOff>133350</xdr:rowOff>
    </xdr:from>
    <xdr:to>
      <xdr:col>7</xdr:col>
      <xdr:colOff>447975</xdr:colOff>
      <xdr:row>563</xdr:row>
      <xdr:rowOff>107829</xdr:rowOff>
    </xdr:to>
    <xdr:grpSp>
      <xdr:nvGrpSpPr>
        <xdr:cNvPr id="49" name="Group 48"/>
        <xdr:cNvGrpSpPr/>
      </xdr:nvGrpSpPr>
      <xdr:grpSpPr>
        <a:xfrm>
          <a:off x="352425" y="114420650"/>
          <a:ext cx="5950250" cy="6667379"/>
          <a:chOff x="590400" y="0"/>
          <a:chExt cx="5677200" cy="6775329"/>
        </a:xfrm>
      </xdr:grpSpPr>
      <xdr:pic>
        <xdr:nvPicPr>
          <xdr:cNvPr id="50" name="Picture 49"/>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2186272" y="0"/>
            <a:ext cx="2483477" cy="2520000"/>
          </a:xfrm>
          <a:prstGeom prst="rect">
            <a:avLst/>
          </a:prstGeom>
          <a:ln>
            <a:solidFill>
              <a:schemeClr val="tx1"/>
            </a:solidFill>
          </a:ln>
        </xdr:spPr>
      </xdr:pic>
      <xdr:grpSp>
        <xdr:nvGrpSpPr>
          <xdr:cNvPr id="51" name="Group 50"/>
          <xdr:cNvGrpSpPr/>
        </xdr:nvGrpSpPr>
        <xdr:grpSpPr>
          <a:xfrm>
            <a:off x="590400" y="2669725"/>
            <a:ext cx="5677200" cy="4105604"/>
            <a:chOff x="590400" y="2790496"/>
            <a:chExt cx="5677200" cy="4105604"/>
          </a:xfrm>
        </xdr:grpSpPr>
        <xdr:grpSp>
          <xdr:nvGrpSpPr>
            <xdr:cNvPr id="52" name="Group 51"/>
            <xdr:cNvGrpSpPr/>
          </xdr:nvGrpSpPr>
          <xdr:grpSpPr>
            <a:xfrm>
              <a:off x="590400" y="2792100"/>
              <a:ext cx="5677200" cy="4104000"/>
              <a:chOff x="-4592189" y="-206902"/>
              <a:chExt cx="9851366" cy="5417389"/>
            </a:xfrm>
          </xdr:grpSpPr>
          <xdr:pic>
            <xdr:nvPicPr>
              <xdr:cNvPr id="55" name="Picture 54"/>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4592189" y="-206902"/>
                <a:ext cx="9851366" cy="5417389"/>
              </a:xfrm>
              <a:prstGeom prst="rect">
                <a:avLst/>
              </a:prstGeom>
              <a:ln>
                <a:solidFill>
                  <a:schemeClr val="tx1"/>
                </a:solidFill>
              </a:ln>
            </xdr:spPr>
          </xdr:pic>
          <xdr:sp macro="" textlink="">
            <xdr:nvSpPr>
              <xdr:cNvPr id="56" name="Freeform 55"/>
              <xdr:cNvSpPr/>
            </xdr:nvSpPr>
            <xdr:spPr>
              <a:xfrm>
                <a:off x="-1038780" y="458099"/>
                <a:ext cx="2295525" cy="4110451"/>
              </a:xfrm>
              <a:custGeom>
                <a:avLst/>
                <a:gdLst>
                  <a:gd name="connsiteX0" fmla="*/ 0 w 942975"/>
                  <a:gd name="connsiteY0" fmla="*/ 438150 h 1600200"/>
                  <a:gd name="connsiteX1" fmla="*/ 247650 w 942975"/>
                  <a:gd name="connsiteY1" fmla="*/ 409575 h 1600200"/>
                  <a:gd name="connsiteX2" fmla="*/ 228600 w 942975"/>
                  <a:gd name="connsiteY2" fmla="*/ 0 h 1600200"/>
                  <a:gd name="connsiteX3" fmla="*/ 885825 w 942975"/>
                  <a:gd name="connsiteY3" fmla="*/ 38100 h 1600200"/>
                  <a:gd name="connsiteX4" fmla="*/ 942975 w 942975"/>
                  <a:gd name="connsiteY4" fmla="*/ 1371600 h 1600200"/>
                  <a:gd name="connsiteX5" fmla="*/ 628650 w 942975"/>
                  <a:gd name="connsiteY5" fmla="*/ 1371600 h 1600200"/>
                  <a:gd name="connsiteX6" fmla="*/ 638175 w 942975"/>
                  <a:gd name="connsiteY6" fmla="*/ 1590675 h 1600200"/>
                  <a:gd name="connsiteX7" fmla="*/ 333375 w 942975"/>
                  <a:gd name="connsiteY7" fmla="*/ 1600200 h 1600200"/>
                  <a:gd name="connsiteX8" fmla="*/ 323850 w 942975"/>
                  <a:gd name="connsiteY8" fmla="*/ 866775 h 1600200"/>
                  <a:gd name="connsiteX9" fmla="*/ 28575 w 942975"/>
                  <a:gd name="connsiteY9" fmla="*/ 866775 h 1600200"/>
                  <a:gd name="connsiteX10" fmla="*/ 0 w 942975"/>
                  <a:gd name="connsiteY10" fmla="*/ 438150 h 160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942975" h="1600200">
                    <a:moveTo>
                      <a:pt x="0" y="438150"/>
                    </a:moveTo>
                    <a:lnTo>
                      <a:pt x="247650" y="409575"/>
                    </a:lnTo>
                    <a:lnTo>
                      <a:pt x="228600" y="0"/>
                    </a:lnTo>
                    <a:lnTo>
                      <a:pt x="885825" y="38100"/>
                    </a:lnTo>
                    <a:lnTo>
                      <a:pt x="942975" y="1371600"/>
                    </a:lnTo>
                    <a:lnTo>
                      <a:pt x="628650" y="1371600"/>
                    </a:lnTo>
                    <a:lnTo>
                      <a:pt x="638175" y="1590675"/>
                    </a:lnTo>
                    <a:lnTo>
                      <a:pt x="333375" y="1600200"/>
                    </a:lnTo>
                    <a:lnTo>
                      <a:pt x="323850" y="866775"/>
                    </a:lnTo>
                    <a:lnTo>
                      <a:pt x="28575" y="866775"/>
                    </a:lnTo>
                    <a:lnTo>
                      <a:pt x="0" y="43815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53" name="TextBox 94"/>
            <xdr:cNvSpPr txBox="1"/>
          </xdr:nvSpPr>
          <xdr:spPr>
            <a:xfrm>
              <a:off x="3888652" y="2790496"/>
              <a:ext cx="2377604" cy="369332"/>
            </a:xfrm>
            <a:prstGeom prst="rect">
              <a:avLst/>
            </a:prstGeom>
            <a:solidFill>
              <a:schemeClr val="bg2"/>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Borivali Project (Lodha Altus</a:t>
              </a:r>
              <a:r>
                <a:rPr lang="en-US"/>
                <a:t>)</a:t>
              </a:r>
              <a:endParaRPr lang="en-IN"/>
            </a:p>
          </xdr:txBody>
        </xdr:sp>
        <xdr:cxnSp macro="">
          <xdr:nvCxnSpPr>
            <xdr:cNvPr id="54" name="Straight Arrow Connector 53"/>
            <xdr:cNvCxnSpPr/>
          </xdr:nvCxnSpPr>
          <xdr:spPr>
            <a:xfrm flipH="1">
              <a:off x="3428010" y="3023507"/>
              <a:ext cx="459298" cy="272371"/>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425450</xdr:colOff>
      <xdr:row>446</xdr:row>
      <xdr:rowOff>158750</xdr:rowOff>
    </xdr:from>
    <xdr:to>
      <xdr:col>15</xdr:col>
      <xdr:colOff>236767</xdr:colOff>
      <xdr:row>473</xdr:row>
      <xdr:rowOff>18483</xdr:rowOff>
    </xdr:to>
    <xdr:grpSp>
      <xdr:nvGrpSpPr>
        <xdr:cNvPr id="57" name="Group 56"/>
        <xdr:cNvGrpSpPr/>
      </xdr:nvGrpSpPr>
      <xdr:grpSpPr>
        <a:xfrm>
          <a:off x="7048500" y="98113850"/>
          <a:ext cx="6135917" cy="5168333"/>
          <a:chOff x="234950" y="82619850"/>
          <a:chExt cx="6135917" cy="5168333"/>
        </a:xfrm>
      </xdr:grpSpPr>
      <xdr:pic>
        <xdr:nvPicPr>
          <xdr:cNvPr id="58" name="Picture 5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404035" y="85628183"/>
            <a:ext cx="2865387" cy="2160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34950" y="82619850"/>
            <a:ext cx="2166025" cy="288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6"/>
          <a:stretch>
            <a:fillRect/>
          </a:stretch>
        </xdr:blipFill>
        <xdr:spPr>
          <a:xfrm>
            <a:off x="2550351" y="82619850"/>
            <a:ext cx="3820516" cy="288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60210" y="85628183"/>
            <a:ext cx="2876000" cy="2160000"/>
          </a:xfrm>
          <a:prstGeom prst="rect">
            <a:avLst/>
          </a:prstGeom>
          <a:ln>
            <a:solidFill>
              <a:schemeClr val="tx1"/>
            </a:solidFill>
          </a:ln>
        </xdr:spPr>
      </xdr:pic>
    </xdr:grpSp>
    <xdr:clientData/>
  </xdr:twoCellAnchor>
  <xdr:twoCellAnchor editAs="oneCell">
    <xdr:from>
      <xdr:col>8</xdr:col>
      <xdr:colOff>114300</xdr:colOff>
      <xdr:row>18</xdr:row>
      <xdr:rowOff>203200</xdr:rowOff>
    </xdr:from>
    <xdr:to>
      <xdr:col>12</xdr:col>
      <xdr:colOff>662400</xdr:colOff>
      <xdr:row>22</xdr:row>
      <xdr:rowOff>71824</xdr:rowOff>
    </xdr:to>
    <xdr:pic>
      <xdr:nvPicPr>
        <xdr:cNvPr id="62" name="Picture 61"/>
        <xdr:cNvPicPr>
          <a:picLocks noChangeAspect="1"/>
        </xdr:cNvPicPr>
      </xdr:nvPicPr>
      <xdr:blipFill>
        <a:blip xmlns:r="http://schemas.openxmlformats.org/officeDocument/2006/relationships" r:embed="rId18"/>
        <a:stretch>
          <a:fillRect/>
        </a:stretch>
      </xdr:blipFill>
      <xdr:spPr>
        <a:xfrm>
          <a:off x="6737350" y="4730750"/>
          <a:ext cx="4320000" cy="865574"/>
        </a:xfrm>
        <a:prstGeom prst="rect">
          <a:avLst/>
        </a:prstGeom>
        <a:ln>
          <a:solidFill>
            <a:schemeClr val="tx1"/>
          </a:solidFill>
        </a:ln>
      </xdr:spPr>
    </xdr:pic>
    <xdr:clientData/>
  </xdr:twoCellAnchor>
  <xdr:twoCellAnchor>
    <xdr:from>
      <xdr:col>10</xdr:col>
      <xdr:colOff>463550</xdr:colOff>
      <xdr:row>133</xdr:row>
      <xdr:rowOff>50800</xdr:rowOff>
    </xdr:from>
    <xdr:to>
      <xdr:col>15</xdr:col>
      <xdr:colOff>727170</xdr:colOff>
      <xdr:row>148</xdr:row>
      <xdr:rowOff>85275</xdr:rowOff>
    </xdr:to>
    <xdr:grpSp>
      <xdr:nvGrpSpPr>
        <xdr:cNvPr id="63" name="Group 62"/>
        <xdr:cNvGrpSpPr/>
      </xdr:nvGrpSpPr>
      <xdr:grpSpPr>
        <a:xfrm>
          <a:off x="9105900" y="27584400"/>
          <a:ext cx="4568920" cy="3577775"/>
          <a:chOff x="-6051683" y="358472"/>
          <a:chExt cx="4562541" cy="3789149"/>
        </a:xfrm>
      </xdr:grpSpPr>
      <xdr:pic>
        <xdr:nvPicPr>
          <xdr:cNvPr id="64" name="Picture 63"/>
          <xdr:cNvPicPr>
            <a:picLocks noChangeAspect="1"/>
          </xdr:cNvPicPr>
        </xdr:nvPicPr>
        <xdr:blipFill>
          <a:blip xmlns:r="http://schemas.openxmlformats.org/officeDocument/2006/relationships" r:embed="rId19"/>
          <a:stretch>
            <a:fillRect/>
          </a:stretch>
        </xdr:blipFill>
        <xdr:spPr>
          <a:xfrm>
            <a:off x="-6051683" y="547621"/>
            <a:ext cx="2175121" cy="3600000"/>
          </a:xfrm>
          <a:prstGeom prst="rect">
            <a:avLst/>
          </a:prstGeom>
        </xdr:spPr>
      </xdr:pic>
      <xdr:pic>
        <xdr:nvPicPr>
          <xdr:cNvPr id="65" name="Picture 64"/>
          <xdr:cNvPicPr>
            <a:picLocks noChangeAspect="1"/>
          </xdr:cNvPicPr>
        </xdr:nvPicPr>
        <xdr:blipFill>
          <a:blip xmlns:r="http://schemas.openxmlformats.org/officeDocument/2006/relationships" r:embed="rId20"/>
          <a:stretch>
            <a:fillRect/>
          </a:stretch>
        </xdr:blipFill>
        <xdr:spPr>
          <a:xfrm>
            <a:off x="-3893522" y="358472"/>
            <a:ext cx="2404380" cy="3600000"/>
          </a:xfrm>
          <a:prstGeom prst="rect">
            <a:avLst/>
          </a:prstGeom>
        </xdr:spPr>
      </xdr:pic>
    </xdr:grpSp>
    <xdr:clientData/>
  </xdr:twoCellAnchor>
  <xdr:twoCellAnchor editAs="oneCell">
    <xdr:from>
      <xdr:col>10</xdr:col>
      <xdr:colOff>501650</xdr:colOff>
      <xdr:row>281</xdr:row>
      <xdr:rowOff>60325</xdr:rowOff>
    </xdr:from>
    <xdr:to>
      <xdr:col>13</xdr:col>
      <xdr:colOff>201584</xdr:colOff>
      <xdr:row>298</xdr:row>
      <xdr:rowOff>126550</xdr:rowOff>
    </xdr:to>
    <xdr:pic>
      <xdr:nvPicPr>
        <xdr:cNvPr id="69" name="Picture 68"/>
        <xdr:cNvPicPr>
          <a:picLocks noChangeAspect="1"/>
        </xdr:cNvPicPr>
      </xdr:nvPicPr>
      <xdr:blipFill>
        <a:blip xmlns:r="http://schemas.openxmlformats.org/officeDocument/2006/relationships" r:embed="rId21"/>
        <a:stretch>
          <a:fillRect/>
        </a:stretch>
      </xdr:blipFill>
      <xdr:spPr>
        <a:xfrm>
          <a:off x="8740775" y="62315725"/>
          <a:ext cx="2166909" cy="3647625"/>
        </a:xfrm>
        <a:prstGeom prst="rect">
          <a:avLst/>
        </a:prstGeom>
        <a:ln>
          <a:solidFill>
            <a:schemeClr val="tx1"/>
          </a:solidFill>
        </a:ln>
      </xdr:spPr>
    </xdr:pic>
    <xdr:clientData/>
  </xdr:twoCellAnchor>
  <xdr:twoCellAnchor editAs="oneCell">
    <xdr:from>
      <xdr:col>11</xdr:col>
      <xdr:colOff>688299</xdr:colOff>
      <xdr:row>280</xdr:row>
      <xdr:rowOff>165100</xdr:rowOff>
    </xdr:from>
    <xdr:to>
      <xdr:col>14</xdr:col>
      <xdr:colOff>366078</xdr:colOff>
      <xdr:row>298</xdr:row>
      <xdr:rowOff>31300</xdr:rowOff>
    </xdr:to>
    <xdr:pic>
      <xdr:nvPicPr>
        <xdr:cNvPr id="70" name="Picture 69"/>
        <xdr:cNvPicPr>
          <a:picLocks noChangeAspect="1"/>
        </xdr:cNvPicPr>
      </xdr:nvPicPr>
      <xdr:blipFill>
        <a:blip xmlns:r="http://schemas.openxmlformats.org/officeDocument/2006/relationships" r:embed="rId22"/>
        <a:stretch>
          <a:fillRect/>
        </a:stretch>
      </xdr:blipFill>
      <xdr:spPr>
        <a:xfrm>
          <a:off x="10118049" y="60223400"/>
          <a:ext cx="2344779" cy="3600000"/>
        </a:xfrm>
        <a:prstGeom prst="rect">
          <a:avLst/>
        </a:prstGeom>
        <a:ln>
          <a:solidFill>
            <a:schemeClr val="tx1"/>
          </a:solidFill>
        </a:ln>
      </xdr:spPr>
    </xdr:pic>
    <xdr:clientData/>
  </xdr:twoCellAnchor>
  <xdr:twoCellAnchor>
    <xdr:from>
      <xdr:col>0</xdr:col>
      <xdr:colOff>120650</xdr:colOff>
      <xdr:row>447</xdr:row>
      <xdr:rowOff>69850</xdr:rowOff>
    </xdr:from>
    <xdr:to>
      <xdr:col>7</xdr:col>
      <xdr:colOff>630034</xdr:colOff>
      <xdr:row>483</xdr:row>
      <xdr:rowOff>123430</xdr:rowOff>
    </xdr:to>
    <xdr:grpSp>
      <xdr:nvGrpSpPr>
        <xdr:cNvPr id="4" name="Group 3"/>
        <xdr:cNvGrpSpPr/>
      </xdr:nvGrpSpPr>
      <xdr:grpSpPr>
        <a:xfrm>
          <a:off x="120650" y="98221800"/>
          <a:ext cx="6364084" cy="7133830"/>
          <a:chOff x="120650" y="99745800"/>
          <a:chExt cx="6364084" cy="7133830"/>
        </a:xfrm>
      </xdr:grpSpPr>
      <xdr:pic>
        <xdr:nvPicPr>
          <xdr:cNvPr id="71" name="Picture 70"/>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1854755" y="104719630"/>
            <a:ext cx="2865387" cy="2160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24"/>
          <a:stretch>
            <a:fillRect/>
          </a:stretch>
        </xdr:blipFill>
        <xdr:spPr>
          <a:xfrm>
            <a:off x="120651" y="99745800"/>
            <a:ext cx="3104169" cy="2340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25"/>
          <a:stretch>
            <a:fillRect/>
          </a:stretch>
        </xdr:blipFill>
        <xdr:spPr>
          <a:xfrm>
            <a:off x="120650" y="102232715"/>
            <a:ext cx="3104169" cy="2340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26"/>
          <a:stretch>
            <a:fillRect/>
          </a:stretch>
        </xdr:blipFill>
        <xdr:spPr>
          <a:xfrm>
            <a:off x="3369067" y="99745800"/>
            <a:ext cx="3104169" cy="2340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27"/>
          <a:stretch>
            <a:fillRect/>
          </a:stretch>
        </xdr:blipFill>
        <xdr:spPr>
          <a:xfrm>
            <a:off x="3369067" y="102232715"/>
            <a:ext cx="3115667" cy="234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nFNQ8CcQxfGkges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526"/>
  <sheetViews>
    <sheetView tabSelected="1" view="pageBreakPreview" topLeftCell="A424" zoomScaleNormal="100" zoomScaleSheetLayoutView="100" zoomScalePageLayoutView="85" workbookViewId="0">
      <selection activeCell="B434" sqref="B434:H434"/>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1.2695312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34" t="s">
        <v>157</v>
      </c>
      <c r="B1" s="234"/>
      <c r="C1" s="234"/>
      <c r="D1" s="234"/>
      <c r="E1" s="234"/>
      <c r="F1" s="234"/>
      <c r="G1" s="234"/>
      <c r="H1" s="234"/>
    </row>
    <row r="2" spans="1:26" ht="16.5" customHeight="1" x14ac:dyDescent="0.35">
      <c r="A2" s="235" t="s">
        <v>0</v>
      </c>
      <c r="B2" s="235"/>
      <c r="C2" s="235"/>
      <c r="D2" s="235"/>
      <c r="E2" s="235"/>
      <c r="F2" s="235"/>
      <c r="G2" s="235"/>
      <c r="H2" s="235"/>
    </row>
    <row r="3" spans="1:26" x14ac:dyDescent="0.35">
      <c r="A3" s="125" t="s">
        <v>1</v>
      </c>
      <c r="B3" s="125"/>
      <c r="C3" s="125"/>
      <c r="D3" s="125"/>
      <c r="E3" s="125" t="str">
        <f ca="1">TEXT(TODAY(),"DD/MM/YYYY")</f>
        <v>30/09/2025</v>
      </c>
      <c r="F3" s="125"/>
      <c r="G3" s="125"/>
      <c r="H3" s="125"/>
      <c r="K3" s="55" t="s">
        <v>226</v>
      </c>
      <c r="L3" s="54" t="s">
        <v>224</v>
      </c>
      <c r="M3" s="54" t="s">
        <v>229</v>
      </c>
      <c r="N3" s="54" t="s">
        <v>227</v>
      </c>
      <c r="O3" s="54" t="s">
        <v>325</v>
      </c>
      <c r="P3" s="54" t="s">
        <v>230</v>
      </c>
    </row>
    <row r="4" spans="1:26" ht="15" customHeight="1" x14ac:dyDescent="0.35">
      <c r="A4" s="125" t="s">
        <v>223</v>
      </c>
      <c r="B4" s="125"/>
      <c r="C4" s="125"/>
      <c r="D4" s="125"/>
      <c r="E4" s="172" t="s">
        <v>224</v>
      </c>
      <c r="F4" s="172"/>
      <c r="G4" s="172"/>
      <c r="H4" s="172"/>
      <c r="K4" s="53" t="s">
        <v>225</v>
      </c>
      <c r="L4" s="54" t="s">
        <v>163</v>
      </c>
      <c r="M4" s="54" t="s">
        <v>234</v>
      </c>
      <c r="N4" s="54" t="s">
        <v>236</v>
      </c>
      <c r="O4" s="54" t="s">
        <v>326</v>
      </c>
      <c r="P4" s="54"/>
    </row>
    <row r="5" spans="1:26" ht="15" customHeight="1" x14ac:dyDescent="0.35">
      <c r="A5" s="125" t="s">
        <v>2</v>
      </c>
      <c r="B5" s="125"/>
      <c r="C5" s="125"/>
      <c r="D5" s="125"/>
      <c r="E5" s="172" t="s">
        <v>231</v>
      </c>
      <c r="F5" s="172"/>
      <c r="G5" s="172"/>
      <c r="H5" s="172"/>
      <c r="K5" s="53"/>
      <c r="L5" s="54" t="s">
        <v>231</v>
      </c>
      <c r="M5" s="54" t="s">
        <v>235</v>
      </c>
      <c r="N5" s="54" t="s">
        <v>237</v>
      </c>
      <c r="O5" s="54" t="s">
        <v>327</v>
      </c>
      <c r="P5" s="54"/>
    </row>
    <row r="6" spans="1:26" x14ac:dyDescent="0.35">
      <c r="A6" s="125" t="s">
        <v>3</v>
      </c>
      <c r="B6" s="125"/>
      <c r="C6" s="125"/>
      <c r="D6" s="125"/>
      <c r="E6" s="236">
        <v>45924</v>
      </c>
      <c r="F6" s="125"/>
      <c r="G6" s="125"/>
      <c r="H6" s="125"/>
      <c r="K6" s="53"/>
      <c r="L6" s="54" t="s">
        <v>232</v>
      </c>
      <c r="M6" s="54" t="s">
        <v>338</v>
      </c>
      <c r="N6" s="54"/>
      <c r="O6" s="54" t="s">
        <v>328</v>
      </c>
      <c r="P6" s="54"/>
    </row>
    <row r="7" spans="1:26" ht="16.5" customHeight="1" x14ac:dyDescent="0.35">
      <c r="A7" s="125" t="s">
        <v>4</v>
      </c>
      <c r="B7" s="125"/>
      <c r="C7" s="125"/>
      <c r="D7" s="125"/>
      <c r="E7" s="125" t="s">
        <v>340</v>
      </c>
      <c r="F7" s="125"/>
      <c r="G7" s="125"/>
      <c r="H7" s="125"/>
      <c r="K7" s="53"/>
      <c r="L7" s="54" t="s">
        <v>233</v>
      </c>
      <c r="M7" s="54"/>
      <c r="N7" s="54"/>
      <c r="O7" s="54" t="s">
        <v>328</v>
      </c>
      <c r="P7" s="54"/>
    </row>
    <row r="8" spans="1:26" ht="15" customHeight="1" x14ac:dyDescent="0.35">
      <c r="A8" s="125" t="s">
        <v>5</v>
      </c>
      <c r="B8" s="125"/>
      <c r="C8" s="125"/>
      <c r="D8" s="125"/>
      <c r="E8" s="125" t="str">
        <f>E7</f>
        <v>Macrotech Developers Limited</v>
      </c>
      <c r="F8" s="125"/>
      <c r="G8" s="125"/>
      <c r="H8" s="125"/>
      <c r="K8" s="53"/>
      <c r="L8" s="54"/>
      <c r="M8" s="54"/>
      <c r="N8" s="54"/>
      <c r="O8" s="54" t="s">
        <v>329</v>
      </c>
      <c r="P8" s="54"/>
    </row>
    <row r="9" spans="1:26" x14ac:dyDescent="0.35">
      <c r="A9" s="125" t="s">
        <v>406</v>
      </c>
      <c r="B9" s="125"/>
      <c r="C9" s="125"/>
      <c r="D9" s="125"/>
      <c r="E9" s="126" t="s">
        <v>398</v>
      </c>
      <c r="F9" s="126"/>
      <c r="G9" s="126"/>
      <c r="H9" s="126"/>
      <c r="K9" s="53"/>
      <c r="L9" s="54"/>
      <c r="M9" s="54"/>
      <c r="N9" s="54"/>
      <c r="O9" s="54" t="s">
        <v>330</v>
      </c>
      <c r="P9" s="54"/>
    </row>
    <row r="10" spans="1:26" x14ac:dyDescent="0.35">
      <c r="A10" s="125" t="s">
        <v>407</v>
      </c>
      <c r="B10" s="125"/>
      <c r="C10" s="125"/>
      <c r="D10" s="125"/>
      <c r="E10" s="126" t="s">
        <v>408</v>
      </c>
      <c r="F10" s="126"/>
      <c r="G10" s="126"/>
      <c r="H10" s="126"/>
      <c r="K10" s="53"/>
      <c r="L10" s="54"/>
      <c r="M10" s="54"/>
      <c r="N10" s="54"/>
      <c r="O10" s="54" t="s">
        <v>330</v>
      </c>
      <c r="P10" s="54"/>
    </row>
    <row r="11" spans="1:26" x14ac:dyDescent="0.35">
      <c r="A11" s="172" t="s">
        <v>368</v>
      </c>
      <c r="B11" s="172"/>
      <c r="C11" s="172"/>
      <c r="D11" s="172"/>
      <c r="E11" s="126" t="s">
        <v>369</v>
      </c>
      <c r="F11" s="126"/>
      <c r="G11" s="126"/>
      <c r="H11" s="126"/>
      <c r="K11" s="53"/>
      <c r="L11" s="54"/>
      <c r="M11" s="54"/>
      <c r="N11" s="54"/>
      <c r="O11" s="54" t="s">
        <v>330</v>
      </c>
      <c r="P11" s="54"/>
    </row>
    <row r="12" spans="1:26" x14ac:dyDescent="0.35">
      <c r="A12" s="125" t="s">
        <v>159</v>
      </c>
      <c r="B12" s="125"/>
      <c r="C12" s="125"/>
      <c r="D12" s="125"/>
      <c r="E12" s="125" t="s">
        <v>341</v>
      </c>
      <c r="F12" s="125"/>
      <c r="G12" s="125"/>
      <c r="H12" s="125"/>
      <c r="K12" s="53"/>
      <c r="L12" s="54"/>
      <c r="M12" s="54"/>
      <c r="N12" s="54"/>
      <c r="O12" s="54" t="s">
        <v>331</v>
      </c>
      <c r="P12" s="54"/>
    </row>
    <row r="13" spans="1:26" x14ac:dyDescent="0.35">
      <c r="A13" s="125" t="s">
        <v>160</v>
      </c>
      <c r="B13" s="125"/>
      <c r="C13" s="125"/>
      <c r="D13" s="125"/>
      <c r="E13" s="125" t="s">
        <v>422</v>
      </c>
      <c r="F13" s="125"/>
      <c r="G13" s="125"/>
      <c r="H13" s="125"/>
      <c r="I13" s="149" t="s">
        <v>342</v>
      </c>
      <c r="J13" s="149"/>
      <c r="K13" s="149"/>
      <c r="L13" s="149"/>
      <c r="O13" s="54" t="s">
        <v>332</v>
      </c>
    </row>
    <row r="14" spans="1:26" x14ac:dyDescent="0.35">
      <c r="A14" s="125" t="s">
        <v>6</v>
      </c>
      <c r="B14" s="125"/>
      <c r="C14" s="125"/>
      <c r="D14" s="125"/>
      <c r="E14" s="125" t="s">
        <v>344</v>
      </c>
      <c r="F14" s="125"/>
      <c r="G14" s="125"/>
      <c r="H14" s="125"/>
    </row>
    <row r="15" spans="1:26" x14ac:dyDescent="0.35">
      <c r="A15" s="172" t="s">
        <v>164</v>
      </c>
      <c r="B15" s="172"/>
      <c r="C15" s="172"/>
      <c r="D15" s="172"/>
      <c r="E15" s="125" t="s">
        <v>345</v>
      </c>
      <c r="F15" s="125"/>
      <c r="G15" s="125"/>
      <c r="H15" s="125"/>
      <c r="S15" s="54" t="s">
        <v>170</v>
      </c>
      <c r="T15" s="54" t="s">
        <v>179</v>
      </c>
      <c r="U15" s="54" t="s">
        <v>165</v>
      </c>
      <c r="V15" s="54" t="s">
        <v>184</v>
      </c>
      <c r="W15" s="54" t="s">
        <v>202</v>
      </c>
      <c r="X15"/>
      <c r="Y15" t="s">
        <v>184</v>
      </c>
      <c r="Z15" t="e">
        <f ca="1">OFFSET($S$15,1,MATCH($G22,$S$15:$W$15,0)-1,15,1)</f>
        <v>#VALUE!</v>
      </c>
    </row>
    <row r="16" spans="1:26" x14ac:dyDescent="0.35">
      <c r="A16" s="113" t="s">
        <v>269</v>
      </c>
      <c r="B16" s="113"/>
      <c r="C16" s="113"/>
      <c r="D16" s="113"/>
      <c r="E16" s="237" t="s">
        <v>378</v>
      </c>
      <c r="F16" s="237"/>
      <c r="G16" s="237"/>
      <c r="H16" s="237"/>
      <c r="S16" s="54" t="s">
        <v>170</v>
      </c>
      <c r="T16" s="54" t="s">
        <v>177</v>
      </c>
      <c r="U16" s="54" t="s">
        <v>199</v>
      </c>
      <c r="V16" s="54" t="s">
        <v>185</v>
      </c>
      <c r="W16" s="54" t="s">
        <v>203</v>
      </c>
      <c r="X16"/>
      <c r="Y16"/>
      <c r="Z16"/>
    </row>
    <row r="17" spans="1:26" x14ac:dyDescent="0.35">
      <c r="A17" s="113" t="s">
        <v>7</v>
      </c>
      <c r="B17" s="113"/>
      <c r="C17" s="113"/>
      <c r="D17" s="113"/>
      <c r="E17" s="237" t="s">
        <v>339</v>
      </c>
      <c r="F17" s="172"/>
      <c r="G17" s="172"/>
      <c r="H17" s="172"/>
      <c r="I17" s="194" t="e">
        <f ca="1">OFFSET($D$5,1,MATCH($J15,$D$5:$H$5,0)-1,15,1)</f>
        <v>#N/A</v>
      </c>
      <c r="J17" s="195"/>
      <c r="K17" s="195"/>
      <c r="L17" s="195"/>
      <c r="M17" s="195"/>
      <c r="N17" s="195"/>
      <c r="O17" s="195"/>
      <c r="P17" s="195"/>
      <c r="S17" s="54" t="s">
        <v>171</v>
      </c>
      <c r="T17" s="54" t="s">
        <v>178</v>
      </c>
      <c r="U17" s="54" t="s">
        <v>200</v>
      </c>
      <c r="V17" s="54" t="s">
        <v>186</v>
      </c>
      <c r="W17" s="54" t="s">
        <v>216</v>
      </c>
      <c r="X17"/>
      <c r="Y17"/>
      <c r="Z17"/>
    </row>
    <row r="18" spans="1:26" ht="61.5" customHeight="1" x14ac:dyDescent="0.35">
      <c r="A18" s="169" t="s">
        <v>8</v>
      </c>
      <c r="B18" s="169"/>
      <c r="C18" s="169" t="str">
        <f>CONCATENATE((IF(OR(E9="",E9="NA"),"",E9)),", ",(IF(OR(A19="",A19="NA"),"",A19)),".",(IF(OR(C19="",C19="NA"),"",C19)),", near ",(IF(OR(C24="",C24="NA"),"",C24)),", ",(IF(OR(C21="",C21="NA"),"",C21)),", ",(IF(OR(C20="",C20="NA"),"",C20)),", ",(IF(OR(G21="",G21="NA"),"",G21)),", ",(IF(OR(C22="",C22="NA"),"",C22)),", ",(IF(OR(C23="",C23="NA"),"",C23)),", ",(IF(OR(G22="",G22="NA"),"",G22))," - ",(IF(OR(G23="",G23="NA"),"",G23)),".")</f>
        <v>Altus, CTS No.1(PT), 1/A/1/1(PT), 1/B/1/A/1(PT) &amp; 2/B/1/1 (PT) &amp; Redevlopement of " Om Shree Geetanjali Nagar Wing A, B &amp; C CHSL ", near Sai Niketan Bldg, Sai Baba Mandir Marg, Sai Baba Nagar, Magathane, Borivali West, Borivali, Mumbai - 400092.</v>
      </c>
      <c r="D18" s="169"/>
      <c r="E18" s="169"/>
      <c r="F18" s="169"/>
      <c r="G18" s="169"/>
      <c r="H18" s="169"/>
      <c r="S18" s="54" t="s">
        <v>172</v>
      </c>
      <c r="T18" s="54" t="s">
        <v>180</v>
      </c>
      <c r="U18" s="54" t="s">
        <v>201</v>
      </c>
      <c r="V18" s="54" t="s">
        <v>187</v>
      </c>
      <c r="W18" s="54" t="s">
        <v>204</v>
      </c>
      <c r="X18"/>
      <c r="Y18"/>
      <c r="Z18"/>
    </row>
    <row r="19" spans="1:26" ht="32.25" customHeight="1" x14ac:dyDescent="0.35">
      <c r="A19" s="237" t="s">
        <v>168</v>
      </c>
      <c r="B19" s="237"/>
      <c r="C19" s="237" t="s">
        <v>423</v>
      </c>
      <c r="D19" s="237"/>
      <c r="E19" s="237"/>
      <c r="F19" s="237"/>
      <c r="G19" s="237"/>
      <c r="H19" s="237"/>
      <c r="S19" s="54" t="s">
        <v>173</v>
      </c>
      <c r="T19" s="54" t="s">
        <v>181</v>
      </c>
      <c r="U19" s="54" t="s">
        <v>165</v>
      </c>
      <c r="V19" s="54" t="s">
        <v>188</v>
      </c>
      <c r="W19" s="54" t="s">
        <v>205</v>
      </c>
      <c r="X19"/>
      <c r="Y19"/>
      <c r="Z19"/>
    </row>
    <row r="20" spans="1:26" ht="15.75" customHeight="1" x14ac:dyDescent="0.35">
      <c r="A20" s="173" t="s">
        <v>155</v>
      </c>
      <c r="B20" s="173"/>
      <c r="C20" s="173" t="s">
        <v>347</v>
      </c>
      <c r="D20" s="173"/>
      <c r="E20" s="173"/>
      <c r="F20" s="173"/>
      <c r="G20" s="173"/>
      <c r="H20" s="173"/>
      <c r="S20" s="54" t="s">
        <v>174</v>
      </c>
      <c r="T20" s="54" t="s">
        <v>179</v>
      </c>
      <c r="U20" s="54"/>
      <c r="V20" s="54" t="s">
        <v>189</v>
      </c>
      <c r="W20" s="54" t="s">
        <v>206</v>
      </c>
      <c r="X20"/>
      <c r="Y20"/>
      <c r="Z20"/>
    </row>
    <row r="21" spans="1:26" ht="15.75" customHeight="1" x14ac:dyDescent="0.35">
      <c r="A21" s="169" t="s">
        <v>9</v>
      </c>
      <c r="B21" s="169"/>
      <c r="C21" s="125" t="s">
        <v>367</v>
      </c>
      <c r="D21" s="125"/>
      <c r="E21" s="169" t="s">
        <v>68</v>
      </c>
      <c r="F21" s="169"/>
      <c r="G21" s="173" t="s">
        <v>346</v>
      </c>
      <c r="H21" s="173"/>
      <c r="S21" s="54" t="s">
        <v>175</v>
      </c>
      <c r="T21" s="54" t="s">
        <v>182</v>
      </c>
      <c r="U21" s="54"/>
      <c r="V21" s="54" t="s">
        <v>190</v>
      </c>
      <c r="W21" s="54" t="s">
        <v>207</v>
      </c>
      <c r="X21"/>
      <c r="Y21"/>
      <c r="Z21"/>
    </row>
    <row r="22" spans="1:26" x14ac:dyDescent="0.35">
      <c r="A22" s="113" t="s">
        <v>11</v>
      </c>
      <c r="B22" s="113"/>
      <c r="C22" s="173" t="s">
        <v>348</v>
      </c>
      <c r="D22" s="173"/>
      <c r="E22" s="169" t="s">
        <v>10</v>
      </c>
      <c r="F22" s="169"/>
      <c r="G22" s="238" t="s">
        <v>165</v>
      </c>
      <c r="H22" s="238"/>
      <c r="S22" s="54" t="s">
        <v>176</v>
      </c>
      <c r="T22" s="54" t="s">
        <v>183</v>
      </c>
      <c r="U22" s="54"/>
      <c r="V22" s="54" t="s">
        <v>191</v>
      </c>
      <c r="W22" s="54" t="s">
        <v>208</v>
      </c>
      <c r="X22"/>
      <c r="Y22"/>
      <c r="Z22"/>
    </row>
    <row r="23" spans="1:26" x14ac:dyDescent="0.35">
      <c r="A23" s="113" t="s">
        <v>69</v>
      </c>
      <c r="B23" s="113"/>
      <c r="C23" s="237" t="s">
        <v>200</v>
      </c>
      <c r="D23" s="237"/>
      <c r="E23" s="169" t="s">
        <v>12</v>
      </c>
      <c r="F23" s="169"/>
      <c r="G23" s="173">
        <v>400092</v>
      </c>
      <c r="H23" s="173"/>
      <c r="S23" s="54"/>
      <c r="T23" s="54"/>
      <c r="U23" s="54"/>
      <c r="V23" s="54" t="s">
        <v>192</v>
      </c>
      <c r="W23" s="54" t="s">
        <v>209</v>
      </c>
      <c r="X23"/>
      <c r="Y23"/>
      <c r="Z23"/>
    </row>
    <row r="24" spans="1:26" ht="32.25" customHeight="1" x14ac:dyDescent="0.35">
      <c r="A24" s="113" t="s">
        <v>114</v>
      </c>
      <c r="B24" s="113"/>
      <c r="C24" s="173" t="s">
        <v>366</v>
      </c>
      <c r="D24" s="173"/>
      <c r="E24" s="169" t="s">
        <v>13</v>
      </c>
      <c r="F24" s="169"/>
      <c r="G24" s="237" t="s">
        <v>365</v>
      </c>
      <c r="H24" s="237"/>
      <c r="S24" s="54"/>
      <c r="T24" s="54"/>
      <c r="U24" s="54"/>
      <c r="V24" s="54" t="s">
        <v>193</v>
      </c>
      <c r="W24" s="54" t="s">
        <v>210</v>
      </c>
      <c r="X24"/>
      <c r="Y24"/>
      <c r="Z24"/>
    </row>
    <row r="25" spans="1:26" ht="15" customHeight="1" x14ac:dyDescent="0.35">
      <c r="A25" s="169" t="s">
        <v>70</v>
      </c>
      <c r="B25" s="169"/>
      <c r="C25" s="169"/>
      <c r="D25" s="169"/>
      <c r="E25" s="125" t="s">
        <v>14</v>
      </c>
      <c r="F25" s="125"/>
      <c r="G25" s="125"/>
      <c r="H25" s="125"/>
      <c r="S25" s="54"/>
      <c r="T25" s="54"/>
      <c r="U25" s="54"/>
      <c r="V25" s="54" t="s">
        <v>194</v>
      </c>
      <c r="W25" s="54" t="s">
        <v>211</v>
      </c>
      <c r="X25"/>
      <c r="Y25"/>
      <c r="Z25"/>
    </row>
    <row r="26" spans="1:26" ht="18.75" customHeight="1" x14ac:dyDescent="0.35">
      <c r="A26" s="169"/>
      <c r="B26" s="169"/>
      <c r="C26" s="169"/>
      <c r="D26" s="169"/>
      <c r="E26" s="125"/>
      <c r="F26" s="125"/>
      <c r="G26" s="125"/>
      <c r="H26" s="125"/>
      <c r="S26" s="54"/>
      <c r="T26" s="54"/>
      <c r="U26" s="54"/>
      <c r="V26" s="54" t="s">
        <v>195</v>
      </c>
      <c r="W26" s="54" t="s">
        <v>212</v>
      </c>
      <c r="X26"/>
      <c r="Y26"/>
      <c r="Z26"/>
    </row>
    <row r="27" spans="1:26" ht="15" customHeight="1" x14ac:dyDescent="0.35">
      <c r="A27" s="169" t="s">
        <v>15</v>
      </c>
      <c r="B27" s="169"/>
      <c r="C27" s="169"/>
      <c r="D27" s="169"/>
      <c r="E27" s="173" t="s">
        <v>16</v>
      </c>
      <c r="F27" s="173"/>
      <c r="G27" s="173"/>
      <c r="H27" s="173"/>
      <c r="S27" s="54"/>
      <c r="T27" s="54"/>
      <c r="U27" s="54"/>
      <c r="V27" s="54" t="s">
        <v>196</v>
      </c>
      <c r="W27" s="54" t="s">
        <v>213</v>
      </c>
      <c r="X27"/>
      <c r="Y27"/>
      <c r="Z27"/>
    </row>
    <row r="28" spans="1:26" ht="15" customHeight="1" x14ac:dyDescent="0.35">
      <c r="A28" s="113" t="s">
        <v>17</v>
      </c>
      <c r="B28" s="113"/>
      <c r="C28" s="113"/>
      <c r="D28" s="113"/>
      <c r="E28" s="173" t="str">
        <f>IF(AND(G22="Mumbai"),"Upper Class","Middle Class")</f>
        <v>Upper Class</v>
      </c>
      <c r="F28" s="173"/>
      <c r="G28" s="173"/>
      <c r="H28" s="173"/>
      <c r="S28" s="54"/>
      <c r="T28" s="54"/>
      <c r="U28" s="54"/>
      <c r="V28" s="54" t="s">
        <v>197</v>
      </c>
      <c r="W28" s="54" t="s">
        <v>214</v>
      </c>
      <c r="X28"/>
      <c r="Y28"/>
      <c r="Z28"/>
    </row>
    <row r="29" spans="1:26" x14ac:dyDescent="0.35">
      <c r="A29" s="113" t="s">
        <v>18</v>
      </c>
      <c r="B29" s="113"/>
      <c r="C29" s="113"/>
      <c r="D29" s="113"/>
      <c r="E29" s="173" t="s">
        <v>19</v>
      </c>
      <c r="F29" s="173"/>
      <c r="G29" s="173"/>
      <c r="H29" s="173"/>
      <c r="S29" s="54"/>
      <c r="T29" s="54"/>
      <c r="U29" s="54"/>
      <c r="V29" s="54" t="s">
        <v>198</v>
      </c>
      <c r="W29" s="54" t="s">
        <v>215</v>
      </c>
      <c r="X29"/>
      <c r="Y29"/>
      <c r="Z29"/>
    </row>
    <row r="30" spans="1:26" ht="15.75" customHeight="1" x14ac:dyDescent="0.35">
      <c r="A30" s="113" t="s">
        <v>20</v>
      </c>
      <c r="B30" s="113"/>
      <c r="C30" s="113"/>
      <c r="D30" s="113"/>
      <c r="E30" s="173" t="str">
        <f>IF(AND(G22="Mumbai"),"Developed","Developing")</f>
        <v>Developed</v>
      </c>
      <c r="F30" s="173"/>
      <c r="G30" s="173"/>
      <c r="H30" s="173"/>
    </row>
    <row r="31" spans="1:26" x14ac:dyDescent="0.35">
      <c r="A31" s="113" t="s">
        <v>21</v>
      </c>
      <c r="B31" s="113"/>
      <c r="C31" s="113"/>
      <c r="D31" s="113"/>
      <c r="E31" s="173" t="s">
        <v>22</v>
      </c>
      <c r="F31" s="173"/>
      <c r="G31" s="173"/>
      <c r="H31" s="173"/>
    </row>
    <row r="32" spans="1:26" ht="15.75" customHeight="1" x14ac:dyDescent="0.35">
      <c r="A32" s="113" t="s">
        <v>75</v>
      </c>
      <c r="B32" s="113"/>
      <c r="C32" s="113"/>
      <c r="D32" s="113"/>
      <c r="E32" s="173" t="s">
        <v>76</v>
      </c>
      <c r="F32" s="173"/>
      <c r="G32" s="173"/>
      <c r="H32" s="173"/>
    </row>
    <row r="33" spans="1:19" ht="15" customHeight="1" x14ac:dyDescent="0.35">
      <c r="A33" s="113" t="s">
        <v>29</v>
      </c>
      <c r="B33" s="113"/>
      <c r="C33" s="113"/>
      <c r="D33" s="113"/>
      <c r="E33" s="173" t="s">
        <v>364</v>
      </c>
      <c r="F33" s="173"/>
      <c r="G33" s="173"/>
      <c r="H33" s="173"/>
      <c r="I33" s="21"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row>
    <row r="34" spans="1:19" ht="15.75" customHeight="1" x14ac:dyDescent="0.35">
      <c r="A34" s="113" t="s">
        <v>86</v>
      </c>
      <c r="B34" s="113"/>
      <c r="C34" s="113"/>
      <c r="D34" s="113"/>
      <c r="E34" s="173" t="s">
        <v>30</v>
      </c>
      <c r="F34" s="173"/>
      <c r="G34" s="173"/>
      <c r="H34" s="173"/>
    </row>
    <row r="35" spans="1:19" s="22" customFormat="1" x14ac:dyDescent="0.35">
      <c r="A35" s="244" t="s">
        <v>87</v>
      </c>
      <c r="B35" s="244"/>
      <c r="C35" s="243" t="s">
        <v>166</v>
      </c>
      <c r="D35" s="243"/>
      <c r="E35" s="243"/>
      <c r="F35" s="243" t="s">
        <v>28</v>
      </c>
      <c r="G35" s="243"/>
      <c r="H35" s="243"/>
      <c r="S35" s="22" t="e">
        <f ca="1">OFFSET($S$15,1,MATCH($G22,$S$15:$W$15,0)-1,15,1)</f>
        <v>#VALUE!</v>
      </c>
    </row>
    <row r="36" spans="1:19" s="22" customFormat="1" x14ac:dyDescent="0.35">
      <c r="A36" s="239" t="s">
        <v>23</v>
      </c>
      <c r="B36" s="239" t="s">
        <v>27</v>
      </c>
      <c r="C36" s="239" t="s">
        <v>375</v>
      </c>
      <c r="D36" s="239"/>
      <c r="E36" s="239"/>
      <c r="F36" s="239" t="s">
        <v>373</v>
      </c>
      <c r="G36" s="239"/>
      <c r="H36" s="239"/>
    </row>
    <row r="37" spans="1:19" ht="33" customHeight="1" x14ac:dyDescent="0.35">
      <c r="A37" s="239" t="s">
        <v>24</v>
      </c>
      <c r="B37" s="239" t="s">
        <v>27</v>
      </c>
      <c r="C37" s="239" t="s">
        <v>375</v>
      </c>
      <c r="D37" s="239"/>
      <c r="E37" s="239"/>
      <c r="F37" s="245" t="s">
        <v>372</v>
      </c>
      <c r="G37" s="245"/>
      <c r="H37" s="245"/>
    </row>
    <row r="38" spans="1:19" s="22" customFormat="1" x14ac:dyDescent="0.35">
      <c r="A38" s="239" t="s">
        <v>26</v>
      </c>
      <c r="B38" s="239" t="s">
        <v>27</v>
      </c>
      <c r="C38" s="240" t="s">
        <v>375</v>
      </c>
      <c r="D38" s="241"/>
      <c r="E38" s="242"/>
      <c r="F38" s="240" t="s">
        <v>370</v>
      </c>
      <c r="G38" s="241"/>
      <c r="H38" s="242"/>
    </row>
    <row r="39" spans="1:19" x14ac:dyDescent="0.35">
      <c r="A39" s="239" t="s">
        <v>25</v>
      </c>
      <c r="B39" s="239" t="s">
        <v>27</v>
      </c>
      <c r="C39" s="240" t="s">
        <v>374</v>
      </c>
      <c r="D39" s="241"/>
      <c r="E39" s="242"/>
      <c r="F39" s="240" t="s">
        <v>371</v>
      </c>
      <c r="G39" s="241"/>
      <c r="H39" s="242"/>
    </row>
    <row r="40" spans="1:19" x14ac:dyDescent="0.35">
      <c r="A40" s="113" t="s">
        <v>270</v>
      </c>
      <c r="B40" s="113"/>
      <c r="C40" s="113"/>
      <c r="D40" s="113"/>
      <c r="E40" s="113"/>
      <c r="F40" s="113"/>
      <c r="G40" s="113"/>
      <c r="H40" s="113"/>
    </row>
    <row r="41" spans="1:19" ht="15.75" customHeight="1" x14ac:dyDescent="0.35">
      <c r="A41" s="113" t="s">
        <v>158</v>
      </c>
      <c r="B41" s="113"/>
      <c r="C41" s="224" t="s">
        <v>349</v>
      </c>
      <c r="D41" s="224"/>
      <c r="E41" s="224"/>
      <c r="F41" s="224"/>
      <c r="G41" s="224"/>
      <c r="H41" s="224"/>
    </row>
    <row r="42" spans="1:19" x14ac:dyDescent="0.35">
      <c r="A42" s="113" t="s">
        <v>154</v>
      </c>
      <c r="B42" s="113"/>
      <c r="C42" s="255" t="s">
        <v>350</v>
      </c>
      <c r="D42" s="173"/>
      <c r="E42" s="173"/>
      <c r="F42" s="173"/>
      <c r="G42" s="173"/>
      <c r="H42" s="173"/>
    </row>
    <row r="43" spans="1:19" x14ac:dyDescent="0.35">
      <c r="A43" s="224" t="s">
        <v>31</v>
      </c>
      <c r="B43" s="224"/>
      <c r="C43" s="224"/>
      <c r="D43" s="224"/>
      <c r="E43" s="224"/>
      <c r="F43" s="224"/>
      <c r="G43" s="224"/>
      <c r="H43" s="224"/>
    </row>
    <row r="44" spans="1:19" x14ac:dyDescent="0.35">
      <c r="A44" s="113" t="s">
        <v>32</v>
      </c>
      <c r="B44" s="113"/>
      <c r="C44" s="113"/>
      <c r="D44" s="113"/>
      <c r="E44" s="250">
        <v>8633.4699999999993</v>
      </c>
      <c r="F44" s="250"/>
      <c r="G44" s="250"/>
      <c r="H44" s="250"/>
      <c r="I44" s="21" t="s">
        <v>379</v>
      </c>
    </row>
    <row r="45" spans="1:19" x14ac:dyDescent="0.35">
      <c r="A45" s="113" t="s">
        <v>33</v>
      </c>
      <c r="B45" s="113"/>
      <c r="C45" s="113"/>
      <c r="D45" s="113"/>
      <c r="E45" s="156">
        <v>4</v>
      </c>
      <c r="F45" s="156"/>
      <c r="G45" s="156"/>
      <c r="H45" s="156"/>
      <c r="I45" s="92">
        <v>4</v>
      </c>
    </row>
    <row r="46" spans="1:19" x14ac:dyDescent="0.35">
      <c r="A46" s="113" t="s">
        <v>34</v>
      </c>
      <c r="B46" s="113"/>
      <c r="C46" s="113"/>
      <c r="D46" s="113"/>
      <c r="E46" s="156">
        <f>E48/E44-E45</f>
        <v>1.0090241814704868</v>
      </c>
      <c r="F46" s="156"/>
      <c r="G46" s="156"/>
      <c r="H46" s="156"/>
      <c r="I46" s="21">
        <f>E48/E44-E45</f>
        <v>1.0090241814704868</v>
      </c>
    </row>
    <row r="47" spans="1:19" x14ac:dyDescent="0.35">
      <c r="A47" s="113" t="s">
        <v>35</v>
      </c>
      <c r="B47" s="113"/>
      <c r="C47" s="113"/>
      <c r="D47" s="113"/>
      <c r="E47" s="156">
        <f>E45+E46</f>
        <v>5.0090241814704868</v>
      </c>
      <c r="F47" s="156"/>
      <c r="G47" s="156"/>
      <c r="H47" s="156"/>
      <c r="I47" s="87">
        <f>E45+E46</f>
        <v>5.0090241814704868</v>
      </c>
    </row>
    <row r="48" spans="1:19" x14ac:dyDescent="0.35">
      <c r="A48" s="113" t="s">
        <v>85</v>
      </c>
      <c r="B48" s="113"/>
      <c r="C48" s="113"/>
      <c r="D48" s="113"/>
      <c r="E48" s="246">
        <v>43245.26</v>
      </c>
      <c r="F48" s="246"/>
      <c r="G48" s="246"/>
      <c r="H48" s="246"/>
    </row>
    <row r="49" spans="1:24" x14ac:dyDescent="0.35">
      <c r="A49" s="125" t="s">
        <v>36</v>
      </c>
      <c r="B49" s="125"/>
      <c r="C49" s="125"/>
      <c r="D49" s="125"/>
      <c r="E49" s="172" t="s">
        <v>363</v>
      </c>
      <c r="F49" s="172"/>
      <c r="G49" s="172"/>
      <c r="H49" s="172"/>
      <c r="I49" s="90" t="s">
        <v>376</v>
      </c>
    </row>
    <row r="50" spans="1:24" x14ac:dyDescent="0.35">
      <c r="A50" s="224" t="s">
        <v>37</v>
      </c>
      <c r="B50" s="224"/>
      <c r="C50" s="224"/>
      <c r="D50" s="224"/>
      <c r="E50" s="224"/>
      <c r="F50" s="224"/>
      <c r="G50" s="224"/>
      <c r="H50" s="224"/>
    </row>
    <row r="51" spans="1:24" ht="33.75" customHeight="1" x14ac:dyDescent="0.35">
      <c r="A51" s="215" t="s">
        <v>144</v>
      </c>
      <c r="B51" s="217"/>
      <c r="C51" s="247" t="s">
        <v>245</v>
      </c>
      <c r="D51" s="248"/>
      <c r="E51" s="248"/>
      <c r="F51" s="248"/>
      <c r="G51" s="248"/>
      <c r="H51" s="249"/>
      <c r="R51" t="s">
        <v>243</v>
      </c>
      <c r="S51" s="56" t="s">
        <v>165</v>
      </c>
      <c r="T51" s="56" t="s">
        <v>170</v>
      </c>
      <c r="U51" s="56" t="s">
        <v>184</v>
      </c>
      <c r="V51" s="56" t="s">
        <v>179</v>
      </c>
    </row>
    <row r="52" spans="1:24" ht="47.25" customHeight="1" x14ac:dyDescent="0.35">
      <c r="A52" s="215" t="s">
        <v>38</v>
      </c>
      <c r="B52" s="217"/>
      <c r="C52" s="215" t="s">
        <v>470</v>
      </c>
      <c r="D52" s="216"/>
      <c r="E52" s="217"/>
      <c r="F52" s="18" t="s">
        <v>39</v>
      </c>
      <c r="G52" s="209">
        <v>45919</v>
      </c>
      <c r="H52" s="210"/>
      <c r="R52"/>
      <c r="S52" s="56" t="s">
        <v>244</v>
      </c>
      <c r="T52" s="56" t="s">
        <v>249</v>
      </c>
      <c r="U52" s="56" t="s">
        <v>260</v>
      </c>
      <c r="V52" s="56" t="s">
        <v>265</v>
      </c>
    </row>
    <row r="53" spans="1:24" ht="47.25" customHeight="1" x14ac:dyDescent="0.35">
      <c r="A53" s="215" t="s">
        <v>40</v>
      </c>
      <c r="B53" s="217"/>
      <c r="C53" s="215" t="str">
        <f>C52</f>
        <v>P-21240/2024/(1(PT.) AND OTHER) /R/C WARD/MAGATHANE
R/C/337/3/AMEND</v>
      </c>
      <c r="D53" s="216"/>
      <c r="E53" s="217"/>
      <c r="F53" s="18" t="s">
        <v>39</v>
      </c>
      <c r="G53" s="209">
        <f>G52</f>
        <v>45919</v>
      </c>
      <c r="H53" s="210"/>
      <c r="R53"/>
      <c r="S53" s="56" t="s">
        <v>245</v>
      </c>
      <c r="T53" s="56" t="s">
        <v>250</v>
      </c>
      <c r="U53" s="56" t="s">
        <v>258</v>
      </c>
      <c r="V53" s="56" t="s">
        <v>266</v>
      </c>
    </row>
    <row r="54" spans="1:24" s="23" customFormat="1" ht="30.75" customHeight="1" x14ac:dyDescent="0.35">
      <c r="A54" s="251" t="s">
        <v>148</v>
      </c>
      <c r="B54" s="252"/>
      <c r="C54" s="215" t="s">
        <v>351</v>
      </c>
      <c r="D54" s="216"/>
      <c r="E54" s="217"/>
      <c r="F54" s="18" t="s">
        <v>39</v>
      </c>
      <c r="G54" s="209">
        <v>45492</v>
      </c>
      <c r="H54" s="210"/>
      <c r="I54" s="22" t="str">
        <f ca="1">IF(G54&gt;EDATE(E3,-48),"NO REMARK","CC REMARK FOR CC")</f>
        <v>NO REMARK</v>
      </c>
      <c r="J54" s="83"/>
      <c r="R54"/>
      <c r="S54" s="56" t="s">
        <v>246</v>
      </c>
      <c r="T54" s="56" t="s">
        <v>251</v>
      </c>
      <c r="U54" s="56" t="s">
        <v>248</v>
      </c>
      <c r="V54" s="56" t="s">
        <v>267</v>
      </c>
    </row>
    <row r="55" spans="1:24" s="23" customFormat="1" ht="78" customHeight="1" x14ac:dyDescent="0.35">
      <c r="A55" s="253"/>
      <c r="B55" s="254"/>
      <c r="C55" s="215" t="s">
        <v>352</v>
      </c>
      <c r="D55" s="216"/>
      <c r="E55" s="217"/>
      <c r="F55" s="18" t="s">
        <v>113</v>
      </c>
      <c r="G55" s="209">
        <v>45856</v>
      </c>
      <c r="H55" s="217"/>
      <c r="R55"/>
      <c r="S55" s="56" t="s">
        <v>247</v>
      </c>
      <c r="T55" s="56" t="s">
        <v>254</v>
      </c>
      <c r="U55" s="56" t="s">
        <v>261</v>
      </c>
      <c r="V55" s="76" t="s">
        <v>334</v>
      </c>
    </row>
    <row r="56" spans="1:24" s="23" customFormat="1" ht="36" customHeight="1" x14ac:dyDescent="0.35">
      <c r="A56" s="205" t="s">
        <v>271</v>
      </c>
      <c r="B56" s="206"/>
      <c r="C56" s="215" t="s">
        <v>353</v>
      </c>
      <c r="D56" s="216"/>
      <c r="E56" s="217"/>
      <c r="F56" s="18" t="s">
        <v>39</v>
      </c>
      <c r="G56" s="209">
        <v>45489</v>
      </c>
      <c r="H56" s="210"/>
      <c r="K56" s="84">
        <f>EDATE(G54,-48)</f>
        <v>44031</v>
      </c>
      <c r="L56" s="23" t="str">
        <f ca="1">IF(G54&gt;EDATE(E3,-48),"NO REMARK","CC REMARK FOR CC")</f>
        <v>NO REMARK</v>
      </c>
      <c r="R56"/>
      <c r="S56" s="56" t="s">
        <v>246</v>
      </c>
      <c r="T56" s="56" t="s">
        <v>251</v>
      </c>
      <c r="U56" s="56" t="s">
        <v>248</v>
      </c>
      <c r="V56" s="56" t="s">
        <v>267</v>
      </c>
    </row>
    <row r="57" spans="1:24" s="23" customFormat="1" ht="17.25" customHeight="1" x14ac:dyDescent="0.35">
      <c r="A57" s="207"/>
      <c r="B57" s="208"/>
      <c r="C57" s="259" t="s">
        <v>354</v>
      </c>
      <c r="D57" s="260"/>
      <c r="E57" s="260"/>
      <c r="F57" s="260"/>
      <c r="G57" s="260"/>
      <c r="H57" s="261"/>
      <c r="R57"/>
      <c r="S57" s="56" t="s">
        <v>248</v>
      </c>
      <c r="T57" s="56" t="s">
        <v>252</v>
      </c>
      <c r="U57" s="56" t="s">
        <v>262</v>
      </c>
      <c r="V57" s="77"/>
      <c r="W57" s="21"/>
      <c r="X57" s="21"/>
    </row>
    <row r="58" spans="1:24" s="23" customFormat="1" ht="34.5" hidden="1" customHeight="1" x14ac:dyDescent="0.35">
      <c r="A58" s="211" t="s">
        <v>272</v>
      </c>
      <c r="B58" s="212"/>
      <c r="C58" s="215"/>
      <c r="D58" s="216"/>
      <c r="E58" s="217"/>
      <c r="F58" s="18" t="s">
        <v>39</v>
      </c>
      <c r="G58" s="209">
        <f>G57</f>
        <v>0</v>
      </c>
      <c r="H58" s="210"/>
      <c r="R58"/>
      <c r="S58" s="77"/>
      <c r="T58" s="56" t="s">
        <v>253</v>
      </c>
      <c r="U58" s="56" t="s">
        <v>263</v>
      </c>
      <c r="V58" s="77"/>
      <c r="W58" s="21"/>
      <c r="X58" s="21"/>
    </row>
    <row r="59" spans="1:24" s="23" customFormat="1" ht="41.25" hidden="1" customHeight="1" x14ac:dyDescent="0.35">
      <c r="A59" s="213"/>
      <c r="B59" s="214"/>
      <c r="C59" s="215"/>
      <c r="D59" s="216"/>
      <c r="E59" s="216"/>
      <c r="F59" s="216"/>
      <c r="G59" s="216"/>
      <c r="H59" s="217"/>
      <c r="R59"/>
      <c r="S59" s="77"/>
      <c r="T59" s="56" t="s">
        <v>255</v>
      </c>
      <c r="U59" s="56" t="s">
        <v>264</v>
      </c>
      <c r="V59" s="77"/>
      <c r="W59" s="21"/>
      <c r="X59" s="21"/>
    </row>
    <row r="60" spans="1:24" s="23" customFormat="1" ht="15.75" customHeight="1" x14ac:dyDescent="0.35">
      <c r="A60" s="205" t="s">
        <v>336</v>
      </c>
      <c r="B60" s="206"/>
      <c r="C60" s="215" t="s">
        <v>355</v>
      </c>
      <c r="D60" s="216"/>
      <c r="E60" s="217"/>
      <c r="F60" s="18" t="s">
        <v>39</v>
      </c>
      <c r="G60" s="209">
        <v>45314</v>
      </c>
      <c r="H60" s="210"/>
      <c r="R60"/>
      <c r="S60" s="77"/>
      <c r="T60" s="56" t="s">
        <v>256</v>
      </c>
      <c r="U60" s="77" t="s">
        <v>286</v>
      </c>
      <c r="V60" s="77"/>
      <c r="W60" s="21"/>
      <c r="X60" s="21"/>
    </row>
    <row r="61" spans="1:24" s="23" customFormat="1" ht="33.75" customHeight="1" x14ac:dyDescent="0.35">
      <c r="A61" s="207"/>
      <c r="B61" s="208"/>
      <c r="C61" s="169" t="s">
        <v>356</v>
      </c>
      <c r="D61" s="169"/>
      <c r="E61" s="169"/>
      <c r="F61" s="18" t="s">
        <v>337</v>
      </c>
      <c r="G61" s="209">
        <v>48235</v>
      </c>
      <c r="H61" s="210"/>
      <c r="I61" s="23">
        <f>175.29-9.74</f>
        <v>165.54999999999998</v>
      </c>
      <c r="R61"/>
      <c r="S61" s="77"/>
      <c r="T61" s="56" t="s">
        <v>257</v>
      </c>
      <c r="U61" s="77"/>
      <c r="V61" s="77"/>
      <c r="W61" s="21"/>
      <c r="X61" s="21"/>
    </row>
    <row r="62" spans="1:24" x14ac:dyDescent="0.35">
      <c r="A62" s="197" t="s">
        <v>41</v>
      </c>
      <c r="B62" s="198"/>
      <c r="C62" s="197" t="s">
        <v>99</v>
      </c>
      <c r="D62" s="199"/>
      <c r="E62" s="198"/>
      <c r="F62" s="44" t="s">
        <v>39</v>
      </c>
      <c r="G62" s="203" t="s">
        <v>27</v>
      </c>
      <c r="H62" s="204"/>
      <c r="R62"/>
      <c r="S62" s="77"/>
      <c r="T62" s="56" t="s">
        <v>259</v>
      </c>
      <c r="U62" s="77"/>
      <c r="V62" s="77"/>
    </row>
    <row r="63" spans="1:24" x14ac:dyDescent="0.35">
      <c r="A63" s="226" t="s">
        <v>43</v>
      </c>
      <c r="B63" s="226"/>
      <c r="C63" s="226"/>
      <c r="D63" s="226"/>
      <c r="E63" s="226"/>
      <c r="F63" s="226"/>
      <c r="G63" s="226"/>
      <c r="H63" s="226"/>
      <c r="S63" s="77"/>
      <c r="T63" s="56" t="s">
        <v>268</v>
      </c>
      <c r="U63" s="77"/>
      <c r="V63" s="77"/>
    </row>
    <row r="64" spans="1:24" ht="34" customHeight="1" x14ac:dyDescent="0.35">
      <c r="A64" s="169" t="s">
        <v>412</v>
      </c>
      <c r="B64" s="169"/>
      <c r="C64" s="169"/>
      <c r="D64" s="200">
        <v>31523.17</v>
      </c>
      <c r="E64" s="172"/>
      <c r="F64" s="172"/>
      <c r="G64" s="172"/>
      <c r="H64" s="172"/>
      <c r="I64" s="93">
        <f>E48</f>
        <v>43245.26</v>
      </c>
      <c r="R64"/>
    </row>
    <row r="65" spans="1:19" ht="47.25" customHeight="1" x14ac:dyDescent="0.35">
      <c r="A65" s="173" t="s">
        <v>44</v>
      </c>
      <c r="B65" s="125"/>
      <c r="C65" s="125"/>
      <c r="D65" s="201" t="s">
        <v>475</v>
      </c>
      <c r="E65" s="202"/>
      <c r="F65" s="202"/>
      <c r="G65" s="202"/>
      <c r="H65" s="202"/>
      <c r="I65" s="24" t="s">
        <v>142</v>
      </c>
      <c r="R65"/>
    </row>
    <row r="66" spans="1:19" ht="33" customHeight="1" x14ac:dyDescent="0.35">
      <c r="A66" s="173" t="s">
        <v>45</v>
      </c>
      <c r="B66" s="173"/>
      <c r="C66" s="173"/>
      <c r="D66" s="201" t="s">
        <v>471</v>
      </c>
      <c r="E66" s="202"/>
      <c r="F66" s="202"/>
      <c r="G66" s="202"/>
      <c r="H66" s="202"/>
      <c r="I66" s="88" t="s">
        <v>161</v>
      </c>
      <c r="R66"/>
    </row>
    <row r="67" spans="1:19" ht="15.75" customHeight="1" x14ac:dyDescent="0.35">
      <c r="A67" s="173" t="s">
        <v>83</v>
      </c>
      <c r="B67" s="173"/>
      <c r="C67" s="173"/>
      <c r="D67" s="172" t="s">
        <v>472</v>
      </c>
      <c r="E67" s="172"/>
      <c r="F67" s="172"/>
      <c r="G67" s="172"/>
      <c r="H67" s="172"/>
      <c r="I67" s="90" t="s">
        <v>360</v>
      </c>
      <c r="K67" s="89" t="s">
        <v>361</v>
      </c>
      <c r="R67"/>
    </row>
    <row r="68" spans="1:19" ht="15.75" hidden="1" customHeight="1" x14ac:dyDescent="0.35">
      <c r="A68" s="173"/>
      <c r="B68" s="173"/>
      <c r="C68" s="173"/>
      <c r="D68" s="172" t="s">
        <v>390</v>
      </c>
      <c r="E68" s="172"/>
      <c r="F68" s="172"/>
      <c r="G68" s="172"/>
      <c r="H68" s="172"/>
      <c r="R68"/>
    </row>
    <row r="69" spans="1:19" ht="15.75" customHeight="1" x14ac:dyDescent="0.35">
      <c r="A69" s="113" t="s">
        <v>42</v>
      </c>
      <c r="B69" s="113"/>
      <c r="C69" s="113"/>
      <c r="D69" s="237" t="s">
        <v>343</v>
      </c>
      <c r="E69" s="237"/>
      <c r="F69" s="237"/>
      <c r="G69" s="237"/>
      <c r="H69" s="237"/>
      <c r="J69" s="25"/>
      <c r="K69" s="24"/>
      <c r="N69" s="24"/>
      <c r="S69"/>
    </row>
    <row r="70" spans="1:19" ht="15.75" customHeight="1" x14ac:dyDescent="0.35">
      <c r="A70" s="113" t="s">
        <v>81</v>
      </c>
      <c r="B70" s="113"/>
      <c r="C70" s="113"/>
      <c r="D70" s="258" t="str">
        <f>(IF(G62="NA","60 Years After Completion",IF(G62&lt;&gt;"NA",""&amp;60-ROUNDDOWN((E3-G62)/360,0)&amp;" Years"," ")))</f>
        <v>60 Years After Completion</v>
      </c>
      <c r="E70" s="258"/>
      <c r="F70" s="258"/>
      <c r="G70" s="258"/>
      <c r="H70" s="258"/>
      <c r="N70" s="24"/>
      <c r="S70"/>
    </row>
    <row r="71" spans="1:19" ht="15.75" customHeight="1" x14ac:dyDescent="0.35">
      <c r="A71" s="113" t="s">
        <v>82</v>
      </c>
      <c r="B71" s="113"/>
      <c r="C71" s="113"/>
      <c r="D71" s="169" t="s">
        <v>22</v>
      </c>
      <c r="E71" s="169"/>
      <c r="F71" s="169"/>
      <c r="G71" s="169"/>
      <c r="H71" s="169"/>
      <c r="J71" s="26"/>
      <c r="K71" s="26"/>
      <c r="S71"/>
    </row>
    <row r="72" spans="1:19" ht="111" customHeight="1" x14ac:dyDescent="0.35">
      <c r="A72" s="172" t="s">
        <v>359</v>
      </c>
      <c r="B72" s="172"/>
      <c r="C72" s="172"/>
      <c r="D72" s="173" t="s">
        <v>358</v>
      </c>
      <c r="E72" s="169"/>
      <c r="F72" s="169"/>
      <c r="G72" s="169"/>
      <c r="H72" s="169"/>
      <c r="I72" s="89" t="s">
        <v>357</v>
      </c>
      <c r="S72"/>
    </row>
    <row r="73" spans="1:19" x14ac:dyDescent="0.35">
      <c r="A73" s="169" t="s">
        <v>140</v>
      </c>
      <c r="B73" s="169"/>
      <c r="C73" s="169"/>
      <c r="D73" s="169" t="s">
        <v>27</v>
      </c>
      <c r="E73" s="169"/>
      <c r="F73" s="169"/>
      <c r="G73" s="169"/>
      <c r="H73" s="169"/>
      <c r="I73" s="27"/>
      <c r="J73" s="27"/>
      <c r="K73" s="27"/>
      <c r="L73" s="27"/>
      <c r="M73" s="27"/>
      <c r="N73" s="27"/>
    </row>
    <row r="74" spans="1:19" ht="15.75" customHeight="1" x14ac:dyDescent="0.35">
      <c r="A74" s="263" t="s">
        <v>80</v>
      </c>
      <c r="B74" s="263"/>
      <c r="C74" s="263"/>
      <c r="D74" s="175" t="str">
        <f ca="1">(IF(G80&gt;95%,"Nothing",IF(G80&gt;0%,"Cement, Aggregate, Steel, etc",IF(G80=0%,"Work not yet Started"))))</f>
        <v>Cement, Aggregate, Steel, etc</v>
      </c>
      <c r="E74" s="175"/>
      <c r="F74" s="175"/>
      <c r="G74" s="175"/>
      <c r="H74" s="175"/>
      <c r="J74" s="26"/>
      <c r="S74"/>
    </row>
    <row r="75" spans="1:19" ht="33.75" customHeight="1" thickBot="1" x14ac:dyDescent="0.4">
      <c r="A75" s="174" t="s">
        <v>112</v>
      </c>
      <c r="B75" s="174"/>
      <c r="C75" s="174"/>
      <c r="D75" s="175" t="str">
        <f ca="1">(IF(D74="Nothing","Yes",IF(D74="Cement, Aggregate, Steel, etc","Under Construction",IF(D74="Work not yet Started","Work not yet Started"))))</f>
        <v>Under Construction</v>
      </c>
      <c r="E75" s="175"/>
      <c r="F75" s="175" t="str">
        <f ca="1">(IF(D74="Nothing","Yes",IF(D74="Cement, Aggregate, Steel, etc","Under Construction",IF(D74="Work not yet Started","Work not yet Started"))))</f>
        <v>Under Construction</v>
      </c>
      <c r="G75" s="175"/>
      <c r="H75" s="175"/>
      <c r="S75"/>
    </row>
    <row r="76" spans="1:19" ht="15.75" customHeight="1" x14ac:dyDescent="0.35">
      <c r="A76" s="164" t="s">
        <v>132</v>
      </c>
      <c r="B76" s="165"/>
      <c r="C76" s="166" t="str">
        <f>D67</f>
        <v>Wing A &amp; B = Gr + UG + 1st to 40th Floor</v>
      </c>
      <c r="D76" s="167"/>
      <c r="E76" s="167"/>
      <c r="F76" s="167"/>
      <c r="G76" s="167"/>
      <c r="H76" s="168"/>
      <c r="I76" s="47" t="str">
        <f ca="1">IF(D89=100%,"All work Completed. Possession granted to the Building.",IF(D88=100%,"All work Completed, Waiting for OC",I77&amp;""&amp;I78&amp;""&amp;J77&amp;""&amp;J76&amp;" "&amp;J78))</f>
        <v xml:space="preserve">Excavation, Plinth Completed </v>
      </c>
      <c r="J76" s="48"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x14ac:dyDescent="0.35">
      <c r="A77" s="16" t="s">
        <v>134</v>
      </c>
      <c r="B77" s="51">
        <f>IF(AND(ISNUMBER(SEARCH("1B",C76))),1,IF(AND(ISNUMBER(SEARCH("2B",C76))),2,IF(AND(ISNUMBER(SEARCH("3B",C76))),3,IF(AND(ISNUMBER(SEARCH("4B",C76))),4,IF(ISNUMBER(SEARCH("5B",C76)),5,0)))))</f>
        <v>0</v>
      </c>
      <c r="C77" s="45" t="s">
        <v>67</v>
      </c>
      <c r="D77" s="45">
        <v>2</v>
      </c>
      <c r="E77" s="45" t="s">
        <v>66</v>
      </c>
      <c r="F77" s="91">
        <v>0</v>
      </c>
      <c r="G77" s="46" t="s">
        <v>74</v>
      </c>
      <c r="H77" s="17">
        <f ca="1">--TRIM(RIGHT(SUBSTITUTE(LEFT(C76,_xlfn.AGGREGATE(16,6,FIND({0,1,2,3,4,5,6,7,8,9},C76,ROW(INDIRECT("1:"&amp;LEN(C76)))),1))," ",REPT(" ",LEN(C76))),LEN(C76)))</f>
        <v>40</v>
      </c>
      <c r="I77" s="49" t="str">
        <f ca="1">IF(D80=100%,"Excavation","")&amp;IF(D81=100%,", Plinth","")&amp;IF(D82=100%,", RCC Slab","")&amp;IF(D83=100%,", Brickwork","")&amp;IF(D84=100%,", Internal Plaster","")&amp;IF(D85=100%,", External Plaster","")&amp;IF(D86=100%,", Flooring","")&amp;IF(D87=100%,", Painting","")&amp;IF(D88=100%,", Building common Amenities","")</f>
        <v>Excavation, Plinth</v>
      </c>
      <c r="J77" s="50"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35">
      <c r="A78" s="162" t="s">
        <v>84</v>
      </c>
      <c r="B78" s="163"/>
      <c r="C78" s="170" t="str">
        <f ca="1">I76</f>
        <v xml:space="preserve">Excavation, Plinth Completed </v>
      </c>
      <c r="D78" s="170"/>
      <c r="E78" s="170"/>
      <c r="F78" s="170"/>
      <c r="G78" s="170"/>
      <c r="H78" s="171"/>
      <c r="I78" s="49" t="str">
        <f ca="1">IF(I77&lt;&gt;""," Completed","")</f>
        <v xml:space="preserve"> Completed</v>
      </c>
      <c r="J78" s="50" t="str">
        <f ca="1">IF(J76&lt;&gt;"","Completed","")</f>
        <v/>
      </c>
      <c r="S78"/>
    </row>
    <row r="79" spans="1:19" ht="15.75" customHeight="1" x14ac:dyDescent="0.35">
      <c r="A79" s="178" t="s">
        <v>46</v>
      </c>
      <c r="B79" s="176"/>
      <c r="C79" s="42" t="s">
        <v>131</v>
      </c>
      <c r="D79" s="42" t="s">
        <v>77</v>
      </c>
      <c r="E79" s="176" t="s">
        <v>79</v>
      </c>
      <c r="F79" s="176"/>
      <c r="G79" s="176" t="s">
        <v>78</v>
      </c>
      <c r="H79" s="177"/>
      <c r="I79" s="13" t="s">
        <v>133</v>
      </c>
      <c r="J79" s="28">
        <f ca="1">H77*25%</f>
        <v>10</v>
      </c>
      <c r="S79"/>
    </row>
    <row r="80" spans="1:19" x14ac:dyDescent="0.35">
      <c r="A80" s="178" t="s">
        <v>120</v>
      </c>
      <c r="B80" s="176"/>
      <c r="C80" s="86">
        <f ca="1">J81</f>
        <v>40</v>
      </c>
      <c r="D80" s="19">
        <f ca="1">((100/H77)*C80)/100</f>
        <v>1</v>
      </c>
      <c r="E80" s="181">
        <f ca="1">(((C81/H77*10)+(40/(D77+F77+H77)*C82)+(7.5/(H77)*C83)+(7.5/(H77)*C84)+(10/H77*C85)+(10/H77*C86)+(5/H77*C87)+(5/H77*C88)+(5/H77*C89))/100)</f>
        <v>0.1</v>
      </c>
      <c r="F80" s="182"/>
      <c r="G80" s="181">
        <f ca="1">((((C80/H77)*20)+((C81/H77)*25)+(30/(H77+F77+D77)*C82)+(5/H77*C83)+(5/H77*C84)+(5/H77*C85)+(5/H77*C86)+(0/H77*C87)+(0/H77*C88)+(5/H77*C89))/100)</f>
        <v>0.45</v>
      </c>
      <c r="H80" s="187"/>
      <c r="I80" s="13" t="s">
        <v>94</v>
      </c>
      <c r="J80" s="29">
        <f ca="1">H77*50%</f>
        <v>20</v>
      </c>
    </row>
    <row r="81" spans="1:19" x14ac:dyDescent="0.35">
      <c r="A81" s="178" t="s">
        <v>47</v>
      </c>
      <c r="B81" s="176"/>
      <c r="C81" s="103">
        <f ca="1">J89</f>
        <v>40</v>
      </c>
      <c r="D81" s="19">
        <f ca="1">((100/H77)*C81)/100</f>
        <v>1</v>
      </c>
      <c r="E81" s="183"/>
      <c r="F81" s="184"/>
      <c r="G81" s="183"/>
      <c r="H81" s="188"/>
      <c r="I81" s="13" t="s">
        <v>95</v>
      </c>
      <c r="J81" s="29">
        <f ca="1">H77</f>
        <v>40</v>
      </c>
      <c r="S81"/>
    </row>
    <row r="82" spans="1:19" ht="15.75" customHeight="1" x14ac:dyDescent="0.35">
      <c r="A82" s="178" t="s">
        <v>121</v>
      </c>
      <c r="B82" s="176"/>
      <c r="C82" s="42">
        <v>0</v>
      </c>
      <c r="D82" s="19">
        <f ca="1">((100/(D77+F77+H77))*C82)/100</f>
        <v>0</v>
      </c>
      <c r="E82" s="183"/>
      <c r="F82" s="184"/>
      <c r="G82" s="183"/>
      <c r="H82" s="188"/>
      <c r="I82" s="13" t="s">
        <v>96</v>
      </c>
      <c r="J82" s="30">
        <f ca="1">(IF(B77&gt;1,(H77/(B77+2)),H77/4))</f>
        <v>10</v>
      </c>
      <c r="S82"/>
    </row>
    <row r="83" spans="1:19" ht="15.75" customHeight="1" x14ac:dyDescent="0.35">
      <c r="A83" s="178" t="s">
        <v>128</v>
      </c>
      <c r="B83" s="176" t="s">
        <v>122</v>
      </c>
      <c r="C83" s="42">
        <v>0</v>
      </c>
      <c r="D83" s="19">
        <f ca="1">((100/H77)*C83)/100</f>
        <v>0</v>
      </c>
      <c r="E83" s="183"/>
      <c r="F83" s="184"/>
      <c r="G83" s="183"/>
      <c r="H83" s="188"/>
      <c r="I83" s="13" t="s">
        <v>97</v>
      </c>
      <c r="J83" s="30">
        <f ca="1">(IF(B77&gt;1,(H77/(B77+2)+J82),H77/4+J82))</f>
        <v>20</v>
      </c>
    </row>
    <row r="84" spans="1:19" ht="15.75" customHeight="1" x14ac:dyDescent="0.35">
      <c r="A84" s="178" t="s">
        <v>129</v>
      </c>
      <c r="B84" s="176" t="s">
        <v>122</v>
      </c>
      <c r="C84" s="42">
        <v>0</v>
      </c>
      <c r="D84" s="19">
        <f ca="1">((100/H77)*C84)/100</f>
        <v>0</v>
      </c>
      <c r="E84" s="183"/>
      <c r="F84" s="184"/>
      <c r="G84" s="183"/>
      <c r="H84" s="188"/>
      <c r="I84" s="13" t="s">
        <v>138</v>
      </c>
      <c r="J84" s="30">
        <f>(IF(B77&gt;1,(H77/(B77+2)+J83),0))</f>
        <v>0</v>
      </c>
    </row>
    <row r="85" spans="1:19" ht="15" customHeight="1" x14ac:dyDescent="0.35">
      <c r="A85" s="178" t="s">
        <v>127</v>
      </c>
      <c r="B85" s="176" t="s">
        <v>124</v>
      </c>
      <c r="C85" s="60">
        <v>0</v>
      </c>
      <c r="D85" s="19">
        <f ca="1">((100/(H77))*C85)/100</f>
        <v>0</v>
      </c>
      <c r="E85" s="183"/>
      <c r="F85" s="184"/>
      <c r="G85" s="183"/>
      <c r="H85" s="188"/>
      <c r="I85" s="13" t="s">
        <v>135</v>
      </c>
      <c r="J85" s="30">
        <f>(IF(B77&gt;2,(H77/(B77+2)+J84),0))</f>
        <v>0</v>
      </c>
    </row>
    <row r="86" spans="1:19" ht="15.75" customHeight="1" x14ac:dyDescent="0.35">
      <c r="A86" s="178" t="s">
        <v>123</v>
      </c>
      <c r="B86" s="176" t="s">
        <v>123</v>
      </c>
      <c r="C86" s="42">
        <v>0</v>
      </c>
      <c r="D86" s="19">
        <f ca="1">((100/H77)*C86)/100</f>
        <v>0</v>
      </c>
      <c r="E86" s="183"/>
      <c r="F86" s="184"/>
      <c r="G86" s="183"/>
      <c r="H86" s="188"/>
      <c r="I86" s="13" t="s">
        <v>136</v>
      </c>
      <c r="J86" s="31">
        <f>(IF(B77&gt;3,(H77/(B77+2)+J85),0))</f>
        <v>0</v>
      </c>
    </row>
    <row r="87" spans="1:19" ht="15.75" customHeight="1" x14ac:dyDescent="0.35">
      <c r="A87" s="178" t="s">
        <v>130</v>
      </c>
      <c r="B87" s="176"/>
      <c r="C87" s="42">
        <v>0</v>
      </c>
      <c r="D87" s="19">
        <f ca="1">((100/H77)*C87)/100</f>
        <v>0</v>
      </c>
      <c r="E87" s="183"/>
      <c r="F87" s="184"/>
      <c r="G87" s="183"/>
      <c r="H87" s="188"/>
      <c r="I87" s="13" t="s">
        <v>137</v>
      </c>
      <c r="J87" s="30">
        <f>(IF(B77&gt;4,(H77/(B77+2)+J86),0))</f>
        <v>0</v>
      </c>
    </row>
    <row r="88" spans="1:19" ht="15.75" customHeight="1" x14ac:dyDescent="0.35">
      <c r="A88" s="178" t="s">
        <v>125</v>
      </c>
      <c r="B88" s="176" t="s">
        <v>125</v>
      </c>
      <c r="C88" s="42">
        <v>0</v>
      </c>
      <c r="D88" s="19">
        <f ca="1">((100/(H77))*C88)/100</f>
        <v>0</v>
      </c>
      <c r="E88" s="183"/>
      <c r="F88" s="184"/>
      <c r="G88" s="183"/>
      <c r="H88" s="188"/>
      <c r="I88" s="13" t="s">
        <v>139</v>
      </c>
      <c r="J88" s="30">
        <f ca="1">(IF(B77=1,(H77/(B77+3)+J83),IF(B77=0,(H77/4+J83),IF(B77&gt;1,0))))</f>
        <v>30</v>
      </c>
    </row>
    <row r="89" spans="1:19" ht="16" thickBot="1" x14ac:dyDescent="0.4">
      <c r="A89" s="179" t="s">
        <v>126</v>
      </c>
      <c r="B89" s="180"/>
      <c r="C89" s="43">
        <v>0</v>
      </c>
      <c r="D89" s="20">
        <f ca="1">((100/(H77))*C89)/100</f>
        <v>0</v>
      </c>
      <c r="E89" s="185"/>
      <c r="F89" s="186"/>
      <c r="G89" s="185"/>
      <c r="H89" s="189"/>
      <c r="I89" s="15" t="s">
        <v>98</v>
      </c>
      <c r="J89" s="32">
        <f ca="1">(IF(B77&gt;1.5,(H77/(B77+2)+J83+MAX(0,J84-J83)+MAX(0,J85-J84)+MAX(0,J86-J85)+MAX(0,J87-J86)+MAX(0,J88-J87)),IF(B77=1,(H77/(B77+3)+J88),IF(B77=0,H77/4+J88))))</f>
        <v>40</v>
      </c>
    </row>
    <row r="90" spans="1:19" ht="15.75" hidden="1" customHeight="1" x14ac:dyDescent="0.35">
      <c r="A90" s="164" t="s">
        <v>132</v>
      </c>
      <c r="B90" s="165"/>
      <c r="C90" s="166" t="str">
        <f>D68</f>
        <v>Wing B  = 4B + G + UG + 1st to 40th Floor</v>
      </c>
      <c r="D90" s="167"/>
      <c r="E90" s="167"/>
      <c r="F90" s="167"/>
      <c r="G90" s="167"/>
      <c r="H90" s="168"/>
      <c r="I90" s="47" t="str">
        <f ca="1">IF(D103=100%,"All work Completed. Possession granted to the Building.",IF(D102=100%,"All work Completed, Waiting for OC",I91&amp;""&amp;I92&amp;""&amp;J91&amp;""&amp;J90&amp;" "&amp;J92))</f>
        <v xml:space="preserve">Excavation, Plinth, RCC Slab, Brickwork Completed </v>
      </c>
      <c r="J90" s="48"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hidden="1" x14ac:dyDescent="0.35">
      <c r="A91" s="16" t="s">
        <v>134</v>
      </c>
      <c r="B91" s="52">
        <f>IF(AND(ISNUMBER(SEARCH("1B",C90))),1,IF(AND(ISNUMBER(SEARCH("2B",C90))),2,IF(AND(ISNUMBER(SEARCH("3B",C90))),3,IF(AND(ISNUMBER(SEARCH("4B",C90))),4,IF(ISNUMBER(SEARCH("5B",C90)),5,0)))))</f>
        <v>4</v>
      </c>
      <c r="C91" s="52" t="s">
        <v>67</v>
      </c>
      <c r="D91" s="52">
        <v>2</v>
      </c>
      <c r="E91" s="52" t="s">
        <v>66</v>
      </c>
      <c r="F91" s="14">
        <v>0</v>
      </c>
      <c r="G91" s="46" t="s">
        <v>74</v>
      </c>
      <c r="H91" s="17">
        <f ca="1">--TRIM(RIGHT(SUBSTITUTE(LEFT(C90,_xlfn.AGGREGATE(16,6,FIND({0,1,2,3,4,5,6,7,8,9},C90,ROW(INDIRECT("1:"&amp;LEN(C90)))),1))," ",REPT(" ",LEN(C90))),LEN(C90)))</f>
        <v>40</v>
      </c>
      <c r="I91" s="49" t="str">
        <f ca="1">IF(D94=100%,"Excavation","")&amp;IF(D95=100%,", Plinth","")&amp;IF(D96=100%,", RCC Slab","")&amp;IF(D97=100%,", Brickwork","")&amp;IF(D98=100%,", Internal Plaster","")&amp;IF(D99=100%,", External Plaster","")&amp;IF(D100=100%,", Flooring","")&amp;IF(D101=100%,", Painting","")&amp;IF(D102=100%,", Building common Amenities","")</f>
        <v>Excavation, Plinth, RCC Slab, Brickwork</v>
      </c>
      <c r="J91" s="50"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idden="1" x14ac:dyDescent="0.35">
      <c r="A92" s="162" t="s">
        <v>84</v>
      </c>
      <c r="B92" s="163"/>
      <c r="C92" s="170" t="str">
        <f ca="1">I90</f>
        <v xml:space="preserve">Excavation, Plinth, RCC Slab, Brickwork Completed </v>
      </c>
      <c r="D92" s="170"/>
      <c r="E92" s="170"/>
      <c r="F92" s="170"/>
      <c r="G92" s="170"/>
      <c r="H92" s="171"/>
      <c r="I92" s="49" t="str">
        <f ca="1">IF(I91&lt;&gt;""," Completed","")</f>
        <v xml:space="preserve"> Completed</v>
      </c>
      <c r="J92" s="50" t="str">
        <f ca="1">IF(J90&lt;&gt;"","Completed","")</f>
        <v/>
      </c>
      <c r="S92"/>
    </row>
    <row r="93" spans="1:19" ht="15.75" hidden="1" customHeight="1" x14ac:dyDescent="0.35">
      <c r="A93" s="178" t="s">
        <v>46</v>
      </c>
      <c r="B93" s="176"/>
      <c r="C93" s="79" t="s">
        <v>131</v>
      </c>
      <c r="D93" s="79" t="s">
        <v>77</v>
      </c>
      <c r="E93" s="176" t="s">
        <v>79</v>
      </c>
      <c r="F93" s="176"/>
      <c r="G93" s="176" t="s">
        <v>78</v>
      </c>
      <c r="H93" s="177"/>
      <c r="I93" s="13" t="s">
        <v>133</v>
      </c>
      <c r="J93" s="28">
        <f ca="1">H91*25%</f>
        <v>10</v>
      </c>
      <c r="S93"/>
    </row>
    <row r="94" spans="1:19" hidden="1" x14ac:dyDescent="0.35">
      <c r="A94" s="178" t="s">
        <v>120</v>
      </c>
      <c r="B94" s="176"/>
      <c r="C94" s="61">
        <f ca="1">J95</f>
        <v>40</v>
      </c>
      <c r="D94" s="19">
        <f ca="1">((100/H91)*C94)/100</f>
        <v>1</v>
      </c>
      <c r="E94" s="181">
        <f ca="1">(((C95/H91*10)+(40/(D91+F91+H91)*C96)+(7.5/(H91)*C97)+(7.5/(H91)*C98)+(10/H91*C99)+(10/H91*C100)+(5/H91*C101)+(5/H91*C102)+(5/H91*C103))/100)</f>
        <v>0.57499999999999996</v>
      </c>
      <c r="F94" s="182"/>
      <c r="G94" s="181">
        <f ca="1">((((C94/H91)*20)+((C95/H91)*25)+(30/(H91+F91+D91)*C96)+(5/H91*C97)+(5/H91*C98)+(5/H91*C99)+(5/H91*C100)+(0/H91*C101)+(0/H91*C102)+(5/H91*C103))/100)</f>
        <v>0.8</v>
      </c>
      <c r="H94" s="187"/>
      <c r="I94" s="13" t="s">
        <v>94</v>
      </c>
      <c r="J94" s="29">
        <f ca="1">H91*50%</f>
        <v>20</v>
      </c>
    </row>
    <row r="95" spans="1:19" hidden="1" x14ac:dyDescent="0.35">
      <c r="A95" s="178" t="s">
        <v>47</v>
      </c>
      <c r="B95" s="176"/>
      <c r="C95" s="79">
        <v>40</v>
      </c>
      <c r="D95" s="19">
        <f ca="1">((100/H91)*C95)/100</f>
        <v>1</v>
      </c>
      <c r="E95" s="183"/>
      <c r="F95" s="184"/>
      <c r="G95" s="183"/>
      <c r="H95" s="188"/>
      <c r="I95" s="13" t="s">
        <v>95</v>
      </c>
      <c r="J95" s="29">
        <f ca="1">H91</f>
        <v>40</v>
      </c>
      <c r="S95"/>
    </row>
    <row r="96" spans="1:19" ht="15.75" hidden="1" customHeight="1" x14ac:dyDescent="0.35">
      <c r="A96" s="178" t="s">
        <v>121</v>
      </c>
      <c r="B96" s="176"/>
      <c r="C96" s="79">
        <v>42</v>
      </c>
      <c r="D96" s="19">
        <f ca="1">((100/(D91+F91+H91))*C96)/100</f>
        <v>1</v>
      </c>
      <c r="E96" s="183"/>
      <c r="F96" s="184"/>
      <c r="G96" s="183"/>
      <c r="H96" s="188"/>
      <c r="I96" s="13" t="s">
        <v>96</v>
      </c>
      <c r="J96" s="30">
        <f ca="1">(IF(B91&gt;1,(H91/(B91+2)),H91/4))</f>
        <v>6.666666666666667</v>
      </c>
      <c r="S96"/>
    </row>
    <row r="97" spans="1:22" ht="15.75" hidden="1" customHeight="1" x14ac:dyDescent="0.35">
      <c r="A97" s="178" t="s">
        <v>128</v>
      </c>
      <c r="B97" s="176" t="s">
        <v>122</v>
      </c>
      <c r="C97" s="79">
        <v>40</v>
      </c>
      <c r="D97" s="19">
        <f ca="1">((100/H91)*C97)/100</f>
        <v>1</v>
      </c>
      <c r="E97" s="183"/>
      <c r="F97" s="184"/>
      <c r="G97" s="183"/>
      <c r="H97" s="188"/>
      <c r="I97" s="13" t="s">
        <v>97</v>
      </c>
      <c r="J97" s="30">
        <f ca="1">(IF(B91&gt;1,(H91/(B91+2)+J96),H91/4+J96))</f>
        <v>13.333333333333334</v>
      </c>
      <c r="L97" s="21">
        <f>10+40+8+7+10+10+5+5+5</f>
        <v>100</v>
      </c>
    </row>
    <row r="98" spans="1:22" ht="15.75" hidden="1" customHeight="1" x14ac:dyDescent="0.35">
      <c r="A98" s="178" t="s">
        <v>129</v>
      </c>
      <c r="B98" s="176" t="s">
        <v>122</v>
      </c>
      <c r="C98" s="79">
        <v>0</v>
      </c>
      <c r="D98" s="19">
        <f ca="1">((100/H91)*C98)/100</f>
        <v>0</v>
      </c>
      <c r="E98" s="183"/>
      <c r="F98" s="184"/>
      <c r="G98" s="183"/>
      <c r="H98" s="188"/>
      <c r="I98" s="13" t="s">
        <v>138</v>
      </c>
      <c r="J98" s="30">
        <f ca="1">(IF(B91&gt;1,(H91/(B91+2)+J97),0))</f>
        <v>20</v>
      </c>
    </row>
    <row r="99" spans="1:22" ht="15" hidden="1" customHeight="1" x14ac:dyDescent="0.35">
      <c r="A99" s="178" t="s">
        <v>127</v>
      </c>
      <c r="B99" s="176" t="s">
        <v>124</v>
      </c>
      <c r="C99" s="79">
        <v>0</v>
      </c>
      <c r="D99" s="19">
        <f ca="1">((100/(H91))*C99)/100</f>
        <v>0</v>
      </c>
      <c r="E99" s="183"/>
      <c r="F99" s="184"/>
      <c r="G99" s="183"/>
      <c r="H99" s="188"/>
      <c r="I99" s="13" t="s">
        <v>135</v>
      </c>
      <c r="J99" s="30">
        <f ca="1">(IF(B91&gt;2,(H91/(B91+2)+J98),0))</f>
        <v>26.666666666666668</v>
      </c>
      <c r="K99" s="21">
        <f>75-45</f>
        <v>30</v>
      </c>
    </row>
    <row r="100" spans="1:22" ht="15.75" hidden="1" customHeight="1" x14ac:dyDescent="0.35">
      <c r="A100" s="178" t="s">
        <v>123</v>
      </c>
      <c r="B100" s="176" t="s">
        <v>123</v>
      </c>
      <c r="C100" s="79">
        <v>0</v>
      </c>
      <c r="D100" s="19">
        <f ca="1">((100/H91)*C100)/100</f>
        <v>0</v>
      </c>
      <c r="E100" s="183"/>
      <c r="F100" s="184"/>
      <c r="G100" s="183"/>
      <c r="H100" s="188"/>
      <c r="I100" s="13" t="s">
        <v>136</v>
      </c>
      <c r="J100" s="31">
        <f ca="1">(IF(B91&gt;3,(H91/(B91+2)+J99),0))</f>
        <v>33.333333333333336</v>
      </c>
    </row>
    <row r="101" spans="1:22" ht="15.75" hidden="1" customHeight="1" x14ac:dyDescent="0.35">
      <c r="A101" s="178" t="s">
        <v>130</v>
      </c>
      <c r="B101" s="176"/>
      <c r="C101" s="79">
        <v>0</v>
      </c>
      <c r="D101" s="19">
        <f ca="1">((100/H91)*C101)/100</f>
        <v>0</v>
      </c>
      <c r="E101" s="183"/>
      <c r="F101" s="184"/>
      <c r="G101" s="183"/>
      <c r="H101" s="188"/>
      <c r="I101" s="13" t="s">
        <v>137</v>
      </c>
      <c r="J101" s="30">
        <f>(IF(B91&gt;4,(H91/(B91+2)+J100),0))</f>
        <v>0</v>
      </c>
    </row>
    <row r="102" spans="1:22" ht="15.75" hidden="1" customHeight="1" x14ac:dyDescent="0.35">
      <c r="A102" s="178" t="s">
        <v>125</v>
      </c>
      <c r="B102" s="176" t="s">
        <v>125</v>
      </c>
      <c r="C102" s="79">
        <v>0</v>
      </c>
      <c r="D102" s="19">
        <f ca="1">((100/(H91))*C102)/100</f>
        <v>0</v>
      </c>
      <c r="E102" s="183"/>
      <c r="F102" s="184"/>
      <c r="G102" s="183"/>
      <c r="H102" s="188"/>
      <c r="I102" s="13" t="s">
        <v>139</v>
      </c>
      <c r="J102" s="30">
        <f>(IF(B91=1,(H91/(B91+3)+J97),IF(B91=0,(H91/4+J97),IF(B91&gt;1,0))))</f>
        <v>0</v>
      </c>
    </row>
    <row r="103" spans="1:22" ht="16" hidden="1" thickBot="1" x14ac:dyDescent="0.4">
      <c r="A103" s="179" t="s">
        <v>126</v>
      </c>
      <c r="B103" s="180"/>
      <c r="C103" s="78">
        <v>0</v>
      </c>
      <c r="D103" s="20">
        <f ca="1">((100/(H91))*C103)/100</f>
        <v>0</v>
      </c>
      <c r="E103" s="185"/>
      <c r="F103" s="186"/>
      <c r="G103" s="185"/>
      <c r="H103" s="189"/>
      <c r="I103" s="15" t="s">
        <v>98</v>
      </c>
      <c r="J103" s="32">
        <f ca="1">(IF(B91&gt;1.5,(H91/(B91+2)+J97+MAX(0,J98-J97)+MAX(0,J99-J98)+MAX(0,J100-J99)+MAX(0,J101-J100)+MAX(0,J102-J101)),IF(B91=1,(H91/(B91+3)+J102),IF(B91=0,H91/4+J102))))</f>
        <v>40</v>
      </c>
    </row>
    <row r="104" spans="1:22" x14ac:dyDescent="0.35">
      <c r="A104" s="264" t="s">
        <v>149</v>
      </c>
      <c r="B104" s="264"/>
      <c r="C104" s="264"/>
      <c r="D104" s="264"/>
      <c r="E104" s="264"/>
      <c r="F104" s="265" t="s">
        <v>153</v>
      </c>
      <c r="G104" s="265"/>
      <c r="H104" s="265"/>
      <c r="R104" t="s">
        <v>243</v>
      </c>
      <c r="S104" t="s">
        <v>165</v>
      </c>
      <c r="T104" t="s">
        <v>170</v>
      </c>
      <c r="U104" t="s">
        <v>184</v>
      </c>
      <c r="V104" t="s">
        <v>179</v>
      </c>
    </row>
    <row r="105" spans="1:22" x14ac:dyDescent="0.35">
      <c r="A105" s="113" t="s">
        <v>151</v>
      </c>
      <c r="B105" s="113"/>
      <c r="C105" s="113"/>
      <c r="D105" s="113"/>
      <c r="E105" s="113"/>
      <c r="F105" s="114">
        <v>22500</v>
      </c>
      <c r="G105" s="114"/>
      <c r="H105" s="114"/>
      <c r="I105" s="21" t="s">
        <v>409</v>
      </c>
      <c r="R105"/>
      <c r="S105">
        <v>800000</v>
      </c>
      <c r="T105">
        <v>150000</v>
      </c>
      <c r="U105">
        <v>100000</v>
      </c>
      <c r="V105">
        <v>100000</v>
      </c>
    </row>
    <row r="106" spans="1:22" hidden="1" x14ac:dyDescent="0.35">
      <c r="A106" s="113" t="s">
        <v>150</v>
      </c>
      <c r="B106" s="113"/>
      <c r="C106" s="113"/>
      <c r="D106" s="113"/>
      <c r="E106" s="113"/>
      <c r="F106" s="114"/>
      <c r="G106" s="114"/>
      <c r="H106" s="114"/>
      <c r="R106"/>
      <c r="S106">
        <v>900000</v>
      </c>
      <c r="T106">
        <v>200000</v>
      </c>
      <c r="U106">
        <v>150000</v>
      </c>
      <c r="V106">
        <v>150000</v>
      </c>
    </row>
    <row r="107" spans="1:22" hidden="1" x14ac:dyDescent="0.35">
      <c r="A107" s="113" t="s">
        <v>152</v>
      </c>
      <c r="B107" s="113"/>
      <c r="C107" s="113"/>
      <c r="D107" s="113"/>
      <c r="E107" s="113"/>
      <c r="F107" s="114"/>
      <c r="G107" s="114"/>
      <c r="H107" s="114"/>
      <c r="R107"/>
      <c r="S107">
        <v>1000000</v>
      </c>
      <c r="T107">
        <v>250000</v>
      </c>
      <c r="U107">
        <v>200000</v>
      </c>
      <c r="V107">
        <v>200000</v>
      </c>
    </row>
    <row r="108" spans="1:22" s="33" customFormat="1" hidden="1" x14ac:dyDescent="0.35">
      <c r="A108" s="113" t="s">
        <v>167</v>
      </c>
      <c r="B108" s="113"/>
      <c r="C108" s="113"/>
      <c r="D108" s="113"/>
      <c r="E108" s="113"/>
      <c r="F108" s="114"/>
      <c r="G108" s="114"/>
      <c r="H108" s="114"/>
      <c r="R108"/>
      <c r="S108">
        <v>1100000</v>
      </c>
      <c r="T108">
        <v>300000</v>
      </c>
      <c r="U108">
        <v>250000</v>
      </c>
      <c r="V108" s="23">
        <v>250000</v>
      </c>
    </row>
    <row r="109" spans="1:22" s="33" customFormat="1" hidden="1" x14ac:dyDescent="0.35">
      <c r="A109" s="113" t="s">
        <v>88</v>
      </c>
      <c r="B109" s="113"/>
      <c r="C109" s="113"/>
      <c r="D109" s="113"/>
      <c r="E109" s="113"/>
      <c r="F109" s="114"/>
      <c r="G109" s="114"/>
      <c r="H109" s="114"/>
      <c r="R109"/>
      <c r="S109">
        <v>1200000</v>
      </c>
      <c r="T109">
        <v>350000</v>
      </c>
      <c r="U109">
        <v>300000</v>
      </c>
      <c r="V109">
        <v>300000</v>
      </c>
    </row>
    <row r="110" spans="1:22" s="33" customFormat="1" x14ac:dyDescent="0.35">
      <c r="A110" s="113" t="s">
        <v>476</v>
      </c>
      <c r="B110" s="113"/>
      <c r="C110" s="113"/>
      <c r="D110" s="113"/>
      <c r="E110" s="113"/>
      <c r="F110" s="114">
        <v>1100000</v>
      </c>
      <c r="G110" s="114"/>
      <c r="H110" s="114"/>
      <c r="I110" s="21" t="s">
        <v>477</v>
      </c>
      <c r="R110"/>
      <c r="S110">
        <v>1300000</v>
      </c>
      <c r="T110">
        <v>400000</v>
      </c>
      <c r="U110">
        <v>350000</v>
      </c>
      <c r="V110" s="23">
        <v>400000</v>
      </c>
    </row>
    <row r="111" spans="1:22" s="33" customFormat="1" hidden="1" x14ac:dyDescent="0.35">
      <c r="A111" s="113" t="s">
        <v>89</v>
      </c>
      <c r="B111" s="113"/>
      <c r="C111" s="113"/>
      <c r="D111" s="113"/>
      <c r="E111" s="113"/>
      <c r="F111" s="114"/>
      <c r="G111" s="114"/>
      <c r="H111" s="114"/>
      <c r="R111"/>
      <c r="S111">
        <v>1300000</v>
      </c>
      <c r="T111">
        <v>400000</v>
      </c>
      <c r="U111">
        <v>350000</v>
      </c>
      <c r="V111" s="23">
        <v>400000</v>
      </c>
    </row>
    <row r="112" spans="1:22" s="33" customFormat="1" hidden="1" x14ac:dyDescent="0.35">
      <c r="A112" s="113" t="s">
        <v>90</v>
      </c>
      <c r="B112" s="113"/>
      <c r="C112" s="113"/>
      <c r="D112" s="113"/>
      <c r="E112" s="113"/>
      <c r="F112" s="114"/>
      <c r="G112" s="114"/>
      <c r="H112" s="114"/>
      <c r="R112"/>
      <c r="S112">
        <v>1400000</v>
      </c>
      <c r="T112">
        <v>500000</v>
      </c>
      <c r="U112">
        <v>400000</v>
      </c>
      <c r="V112"/>
    </row>
    <row r="113" spans="1:22" s="33" customFormat="1" hidden="1" x14ac:dyDescent="0.35">
      <c r="A113" s="113" t="s">
        <v>91</v>
      </c>
      <c r="B113" s="113"/>
      <c r="C113" s="113"/>
      <c r="D113" s="113"/>
      <c r="E113" s="113"/>
      <c r="F113" s="114"/>
      <c r="G113" s="114"/>
      <c r="H113" s="114"/>
      <c r="R113"/>
      <c r="S113">
        <v>1500000</v>
      </c>
      <c r="T113">
        <v>600000</v>
      </c>
      <c r="U113">
        <v>500000</v>
      </c>
      <c r="V113" s="23"/>
    </row>
    <row r="114" spans="1:22" s="33" customFormat="1" hidden="1" x14ac:dyDescent="0.35">
      <c r="A114" s="113" t="s">
        <v>92</v>
      </c>
      <c r="B114" s="113"/>
      <c r="C114" s="113"/>
      <c r="D114" s="113"/>
      <c r="E114" s="113"/>
      <c r="F114" s="114"/>
      <c r="G114" s="114"/>
      <c r="H114" s="114"/>
      <c r="R114"/>
      <c r="S114">
        <v>1600000</v>
      </c>
      <c r="T114">
        <v>700000</v>
      </c>
      <c r="U114">
        <v>600000</v>
      </c>
      <c r="V114"/>
    </row>
    <row r="115" spans="1:22" s="33" customFormat="1" hidden="1" x14ac:dyDescent="0.35">
      <c r="A115" s="113" t="s">
        <v>93</v>
      </c>
      <c r="B115" s="113"/>
      <c r="C115" s="113"/>
      <c r="D115" s="113"/>
      <c r="E115" s="113"/>
      <c r="F115" s="114"/>
      <c r="G115" s="114"/>
      <c r="H115" s="114"/>
      <c r="R115"/>
      <c r="S115">
        <v>1700000</v>
      </c>
      <c r="T115">
        <v>800000</v>
      </c>
      <c r="U115"/>
      <c r="V115" s="23"/>
    </row>
    <row r="116" spans="1:22" x14ac:dyDescent="0.35">
      <c r="A116" s="113" t="s">
        <v>48</v>
      </c>
      <c r="B116" s="113"/>
      <c r="C116" s="113"/>
      <c r="D116" s="113"/>
      <c r="E116" s="113"/>
      <c r="F116" s="114">
        <v>1200000</v>
      </c>
      <c r="G116" s="114"/>
      <c r="H116" s="114"/>
      <c r="I116" s="21" t="s">
        <v>478</v>
      </c>
      <c r="R116"/>
      <c r="S116">
        <v>1800000</v>
      </c>
      <c r="T116">
        <v>900000</v>
      </c>
      <c r="U116"/>
    </row>
    <row r="117" spans="1:22" s="34" customFormat="1" x14ac:dyDescent="0.35">
      <c r="A117" s="224" t="s">
        <v>49</v>
      </c>
      <c r="B117" s="224"/>
      <c r="C117" s="224"/>
      <c r="D117" s="224"/>
      <c r="E117" s="224"/>
      <c r="F117" s="225">
        <f>F105*0.8</f>
        <v>18000</v>
      </c>
      <c r="G117" s="225"/>
      <c r="H117" s="225"/>
      <c r="R117" s="21"/>
      <c r="S117" s="21"/>
      <c r="T117">
        <v>1000000</v>
      </c>
      <c r="U117"/>
      <c r="V117" s="21"/>
    </row>
    <row r="118" spans="1:22" s="35" customFormat="1" x14ac:dyDescent="0.35">
      <c r="A118" s="132" t="s">
        <v>395</v>
      </c>
      <c r="B118" s="132"/>
      <c r="C118" s="132"/>
      <c r="D118" s="132"/>
      <c r="E118" s="132"/>
      <c r="F118" s="132"/>
      <c r="G118" s="132"/>
      <c r="H118" s="132"/>
      <c r="T118"/>
    </row>
    <row r="119" spans="1:22" s="35" customFormat="1" ht="15.75" customHeight="1" x14ac:dyDescent="0.35">
      <c r="A119" s="133" t="s">
        <v>50</v>
      </c>
      <c r="B119" s="133"/>
      <c r="C119" s="153" t="s">
        <v>72</v>
      </c>
      <c r="D119" s="153"/>
      <c r="E119" s="154" t="s">
        <v>51</v>
      </c>
      <c r="F119" s="154"/>
      <c r="G119" s="133" t="s">
        <v>52</v>
      </c>
      <c r="H119" s="133"/>
      <c r="T119"/>
    </row>
    <row r="120" spans="1:22" s="35" customFormat="1" x14ac:dyDescent="0.35">
      <c r="A120" s="134" t="s">
        <v>380</v>
      </c>
      <c r="B120" s="134"/>
      <c r="C120" s="135">
        <f>COUNT(F162:F163)+COUNT(F167)+COUNT(F172)+COUNT(F177:F178)+COUNT(F182:F183)*3+COUNT(F187:F188,F190)+COUNT(F192:F193)+COUNT(F197,F200)+COUNT(F202:F203)+COUNT(F207:F208,F210)*3+COUNT(F212:F213)*2+COUNT(F217:F219)+COUNT(F222:F223)+COUNT(F227:F229)*2+COUNT(F232:F233)+COUNT(F237:F239)+COUNT(F242:F243,F245)+COUNT(F247:F250)*3+COUNT(F252:F253,F255)+COUNT(F257:F259)+COUNT(F262)+COUNT(F267,F269:F270)+COUNT(F272,F274:F275)+COUNT(F277:F280)</f>
        <v>82</v>
      </c>
      <c r="D120" s="135"/>
      <c r="E120" s="135">
        <f>SUM(F162:F163)+SUM(F167)+SUM(F172)+SUM(F177:F178)+SUM(F182:F183)*3+SUM(F187:F188,F190)+SUM(F192:F193)+SUM(F197,F200)+SUM(F202:F203)+SUM(F207:F208,F210)*3+SUM(F212:F213)*2+SUM(F217:F219)+SUM(F222:F223)+SUM(F227:F229)*2+SUM(F232:F233)+SUM(F237:F239)+SUM(F242:F243,F245)+SUM(F247:F250)*3+SUM(F252:F253,F255)+SUM(F257:F259)+SUM(F262)+SUM(F267,F269:F270)+SUM(F272,F274:F275)+SUM(F277:F280)</f>
        <v>107723.8795464</v>
      </c>
      <c r="F120" s="135"/>
      <c r="G120" s="135">
        <f>SUM(H162:H163)+SUM(H167)+SUM(H172)+SUM(H177:H178)+SUM(H182:H183)*3+SUM(H187:H188,H190)+SUM(H192:H193)+SUM(H197,H200)+SUM(H202:H203)+SUM(H207:H208,H210)*3+SUM(H212:H213)*2+SUM(H217:H219)+SUM(H222:H223)+SUM(H227:H229)*2+SUM(H232:H233)+SUM(H237:H239)+SUM(H242:H243,H245)+SUM(H247:H250)*3+SUM(H252:H253,H255)+SUM(H257:H259)+SUM(H262)+SUM(H267,H269:H270)+SUM(H272,H274:H275)+SUM(H277:H280)</f>
        <v>161585.81931959998</v>
      </c>
      <c r="H120" s="135"/>
      <c r="T120"/>
    </row>
    <row r="121" spans="1:22" s="35" customFormat="1" x14ac:dyDescent="0.35">
      <c r="A121" s="134" t="s">
        <v>382</v>
      </c>
      <c r="B121" s="134"/>
      <c r="C121" s="135">
        <f>COUNT(F305:F306)+COUNT(F310:F311)+COUNT(F316)+COUNT(F320:F321)+COUNT(F325:F326)+COUNT(F330:F331,F333)+COUNT(F335:F337)*2+COUNT(F340:F342)+COUNT(F346:F347)+COUNT(F350:F352)+COUNT(F355:F357)*5+COUNT(F361:F363)+COUNT(F365:F366)+COUNT(F370:F372)*2+COUNT(F375:F378)*2+COUNT(F380:F382)+COUNT(F386:F387)*2+COUNT(F390:F392)+COUNT(F395:F398)*2+COUNT(F401:F402)+COUNT(F406:F407)+COUNT(F411:F413)</f>
        <v>85</v>
      </c>
      <c r="D121" s="135"/>
      <c r="E121" s="135">
        <f>SUM(F305:F306)+SUM(F310:F311)+SUM(F316)+SUM(F320:F321)+SUM(F325:F326)+SUM(F330:F331,F333)+SUM(F335:F337)*2+SUM(F340:F342)+SUM(F346:F347)+SUM(F350:F352)+SUM(F355:F357)*5+SUM(F361:F363)+SUM(F365:F366)+SUM(F370:F372)*2+SUM(F375:F378)*2+SUM(F380:F382)+SUM(F386:F387)*2+SUM(F390:F392)+SUM(F395:F398)*2+SUM(F401:F402)+SUM(F406:F407)+SUM(F411:F413)</f>
        <v>109908.5409864</v>
      </c>
      <c r="F121" s="135"/>
      <c r="G121" s="135">
        <f>SUM(H305:H306)+SUM(H310:H311)+SUM(H316)+SUM(H320:H321)+SUM(H325:H326)+SUM(H330:H331,H333)+SUM(H335:H337)*2+SUM(H340:H342)+SUM(H346:H347)+SUM(H350:H352)+SUM(H355:H357)*5+SUM(H361:H363)+SUM(H365:H366)+SUM(H370:H372)*2+SUM(H375:H378)*2+SUM(H380:H382)+SUM(H386:H387)*2+SUM(H390:H392)+SUM(H395:H398)*2+SUM(H401:H402)+SUM(H406:H407)+SUM(H411:H413)</f>
        <v>164862.8114796</v>
      </c>
      <c r="H121" s="135"/>
      <c r="T121"/>
    </row>
    <row r="122" spans="1:22" s="35" customFormat="1" x14ac:dyDescent="0.35">
      <c r="A122" s="157" t="s">
        <v>143</v>
      </c>
      <c r="B122" s="157"/>
      <c r="C122" s="158">
        <f>SUM(C120:C121)</f>
        <v>167</v>
      </c>
      <c r="D122" s="159"/>
      <c r="E122" s="160">
        <f>SUM(E120:E121)</f>
        <v>217632.4205328</v>
      </c>
      <c r="F122" s="161"/>
      <c r="G122" s="160">
        <f>SUM(G120:G121)</f>
        <v>326448.63079919998</v>
      </c>
      <c r="H122" s="160"/>
      <c r="T122"/>
    </row>
    <row r="123" spans="1:22" s="35" customFormat="1" x14ac:dyDescent="0.35">
      <c r="A123" s="132" t="s">
        <v>396</v>
      </c>
      <c r="B123" s="132"/>
      <c r="C123" s="132"/>
      <c r="D123" s="132"/>
      <c r="E123" s="132"/>
      <c r="F123" s="132"/>
      <c r="G123" s="132"/>
      <c r="H123" s="132"/>
      <c r="T123"/>
    </row>
    <row r="124" spans="1:22" s="35" customFormat="1" ht="15.75" customHeight="1" x14ac:dyDescent="0.35">
      <c r="A124" s="133" t="s">
        <v>50</v>
      </c>
      <c r="B124" s="133"/>
      <c r="C124" s="153" t="s">
        <v>72</v>
      </c>
      <c r="D124" s="153"/>
      <c r="E124" s="154" t="s">
        <v>51</v>
      </c>
      <c r="F124" s="154"/>
      <c r="G124" s="133" t="s">
        <v>52</v>
      </c>
      <c r="H124" s="133"/>
      <c r="T124"/>
    </row>
    <row r="125" spans="1:22" s="35" customFormat="1" x14ac:dyDescent="0.35">
      <c r="A125" s="134" t="s">
        <v>380</v>
      </c>
      <c r="B125" s="134"/>
      <c r="C125" s="135">
        <f>COUNT(F168)+COUNT(F184:F185)*3+COUNT(F189)+COUNT(F194:F195)+COUNT(F199)+COUNT(F204:F205)+COUNT(F209)*3+COUNT(F214:F215)*2+COUNT(F220)+COUNT(F224:F225)+COUNT(F230)*2+COUNT(F234:F235)+COUNT(F240)+COUNT(F244)+COUNT(F254)+COUNT(F260)+COUNT(F264:F265)</f>
        <v>33</v>
      </c>
      <c r="D125" s="135"/>
      <c r="E125" s="135">
        <f>SUM(F168)+SUM(F184:F185)*3+SUM(F189)+SUM(F194:F195)+SUM(F199)+SUM(F204:F205)+SUM(F209)*3+SUM(F214:F215)*2+SUM(F220)+SUM(F224:F225)+SUM(F230)*2+SUM(F234:F235)+SUM(F240)+SUM(F244)+SUM(F254)+SUM(F260)+SUM(F264:F265)</f>
        <v>30619.489679999995</v>
      </c>
      <c r="F125" s="135"/>
      <c r="G125" s="135">
        <f>SUM(H168)+SUM(H184:H185)*3+SUM(H189)+SUM(H194:H195)+SUM(H199)+SUM(H204:H205)+SUM(H209)*3+SUM(H214:H215)*2+SUM(H220)+SUM(H224:H225)+SUM(H230)*2+SUM(H234:H235)+SUM(H240)+SUM(H244)+SUM(H254)+SUM(H260)+SUM(H264:H265)</f>
        <v>45929.234519999998</v>
      </c>
      <c r="H125" s="135"/>
      <c r="T125"/>
    </row>
    <row r="126" spans="1:22" s="35" customFormat="1" x14ac:dyDescent="0.35">
      <c r="A126" s="134" t="s">
        <v>382</v>
      </c>
      <c r="B126" s="134"/>
      <c r="C126" s="135">
        <f>COUNT(F327:F328)+COUNT(F332)+COUNT(F338)*2+COUNT(F343)+COUNT(F348)+COUNT(F353)+COUNT(F358)*5+COUNT(F360)+COUNT(F367:F368)+COUNT(F373)*2+COUNT(F383)+COUNT(F385,F388)*2+COUNT(F393)+COUNT(F403)+COUNT(F408)</f>
        <v>26</v>
      </c>
      <c r="D126" s="135"/>
      <c r="E126" s="135">
        <f>SUM(F327:F328)+SUM(F332)+SUM(F338)*2+SUM(F343)+SUM(F348)+SUM(F353)+SUM(F358)*5+SUM(F360)+SUM(F367:F368)+SUM(F373)*2+SUM(F383)+SUM(F385,F388)*2+SUM(F393)+SUM(F403)+SUM(F408)</f>
        <v>23359.494599999995</v>
      </c>
      <c r="F126" s="135"/>
      <c r="G126" s="135">
        <f>SUM(H327:H328)+SUM(H332)+SUM(H338)*2+SUM(H343)+SUM(H348)+SUM(H353)+SUM(H358)*5+SUM(H360)+SUM(H367:H368)+SUM(H373)*2+SUM(H383)+SUM(H385,H388)*2+SUM(H393)+SUM(H403)+SUM(H408)</f>
        <v>35039.241900000001</v>
      </c>
      <c r="H126" s="135"/>
      <c r="T126"/>
    </row>
    <row r="127" spans="1:22" s="35" customFormat="1" x14ac:dyDescent="0.35">
      <c r="A127" s="157" t="s">
        <v>143</v>
      </c>
      <c r="B127" s="157"/>
      <c r="C127" s="158">
        <f>SUM(C125:C126)</f>
        <v>59</v>
      </c>
      <c r="D127" s="159"/>
      <c r="E127" s="160">
        <f>SUM(E125:E126)</f>
        <v>53978.98427999999</v>
      </c>
      <c r="F127" s="161"/>
      <c r="G127" s="160">
        <f>SUM(G125:G126)</f>
        <v>80968.476419999992</v>
      </c>
      <c r="H127" s="160"/>
      <c r="T127"/>
    </row>
    <row r="128" spans="1:22" s="35" customFormat="1" x14ac:dyDescent="0.35">
      <c r="A128" s="132" t="s">
        <v>397</v>
      </c>
      <c r="B128" s="132"/>
      <c r="C128" s="132"/>
      <c r="D128" s="132"/>
      <c r="E128" s="132"/>
      <c r="F128" s="132"/>
      <c r="G128" s="132"/>
      <c r="H128" s="132"/>
      <c r="T128"/>
    </row>
    <row r="129" spans="1:20" s="35" customFormat="1" ht="15.75" customHeight="1" x14ac:dyDescent="0.35">
      <c r="A129" s="133" t="s">
        <v>50</v>
      </c>
      <c r="B129" s="133"/>
      <c r="C129" s="153" t="s">
        <v>72</v>
      </c>
      <c r="D129" s="153"/>
      <c r="E129" s="154" t="s">
        <v>51</v>
      </c>
      <c r="F129" s="154"/>
      <c r="G129" s="133" t="s">
        <v>52</v>
      </c>
      <c r="H129" s="133"/>
      <c r="T129"/>
    </row>
    <row r="130" spans="1:20" s="35" customFormat="1" x14ac:dyDescent="0.35">
      <c r="A130" s="134" t="s">
        <v>380</v>
      </c>
      <c r="B130" s="134"/>
      <c r="C130" s="135">
        <f>COUNT(F142:F143)+COUNT(F147:F148)+COUNT(F152:F153)+COUNT(F157:F158)</f>
        <v>8</v>
      </c>
      <c r="D130" s="155"/>
      <c r="E130" s="135">
        <f>SUM(F142:F143)+SUM(F147:F148)+SUM(F152:F153)+SUM(F157:F158)</f>
        <v>11551.063679999999</v>
      </c>
      <c r="F130" s="155"/>
      <c r="G130" s="135">
        <f>SUM(H142:H143)+SUM(H147:H148)+SUM(H152:H153)+SUM(H157:H158)</f>
        <v>17326.595519999999</v>
      </c>
      <c r="H130" s="155"/>
      <c r="T130"/>
    </row>
    <row r="131" spans="1:20" s="35" customFormat="1" x14ac:dyDescent="0.35">
      <c r="A131" s="134" t="s">
        <v>382</v>
      </c>
      <c r="B131" s="134"/>
      <c r="C131" s="135">
        <f>COUNT(F285:F286)+COUNT(F290:F291)+COUNT(F295:F296)+COUNT(F300:F301)</f>
        <v>8</v>
      </c>
      <c r="D131" s="135"/>
      <c r="E131" s="135">
        <f>SUM(F285:F286)+SUM(F290:F291)+SUM(F295:F296)+SUM(F300:F301)</f>
        <v>11536.424639999999</v>
      </c>
      <c r="F131" s="135"/>
      <c r="G131" s="135">
        <f>SUM(H285:H286)+SUM(H290:H291)+SUM(H295:H296)+SUM(H300:H301)</f>
        <v>17304.63696</v>
      </c>
      <c r="H131" s="135"/>
      <c r="I131" s="35">
        <v>14</v>
      </c>
      <c r="T131"/>
    </row>
    <row r="132" spans="1:20" s="35" customFormat="1" ht="16" thickBot="1" x14ac:dyDescent="0.4">
      <c r="A132" s="136" t="s">
        <v>143</v>
      </c>
      <c r="B132" s="136"/>
      <c r="C132" s="190">
        <f>SUM(C130:C131)</f>
        <v>16</v>
      </c>
      <c r="D132" s="191"/>
      <c r="E132" s="192">
        <f>SUM(E130:E131)</f>
        <v>23087.488319999997</v>
      </c>
      <c r="F132" s="193"/>
      <c r="G132" s="192">
        <f>SUM(G130:G131)</f>
        <v>34631.232479999999</v>
      </c>
      <c r="H132" s="192"/>
      <c r="T132"/>
    </row>
    <row r="133" spans="1:20" s="35" customFormat="1" ht="16" thickBot="1" x14ac:dyDescent="0.4">
      <c r="A133" s="137" t="s">
        <v>394</v>
      </c>
      <c r="B133" s="138"/>
      <c r="C133" s="139">
        <f>C122+C127+C132</f>
        <v>242</v>
      </c>
      <c r="D133" s="140"/>
      <c r="E133" s="139">
        <f>E122+E127+E132</f>
        <v>294698.8931328</v>
      </c>
      <c r="F133" s="140"/>
      <c r="G133" s="139">
        <f>G122+G127+G132</f>
        <v>442048.33969920001</v>
      </c>
      <c r="H133" s="140"/>
      <c r="T133"/>
    </row>
    <row r="134" spans="1:20" s="34" customFormat="1" x14ac:dyDescent="0.35">
      <c r="A134" s="218" t="s">
        <v>53</v>
      </c>
      <c r="B134" s="218"/>
      <c r="C134" s="218"/>
      <c r="D134" s="218"/>
      <c r="E134" s="218"/>
      <c r="F134" s="218"/>
      <c r="G134" s="218"/>
      <c r="H134" s="218"/>
      <c r="T134" s="35"/>
    </row>
    <row r="135" spans="1:20" x14ac:dyDescent="0.35">
      <c r="A135" s="196" t="s">
        <v>391</v>
      </c>
      <c r="B135" s="196"/>
      <c r="C135" s="196"/>
      <c r="D135" s="196"/>
      <c r="E135" s="196"/>
      <c r="F135" s="196"/>
      <c r="G135" s="196"/>
      <c r="H135" s="196"/>
      <c r="T135" s="35"/>
    </row>
    <row r="136" spans="1:20" ht="47.25" customHeight="1" x14ac:dyDescent="0.35">
      <c r="A136" s="219" t="s">
        <v>377</v>
      </c>
      <c r="B136" s="141" t="s">
        <v>388</v>
      </c>
      <c r="C136" s="141" t="s">
        <v>54</v>
      </c>
      <c r="D136" s="141" t="s">
        <v>222</v>
      </c>
      <c r="E136" s="141" t="s">
        <v>434</v>
      </c>
      <c r="F136" s="141" t="s">
        <v>55</v>
      </c>
      <c r="G136" s="256" t="s">
        <v>56</v>
      </c>
      <c r="H136" s="94" t="s">
        <v>141</v>
      </c>
      <c r="I136" s="36"/>
      <c r="T136" s="37"/>
    </row>
    <row r="137" spans="1:20" s="37" customFormat="1" x14ac:dyDescent="0.35">
      <c r="A137" s="220"/>
      <c r="B137" s="142"/>
      <c r="C137" s="142"/>
      <c r="D137" s="142"/>
      <c r="E137" s="142"/>
      <c r="F137" s="142"/>
      <c r="G137" s="257"/>
      <c r="H137" s="95">
        <v>0.5</v>
      </c>
      <c r="I137" s="36"/>
    </row>
    <row r="138" spans="1:20" s="97" customFormat="1" x14ac:dyDescent="0.35">
      <c r="A138" s="150" t="s">
        <v>380</v>
      </c>
      <c r="B138" s="151"/>
      <c r="C138" s="151"/>
      <c r="D138" s="151"/>
      <c r="E138" s="151"/>
      <c r="F138" s="151"/>
      <c r="G138" s="151"/>
      <c r="H138" s="152"/>
      <c r="I138" s="97">
        <f>10.764</f>
        <v>10.763999999999999</v>
      </c>
      <c r="J138" s="36"/>
    </row>
    <row r="139" spans="1:20" s="97" customFormat="1" ht="30.75" customHeight="1" x14ac:dyDescent="0.35">
      <c r="A139" s="116" t="s">
        <v>413</v>
      </c>
      <c r="B139" s="117"/>
      <c r="C139" s="117"/>
      <c r="D139" s="117"/>
      <c r="E139" s="117"/>
      <c r="F139" s="117"/>
      <c r="G139" s="117"/>
      <c r="H139" s="118"/>
      <c r="J139" s="36"/>
    </row>
    <row r="140" spans="1:20" s="97" customFormat="1" ht="15.75" customHeight="1" x14ac:dyDescent="0.35">
      <c r="A140" s="116" t="s">
        <v>415</v>
      </c>
      <c r="B140" s="117"/>
      <c r="C140" s="117"/>
      <c r="D140" s="117"/>
      <c r="E140" s="117"/>
      <c r="F140" s="117"/>
      <c r="G140" s="117"/>
      <c r="H140" s="118"/>
      <c r="J140" s="36"/>
    </row>
    <row r="141" spans="1:20" s="97" customFormat="1" ht="15.75" customHeight="1" x14ac:dyDescent="0.35">
      <c r="A141" s="116" t="s">
        <v>414</v>
      </c>
      <c r="B141" s="117"/>
      <c r="C141" s="117"/>
      <c r="D141" s="117"/>
      <c r="E141" s="117"/>
      <c r="F141" s="117"/>
      <c r="G141" s="117"/>
      <c r="H141" s="118"/>
      <c r="J141" s="98">
        <v>10.763999999999999</v>
      </c>
    </row>
    <row r="142" spans="1:20" s="107" customFormat="1" x14ac:dyDescent="0.35">
      <c r="A142" s="96">
        <v>1</v>
      </c>
      <c r="B142" s="96" t="s">
        <v>418</v>
      </c>
      <c r="C142" s="96" t="s">
        <v>383</v>
      </c>
      <c r="D142" s="98">
        <f>(151.32)*10.764-E142</f>
        <v>1499.5113119999999</v>
      </c>
      <c r="E142" s="98">
        <f>(6.6*1.82)*10.764</f>
        <v>129.297168</v>
      </c>
      <c r="F142" s="96">
        <f>D142+E142</f>
        <v>1628.8084799999999</v>
      </c>
      <c r="G142" s="96">
        <v>0</v>
      </c>
      <c r="H142" s="96">
        <f>F142*(($H$137)+1)+(IF(G142&lt;101,G142,IF(G142&lt;201,G142/2,IF(G142&lt;=301,G142/3,G142/4))))</f>
        <v>2443.21272</v>
      </c>
      <c r="I142" s="36">
        <f>'Wing A'!E42</f>
        <v>137.22759999999997</v>
      </c>
      <c r="N142" s="36"/>
    </row>
    <row r="143" spans="1:20" s="107" customFormat="1" ht="15.75" customHeight="1" x14ac:dyDescent="0.35">
      <c r="A143" s="96">
        <f t="shared" ref="A143" si="0">A142+1</f>
        <v>2</v>
      </c>
      <c r="B143" s="96" t="s">
        <v>418</v>
      </c>
      <c r="C143" s="96" t="s">
        <v>384</v>
      </c>
      <c r="D143" s="98">
        <f>(116.96)*10.764-E143</f>
        <v>1190.39076</v>
      </c>
      <c r="E143" s="98">
        <f>(3.5*1.82)*10.764</f>
        <v>68.566679999999991</v>
      </c>
      <c r="F143" s="96">
        <f>D143+E143</f>
        <v>1258.9574399999999</v>
      </c>
      <c r="G143" s="96">
        <v>0</v>
      </c>
      <c r="H143" s="96">
        <f>F143*(($H$137)+1)+(IF(G143&lt;101,G143,IF(G143&lt;201,G143/2,IF(G143&lt;=301,G143/3,G143/4))))</f>
        <v>1888.4361599999997</v>
      </c>
      <c r="I143" s="36">
        <f>151.32*10.764</f>
        <v>1628.8084799999999</v>
      </c>
      <c r="N143" s="36"/>
    </row>
    <row r="144" spans="1:20" s="107" customFormat="1" ht="15.75" customHeight="1" x14ac:dyDescent="0.35">
      <c r="A144" s="96">
        <f>A143+1</f>
        <v>3</v>
      </c>
      <c r="B144" s="119" t="s">
        <v>419</v>
      </c>
      <c r="C144" s="120"/>
      <c r="D144" s="120"/>
      <c r="E144" s="120"/>
      <c r="F144" s="120"/>
      <c r="G144" s="120"/>
      <c r="H144" s="121"/>
      <c r="I144" s="36"/>
      <c r="L144" s="115"/>
      <c r="M144" s="115"/>
      <c r="N144" s="36"/>
    </row>
    <row r="145" spans="1:14" s="107" customFormat="1" ht="15.75" customHeight="1" x14ac:dyDescent="0.35">
      <c r="A145" s="96">
        <f>A144+1</f>
        <v>4</v>
      </c>
      <c r="B145" s="122"/>
      <c r="C145" s="123"/>
      <c r="D145" s="123"/>
      <c r="E145" s="123"/>
      <c r="F145" s="123"/>
      <c r="G145" s="123"/>
      <c r="H145" s="124"/>
      <c r="I145" s="36"/>
      <c r="L145" s="115"/>
      <c r="M145" s="115"/>
      <c r="N145" s="36"/>
    </row>
    <row r="146" spans="1:14" s="97" customFormat="1" ht="15.75" customHeight="1" x14ac:dyDescent="0.35">
      <c r="A146" s="116" t="s">
        <v>416</v>
      </c>
      <c r="B146" s="117"/>
      <c r="C146" s="117"/>
      <c r="D146" s="117"/>
      <c r="E146" s="117"/>
      <c r="F146" s="117"/>
      <c r="G146" s="117"/>
      <c r="H146" s="118"/>
      <c r="J146" s="36"/>
    </row>
    <row r="147" spans="1:14" s="107" customFormat="1" x14ac:dyDescent="0.35">
      <c r="A147" s="96">
        <v>1</v>
      </c>
      <c r="B147" s="96" t="s">
        <v>418</v>
      </c>
      <c r="C147" s="96" t="s">
        <v>383</v>
      </c>
      <c r="D147" s="98">
        <f>(151.32)*10.764-E147</f>
        <v>1499.5113119999999</v>
      </c>
      <c r="E147" s="98">
        <f>(6.6*1.82)*10.764</f>
        <v>129.297168</v>
      </c>
      <c r="F147" s="96">
        <f>D147+E147</f>
        <v>1628.8084799999999</v>
      </c>
      <c r="G147" s="96">
        <v>0</v>
      </c>
      <c r="H147" s="96">
        <f>F147*(($H$137)+1)+(IF(G147&lt;101,G147,IF(G147&lt;201,G147/2,IF(G147&lt;=301,G147/3,G147/4))))</f>
        <v>2443.21272</v>
      </c>
      <c r="I147" s="36"/>
      <c r="N147" s="36"/>
    </row>
    <row r="148" spans="1:14" s="107" customFormat="1" ht="15.75" customHeight="1" x14ac:dyDescent="0.35">
      <c r="A148" s="96">
        <f t="shared" ref="A148" si="1">A147+1</f>
        <v>2</v>
      </c>
      <c r="B148" s="96" t="s">
        <v>418</v>
      </c>
      <c r="C148" s="96" t="s">
        <v>384</v>
      </c>
      <c r="D148" s="98">
        <f>(116.96)*10.764-E148</f>
        <v>1190.39076</v>
      </c>
      <c r="E148" s="98">
        <f>(3.5*1.82)*10.764</f>
        <v>68.566679999999991</v>
      </c>
      <c r="F148" s="96">
        <f>D148+E148</f>
        <v>1258.9574399999999</v>
      </c>
      <c r="G148" s="96">
        <v>0</v>
      </c>
      <c r="H148" s="96">
        <f>F148*(($H$137)+1)+(IF(G148&lt;101,G148,IF(G148&lt;201,G148/2,IF(G148&lt;=301,G148/3,G148/4))))</f>
        <v>1888.4361599999997</v>
      </c>
      <c r="I148" s="36"/>
      <c r="N148" s="36"/>
    </row>
    <row r="149" spans="1:14" s="107" customFormat="1" ht="15.75" customHeight="1" x14ac:dyDescent="0.35">
      <c r="A149" s="96">
        <f>A148+1</f>
        <v>3</v>
      </c>
      <c r="B149" s="119" t="s">
        <v>419</v>
      </c>
      <c r="C149" s="120"/>
      <c r="D149" s="120"/>
      <c r="E149" s="120"/>
      <c r="F149" s="120"/>
      <c r="G149" s="120"/>
      <c r="H149" s="121"/>
      <c r="I149" s="36"/>
      <c r="L149" s="115"/>
      <c r="M149" s="115"/>
      <c r="N149" s="36"/>
    </row>
    <row r="150" spans="1:14" s="107" customFormat="1" ht="15.75" customHeight="1" x14ac:dyDescent="0.35">
      <c r="A150" s="96">
        <f>A149+1</f>
        <v>4</v>
      </c>
      <c r="B150" s="122"/>
      <c r="C150" s="123"/>
      <c r="D150" s="123"/>
      <c r="E150" s="123"/>
      <c r="F150" s="123"/>
      <c r="G150" s="123"/>
      <c r="H150" s="124"/>
      <c r="I150" s="36"/>
      <c r="L150" s="115"/>
      <c r="M150" s="115"/>
      <c r="N150" s="36"/>
    </row>
    <row r="151" spans="1:14" s="107" customFormat="1" ht="15.65" customHeight="1" x14ac:dyDescent="0.35">
      <c r="A151" s="116" t="s">
        <v>417</v>
      </c>
      <c r="B151" s="117"/>
      <c r="C151" s="117"/>
      <c r="D151" s="117"/>
      <c r="E151" s="117"/>
      <c r="F151" s="117"/>
      <c r="G151" s="117"/>
      <c r="H151" s="118"/>
      <c r="I151" s="36"/>
      <c r="L151" s="115"/>
      <c r="M151" s="115"/>
    </row>
    <row r="152" spans="1:14" s="107" customFormat="1" x14ac:dyDescent="0.35">
      <c r="A152" s="96">
        <v>1</v>
      </c>
      <c r="B152" s="96" t="s">
        <v>418</v>
      </c>
      <c r="C152" s="96" t="s">
        <v>383</v>
      </c>
      <c r="D152" s="98">
        <f>(151.32)*10.764-E152</f>
        <v>1499.5113119999999</v>
      </c>
      <c r="E152" s="98">
        <f>(6.6*1.82)*10.764</f>
        <v>129.297168</v>
      </c>
      <c r="F152" s="96">
        <f>D152+E152</f>
        <v>1628.8084799999999</v>
      </c>
      <c r="G152" s="96">
        <v>0</v>
      </c>
      <c r="H152" s="96">
        <f>F152*(($H$137)+1)+(IF(G152&lt;101,G152,IF(G152&lt;201,G152/2,IF(G152&lt;=301,G152/3,G152/4))))</f>
        <v>2443.21272</v>
      </c>
      <c r="I152" s="36"/>
      <c r="N152" s="36"/>
    </row>
    <row r="153" spans="1:14" s="107" customFormat="1" ht="15.75" customHeight="1" x14ac:dyDescent="0.35">
      <c r="A153" s="96">
        <f t="shared" ref="A153" si="2">A152+1</f>
        <v>2</v>
      </c>
      <c r="B153" s="96" t="s">
        <v>418</v>
      </c>
      <c r="C153" s="96" t="s">
        <v>384</v>
      </c>
      <c r="D153" s="98">
        <f>(116.96)*10.764-E153</f>
        <v>1190.39076</v>
      </c>
      <c r="E153" s="98">
        <f>(3.5*1.82)*10.764</f>
        <v>68.566679999999991</v>
      </c>
      <c r="F153" s="96">
        <f>D153+E153</f>
        <v>1258.9574399999999</v>
      </c>
      <c r="G153" s="96">
        <v>0</v>
      </c>
      <c r="H153" s="96">
        <f>F153*(($H$137)+1)+(IF(G153&lt;101,G153,IF(G153&lt;201,G153/2,IF(G153&lt;=301,G153/3,G153/4))))</f>
        <v>1888.4361599999997</v>
      </c>
      <c r="I153" s="36"/>
      <c r="N153" s="36"/>
    </row>
    <row r="154" spans="1:14" s="107" customFormat="1" ht="15.75" customHeight="1" x14ac:dyDescent="0.35">
      <c r="A154" s="96">
        <f>A153+1</f>
        <v>3</v>
      </c>
      <c r="B154" s="119" t="s">
        <v>419</v>
      </c>
      <c r="C154" s="120"/>
      <c r="D154" s="120"/>
      <c r="E154" s="120"/>
      <c r="F154" s="120"/>
      <c r="G154" s="120"/>
      <c r="H154" s="121"/>
      <c r="I154" s="36"/>
      <c r="L154" s="115"/>
      <c r="M154" s="115"/>
      <c r="N154" s="36"/>
    </row>
    <row r="155" spans="1:14" s="107" customFormat="1" ht="15.75" customHeight="1" x14ac:dyDescent="0.35">
      <c r="A155" s="96">
        <f>A154+1</f>
        <v>4</v>
      </c>
      <c r="B155" s="122"/>
      <c r="C155" s="123"/>
      <c r="D155" s="123"/>
      <c r="E155" s="123"/>
      <c r="F155" s="123"/>
      <c r="G155" s="123"/>
      <c r="H155" s="124"/>
      <c r="I155" s="36"/>
      <c r="L155" s="115"/>
      <c r="M155" s="115"/>
      <c r="N155" s="36"/>
    </row>
    <row r="156" spans="1:14" s="107" customFormat="1" ht="15.65" customHeight="1" x14ac:dyDescent="0.35">
      <c r="A156" s="116" t="s">
        <v>420</v>
      </c>
      <c r="B156" s="117"/>
      <c r="C156" s="117"/>
      <c r="D156" s="117"/>
      <c r="E156" s="117"/>
      <c r="F156" s="117"/>
      <c r="G156" s="117"/>
      <c r="H156" s="118"/>
      <c r="I156" s="36"/>
      <c r="L156" s="115"/>
      <c r="M156" s="115"/>
    </row>
    <row r="157" spans="1:14" s="107" customFormat="1" x14ac:dyDescent="0.35">
      <c r="A157" s="96">
        <v>1</v>
      </c>
      <c r="B157" s="96" t="s">
        <v>418</v>
      </c>
      <c r="C157" s="96" t="s">
        <v>383</v>
      </c>
      <c r="D157" s="98">
        <f>(151.32)*10.764-E157</f>
        <v>1499.5113119999999</v>
      </c>
      <c r="E157" s="98">
        <f>(6.6*1.82)*10.764</f>
        <v>129.297168</v>
      </c>
      <c r="F157" s="96">
        <f>D157+E157</f>
        <v>1628.8084799999999</v>
      </c>
      <c r="G157" s="96">
        <v>0</v>
      </c>
      <c r="H157" s="96">
        <f>F157*(($H$137)+1)+(IF(G157&lt;101,G157,IF(G157&lt;201,G157/2,IF(G157&lt;=301,G157/3,G157/4))))</f>
        <v>2443.21272</v>
      </c>
      <c r="I157" s="36"/>
      <c r="N157" s="36"/>
    </row>
    <row r="158" spans="1:14" s="107" customFormat="1" ht="15.75" customHeight="1" x14ac:dyDescent="0.35">
      <c r="A158" s="96">
        <f t="shared" ref="A158" si="3">A157+1</f>
        <v>2</v>
      </c>
      <c r="B158" s="96" t="s">
        <v>418</v>
      </c>
      <c r="C158" s="96" t="s">
        <v>384</v>
      </c>
      <c r="D158" s="98">
        <f>(116.96)*10.764-E158</f>
        <v>1190.39076</v>
      </c>
      <c r="E158" s="98">
        <f>(3.5*1.82)*10.764</f>
        <v>68.566679999999991</v>
      </c>
      <c r="F158" s="96">
        <f>D158+E158</f>
        <v>1258.9574399999999</v>
      </c>
      <c r="G158" s="96">
        <v>0</v>
      </c>
      <c r="H158" s="96">
        <f>F158*(($H$137)+1)+(IF(G158&lt;101,G158,IF(G158&lt;201,G158/2,IF(G158&lt;=301,G158/3,G158/4))))</f>
        <v>1888.4361599999997</v>
      </c>
      <c r="I158" s="36"/>
      <c r="N158" s="36"/>
    </row>
    <row r="159" spans="1:14" s="107" customFormat="1" ht="15.75" customHeight="1" x14ac:dyDescent="0.35">
      <c r="A159" s="96">
        <f>A158+1</f>
        <v>3</v>
      </c>
      <c r="B159" s="119" t="s">
        <v>419</v>
      </c>
      <c r="C159" s="120"/>
      <c r="D159" s="120"/>
      <c r="E159" s="120"/>
      <c r="F159" s="120"/>
      <c r="G159" s="120"/>
      <c r="H159" s="121"/>
      <c r="I159" s="36"/>
      <c r="L159" s="115"/>
      <c r="M159" s="115"/>
      <c r="N159" s="36"/>
    </row>
    <row r="160" spans="1:14" s="107" customFormat="1" ht="15.75" customHeight="1" x14ac:dyDescent="0.35">
      <c r="A160" s="96">
        <f>A159+1</f>
        <v>4</v>
      </c>
      <c r="B160" s="122"/>
      <c r="C160" s="123"/>
      <c r="D160" s="123"/>
      <c r="E160" s="123"/>
      <c r="F160" s="123"/>
      <c r="G160" s="123"/>
      <c r="H160" s="124"/>
      <c r="I160" s="36"/>
      <c r="L160" s="115"/>
      <c r="M160" s="115"/>
      <c r="N160" s="36"/>
    </row>
    <row r="161" spans="1:14" s="107" customFormat="1" ht="15.65" customHeight="1" x14ac:dyDescent="0.35">
      <c r="A161" s="116" t="s">
        <v>421</v>
      </c>
      <c r="B161" s="117"/>
      <c r="C161" s="117"/>
      <c r="D161" s="117"/>
      <c r="E161" s="117"/>
      <c r="F161" s="117"/>
      <c r="G161" s="117"/>
      <c r="H161" s="118"/>
      <c r="I161" s="36"/>
      <c r="L161" s="115"/>
      <c r="M161" s="115"/>
    </row>
    <row r="162" spans="1:14" s="107" customFormat="1" x14ac:dyDescent="0.35">
      <c r="A162" s="96">
        <v>1</v>
      </c>
      <c r="B162" s="106" t="s">
        <v>387</v>
      </c>
      <c r="C162" s="96" t="s">
        <v>383</v>
      </c>
      <c r="D162" s="98">
        <f>(151.32)*10.764-E162</f>
        <v>1499.5113119999999</v>
      </c>
      <c r="E162" s="98">
        <f>(6.6*1.82)*10.764</f>
        <v>129.297168</v>
      </c>
      <c r="F162" s="96">
        <f>D162+E162</f>
        <v>1628.8084799999999</v>
      </c>
      <c r="G162" s="96">
        <v>0</v>
      </c>
      <c r="H162" s="96">
        <f>F162*(($H$137)+1)+(IF(G162&lt;101,G162,IF(G162&lt;201,G162/2,IF(G162&lt;=301,G162/3,G162/4))))</f>
        <v>2443.21272</v>
      </c>
      <c r="I162" s="36"/>
      <c r="N162" s="36"/>
    </row>
    <row r="163" spans="1:14" s="107" customFormat="1" ht="15.75" customHeight="1" x14ac:dyDescent="0.35">
      <c r="A163" s="96">
        <f t="shared" ref="A163" si="4">A162+1</f>
        <v>2</v>
      </c>
      <c r="B163" s="106" t="s">
        <v>387</v>
      </c>
      <c r="C163" s="96" t="s">
        <v>384</v>
      </c>
      <c r="D163" s="98">
        <f>(116.96)*10.764-E163</f>
        <v>1190.39076</v>
      </c>
      <c r="E163" s="98">
        <f>(3.5*1.82)*10.764</f>
        <v>68.566679999999991</v>
      </c>
      <c r="F163" s="96">
        <f>D163+E163</f>
        <v>1258.9574399999999</v>
      </c>
      <c r="G163" s="96">
        <v>0</v>
      </c>
      <c r="H163" s="96">
        <f>F163*(($H$137)+1)+(IF(G163&lt;101,G163,IF(G163&lt;201,G163/2,IF(G163&lt;=301,G163/3,G163/4))))</f>
        <v>1888.4361599999997</v>
      </c>
      <c r="I163" s="36"/>
      <c r="N163" s="36"/>
    </row>
    <row r="164" spans="1:14" s="107" customFormat="1" ht="15.75" customHeight="1" x14ac:dyDescent="0.35">
      <c r="A164" s="96">
        <f>A163+1</f>
        <v>3</v>
      </c>
      <c r="B164" s="119" t="s">
        <v>419</v>
      </c>
      <c r="C164" s="120"/>
      <c r="D164" s="120"/>
      <c r="E164" s="120"/>
      <c r="F164" s="120"/>
      <c r="G164" s="120"/>
      <c r="H164" s="121"/>
      <c r="I164" s="36"/>
      <c r="L164" s="115"/>
      <c r="M164" s="115"/>
      <c r="N164" s="36"/>
    </row>
    <row r="165" spans="1:14" s="107" customFormat="1" ht="15.75" customHeight="1" x14ac:dyDescent="0.35">
      <c r="A165" s="96">
        <f>A164+1</f>
        <v>4</v>
      </c>
      <c r="B165" s="122"/>
      <c r="C165" s="123"/>
      <c r="D165" s="123"/>
      <c r="E165" s="123"/>
      <c r="F165" s="123"/>
      <c r="G165" s="123"/>
      <c r="H165" s="124"/>
      <c r="I165" s="36"/>
      <c r="L165" s="115"/>
      <c r="M165" s="115"/>
      <c r="N165" s="36"/>
    </row>
    <row r="166" spans="1:14" s="109" customFormat="1" ht="15.65" customHeight="1" x14ac:dyDescent="0.35">
      <c r="A166" s="116" t="s">
        <v>424</v>
      </c>
      <c r="B166" s="117"/>
      <c r="C166" s="117"/>
      <c r="D166" s="117"/>
      <c r="E166" s="117"/>
      <c r="F166" s="117"/>
      <c r="G166" s="117"/>
      <c r="H166" s="118"/>
      <c r="I166" s="36"/>
      <c r="L166" s="115"/>
      <c r="M166" s="115"/>
    </row>
    <row r="167" spans="1:14" s="109" customFormat="1" x14ac:dyDescent="0.35">
      <c r="A167" s="96">
        <v>1</v>
      </c>
      <c r="B167" s="108" t="s">
        <v>387</v>
      </c>
      <c r="C167" s="96" t="s">
        <v>383</v>
      </c>
      <c r="D167" s="98">
        <f>(151.32)*10.764-E167</f>
        <v>1499.5113119999999</v>
      </c>
      <c r="E167" s="98">
        <f>(6.6*1.82)*10.764</f>
        <v>129.297168</v>
      </c>
      <c r="F167" s="96">
        <f>D167+E167</f>
        <v>1628.8084799999999</v>
      </c>
      <c r="G167" s="96">
        <v>0</v>
      </c>
      <c r="H167" s="96">
        <f>F167*(($H$137)+1)+(IF(G167&lt;101,G167,IF(G167&lt;201,G167/2,IF(G167&lt;=301,G167/3,G167/4))))</f>
        <v>2443.21272</v>
      </c>
      <c r="I167" s="36"/>
      <c r="N167" s="36"/>
    </row>
    <row r="168" spans="1:14" s="109" customFormat="1" ht="15.75" customHeight="1" x14ac:dyDescent="0.35">
      <c r="A168" s="96">
        <f t="shared" ref="A168" si="5">A167+1</f>
        <v>2</v>
      </c>
      <c r="B168" s="96" t="s">
        <v>389</v>
      </c>
      <c r="C168" s="96" t="s">
        <v>384</v>
      </c>
      <c r="D168" s="98">
        <f>(116.96)*10.764-E168</f>
        <v>1190.39076</v>
      </c>
      <c r="E168" s="98">
        <f>(3.5*1.82)*10.764</f>
        <v>68.566679999999991</v>
      </c>
      <c r="F168" s="96">
        <f>D168+E168</f>
        <v>1258.9574399999999</v>
      </c>
      <c r="G168" s="96">
        <v>0</v>
      </c>
      <c r="H168" s="96">
        <f>F168*(($H$137)+1)+(IF(G168&lt;101,G168,IF(G168&lt;201,G168/2,IF(G168&lt;=301,G168/3,G168/4))))</f>
        <v>1888.4361599999997</v>
      </c>
      <c r="I168" s="36"/>
      <c r="N168" s="36"/>
    </row>
    <row r="169" spans="1:14" s="109" customFormat="1" ht="15.75" customHeight="1" x14ac:dyDescent="0.35">
      <c r="A169" s="96">
        <f>A168+1</f>
        <v>3</v>
      </c>
      <c r="B169" s="119" t="s">
        <v>419</v>
      </c>
      <c r="C169" s="120"/>
      <c r="D169" s="120"/>
      <c r="E169" s="120"/>
      <c r="F169" s="120"/>
      <c r="G169" s="120"/>
      <c r="H169" s="121"/>
      <c r="I169" s="36"/>
      <c r="L169" s="115"/>
      <c r="M169" s="115"/>
      <c r="N169" s="36"/>
    </row>
    <row r="170" spans="1:14" s="109" customFormat="1" ht="15.75" customHeight="1" x14ac:dyDescent="0.35">
      <c r="A170" s="96">
        <f>A169+1</f>
        <v>4</v>
      </c>
      <c r="B170" s="122"/>
      <c r="C170" s="123"/>
      <c r="D170" s="123"/>
      <c r="E170" s="123"/>
      <c r="F170" s="123"/>
      <c r="G170" s="123"/>
      <c r="H170" s="124"/>
      <c r="I170" s="36"/>
      <c r="L170" s="115"/>
      <c r="M170" s="115"/>
      <c r="N170" s="36"/>
    </row>
    <row r="171" spans="1:14" s="109" customFormat="1" ht="15.65" customHeight="1" x14ac:dyDescent="0.35">
      <c r="A171" s="116" t="s">
        <v>425</v>
      </c>
      <c r="B171" s="117"/>
      <c r="C171" s="117"/>
      <c r="D171" s="117"/>
      <c r="E171" s="117"/>
      <c r="F171" s="117"/>
      <c r="G171" s="117"/>
      <c r="H171" s="118"/>
      <c r="I171" s="36"/>
      <c r="L171" s="115"/>
      <c r="M171" s="115"/>
    </row>
    <row r="172" spans="1:14" s="109" customFormat="1" x14ac:dyDescent="0.35">
      <c r="A172" s="96">
        <v>1</v>
      </c>
      <c r="B172" s="108" t="s">
        <v>387</v>
      </c>
      <c r="C172" s="96" t="s">
        <v>383</v>
      </c>
      <c r="D172" s="98">
        <f>(151.32)*10.764-E172</f>
        <v>1499.5113119999999</v>
      </c>
      <c r="E172" s="98">
        <f>(6.6*1.82)*10.764</f>
        <v>129.297168</v>
      </c>
      <c r="F172" s="96">
        <f>D172+E172</f>
        <v>1628.8084799999999</v>
      </c>
      <c r="G172" s="96">
        <v>0</v>
      </c>
      <c r="H172" s="96">
        <f>F172*(($H$137)+1)+(IF(G172&lt;101,G172,IF(G172&lt;201,G172/2,IF(G172&lt;=301,G172/3,G172/4))))</f>
        <v>2443.21272</v>
      </c>
      <c r="I172" s="36"/>
      <c r="N172" s="36"/>
    </row>
    <row r="173" spans="1:14" s="109" customFormat="1" ht="15.75" customHeight="1" x14ac:dyDescent="0.35">
      <c r="A173" s="96">
        <f t="shared" ref="A173" si="6">A172+1</f>
        <v>2</v>
      </c>
      <c r="B173" s="146" t="s">
        <v>385</v>
      </c>
      <c r="C173" s="147"/>
      <c r="D173" s="147"/>
      <c r="E173" s="147"/>
      <c r="F173" s="147"/>
      <c r="G173" s="147"/>
      <c r="H173" s="148"/>
      <c r="I173" s="36"/>
      <c r="N173" s="36"/>
    </row>
    <row r="174" spans="1:14" s="109" customFormat="1" ht="15.75" customHeight="1" x14ac:dyDescent="0.35">
      <c r="A174" s="96">
        <f>A173+1</f>
        <v>3</v>
      </c>
      <c r="B174" s="119" t="s">
        <v>419</v>
      </c>
      <c r="C174" s="120"/>
      <c r="D174" s="120"/>
      <c r="E174" s="120"/>
      <c r="F174" s="120"/>
      <c r="G174" s="120"/>
      <c r="H174" s="121"/>
      <c r="I174" s="36"/>
      <c r="L174" s="115"/>
      <c r="M174" s="115"/>
      <c r="N174" s="36"/>
    </row>
    <row r="175" spans="1:14" s="109" customFormat="1" ht="15.75" customHeight="1" x14ac:dyDescent="0.35">
      <c r="A175" s="96">
        <f>A174+1</f>
        <v>4</v>
      </c>
      <c r="B175" s="122"/>
      <c r="C175" s="123"/>
      <c r="D175" s="123"/>
      <c r="E175" s="123"/>
      <c r="F175" s="123"/>
      <c r="G175" s="123"/>
      <c r="H175" s="124"/>
      <c r="I175" s="36"/>
      <c r="L175" s="115"/>
      <c r="M175" s="115"/>
      <c r="N175" s="36"/>
    </row>
    <row r="176" spans="1:14" s="109" customFormat="1" ht="15.65" customHeight="1" x14ac:dyDescent="0.35">
      <c r="A176" s="143" t="s">
        <v>426</v>
      </c>
      <c r="B176" s="144"/>
      <c r="C176" s="144"/>
      <c r="D176" s="144"/>
      <c r="E176" s="144"/>
      <c r="F176" s="144"/>
      <c r="G176" s="144"/>
      <c r="H176" s="145"/>
      <c r="I176" s="36"/>
      <c r="L176" s="115"/>
      <c r="M176" s="115"/>
    </row>
    <row r="177" spans="1:14" s="109" customFormat="1" x14ac:dyDescent="0.35">
      <c r="A177" s="96">
        <v>1</v>
      </c>
      <c r="B177" s="108" t="s">
        <v>387</v>
      </c>
      <c r="C177" s="96" t="s">
        <v>383</v>
      </c>
      <c r="D177" s="98">
        <f>(151.32)*10.764-E177</f>
        <v>1499.5113119999999</v>
      </c>
      <c r="E177" s="98">
        <f>(6.6*1.82)*10.764</f>
        <v>129.297168</v>
      </c>
      <c r="F177" s="96">
        <f>D177+E177</f>
        <v>1628.8084799999999</v>
      </c>
      <c r="G177" s="96">
        <v>0</v>
      </c>
      <c r="H177" s="96">
        <f>F177*(($H$137)+1)+(IF(G177&lt;101,G177,IF(G177&lt;201,G177/2,IF(G177&lt;=301,G177/3,G177/4))))</f>
        <v>2443.21272</v>
      </c>
      <c r="I177" s="36"/>
      <c r="N177" s="36"/>
    </row>
    <row r="178" spans="1:14" s="109" customFormat="1" ht="15.75" customHeight="1" x14ac:dyDescent="0.35">
      <c r="A178" s="96">
        <f t="shared" ref="A178" si="7">A177+1</f>
        <v>2</v>
      </c>
      <c r="B178" s="108" t="s">
        <v>387</v>
      </c>
      <c r="C178" s="96" t="s">
        <v>384</v>
      </c>
      <c r="D178" s="98">
        <f>(116.96)*10.764-E178</f>
        <v>1190.39076</v>
      </c>
      <c r="E178" s="98">
        <f>(3.5*1.82)*10.764</f>
        <v>68.566679999999991</v>
      </c>
      <c r="F178" s="96">
        <f>D178+E178</f>
        <v>1258.9574399999999</v>
      </c>
      <c r="G178" s="96">
        <v>0</v>
      </c>
      <c r="H178" s="96">
        <f>F178*(($H$137)+1)+(IF(G178&lt;101,G178,IF(G178&lt;201,G178/2,IF(G178&lt;=301,G178/3,G178/4))))</f>
        <v>1888.4361599999997</v>
      </c>
      <c r="I178" s="36"/>
      <c r="N178" s="36"/>
    </row>
    <row r="179" spans="1:14" s="109" customFormat="1" ht="15.75" customHeight="1" x14ac:dyDescent="0.35">
      <c r="A179" s="96">
        <f>A178+1</f>
        <v>3</v>
      </c>
      <c r="B179" s="119" t="s">
        <v>386</v>
      </c>
      <c r="C179" s="120"/>
      <c r="D179" s="120"/>
      <c r="E179" s="120"/>
      <c r="F179" s="120"/>
      <c r="G179" s="120"/>
      <c r="H179" s="121"/>
      <c r="I179" s="36"/>
      <c r="L179" s="115"/>
      <c r="M179" s="115"/>
      <c r="N179" s="36"/>
    </row>
    <row r="180" spans="1:14" s="109" customFormat="1" ht="15.75" customHeight="1" x14ac:dyDescent="0.35">
      <c r="A180" s="96">
        <f>A179+1</f>
        <v>4</v>
      </c>
      <c r="B180" s="122"/>
      <c r="C180" s="123"/>
      <c r="D180" s="123"/>
      <c r="E180" s="123"/>
      <c r="F180" s="123"/>
      <c r="G180" s="123"/>
      <c r="H180" s="124"/>
      <c r="I180" s="36"/>
      <c r="L180" s="115"/>
      <c r="M180" s="115"/>
      <c r="N180" s="36"/>
    </row>
    <row r="181" spans="1:14" s="109" customFormat="1" ht="15.65" customHeight="1" x14ac:dyDescent="0.35">
      <c r="A181" s="266" t="s">
        <v>428</v>
      </c>
      <c r="B181" s="267"/>
      <c r="C181" s="267"/>
      <c r="D181" s="267"/>
      <c r="E181" s="267"/>
      <c r="F181" s="267"/>
      <c r="G181" s="267"/>
      <c r="H181" s="268"/>
      <c r="I181" s="36"/>
      <c r="L181" s="115"/>
      <c r="M181" s="115"/>
    </row>
    <row r="182" spans="1:14" s="109" customFormat="1" x14ac:dyDescent="0.35">
      <c r="A182" s="96">
        <v>1</v>
      </c>
      <c r="B182" s="108" t="s">
        <v>387</v>
      </c>
      <c r="C182" s="96" t="s">
        <v>383</v>
      </c>
      <c r="D182" s="98">
        <f>(151.32)*10.764-E182</f>
        <v>1499.5113119999999</v>
      </c>
      <c r="E182" s="98">
        <f>(6.6*1.82)*10.764</f>
        <v>129.297168</v>
      </c>
      <c r="F182" s="96">
        <f>D182+E182</f>
        <v>1628.8084799999999</v>
      </c>
      <c r="G182" s="96">
        <v>0</v>
      </c>
      <c r="H182" s="96">
        <f>F182*(($H$137)+1)+(IF(G182&lt;101,G182,IF(G182&lt;201,G182/2,IF(G182&lt;=301,G182/3,G182/4))))</f>
        <v>2443.21272</v>
      </c>
      <c r="I182" s="36"/>
      <c r="N182" s="36"/>
    </row>
    <row r="183" spans="1:14" s="109" customFormat="1" ht="15.75" customHeight="1" x14ac:dyDescent="0.35">
      <c r="A183" s="96">
        <f t="shared" ref="A183" si="8">A182+1</f>
        <v>2</v>
      </c>
      <c r="B183" s="108" t="s">
        <v>387</v>
      </c>
      <c r="C183" s="96" t="s">
        <v>384</v>
      </c>
      <c r="D183" s="98">
        <f>(116.96)*10.764-E183</f>
        <v>1190.39076</v>
      </c>
      <c r="E183" s="98">
        <f>(3.5*1.82)*10.764</f>
        <v>68.566679999999991</v>
      </c>
      <c r="F183" s="96">
        <f>D183+E183</f>
        <v>1258.9574399999999</v>
      </c>
      <c r="G183" s="96">
        <v>0</v>
      </c>
      <c r="H183" s="96">
        <f>F183*(($H$137)+1)+(IF(G183&lt;101,G183,IF(G183&lt;201,G183/2,IF(G183&lt;=301,G183/3,G183/4))))</f>
        <v>1888.4361599999997</v>
      </c>
      <c r="I183" s="36"/>
      <c r="N183" s="36"/>
    </row>
    <row r="184" spans="1:14" s="109" customFormat="1" ht="15.75" customHeight="1" x14ac:dyDescent="0.35">
      <c r="A184" s="96">
        <f>A183+1</f>
        <v>3</v>
      </c>
      <c r="B184" s="96" t="s">
        <v>389</v>
      </c>
      <c r="C184" s="96" t="s">
        <v>473</v>
      </c>
      <c r="D184" s="98">
        <f>73.77*10.764</f>
        <v>794.06027999999992</v>
      </c>
      <c r="E184" s="96">
        <v>0</v>
      </c>
      <c r="F184" s="96">
        <f t="shared" ref="F184:F185" si="9">D184+E184</f>
        <v>794.06027999999992</v>
      </c>
      <c r="G184" s="96">
        <v>0</v>
      </c>
      <c r="H184" s="96">
        <f t="shared" ref="H184:H185" si="10">F184*(($H$137)+1)+(IF(G184&lt;101,G184,IF(G184&lt;201,G184/2,IF(G184&lt;=301,G184/3,G184/4))))</f>
        <v>1191.09042</v>
      </c>
      <c r="I184" s="36"/>
      <c r="L184" s="115"/>
      <c r="M184" s="115"/>
      <c r="N184" s="36"/>
    </row>
    <row r="185" spans="1:14" s="109" customFormat="1" ht="15.75" customHeight="1" x14ac:dyDescent="0.35">
      <c r="A185" s="96">
        <f>A184+1</f>
        <v>4</v>
      </c>
      <c r="B185" s="96" t="s">
        <v>389</v>
      </c>
      <c r="C185" s="96" t="s">
        <v>384</v>
      </c>
      <c r="D185" s="98">
        <f>90.15*10.764</f>
        <v>970.37459999999999</v>
      </c>
      <c r="E185" s="96">
        <v>0</v>
      </c>
      <c r="F185" s="96">
        <f t="shared" si="9"/>
        <v>970.37459999999999</v>
      </c>
      <c r="G185" s="96">
        <v>0</v>
      </c>
      <c r="H185" s="96">
        <f t="shared" si="10"/>
        <v>1455.5618999999999</v>
      </c>
      <c r="I185" s="36">
        <f>3.35*6.18+0.93*3.58+2.38*2.43+0.68*2.33+1.28*1.98+3.2*4.22+0.68*1.05+2.73*0.6+3.25*3.65+1.58*0.6+3.2*3.55+1*0.1+1.53*2.43+1.53*2.02+1.48*0.4+1.63*0.98+1.53*1.45+3.63*1.05</f>
        <v>89.08899999999997</v>
      </c>
      <c r="L185" s="115"/>
      <c r="M185" s="115"/>
      <c r="N185" s="36"/>
    </row>
    <row r="186" spans="1:14" s="109" customFormat="1" ht="21" customHeight="1" x14ac:dyDescent="0.35">
      <c r="A186" s="143" t="s">
        <v>400</v>
      </c>
      <c r="B186" s="144"/>
      <c r="C186" s="144"/>
      <c r="D186" s="144"/>
      <c r="E186" s="144"/>
      <c r="F186" s="144"/>
      <c r="G186" s="144"/>
      <c r="H186" s="145"/>
      <c r="I186" s="36"/>
      <c r="L186" s="115"/>
      <c r="M186" s="115"/>
    </row>
    <row r="187" spans="1:14" s="109" customFormat="1" x14ac:dyDescent="0.35">
      <c r="A187" s="96">
        <v>1</v>
      </c>
      <c r="B187" s="108" t="s">
        <v>387</v>
      </c>
      <c r="C187" s="96" t="s">
        <v>383</v>
      </c>
      <c r="D187" s="98">
        <f>(151.32)*10.764-E187</f>
        <v>1499.5113119999999</v>
      </c>
      <c r="E187" s="98">
        <f>(6.6*1.82)*10.764</f>
        <v>129.297168</v>
      </c>
      <c r="F187" s="96">
        <f>D187+E187</f>
        <v>1628.8084799999999</v>
      </c>
      <c r="G187" s="96">
        <v>0</v>
      </c>
      <c r="H187" s="96">
        <f>F187*(($H$137)+1)+(IF(G187&lt;101,G187,IF(G187&lt;201,G187/2,IF(G187&lt;=301,G187/3,G187/4))))</f>
        <v>2443.21272</v>
      </c>
      <c r="I187" s="36"/>
      <c r="N187" s="36"/>
    </row>
    <row r="188" spans="1:14" s="109" customFormat="1" ht="15.75" customHeight="1" x14ac:dyDescent="0.35">
      <c r="A188" s="96">
        <f t="shared" ref="A188" si="11">A187+1</f>
        <v>2</v>
      </c>
      <c r="B188" s="108" t="s">
        <v>387</v>
      </c>
      <c r="C188" s="96" t="s">
        <v>384</v>
      </c>
      <c r="D188" s="98">
        <f>(116.96)*10.764-E188</f>
        <v>1190.39076</v>
      </c>
      <c r="E188" s="98">
        <f>(3.5*1.82)*10.764</f>
        <v>68.566679999999991</v>
      </c>
      <c r="F188" s="96">
        <f>D188+E188</f>
        <v>1258.9574399999999</v>
      </c>
      <c r="G188" s="96">
        <v>0</v>
      </c>
      <c r="H188" s="96">
        <f>F188*(($H$137)+1)+(IF(G188&lt;101,G188,IF(G188&lt;201,G188/2,IF(G188&lt;=301,G188/3,G188/4))))</f>
        <v>1888.4361599999997</v>
      </c>
      <c r="I188" s="36"/>
      <c r="N188" s="36"/>
    </row>
    <row r="189" spans="1:14" s="109" customFormat="1" ht="15.75" customHeight="1" x14ac:dyDescent="0.35">
      <c r="A189" s="96">
        <f>A188+1</f>
        <v>3</v>
      </c>
      <c r="B189" s="96" t="s">
        <v>389</v>
      </c>
      <c r="C189" s="96" t="s">
        <v>473</v>
      </c>
      <c r="D189" s="98">
        <f>73.77*10.764</f>
        <v>794.06027999999992</v>
      </c>
      <c r="E189" s="96">
        <v>0</v>
      </c>
      <c r="F189" s="96">
        <f t="shared" ref="F189:F190" si="12">D189+E189</f>
        <v>794.06027999999992</v>
      </c>
      <c r="G189" s="96">
        <v>0</v>
      </c>
      <c r="H189" s="96">
        <f t="shared" ref="H189:H190" si="13">F189*(($H$137)+1)+(IF(G189&lt;101,G189,IF(G189&lt;201,G189/2,IF(G189&lt;=301,G189/3,G189/4))))</f>
        <v>1191.09042</v>
      </c>
      <c r="I189" s="36"/>
      <c r="L189" s="115"/>
      <c r="M189" s="115"/>
      <c r="N189" s="36"/>
    </row>
    <row r="190" spans="1:14" s="109" customFormat="1" ht="15.75" customHeight="1" x14ac:dyDescent="0.35">
      <c r="A190" s="96">
        <f>A189+1</f>
        <v>4</v>
      </c>
      <c r="B190" s="108" t="s">
        <v>387</v>
      </c>
      <c r="C190" s="96" t="s">
        <v>384</v>
      </c>
      <c r="D190" s="98">
        <f>90.15*10.764</f>
        <v>970.37459999999999</v>
      </c>
      <c r="E190" s="96">
        <v>0</v>
      </c>
      <c r="F190" s="96">
        <f t="shared" si="12"/>
        <v>970.37459999999999</v>
      </c>
      <c r="G190" s="96">
        <v>0</v>
      </c>
      <c r="H190" s="96">
        <f t="shared" si="13"/>
        <v>1455.5618999999999</v>
      </c>
      <c r="I190" s="36"/>
      <c r="L190" s="115"/>
      <c r="M190" s="115"/>
      <c r="N190" s="36"/>
    </row>
    <row r="191" spans="1:14" s="109" customFormat="1" ht="31.5" customHeight="1" x14ac:dyDescent="0.35">
      <c r="A191" s="143" t="s">
        <v>439</v>
      </c>
      <c r="B191" s="144"/>
      <c r="C191" s="144"/>
      <c r="D191" s="144"/>
      <c r="E191" s="144"/>
      <c r="F191" s="144"/>
      <c r="G191" s="144"/>
      <c r="H191" s="145"/>
      <c r="I191" s="36"/>
      <c r="L191" s="115"/>
      <c r="M191" s="115"/>
    </row>
    <row r="192" spans="1:14" s="109" customFormat="1" x14ac:dyDescent="0.35">
      <c r="A192" s="96">
        <v>1</v>
      </c>
      <c r="B192" s="108" t="s">
        <v>387</v>
      </c>
      <c r="C192" s="96" t="s">
        <v>383</v>
      </c>
      <c r="D192" s="98">
        <f>(151.32)*10.764-E192</f>
        <v>1499.5113119999999</v>
      </c>
      <c r="E192" s="98">
        <f>(6.6*1.82)*10.764</f>
        <v>129.297168</v>
      </c>
      <c r="F192" s="96">
        <f>D192+E192</f>
        <v>1628.8084799999999</v>
      </c>
      <c r="G192" s="96">
        <v>0</v>
      </c>
      <c r="H192" s="96">
        <f>F192*(($H$137)+1)+(IF(G192&lt;101,G192,IF(G192&lt;201,G192/2,IF(G192&lt;=301,G192/3,G192/4))))</f>
        <v>2443.21272</v>
      </c>
      <c r="I192" s="36"/>
      <c r="N192" s="36"/>
    </row>
    <row r="193" spans="1:14" s="109" customFormat="1" ht="15.75" customHeight="1" x14ac:dyDescent="0.35">
      <c r="A193" s="96">
        <f t="shared" ref="A193" si="14">A192+1</f>
        <v>2</v>
      </c>
      <c r="B193" s="108" t="s">
        <v>387</v>
      </c>
      <c r="C193" s="96" t="s">
        <v>384</v>
      </c>
      <c r="D193" s="98">
        <f>(116.96)*10.764-E193</f>
        <v>1190.39076</v>
      </c>
      <c r="E193" s="98">
        <f>(3.5*1.82)*10.764</f>
        <v>68.566679999999991</v>
      </c>
      <c r="F193" s="96">
        <f>D193+E193</f>
        <v>1258.9574399999999</v>
      </c>
      <c r="G193" s="96">
        <v>0</v>
      </c>
      <c r="H193" s="96">
        <f>F193*(($H$137)+1)+(IF(G193&lt;101,G193,IF(G193&lt;201,G193/2,IF(G193&lt;=301,G193/3,G193/4))))</f>
        <v>1888.4361599999997</v>
      </c>
      <c r="I193" s="36"/>
      <c r="N193" s="36"/>
    </row>
    <row r="194" spans="1:14" s="109" customFormat="1" ht="15.75" customHeight="1" x14ac:dyDescent="0.35">
      <c r="A194" s="96">
        <f>A193+1</f>
        <v>3</v>
      </c>
      <c r="B194" s="96" t="s">
        <v>389</v>
      </c>
      <c r="C194" s="96" t="s">
        <v>473</v>
      </c>
      <c r="D194" s="98">
        <f>73.77*10.764</f>
        <v>794.06027999999992</v>
      </c>
      <c r="E194" s="96">
        <v>0</v>
      </c>
      <c r="F194" s="96">
        <f t="shared" ref="F194:F195" si="15">D194+E194</f>
        <v>794.06027999999992</v>
      </c>
      <c r="G194" s="96">
        <v>0</v>
      </c>
      <c r="H194" s="96">
        <f t="shared" ref="H194:H195" si="16">F194*(($H$137)+1)+(IF(G194&lt;101,G194,IF(G194&lt;201,G194/2,IF(G194&lt;=301,G194/3,G194/4))))</f>
        <v>1191.09042</v>
      </c>
      <c r="I194" s="36"/>
      <c r="L194" s="115"/>
      <c r="M194" s="115"/>
      <c r="N194" s="36"/>
    </row>
    <row r="195" spans="1:14" s="109" customFormat="1" ht="15.75" customHeight="1" x14ac:dyDescent="0.35">
      <c r="A195" s="96">
        <f>A194+1</f>
        <v>4</v>
      </c>
      <c r="B195" s="96" t="s">
        <v>389</v>
      </c>
      <c r="C195" s="96" t="s">
        <v>384</v>
      </c>
      <c r="D195" s="98">
        <f>95.86*10.764-E195</f>
        <v>975.5133335999999</v>
      </c>
      <c r="E195" s="96">
        <f>(3.42*1.53)*10.764</f>
        <v>56.323706399999992</v>
      </c>
      <c r="F195" s="96">
        <f t="shared" si="15"/>
        <v>1031.8370399999999</v>
      </c>
      <c r="G195" s="96">
        <v>0</v>
      </c>
      <c r="H195" s="96">
        <f t="shared" si="16"/>
        <v>1547.7555599999998</v>
      </c>
      <c r="I195" s="36"/>
      <c r="L195" s="115"/>
      <c r="M195" s="115"/>
      <c r="N195" s="36"/>
    </row>
    <row r="196" spans="1:14" s="109" customFormat="1" ht="36.65" customHeight="1" x14ac:dyDescent="0.35">
      <c r="A196" s="143" t="s">
        <v>438</v>
      </c>
      <c r="B196" s="144"/>
      <c r="C196" s="144"/>
      <c r="D196" s="144"/>
      <c r="E196" s="144"/>
      <c r="F196" s="144"/>
      <c r="G196" s="144"/>
      <c r="H196" s="145"/>
      <c r="I196" s="36"/>
      <c r="L196" s="115"/>
      <c r="M196" s="115"/>
    </row>
    <row r="197" spans="1:14" s="109" customFormat="1" x14ac:dyDescent="0.35">
      <c r="A197" s="96">
        <v>1</v>
      </c>
      <c r="B197" s="108" t="s">
        <v>387</v>
      </c>
      <c r="C197" s="96" t="s">
        <v>383</v>
      </c>
      <c r="D197" s="98">
        <f>(151.32)*10.764-E197</f>
        <v>1499.5113119999999</v>
      </c>
      <c r="E197" s="98">
        <f>(6.6*1.82)*10.764</f>
        <v>129.297168</v>
      </c>
      <c r="F197" s="96">
        <f>D197+E197</f>
        <v>1628.8084799999999</v>
      </c>
      <c r="G197" s="96">
        <v>0</v>
      </c>
      <c r="H197" s="96">
        <f>F197*(($H$137)+1)+(IF(G197&lt;101,G197,IF(G197&lt;201,G197/2,IF(G197&lt;=301,G197/3,G197/4))))</f>
        <v>2443.21272</v>
      </c>
      <c r="I197" s="36"/>
      <c r="N197" s="36"/>
    </row>
    <row r="198" spans="1:14" s="109" customFormat="1" ht="15.75" customHeight="1" x14ac:dyDescent="0.35">
      <c r="A198" s="96">
        <f t="shared" ref="A198" si="17">A197+1</f>
        <v>2</v>
      </c>
      <c r="B198" s="146" t="s">
        <v>385</v>
      </c>
      <c r="C198" s="147"/>
      <c r="D198" s="147"/>
      <c r="E198" s="147"/>
      <c r="F198" s="147"/>
      <c r="G198" s="147"/>
      <c r="H198" s="148"/>
      <c r="I198" s="36"/>
      <c r="N198" s="36"/>
    </row>
    <row r="199" spans="1:14" s="109" customFormat="1" ht="15.75" customHeight="1" x14ac:dyDescent="0.35">
      <c r="A199" s="96">
        <f>A198+1</f>
        <v>3</v>
      </c>
      <c r="B199" s="96" t="s">
        <v>389</v>
      </c>
      <c r="C199" s="96" t="s">
        <v>473</v>
      </c>
      <c r="D199" s="98">
        <f>73.77*10.764</f>
        <v>794.06027999999992</v>
      </c>
      <c r="E199" s="96">
        <v>0</v>
      </c>
      <c r="F199" s="96">
        <f t="shared" ref="F199:F200" si="18">D199+E199</f>
        <v>794.06027999999992</v>
      </c>
      <c r="G199" s="96">
        <v>0</v>
      </c>
      <c r="H199" s="96">
        <f t="shared" ref="H199:H200" si="19">F199*(($H$137)+1)+(IF(G199&lt;101,G199,IF(G199&lt;201,G199/2,IF(G199&lt;=301,G199/3,G199/4))))</f>
        <v>1191.09042</v>
      </c>
      <c r="I199" s="36"/>
      <c r="L199" s="115"/>
      <c r="M199" s="115"/>
      <c r="N199" s="36"/>
    </row>
    <row r="200" spans="1:14" s="109" customFormat="1" ht="15.75" customHeight="1" x14ac:dyDescent="0.35">
      <c r="A200" s="96">
        <f>A199+1</f>
        <v>4</v>
      </c>
      <c r="B200" s="108" t="s">
        <v>387</v>
      </c>
      <c r="C200" s="96" t="s">
        <v>384</v>
      </c>
      <c r="D200" s="98">
        <f>95.86*10.764-E200</f>
        <v>975.5133335999999</v>
      </c>
      <c r="E200" s="96">
        <f>(3.42*1.53)*10.764</f>
        <v>56.323706399999992</v>
      </c>
      <c r="F200" s="96">
        <f t="shared" si="18"/>
        <v>1031.8370399999999</v>
      </c>
      <c r="G200" s="96">
        <v>0</v>
      </c>
      <c r="H200" s="96">
        <f t="shared" si="19"/>
        <v>1547.7555599999998</v>
      </c>
      <c r="I200" s="36"/>
      <c r="L200" s="115"/>
      <c r="M200" s="115"/>
      <c r="N200" s="36"/>
    </row>
    <row r="201" spans="1:14" s="109" customFormat="1" ht="32.5" customHeight="1" x14ac:dyDescent="0.35">
      <c r="A201" s="143" t="s">
        <v>440</v>
      </c>
      <c r="B201" s="144"/>
      <c r="C201" s="144"/>
      <c r="D201" s="144"/>
      <c r="E201" s="144"/>
      <c r="F201" s="144"/>
      <c r="G201" s="144"/>
      <c r="H201" s="145"/>
      <c r="I201" s="36"/>
      <c r="L201" s="115"/>
      <c r="M201" s="115"/>
    </row>
    <row r="202" spans="1:14" s="109" customFormat="1" x14ac:dyDescent="0.35">
      <c r="A202" s="96">
        <v>1</v>
      </c>
      <c r="B202" s="108" t="s">
        <v>387</v>
      </c>
      <c r="C202" s="96" t="s">
        <v>383</v>
      </c>
      <c r="D202" s="98">
        <f>(151.32)*10.764-E202</f>
        <v>1499.5113119999999</v>
      </c>
      <c r="E202" s="98">
        <f>(6.6*1.82)*10.764</f>
        <v>129.297168</v>
      </c>
      <c r="F202" s="96">
        <f>D202+E202</f>
        <v>1628.8084799999999</v>
      </c>
      <c r="G202" s="96">
        <v>0</v>
      </c>
      <c r="H202" s="96">
        <f>F202*(($H$137)+1)+(IF(G202&lt;101,G202,IF(G202&lt;201,G202/2,IF(G202&lt;=301,G202/3,G202/4))))</f>
        <v>2443.21272</v>
      </c>
      <c r="I202" s="36"/>
      <c r="N202" s="36"/>
    </row>
    <row r="203" spans="1:14" s="109" customFormat="1" ht="15.75" customHeight="1" x14ac:dyDescent="0.35">
      <c r="A203" s="96">
        <f t="shared" ref="A203" si="20">A202+1</f>
        <v>2</v>
      </c>
      <c r="B203" s="108" t="s">
        <v>387</v>
      </c>
      <c r="C203" s="96" t="s">
        <v>384</v>
      </c>
      <c r="D203" s="98">
        <f>(116.96)*10.764-E203</f>
        <v>1190.39076</v>
      </c>
      <c r="E203" s="98">
        <f>(3.5*1.82)*10.764</f>
        <v>68.566679999999991</v>
      </c>
      <c r="F203" s="96">
        <f>D203+E203</f>
        <v>1258.9574399999999</v>
      </c>
      <c r="G203" s="96">
        <v>0</v>
      </c>
      <c r="H203" s="96">
        <f>F203*(($H$137)+1)+(IF(G203&lt;101,G203,IF(G203&lt;201,G203/2,IF(G203&lt;=301,G203/3,G203/4))))</f>
        <v>1888.4361599999997</v>
      </c>
      <c r="I203" s="36"/>
      <c r="N203" s="36"/>
    </row>
    <row r="204" spans="1:14" s="109" customFormat="1" ht="15.75" customHeight="1" x14ac:dyDescent="0.35">
      <c r="A204" s="96">
        <f>A203+1</f>
        <v>3</v>
      </c>
      <c r="B204" s="96" t="s">
        <v>389</v>
      </c>
      <c r="C204" s="96" t="s">
        <v>473</v>
      </c>
      <c r="D204" s="98">
        <f>73.77*10.764</f>
        <v>794.06027999999992</v>
      </c>
      <c r="E204" s="96">
        <v>0</v>
      </c>
      <c r="F204" s="96">
        <f t="shared" ref="F204:F205" si="21">D204+E204</f>
        <v>794.06027999999992</v>
      </c>
      <c r="G204" s="96">
        <v>0</v>
      </c>
      <c r="H204" s="96">
        <f t="shared" ref="H204:H205" si="22">F204*(($H$137)+1)+(IF(G204&lt;101,G204,IF(G204&lt;201,G204/2,IF(G204&lt;=301,G204/3,G204/4))))</f>
        <v>1191.09042</v>
      </c>
      <c r="I204" s="36"/>
      <c r="L204" s="115"/>
      <c r="M204" s="115"/>
      <c r="N204" s="36"/>
    </row>
    <row r="205" spans="1:14" s="109" customFormat="1" ht="15.75" customHeight="1" x14ac:dyDescent="0.35">
      <c r="A205" s="96">
        <f>A204+1</f>
        <v>4</v>
      </c>
      <c r="B205" s="96" t="s">
        <v>389</v>
      </c>
      <c r="C205" s="96" t="s">
        <v>384</v>
      </c>
      <c r="D205" s="98">
        <f>95.86*10.764-E205</f>
        <v>975.5133335999999</v>
      </c>
      <c r="E205" s="96">
        <f>(3.42*1.53)*10.764</f>
        <v>56.323706399999992</v>
      </c>
      <c r="F205" s="96">
        <f t="shared" si="21"/>
        <v>1031.8370399999999</v>
      </c>
      <c r="G205" s="96">
        <v>0</v>
      </c>
      <c r="H205" s="96">
        <f t="shared" si="22"/>
        <v>1547.7555599999998</v>
      </c>
      <c r="I205" s="36"/>
      <c r="L205" s="115"/>
      <c r="M205" s="115"/>
      <c r="N205" s="36"/>
    </row>
    <row r="206" spans="1:14" s="109" customFormat="1" ht="39" customHeight="1" x14ac:dyDescent="0.35">
      <c r="A206" s="143" t="s">
        <v>445</v>
      </c>
      <c r="B206" s="144"/>
      <c r="C206" s="144"/>
      <c r="D206" s="144"/>
      <c r="E206" s="144"/>
      <c r="F206" s="144"/>
      <c r="G206" s="144"/>
      <c r="H206" s="145"/>
      <c r="I206" s="36"/>
      <c r="L206" s="115"/>
      <c r="M206" s="115"/>
    </row>
    <row r="207" spans="1:14" s="109" customFormat="1" x14ac:dyDescent="0.35">
      <c r="A207" s="96">
        <v>1</v>
      </c>
      <c r="B207" s="108" t="s">
        <v>387</v>
      </c>
      <c r="C207" s="96" t="s">
        <v>383</v>
      </c>
      <c r="D207" s="98">
        <f>(151.32)*10.764-E207</f>
        <v>1499.5113119999999</v>
      </c>
      <c r="E207" s="98">
        <f>(6.6*1.82)*10.764</f>
        <v>129.297168</v>
      </c>
      <c r="F207" s="96">
        <f>D207+E207</f>
        <v>1628.8084799999999</v>
      </c>
      <c r="G207" s="96">
        <v>0</v>
      </c>
      <c r="H207" s="96">
        <f>F207*(($H$137)+1)+(IF(G207&lt;101,G207,IF(G207&lt;201,G207/2,IF(G207&lt;=301,G207/3,G207/4))))</f>
        <v>2443.21272</v>
      </c>
      <c r="I207" s="36"/>
      <c r="N207" s="36"/>
    </row>
    <row r="208" spans="1:14" s="109" customFormat="1" ht="15.75" customHeight="1" x14ac:dyDescent="0.35">
      <c r="A208" s="96">
        <f t="shared" ref="A208" si="23">A207+1</f>
        <v>2</v>
      </c>
      <c r="B208" s="108" t="s">
        <v>387</v>
      </c>
      <c r="C208" s="96" t="s">
        <v>384</v>
      </c>
      <c r="D208" s="98">
        <f>(116.96)*10.764-E208</f>
        <v>1190.39076</v>
      </c>
      <c r="E208" s="98">
        <f>(3.5*1.82)*10.764</f>
        <v>68.566679999999991</v>
      </c>
      <c r="F208" s="96">
        <f>D208+E208</f>
        <v>1258.9574399999999</v>
      </c>
      <c r="G208" s="96">
        <v>0</v>
      </c>
      <c r="H208" s="96">
        <f>F208*(($H$137)+1)+(IF(G208&lt;101,G208,IF(G208&lt;201,G208/2,IF(G208&lt;=301,G208/3,G208/4))))</f>
        <v>1888.4361599999997</v>
      </c>
      <c r="I208" s="36"/>
      <c r="N208" s="36"/>
    </row>
    <row r="209" spans="1:14" s="109" customFormat="1" ht="15.75" customHeight="1" x14ac:dyDescent="0.35">
      <c r="A209" s="96">
        <f>A208+1</f>
        <v>3</v>
      </c>
      <c r="B209" s="96" t="s">
        <v>389</v>
      </c>
      <c r="C209" s="96" t="s">
        <v>473</v>
      </c>
      <c r="D209" s="98">
        <f>79.05*10.764-E209</f>
        <v>795.88800719999995</v>
      </c>
      <c r="E209" s="96">
        <f>(3.34*1.53)*10.764</f>
        <v>55.006192799999994</v>
      </c>
      <c r="F209" s="96">
        <f t="shared" ref="F209:F210" si="24">D209+E209</f>
        <v>850.89419999999996</v>
      </c>
      <c r="G209" s="96">
        <v>0</v>
      </c>
      <c r="H209" s="96">
        <f t="shared" ref="H209:H210" si="25">F209*(($H$137)+1)+(IF(G209&lt;101,G209,IF(G209&lt;201,G209/2,IF(G209&lt;=301,G209/3,G209/4))))</f>
        <v>1276.3413</v>
      </c>
      <c r="I209" s="36"/>
      <c r="L209" s="115"/>
      <c r="M209" s="115"/>
      <c r="N209" s="36"/>
    </row>
    <row r="210" spans="1:14" s="109" customFormat="1" ht="15.75" customHeight="1" x14ac:dyDescent="0.35">
      <c r="A210" s="96">
        <f>A209+1</f>
        <v>4</v>
      </c>
      <c r="B210" s="108" t="s">
        <v>387</v>
      </c>
      <c r="C210" s="96" t="s">
        <v>384</v>
      </c>
      <c r="D210" s="98">
        <f>95.86*10.764-E210</f>
        <v>975.5133335999999</v>
      </c>
      <c r="E210" s="96">
        <f>(3.42*1.53)*10.764</f>
        <v>56.323706399999992</v>
      </c>
      <c r="F210" s="96">
        <f t="shared" si="24"/>
        <v>1031.8370399999999</v>
      </c>
      <c r="G210" s="96">
        <v>0</v>
      </c>
      <c r="H210" s="96">
        <f t="shared" si="25"/>
        <v>1547.7555599999998</v>
      </c>
      <c r="I210" s="36"/>
      <c r="L210" s="115"/>
      <c r="M210" s="115"/>
      <c r="N210" s="36"/>
    </row>
    <row r="211" spans="1:14" s="109" customFormat="1" ht="41.5" customHeight="1" x14ac:dyDescent="0.35">
      <c r="A211" s="143" t="s">
        <v>446</v>
      </c>
      <c r="B211" s="144"/>
      <c r="C211" s="144"/>
      <c r="D211" s="144"/>
      <c r="E211" s="144"/>
      <c r="F211" s="144"/>
      <c r="G211" s="144"/>
      <c r="H211" s="145"/>
      <c r="I211" s="36"/>
      <c r="L211" s="115"/>
      <c r="M211" s="115"/>
    </row>
    <row r="212" spans="1:14" s="109" customFormat="1" x14ac:dyDescent="0.35">
      <c r="A212" s="96">
        <v>1</v>
      </c>
      <c r="B212" s="108" t="s">
        <v>387</v>
      </c>
      <c r="C212" s="96" t="s">
        <v>383</v>
      </c>
      <c r="D212" s="98">
        <f>(151.32)*10.764-E212</f>
        <v>1499.5113119999999</v>
      </c>
      <c r="E212" s="98">
        <f>(6.6*1.82)*10.764</f>
        <v>129.297168</v>
      </c>
      <c r="F212" s="96">
        <f>D212+E212</f>
        <v>1628.8084799999999</v>
      </c>
      <c r="G212" s="96">
        <v>0</v>
      </c>
      <c r="H212" s="96">
        <f>F212*(($H$137)+1)+(IF(G212&lt;101,G212,IF(G212&lt;201,G212/2,IF(G212&lt;=301,G212/3,G212/4))))</f>
        <v>2443.21272</v>
      </c>
      <c r="I212" s="36"/>
      <c r="N212" s="36"/>
    </row>
    <row r="213" spans="1:14" s="109" customFormat="1" ht="15.75" customHeight="1" x14ac:dyDescent="0.35">
      <c r="A213" s="96">
        <f t="shared" ref="A213" si="26">A212+1</f>
        <v>2</v>
      </c>
      <c r="B213" s="108" t="s">
        <v>387</v>
      </c>
      <c r="C213" s="96" t="s">
        <v>384</v>
      </c>
      <c r="D213" s="98">
        <f>(116.96)*10.764-E213</f>
        <v>1190.39076</v>
      </c>
      <c r="E213" s="98">
        <f>(3.5*1.82)*10.764</f>
        <v>68.566679999999991</v>
      </c>
      <c r="F213" s="96">
        <f>D213+E213</f>
        <v>1258.9574399999999</v>
      </c>
      <c r="G213" s="96">
        <v>0</v>
      </c>
      <c r="H213" s="96">
        <f>F213*(($H$137)+1)+(IF(G213&lt;101,G213,IF(G213&lt;201,G213/2,IF(G213&lt;=301,G213/3,G213/4))))</f>
        <v>1888.4361599999997</v>
      </c>
      <c r="I213" s="36"/>
      <c r="N213" s="36"/>
    </row>
    <row r="214" spans="1:14" s="109" customFormat="1" ht="15.75" customHeight="1" x14ac:dyDescent="0.35">
      <c r="A214" s="96">
        <f>A213+1</f>
        <v>3</v>
      </c>
      <c r="B214" s="96" t="s">
        <v>389</v>
      </c>
      <c r="C214" s="96" t="s">
        <v>473</v>
      </c>
      <c r="D214" s="98">
        <f>79.05*10.764-E214</f>
        <v>795.88800719999995</v>
      </c>
      <c r="E214" s="96">
        <f>(3.34*1.53)*10.764</f>
        <v>55.006192799999994</v>
      </c>
      <c r="F214" s="96">
        <f t="shared" ref="F214:F215" si="27">D214+E214</f>
        <v>850.89419999999996</v>
      </c>
      <c r="G214" s="96">
        <v>0</v>
      </c>
      <c r="H214" s="96">
        <f t="shared" ref="H214:H215" si="28">F214*(($H$137)+1)+(IF(G214&lt;101,G214,IF(G214&lt;201,G214/2,IF(G214&lt;=301,G214/3,G214/4))))</f>
        <v>1276.3413</v>
      </c>
      <c r="I214" s="36"/>
      <c r="L214" s="115"/>
      <c r="M214" s="115"/>
      <c r="N214" s="36"/>
    </row>
    <row r="215" spans="1:14" s="109" customFormat="1" ht="15.75" customHeight="1" x14ac:dyDescent="0.35">
      <c r="A215" s="96">
        <f>A214+1</f>
        <v>4</v>
      </c>
      <c r="B215" s="96" t="s">
        <v>389</v>
      </c>
      <c r="C215" s="96" t="s">
        <v>384</v>
      </c>
      <c r="D215" s="98">
        <f>95.86*10.764-E215</f>
        <v>975.5133335999999</v>
      </c>
      <c r="E215" s="96">
        <f>(3.42*1.53)*10.764</f>
        <v>56.323706399999992</v>
      </c>
      <c r="F215" s="96">
        <f t="shared" si="27"/>
        <v>1031.8370399999999</v>
      </c>
      <c r="G215" s="96">
        <v>0</v>
      </c>
      <c r="H215" s="96">
        <f t="shared" si="28"/>
        <v>1547.7555599999998</v>
      </c>
      <c r="I215" s="36"/>
      <c r="L215" s="115"/>
      <c r="M215" s="115"/>
      <c r="N215" s="36"/>
    </row>
    <row r="216" spans="1:14" s="109" customFormat="1" ht="34.5" customHeight="1" x14ac:dyDescent="0.35">
      <c r="A216" s="143" t="s">
        <v>447</v>
      </c>
      <c r="B216" s="144"/>
      <c r="C216" s="144"/>
      <c r="D216" s="144"/>
      <c r="E216" s="144"/>
      <c r="F216" s="144"/>
      <c r="G216" s="144"/>
      <c r="H216" s="145"/>
      <c r="I216" s="36"/>
      <c r="L216" s="115"/>
      <c r="M216" s="115"/>
    </row>
    <row r="217" spans="1:14" s="109" customFormat="1" x14ac:dyDescent="0.35">
      <c r="A217" s="96">
        <v>1</v>
      </c>
      <c r="B217" s="108" t="s">
        <v>387</v>
      </c>
      <c r="C217" s="96" t="s">
        <v>383</v>
      </c>
      <c r="D217" s="98">
        <f>(151.32)*10.764-E217</f>
        <v>1499.5113119999999</v>
      </c>
      <c r="E217" s="98">
        <f>(6.6*1.82)*10.764</f>
        <v>129.297168</v>
      </c>
      <c r="F217" s="96">
        <f>D217+E217</f>
        <v>1628.8084799999999</v>
      </c>
      <c r="G217" s="96">
        <v>0</v>
      </c>
      <c r="H217" s="96">
        <f>F217*(($H$137)+1)+(IF(G217&lt;101,G217,IF(G217&lt;201,G217/2,IF(G217&lt;=301,G217/3,G217/4))))</f>
        <v>2443.21272</v>
      </c>
      <c r="I217" s="36"/>
      <c r="N217" s="36"/>
    </row>
    <row r="218" spans="1:14" s="109" customFormat="1" ht="15.75" customHeight="1" x14ac:dyDescent="0.35">
      <c r="A218" s="96">
        <f t="shared" ref="A218" si="29">A217+1</f>
        <v>2</v>
      </c>
      <c r="B218" s="108" t="s">
        <v>387</v>
      </c>
      <c r="C218" s="96" t="s">
        <v>384</v>
      </c>
      <c r="D218" s="98">
        <f>(116.96)*10.764-E218</f>
        <v>1190.39076</v>
      </c>
      <c r="E218" s="98">
        <f>(3.5*1.82)*10.764</f>
        <v>68.566679999999991</v>
      </c>
      <c r="F218" s="96">
        <f>D218+E218</f>
        <v>1258.9574399999999</v>
      </c>
      <c r="G218" s="96">
        <v>0</v>
      </c>
      <c r="H218" s="96">
        <f>F218*(($H$137)+1)+(IF(G218&lt;101,G218,IF(G218&lt;201,G218/2,IF(G218&lt;=301,G218/3,G218/4))))</f>
        <v>1888.4361599999997</v>
      </c>
      <c r="I218" s="36"/>
      <c r="N218" s="36"/>
    </row>
    <row r="219" spans="1:14" s="109" customFormat="1" ht="15.75" customHeight="1" x14ac:dyDescent="0.35">
      <c r="A219" s="96">
        <f>A218+1</f>
        <v>3</v>
      </c>
      <c r="B219" s="108" t="s">
        <v>387</v>
      </c>
      <c r="C219" s="96" t="s">
        <v>473</v>
      </c>
      <c r="D219" s="98">
        <f>79.05*10.764-E219</f>
        <v>795.88800719999995</v>
      </c>
      <c r="E219" s="96">
        <f>(3.34*1.53)*10.764</f>
        <v>55.006192799999994</v>
      </c>
      <c r="F219" s="96">
        <f t="shared" ref="F219:F220" si="30">D219+E219</f>
        <v>850.89419999999996</v>
      </c>
      <c r="G219" s="96">
        <v>0</v>
      </c>
      <c r="H219" s="96">
        <f t="shared" ref="H219:H220" si="31">F219*(($H$137)+1)+(IF(G219&lt;101,G219,IF(G219&lt;201,G219/2,IF(G219&lt;=301,G219/3,G219/4))))</f>
        <v>1276.3413</v>
      </c>
      <c r="I219" s="36"/>
      <c r="L219" s="115"/>
      <c r="M219" s="115"/>
      <c r="N219" s="36"/>
    </row>
    <row r="220" spans="1:14" s="109" customFormat="1" ht="15.75" customHeight="1" x14ac:dyDescent="0.35">
      <c r="A220" s="96">
        <f>A219+1</f>
        <v>4</v>
      </c>
      <c r="B220" s="96" t="s">
        <v>389</v>
      </c>
      <c r="C220" s="96" t="s">
        <v>384</v>
      </c>
      <c r="D220" s="98">
        <f>95.86*10.764-E220</f>
        <v>975.5133335999999</v>
      </c>
      <c r="E220" s="96">
        <f>(3.42*1.53)*10.764</f>
        <v>56.323706399999992</v>
      </c>
      <c r="F220" s="96">
        <f t="shared" si="30"/>
        <v>1031.8370399999999</v>
      </c>
      <c r="G220" s="96">
        <v>0</v>
      </c>
      <c r="H220" s="96">
        <f t="shared" si="31"/>
        <v>1547.7555599999998</v>
      </c>
      <c r="I220" s="36"/>
      <c r="L220" s="115"/>
      <c r="M220" s="115"/>
      <c r="N220" s="36"/>
    </row>
    <row r="221" spans="1:14" s="109" customFormat="1" ht="34.5" customHeight="1" x14ac:dyDescent="0.35">
      <c r="A221" s="143" t="s">
        <v>448</v>
      </c>
      <c r="B221" s="144"/>
      <c r="C221" s="144"/>
      <c r="D221" s="144"/>
      <c r="E221" s="144"/>
      <c r="F221" s="144"/>
      <c r="G221" s="144"/>
      <c r="H221" s="145"/>
      <c r="I221" s="36"/>
      <c r="L221" s="115"/>
      <c r="M221" s="115"/>
    </row>
    <row r="222" spans="1:14" s="109" customFormat="1" x14ac:dyDescent="0.35">
      <c r="A222" s="96">
        <v>1</v>
      </c>
      <c r="B222" s="108" t="s">
        <v>387</v>
      </c>
      <c r="C222" s="96" t="s">
        <v>383</v>
      </c>
      <c r="D222" s="98">
        <f>(151.32)*10.764-E222</f>
        <v>1499.5113119999999</v>
      </c>
      <c r="E222" s="98">
        <f>(6.6*1.82)*10.764</f>
        <v>129.297168</v>
      </c>
      <c r="F222" s="96">
        <f>D222+E222</f>
        <v>1628.8084799999999</v>
      </c>
      <c r="G222" s="96">
        <v>0</v>
      </c>
      <c r="H222" s="96">
        <f>F222*(($H$137)+1)+(IF(G222&lt;101,G222,IF(G222&lt;201,G222/2,IF(G222&lt;=301,G222/3,G222/4))))</f>
        <v>2443.21272</v>
      </c>
      <c r="I222" s="36"/>
      <c r="N222" s="36"/>
    </row>
    <row r="223" spans="1:14" s="109" customFormat="1" ht="15.75" customHeight="1" x14ac:dyDescent="0.35">
      <c r="A223" s="96">
        <f t="shared" ref="A223" si="32">A222+1</f>
        <v>2</v>
      </c>
      <c r="B223" s="108" t="s">
        <v>387</v>
      </c>
      <c r="C223" s="96" t="s">
        <v>384</v>
      </c>
      <c r="D223" s="98">
        <f>(116.96)*10.764-E223</f>
        <v>1190.39076</v>
      </c>
      <c r="E223" s="98">
        <f>(3.5*1.82)*10.764</f>
        <v>68.566679999999991</v>
      </c>
      <c r="F223" s="96">
        <f>D223+E223</f>
        <v>1258.9574399999999</v>
      </c>
      <c r="G223" s="96">
        <v>0</v>
      </c>
      <c r="H223" s="96">
        <f>F223*(($H$137)+1)+(IF(G223&lt;101,G223,IF(G223&lt;201,G223/2,IF(G223&lt;=301,G223/3,G223/4))))</f>
        <v>1888.4361599999997</v>
      </c>
      <c r="I223" s="36"/>
      <c r="N223" s="36"/>
    </row>
    <row r="224" spans="1:14" s="109" customFormat="1" ht="15.75" customHeight="1" x14ac:dyDescent="0.35">
      <c r="A224" s="96">
        <f>A223+1</f>
        <v>3</v>
      </c>
      <c r="B224" s="96" t="s">
        <v>389</v>
      </c>
      <c r="C224" s="96" t="s">
        <v>473</v>
      </c>
      <c r="D224" s="98">
        <f>79.05*10.764-E224</f>
        <v>795.88800719999995</v>
      </c>
      <c r="E224" s="96">
        <f>(3.34*1.53)*10.764</f>
        <v>55.006192799999994</v>
      </c>
      <c r="F224" s="96">
        <f t="shared" ref="F224:F225" si="33">D224+E224</f>
        <v>850.89419999999996</v>
      </c>
      <c r="G224" s="96">
        <v>0</v>
      </c>
      <c r="H224" s="96">
        <f t="shared" ref="H224:H225" si="34">F224*(($H$137)+1)+(IF(G224&lt;101,G224,IF(G224&lt;201,G224/2,IF(G224&lt;=301,G224/3,G224/4))))</f>
        <v>1276.3413</v>
      </c>
      <c r="I224" s="36"/>
      <c r="L224" s="115"/>
      <c r="M224" s="115"/>
      <c r="N224" s="36"/>
    </row>
    <row r="225" spans="1:14" s="109" customFormat="1" ht="15.75" customHeight="1" x14ac:dyDescent="0.35">
      <c r="A225" s="96">
        <f>A224+1</f>
        <v>4</v>
      </c>
      <c r="B225" s="96" t="s">
        <v>389</v>
      </c>
      <c r="C225" s="96" t="s">
        <v>384</v>
      </c>
      <c r="D225" s="98">
        <f>95.86*10.764-E225</f>
        <v>975.5133335999999</v>
      </c>
      <c r="E225" s="96">
        <f>(3.42*1.53)*10.764</f>
        <v>56.323706399999992</v>
      </c>
      <c r="F225" s="96">
        <f t="shared" si="33"/>
        <v>1031.8370399999999</v>
      </c>
      <c r="G225" s="96">
        <v>0</v>
      </c>
      <c r="H225" s="96">
        <f t="shared" si="34"/>
        <v>1547.7555599999998</v>
      </c>
      <c r="I225" s="36"/>
      <c r="L225" s="115"/>
      <c r="M225" s="115"/>
      <c r="N225" s="36"/>
    </row>
    <row r="226" spans="1:14" s="109" customFormat="1" ht="36.65" customHeight="1" x14ac:dyDescent="0.35">
      <c r="A226" s="143" t="s">
        <v>449</v>
      </c>
      <c r="B226" s="144"/>
      <c r="C226" s="144"/>
      <c r="D226" s="144"/>
      <c r="E226" s="144"/>
      <c r="F226" s="144"/>
      <c r="G226" s="144"/>
      <c r="H226" s="145"/>
      <c r="I226" s="36"/>
      <c r="L226" s="115"/>
      <c r="M226" s="115"/>
    </row>
    <row r="227" spans="1:14" s="109" customFormat="1" x14ac:dyDescent="0.35">
      <c r="A227" s="96">
        <v>1</v>
      </c>
      <c r="B227" s="108" t="s">
        <v>387</v>
      </c>
      <c r="C227" s="96" t="s">
        <v>383</v>
      </c>
      <c r="D227" s="98">
        <f>(151.32)*10.764-E227</f>
        <v>1499.5113119999999</v>
      </c>
      <c r="E227" s="98">
        <f>(6.6*1.82)*10.764</f>
        <v>129.297168</v>
      </c>
      <c r="F227" s="96">
        <f>D227+E227</f>
        <v>1628.8084799999999</v>
      </c>
      <c r="G227" s="96">
        <v>0</v>
      </c>
      <c r="H227" s="96">
        <f>F227*(($H$137)+1)+(IF(G227&lt;101,G227,IF(G227&lt;201,G227/2,IF(G227&lt;=301,G227/3,G227/4))))</f>
        <v>2443.21272</v>
      </c>
      <c r="I227" s="36"/>
      <c r="N227" s="36"/>
    </row>
    <row r="228" spans="1:14" s="109" customFormat="1" ht="15.75" customHeight="1" x14ac:dyDescent="0.35">
      <c r="A228" s="96">
        <f t="shared" ref="A228" si="35">A227+1</f>
        <v>2</v>
      </c>
      <c r="B228" s="108" t="s">
        <v>387</v>
      </c>
      <c r="C228" s="96" t="s">
        <v>384</v>
      </c>
      <c r="D228" s="98">
        <f>(116.96)*10.764-E228</f>
        <v>1190.39076</v>
      </c>
      <c r="E228" s="98">
        <f>(3.5*1.82)*10.764</f>
        <v>68.566679999999991</v>
      </c>
      <c r="F228" s="96">
        <f>D228+E228</f>
        <v>1258.9574399999999</v>
      </c>
      <c r="G228" s="96">
        <v>0</v>
      </c>
      <c r="H228" s="96">
        <f>F228*(($H$137)+1)+(IF(G228&lt;101,G228,IF(G228&lt;201,G228/2,IF(G228&lt;=301,G228/3,G228/4))))</f>
        <v>1888.4361599999997</v>
      </c>
      <c r="I228" s="36"/>
      <c r="N228" s="36"/>
    </row>
    <row r="229" spans="1:14" s="109" customFormat="1" ht="15.75" customHeight="1" x14ac:dyDescent="0.35">
      <c r="A229" s="96">
        <f>A228+1</f>
        <v>3</v>
      </c>
      <c r="B229" s="108" t="s">
        <v>387</v>
      </c>
      <c r="C229" s="96" t="s">
        <v>473</v>
      </c>
      <c r="D229" s="98">
        <f>79.05*10.764-E229</f>
        <v>795.88800719999995</v>
      </c>
      <c r="E229" s="96">
        <f>(3.34*1.53)*10.764</f>
        <v>55.006192799999994</v>
      </c>
      <c r="F229" s="96">
        <f t="shared" ref="F229:F230" si="36">D229+E229</f>
        <v>850.89419999999996</v>
      </c>
      <c r="G229" s="96">
        <v>0</v>
      </c>
      <c r="H229" s="96">
        <f t="shared" ref="H229:H230" si="37">F229*(($H$137)+1)+(IF(G229&lt;101,G229,IF(G229&lt;201,G229/2,IF(G229&lt;=301,G229/3,G229/4))))</f>
        <v>1276.3413</v>
      </c>
      <c r="I229" s="36"/>
      <c r="L229" s="115"/>
      <c r="M229" s="115"/>
      <c r="N229" s="36"/>
    </row>
    <row r="230" spans="1:14" s="109" customFormat="1" ht="15.75" customHeight="1" x14ac:dyDescent="0.35">
      <c r="A230" s="96">
        <f>A229+1</f>
        <v>4</v>
      </c>
      <c r="B230" s="96" t="s">
        <v>389</v>
      </c>
      <c r="C230" s="96" t="s">
        <v>384</v>
      </c>
      <c r="D230" s="98">
        <f>95.86*10.764-E230</f>
        <v>975.5133335999999</v>
      </c>
      <c r="E230" s="96">
        <f>(3.42*1.53)*10.764</f>
        <v>56.323706399999992</v>
      </c>
      <c r="F230" s="96">
        <f t="shared" si="36"/>
        <v>1031.8370399999999</v>
      </c>
      <c r="G230" s="96">
        <v>0</v>
      </c>
      <c r="H230" s="96">
        <f t="shared" si="37"/>
        <v>1547.7555599999998</v>
      </c>
      <c r="I230" s="36"/>
      <c r="L230" s="115"/>
      <c r="M230" s="115"/>
      <c r="N230" s="36"/>
    </row>
    <row r="231" spans="1:14" s="109" customFormat="1" ht="39" customHeight="1" x14ac:dyDescent="0.35">
      <c r="A231" s="143" t="s">
        <v>450</v>
      </c>
      <c r="B231" s="144"/>
      <c r="C231" s="144"/>
      <c r="D231" s="144"/>
      <c r="E231" s="144"/>
      <c r="F231" s="144"/>
      <c r="G231" s="144"/>
      <c r="H231" s="145"/>
      <c r="I231" s="36"/>
      <c r="L231" s="115"/>
      <c r="M231" s="115"/>
    </row>
    <row r="232" spans="1:14" s="109" customFormat="1" x14ac:dyDescent="0.35">
      <c r="A232" s="96">
        <v>1</v>
      </c>
      <c r="B232" s="108" t="s">
        <v>387</v>
      </c>
      <c r="C232" s="96" t="s">
        <v>383</v>
      </c>
      <c r="D232" s="98">
        <f>(151.32)*10.764-E232</f>
        <v>1499.5113119999999</v>
      </c>
      <c r="E232" s="98">
        <f>(6.6*1.82)*10.764</f>
        <v>129.297168</v>
      </c>
      <c r="F232" s="96">
        <f>D232+E232</f>
        <v>1628.8084799999999</v>
      </c>
      <c r="G232" s="96">
        <v>0</v>
      </c>
      <c r="H232" s="96">
        <f>F232*(($H$137)+1)+(IF(G232&lt;101,G232,IF(G232&lt;201,G232/2,IF(G232&lt;=301,G232/3,G232/4))))</f>
        <v>2443.21272</v>
      </c>
      <c r="I232" s="36"/>
      <c r="N232" s="36"/>
    </row>
    <row r="233" spans="1:14" s="109" customFormat="1" ht="15.75" customHeight="1" x14ac:dyDescent="0.35">
      <c r="A233" s="96">
        <f t="shared" ref="A233" si="38">A232+1</f>
        <v>2</v>
      </c>
      <c r="B233" s="108" t="s">
        <v>387</v>
      </c>
      <c r="C233" s="96" t="s">
        <v>384</v>
      </c>
      <c r="D233" s="98">
        <f>(116.96)*10.764-E233</f>
        <v>1190.39076</v>
      </c>
      <c r="E233" s="98">
        <f>(3.5*1.82)*10.764</f>
        <v>68.566679999999991</v>
      </c>
      <c r="F233" s="96">
        <f>D233+E233</f>
        <v>1258.9574399999999</v>
      </c>
      <c r="G233" s="96">
        <v>0</v>
      </c>
      <c r="H233" s="96">
        <f>F233*(($H$137)+1)+(IF(G233&lt;101,G233,IF(G233&lt;201,G233/2,IF(G233&lt;=301,G233/3,G233/4))))</f>
        <v>1888.4361599999997</v>
      </c>
      <c r="I233" s="36"/>
      <c r="N233" s="36"/>
    </row>
    <row r="234" spans="1:14" s="109" customFormat="1" ht="15.75" customHeight="1" x14ac:dyDescent="0.35">
      <c r="A234" s="96">
        <f>A233+1</f>
        <v>3</v>
      </c>
      <c r="B234" s="96" t="s">
        <v>389</v>
      </c>
      <c r="C234" s="96" t="s">
        <v>473</v>
      </c>
      <c r="D234" s="98">
        <f>79.05*10.764-E234</f>
        <v>795.88800719999995</v>
      </c>
      <c r="E234" s="96">
        <f>(3.34*1.53)*10.764</f>
        <v>55.006192799999994</v>
      </c>
      <c r="F234" s="96">
        <f t="shared" ref="F234:F235" si="39">D234+E234</f>
        <v>850.89419999999996</v>
      </c>
      <c r="G234" s="96">
        <v>0</v>
      </c>
      <c r="H234" s="96">
        <f t="shared" ref="H234:H235" si="40">F234*(($H$137)+1)+(IF(G234&lt;101,G234,IF(G234&lt;201,G234/2,IF(G234&lt;=301,G234/3,G234/4))))</f>
        <v>1276.3413</v>
      </c>
      <c r="I234" s="36"/>
      <c r="L234" s="115"/>
      <c r="M234" s="115"/>
      <c r="N234" s="36"/>
    </row>
    <row r="235" spans="1:14" s="109" customFormat="1" ht="15.75" customHeight="1" x14ac:dyDescent="0.35">
      <c r="A235" s="96">
        <f>A234+1</f>
        <v>4</v>
      </c>
      <c r="B235" s="96" t="s">
        <v>389</v>
      </c>
      <c r="C235" s="96" t="s">
        <v>384</v>
      </c>
      <c r="D235" s="98">
        <f>95.86*10.764-E235</f>
        <v>975.5133335999999</v>
      </c>
      <c r="E235" s="96">
        <f>(3.42*1.53)*10.764</f>
        <v>56.323706399999992</v>
      </c>
      <c r="F235" s="96">
        <f t="shared" si="39"/>
        <v>1031.8370399999999</v>
      </c>
      <c r="G235" s="96">
        <v>0</v>
      </c>
      <c r="H235" s="96">
        <f t="shared" si="40"/>
        <v>1547.7555599999998</v>
      </c>
      <c r="I235" s="36"/>
      <c r="L235" s="115"/>
      <c r="M235" s="115"/>
      <c r="N235" s="36"/>
    </row>
    <row r="236" spans="1:14" s="109" customFormat="1" ht="36.65" customHeight="1" x14ac:dyDescent="0.35">
      <c r="A236" s="143" t="s">
        <v>451</v>
      </c>
      <c r="B236" s="144"/>
      <c r="C236" s="144"/>
      <c r="D236" s="144"/>
      <c r="E236" s="144"/>
      <c r="F236" s="144"/>
      <c r="G236" s="144"/>
      <c r="H236" s="145"/>
      <c r="I236" s="36"/>
      <c r="L236" s="115"/>
      <c r="M236" s="115"/>
    </row>
    <row r="237" spans="1:14" s="109" customFormat="1" x14ac:dyDescent="0.35">
      <c r="A237" s="96">
        <v>1</v>
      </c>
      <c r="B237" s="108" t="s">
        <v>387</v>
      </c>
      <c r="C237" s="96" t="s">
        <v>383</v>
      </c>
      <c r="D237" s="98">
        <f>(151.32)*10.764-E237</f>
        <v>1499.5113119999999</v>
      </c>
      <c r="E237" s="98">
        <f>(6.6*1.82)*10.764</f>
        <v>129.297168</v>
      </c>
      <c r="F237" s="96">
        <f>D237+E237</f>
        <v>1628.8084799999999</v>
      </c>
      <c r="G237" s="96">
        <v>0</v>
      </c>
      <c r="H237" s="96">
        <f>F237*(($H$137)+1)+(IF(G237&lt;101,G237,IF(G237&lt;201,G237/2,IF(G237&lt;=301,G237/3,G237/4))))</f>
        <v>2443.21272</v>
      </c>
      <c r="I237" s="36"/>
      <c r="N237" s="36"/>
    </row>
    <row r="238" spans="1:14" s="109" customFormat="1" ht="15.75" customHeight="1" x14ac:dyDescent="0.35">
      <c r="A238" s="96">
        <f t="shared" ref="A238" si="41">A237+1</f>
        <v>2</v>
      </c>
      <c r="B238" s="108" t="s">
        <v>387</v>
      </c>
      <c r="C238" s="96" t="s">
        <v>384</v>
      </c>
      <c r="D238" s="98">
        <f>(116.96)*10.764-E238</f>
        <v>1190.39076</v>
      </c>
      <c r="E238" s="98">
        <f>(3.5*1.82)*10.764</f>
        <v>68.566679999999991</v>
      </c>
      <c r="F238" s="96">
        <f>D238+E238</f>
        <v>1258.9574399999999</v>
      </c>
      <c r="G238" s="96">
        <v>0</v>
      </c>
      <c r="H238" s="96">
        <f>F238*(($H$137)+1)+(IF(G238&lt;101,G238,IF(G238&lt;201,G238/2,IF(G238&lt;=301,G238/3,G238/4))))</f>
        <v>1888.4361599999997</v>
      </c>
      <c r="I238" s="36"/>
      <c r="N238" s="36"/>
    </row>
    <row r="239" spans="1:14" s="109" customFormat="1" ht="15.75" customHeight="1" x14ac:dyDescent="0.35">
      <c r="A239" s="96">
        <f>A238+1</f>
        <v>3</v>
      </c>
      <c r="B239" s="108" t="s">
        <v>387</v>
      </c>
      <c r="C239" s="96" t="s">
        <v>473</v>
      </c>
      <c r="D239" s="98">
        <f>79.05*10.764-E239</f>
        <v>795.88800719999995</v>
      </c>
      <c r="E239" s="96">
        <f>(3.34*1.53)*10.764</f>
        <v>55.006192799999994</v>
      </c>
      <c r="F239" s="96">
        <f t="shared" ref="F239:F240" si="42">D239+E239</f>
        <v>850.89419999999996</v>
      </c>
      <c r="G239" s="96">
        <v>0</v>
      </c>
      <c r="H239" s="96">
        <f t="shared" ref="H239:H240" si="43">F239*(($H$137)+1)+(IF(G239&lt;101,G239,IF(G239&lt;201,G239/2,IF(G239&lt;=301,G239/3,G239/4))))</f>
        <v>1276.3413</v>
      </c>
      <c r="I239" s="36"/>
      <c r="L239" s="115"/>
      <c r="M239" s="115"/>
      <c r="N239" s="36"/>
    </row>
    <row r="240" spans="1:14" s="109" customFormat="1" ht="15.75" customHeight="1" x14ac:dyDescent="0.35">
      <c r="A240" s="96">
        <f>A239+1</f>
        <v>4</v>
      </c>
      <c r="B240" s="96" t="s">
        <v>389</v>
      </c>
      <c r="C240" s="96" t="s">
        <v>384</v>
      </c>
      <c r="D240" s="98">
        <f>95.86*10.764-E240</f>
        <v>975.5133335999999</v>
      </c>
      <c r="E240" s="96">
        <f>(3.42*1.53)*10.764</f>
        <v>56.323706399999992</v>
      </c>
      <c r="F240" s="96">
        <f t="shared" si="42"/>
        <v>1031.8370399999999</v>
      </c>
      <c r="G240" s="96">
        <v>0</v>
      </c>
      <c r="H240" s="96">
        <f t="shared" si="43"/>
        <v>1547.7555599999998</v>
      </c>
      <c r="I240" s="36"/>
      <c r="L240" s="115"/>
      <c r="M240" s="115"/>
      <c r="N240" s="36"/>
    </row>
    <row r="241" spans="1:14" s="109" customFormat="1" ht="32.5" customHeight="1" x14ac:dyDescent="0.35">
      <c r="A241" s="143" t="s">
        <v>452</v>
      </c>
      <c r="B241" s="144"/>
      <c r="C241" s="144"/>
      <c r="D241" s="144"/>
      <c r="E241" s="144"/>
      <c r="F241" s="144"/>
      <c r="G241" s="144"/>
      <c r="H241" s="145"/>
      <c r="I241" s="36"/>
      <c r="L241" s="115"/>
      <c r="M241" s="115"/>
    </row>
    <row r="242" spans="1:14" s="109" customFormat="1" x14ac:dyDescent="0.35">
      <c r="A242" s="96">
        <v>1</v>
      </c>
      <c r="B242" s="108" t="s">
        <v>387</v>
      </c>
      <c r="C242" s="96" t="s">
        <v>383</v>
      </c>
      <c r="D242" s="98">
        <f>(151.32)*10.764-E242</f>
        <v>1499.5113119999999</v>
      </c>
      <c r="E242" s="98">
        <f>(6.6*1.82)*10.764</f>
        <v>129.297168</v>
      </c>
      <c r="F242" s="96">
        <f>D242+E242</f>
        <v>1628.8084799999999</v>
      </c>
      <c r="G242" s="96">
        <v>0</v>
      </c>
      <c r="H242" s="96">
        <f>F242*(($H$137)+1)+(IF(G242&lt;101,G242,IF(G242&lt;201,G242/2,IF(G242&lt;=301,G242/3,G242/4))))</f>
        <v>2443.21272</v>
      </c>
      <c r="I242" s="36"/>
      <c r="N242" s="36"/>
    </row>
    <row r="243" spans="1:14" s="109" customFormat="1" ht="15.75" customHeight="1" x14ac:dyDescent="0.35">
      <c r="A243" s="96">
        <f t="shared" ref="A243" si="44">A242+1</f>
        <v>2</v>
      </c>
      <c r="B243" s="108" t="s">
        <v>387</v>
      </c>
      <c r="C243" s="96" t="s">
        <v>384</v>
      </c>
      <c r="D243" s="98">
        <f>(116.96)*10.764-E243</f>
        <v>1190.39076</v>
      </c>
      <c r="E243" s="98">
        <f>(3.5*1.82)*10.764</f>
        <v>68.566679999999991</v>
      </c>
      <c r="F243" s="96">
        <f>D243+E243</f>
        <v>1258.9574399999999</v>
      </c>
      <c r="G243" s="96">
        <v>0</v>
      </c>
      <c r="H243" s="96">
        <f>F243*(($H$137)+1)+(IF(G243&lt;101,G243,IF(G243&lt;201,G243/2,IF(G243&lt;=301,G243/3,G243/4))))</f>
        <v>1888.4361599999997</v>
      </c>
      <c r="I243" s="36"/>
      <c r="N243" s="36"/>
    </row>
    <row r="244" spans="1:14" s="109" customFormat="1" ht="15.75" customHeight="1" x14ac:dyDescent="0.35">
      <c r="A244" s="96">
        <f>A243+1</f>
        <v>3</v>
      </c>
      <c r="B244" s="96" t="s">
        <v>389</v>
      </c>
      <c r="C244" s="96" t="s">
        <v>473</v>
      </c>
      <c r="D244" s="98">
        <f>79.05*10.764-E244</f>
        <v>795.88800719999995</v>
      </c>
      <c r="E244" s="96">
        <f>(3.34*1.53)*10.764</f>
        <v>55.006192799999994</v>
      </c>
      <c r="F244" s="96">
        <f t="shared" ref="F244:F245" si="45">D244+E244</f>
        <v>850.89419999999996</v>
      </c>
      <c r="G244" s="96">
        <v>0</v>
      </c>
      <c r="H244" s="96">
        <f t="shared" ref="H244:H245" si="46">F244*(($H$137)+1)+(IF(G244&lt;101,G244,IF(G244&lt;201,G244/2,IF(G244&lt;=301,G244/3,G244/4))))</f>
        <v>1276.3413</v>
      </c>
      <c r="I244" s="36"/>
      <c r="L244" s="115"/>
      <c r="M244" s="115"/>
      <c r="N244" s="36"/>
    </row>
    <row r="245" spans="1:14" s="109" customFormat="1" ht="15.75" customHeight="1" x14ac:dyDescent="0.35">
      <c r="A245" s="96">
        <f>A244+1</f>
        <v>4</v>
      </c>
      <c r="B245" s="108" t="s">
        <v>387</v>
      </c>
      <c r="C245" s="96" t="s">
        <v>384</v>
      </c>
      <c r="D245" s="98">
        <f>95.86*10.764-E245</f>
        <v>975.5133335999999</v>
      </c>
      <c r="E245" s="96">
        <f>(3.42*1.53)*10.764</f>
        <v>56.323706399999992</v>
      </c>
      <c r="F245" s="96">
        <f t="shared" si="45"/>
        <v>1031.8370399999999</v>
      </c>
      <c r="G245" s="96">
        <v>0</v>
      </c>
      <c r="H245" s="96">
        <f t="shared" si="46"/>
        <v>1547.7555599999998</v>
      </c>
      <c r="I245" s="36"/>
      <c r="L245" s="115"/>
      <c r="M245" s="115"/>
      <c r="N245" s="36"/>
    </row>
    <row r="246" spans="1:14" s="109" customFormat="1" ht="40.5" customHeight="1" x14ac:dyDescent="0.35">
      <c r="A246" s="266" t="s">
        <v>453</v>
      </c>
      <c r="B246" s="267"/>
      <c r="C246" s="267"/>
      <c r="D246" s="267"/>
      <c r="E246" s="267"/>
      <c r="F246" s="267"/>
      <c r="G246" s="267"/>
      <c r="H246" s="268"/>
      <c r="I246" s="36"/>
      <c r="L246" s="115"/>
      <c r="M246" s="115"/>
    </row>
    <row r="247" spans="1:14" s="109" customFormat="1" x14ac:dyDescent="0.35">
      <c r="A247" s="96">
        <v>1</v>
      </c>
      <c r="B247" s="108" t="s">
        <v>387</v>
      </c>
      <c r="C247" s="96" t="s">
        <v>383</v>
      </c>
      <c r="D247" s="98">
        <f>(151.32)*10.764-E247</f>
        <v>1499.5113119999999</v>
      </c>
      <c r="E247" s="98">
        <f>(6.6*1.82)*10.764</f>
        <v>129.297168</v>
      </c>
      <c r="F247" s="96">
        <f>D247+E247</f>
        <v>1628.8084799999999</v>
      </c>
      <c r="G247" s="96">
        <v>0</v>
      </c>
      <c r="H247" s="96">
        <f>F247*(($H$137)+1)+(IF(G247&lt;101,G247,IF(G247&lt;201,G247/2,IF(G247&lt;=301,G247/3,G247/4))))</f>
        <v>2443.21272</v>
      </c>
      <c r="I247" s="36"/>
      <c r="N247" s="36"/>
    </row>
    <row r="248" spans="1:14" s="109" customFormat="1" ht="15.75" customHeight="1" x14ac:dyDescent="0.35">
      <c r="A248" s="96">
        <f t="shared" ref="A248" si="47">A247+1</f>
        <v>2</v>
      </c>
      <c r="B248" s="108" t="s">
        <v>387</v>
      </c>
      <c r="C248" s="96" t="s">
        <v>384</v>
      </c>
      <c r="D248" s="98">
        <f>(116.96)*10.764-E248</f>
        <v>1190.39076</v>
      </c>
      <c r="E248" s="98">
        <f>(3.5*1.82)*10.764</f>
        <v>68.566679999999991</v>
      </c>
      <c r="F248" s="96">
        <f>D248+E248</f>
        <v>1258.9574399999999</v>
      </c>
      <c r="G248" s="96">
        <v>0</v>
      </c>
      <c r="H248" s="96">
        <f>F248*(($H$137)+1)+(IF(G248&lt;101,G248,IF(G248&lt;201,G248/2,IF(G248&lt;=301,G248/3,G248/4))))</f>
        <v>1888.4361599999997</v>
      </c>
      <c r="I248" s="36"/>
      <c r="N248" s="36"/>
    </row>
    <row r="249" spans="1:14" s="109" customFormat="1" ht="15.75" customHeight="1" x14ac:dyDescent="0.35">
      <c r="A249" s="96">
        <f>A248+1</f>
        <v>3</v>
      </c>
      <c r="B249" s="108" t="s">
        <v>387</v>
      </c>
      <c r="C249" s="96" t="s">
        <v>473</v>
      </c>
      <c r="D249" s="98">
        <f>79.05*10.764-E249</f>
        <v>795.88800719999995</v>
      </c>
      <c r="E249" s="96">
        <f>(3.34*1.53)*10.764</f>
        <v>55.006192799999994</v>
      </c>
      <c r="F249" s="96">
        <f t="shared" ref="F249:F250" si="48">D249+E249</f>
        <v>850.89419999999996</v>
      </c>
      <c r="G249" s="96">
        <v>0</v>
      </c>
      <c r="H249" s="96">
        <f t="shared" ref="H249:H250" si="49">F249*(($H$137)+1)+(IF(G249&lt;101,G249,IF(G249&lt;201,G249/2,IF(G249&lt;=301,G249/3,G249/4))))</f>
        <v>1276.3413</v>
      </c>
      <c r="I249" s="36"/>
      <c r="L249" s="115"/>
      <c r="M249" s="115"/>
      <c r="N249" s="36"/>
    </row>
    <row r="250" spans="1:14" s="109" customFormat="1" ht="15.75" customHeight="1" x14ac:dyDescent="0.35">
      <c r="A250" s="96">
        <f>A249+1</f>
        <v>4</v>
      </c>
      <c r="B250" s="108" t="s">
        <v>387</v>
      </c>
      <c r="C250" s="96" t="s">
        <v>384</v>
      </c>
      <c r="D250" s="98">
        <f>95.86*10.764-E250</f>
        <v>975.5133335999999</v>
      </c>
      <c r="E250" s="96">
        <f>(3.42*1.53)*10.764</f>
        <v>56.323706399999992</v>
      </c>
      <c r="F250" s="96">
        <f t="shared" si="48"/>
        <v>1031.8370399999999</v>
      </c>
      <c r="G250" s="96">
        <v>0</v>
      </c>
      <c r="H250" s="96">
        <f t="shared" si="49"/>
        <v>1547.7555599999998</v>
      </c>
      <c r="I250" s="36"/>
      <c r="L250" s="115"/>
      <c r="M250" s="115"/>
      <c r="N250" s="36"/>
    </row>
    <row r="251" spans="1:14" s="109" customFormat="1" ht="32.5" customHeight="1" x14ac:dyDescent="0.35">
      <c r="A251" s="143" t="s">
        <v>454</v>
      </c>
      <c r="B251" s="144"/>
      <c r="C251" s="144"/>
      <c r="D251" s="144"/>
      <c r="E251" s="144"/>
      <c r="F251" s="144"/>
      <c r="G251" s="144"/>
      <c r="H251" s="145"/>
      <c r="I251" s="36"/>
      <c r="L251" s="115"/>
      <c r="M251" s="115"/>
    </row>
    <row r="252" spans="1:14" s="109" customFormat="1" x14ac:dyDescent="0.35">
      <c r="A252" s="96">
        <v>1</v>
      </c>
      <c r="B252" s="108" t="s">
        <v>387</v>
      </c>
      <c r="C252" s="96" t="s">
        <v>383</v>
      </c>
      <c r="D252" s="98">
        <f>(151.32)*10.764-E252</f>
        <v>1499.5113119999999</v>
      </c>
      <c r="E252" s="98">
        <f>(6.6*1.82)*10.764</f>
        <v>129.297168</v>
      </c>
      <c r="F252" s="96">
        <f>D252+E252</f>
        <v>1628.8084799999999</v>
      </c>
      <c r="G252" s="96">
        <v>0</v>
      </c>
      <c r="H252" s="96">
        <f>F252*(($H$137)+1)+(IF(G252&lt;101,G252,IF(G252&lt;201,G252/2,IF(G252&lt;=301,G252/3,G252/4))))</f>
        <v>2443.21272</v>
      </c>
      <c r="I252" s="36"/>
      <c r="N252" s="36"/>
    </row>
    <row r="253" spans="1:14" s="109" customFormat="1" ht="15.75" customHeight="1" x14ac:dyDescent="0.35">
      <c r="A253" s="96">
        <f t="shared" ref="A253" si="50">A252+1</f>
        <v>2</v>
      </c>
      <c r="B253" s="108" t="s">
        <v>387</v>
      </c>
      <c r="C253" s="96" t="s">
        <v>384</v>
      </c>
      <c r="D253" s="98">
        <f>(116.96)*10.764-E253</f>
        <v>1190.39076</v>
      </c>
      <c r="E253" s="98">
        <f>(3.5*1.82)*10.764</f>
        <v>68.566679999999991</v>
      </c>
      <c r="F253" s="96">
        <f>D253+E253</f>
        <v>1258.9574399999999</v>
      </c>
      <c r="G253" s="96">
        <v>0</v>
      </c>
      <c r="H253" s="96">
        <f>F253*(($H$137)+1)+(IF(G253&lt;101,G253,IF(G253&lt;201,G253/2,IF(G253&lt;=301,G253/3,G253/4))))</f>
        <v>1888.4361599999997</v>
      </c>
      <c r="I253" s="36"/>
      <c r="N253" s="36"/>
    </row>
    <row r="254" spans="1:14" s="109" customFormat="1" ht="15.75" customHeight="1" x14ac:dyDescent="0.35">
      <c r="A254" s="96">
        <f>A253+1</f>
        <v>3</v>
      </c>
      <c r="B254" s="96" t="s">
        <v>389</v>
      </c>
      <c r="C254" s="96" t="s">
        <v>473</v>
      </c>
      <c r="D254" s="98">
        <f>79.05*10.764-E254</f>
        <v>795.88800719999995</v>
      </c>
      <c r="E254" s="96">
        <f>(3.34*1.53)*10.764</f>
        <v>55.006192799999994</v>
      </c>
      <c r="F254" s="96">
        <f t="shared" ref="F254:F255" si="51">D254+E254</f>
        <v>850.89419999999996</v>
      </c>
      <c r="G254" s="96">
        <v>0</v>
      </c>
      <c r="H254" s="96">
        <f t="shared" ref="H254:H255" si="52">F254*(($H$137)+1)+(IF(G254&lt;101,G254,IF(G254&lt;201,G254/2,IF(G254&lt;=301,G254/3,G254/4))))</f>
        <v>1276.3413</v>
      </c>
      <c r="I254" s="36"/>
      <c r="L254" s="115"/>
      <c r="M254" s="115"/>
      <c r="N254" s="36"/>
    </row>
    <row r="255" spans="1:14" s="109" customFormat="1" ht="15.75" customHeight="1" x14ac:dyDescent="0.35">
      <c r="A255" s="96">
        <f>A254+1</f>
        <v>4</v>
      </c>
      <c r="B255" s="108" t="s">
        <v>387</v>
      </c>
      <c r="C255" s="96" t="s">
        <v>384</v>
      </c>
      <c r="D255" s="98">
        <f>95.86*10.764-E255</f>
        <v>975.5133335999999</v>
      </c>
      <c r="E255" s="96">
        <f>(3.42*1.53)*10.764</f>
        <v>56.323706399999992</v>
      </c>
      <c r="F255" s="96">
        <f t="shared" si="51"/>
        <v>1031.8370399999999</v>
      </c>
      <c r="G255" s="96">
        <v>0</v>
      </c>
      <c r="H255" s="96">
        <f t="shared" si="52"/>
        <v>1547.7555599999998</v>
      </c>
      <c r="I255" s="36"/>
      <c r="L255" s="115"/>
      <c r="M255" s="115"/>
      <c r="N255" s="36"/>
    </row>
    <row r="256" spans="1:14" s="109" customFormat="1" ht="32.5" customHeight="1" x14ac:dyDescent="0.35">
      <c r="A256" s="143" t="s">
        <v>455</v>
      </c>
      <c r="B256" s="144"/>
      <c r="C256" s="144"/>
      <c r="D256" s="144"/>
      <c r="E256" s="144"/>
      <c r="F256" s="144"/>
      <c r="G256" s="144"/>
      <c r="H256" s="145"/>
      <c r="I256" s="36"/>
      <c r="L256" s="115"/>
      <c r="M256" s="115"/>
    </row>
    <row r="257" spans="1:14" s="109" customFormat="1" x14ac:dyDescent="0.35">
      <c r="A257" s="96">
        <v>1</v>
      </c>
      <c r="B257" s="108" t="s">
        <v>387</v>
      </c>
      <c r="C257" s="96" t="s">
        <v>383</v>
      </c>
      <c r="D257" s="98">
        <f>(151.32)*10.764-E257</f>
        <v>1499.5113119999999</v>
      </c>
      <c r="E257" s="98">
        <f>(6.6*1.82)*10.764</f>
        <v>129.297168</v>
      </c>
      <c r="F257" s="96">
        <f>D257+E257</f>
        <v>1628.8084799999999</v>
      </c>
      <c r="G257" s="96">
        <v>0</v>
      </c>
      <c r="H257" s="96">
        <f>F257*(($H$137)+1)+(IF(G257&lt;101,G257,IF(G257&lt;201,G257/2,IF(G257&lt;=301,G257/3,G257/4))))</f>
        <v>2443.21272</v>
      </c>
      <c r="I257" s="36"/>
      <c r="N257" s="36"/>
    </row>
    <row r="258" spans="1:14" s="109" customFormat="1" ht="15.75" customHeight="1" x14ac:dyDescent="0.35">
      <c r="A258" s="96">
        <f t="shared" ref="A258" si="53">A257+1</f>
        <v>2</v>
      </c>
      <c r="B258" s="108" t="s">
        <v>387</v>
      </c>
      <c r="C258" s="96" t="s">
        <v>384</v>
      </c>
      <c r="D258" s="98">
        <f>(116.96)*10.764-E258</f>
        <v>1190.39076</v>
      </c>
      <c r="E258" s="98">
        <f>(3.5*1.82)*10.764</f>
        <v>68.566679999999991</v>
      </c>
      <c r="F258" s="96">
        <f>D258+E258</f>
        <v>1258.9574399999999</v>
      </c>
      <c r="G258" s="96">
        <v>0</v>
      </c>
      <c r="H258" s="96">
        <f>F258*(($H$137)+1)+(IF(G258&lt;101,G258,IF(G258&lt;201,G258/2,IF(G258&lt;=301,G258/3,G258/4))))</f>
        <v>1888.4361599999997</v>
      </c>
      <c r="I258" s="36"/>
      <c r="N258" s="36"/>
    </row>
    <row r="259" spans="1:14" s="109" customFormat="1" ht="15.75" customHeight="1" x14ac:dyDescent="0.35">
      <c r="A259" s="96">
        <f>A258+1</f>
        <v>3</v>
      </c>
      <c r="B259" s="108" t="s">
        <v>387</v>
      </c>
      <c r="C259" s="96" t="s">
        <v>473</v>
      </c>
      <c r="D259" s="98">
        <f>79.05*10.764-E259</f>
        <v>795.88800719999995</v>
      </c>
      <c r="E259" s="96">
        <f>(3.34*1.53)*10.764</f>
        <v>55.006192799999994</v>
      </c>
      <c r="F259" s="96">
        <f t="shared" ref="F259:F260" si="54">D259+E259</f>
        <v>850.89419999999996</v>
      </c>
      <c r="G259" s="96">
        <v>0</v>
      </c>
      <c r="H259" s="96">
        <f t="shared" ref="H259:H260" si="55">F259*(($H$137)+1)+(IF(G259&lt;101,G259,IF(G259&lt;201,G259/2,IF(G259&lt;=301,G259/3,G259/4))))</f>
        <v>1276.3413</v>
      </c>
      <c r="I259" s="36"/>
      <c r="L259" s="115"/>
      <c r="M259" s="115"/>
      <c r="N259" s="36"/>
    </row>
    <row r="260" spans="1:14" s="109" customFormat="1" ht="15.75" customHeight="1" x14ac:dyDescent="0.35">
      <c r="A260" s="96">
        <f>A259+1</f>
        <v>4</v>
      </c>
      <c r="B260" s="96" t="s">
        <v>389</v>
      </c>
      <c r="C260" s="96" t="s">
        <v>384</v>
      </c>
      <c r="D260" s="98">
        <f>95.86*10.764-E260</f>
        <v>975.5133335999999</v>
      </c>
      <c r="E260" s="96">
        <f>(3.42*1.53)*10.764</f>
        <v>56.323706399999992</v>
      </c>
      <c r="F260" s="96">
        <f t="shared" si="54"/>
        <v>1031.8370399999999</v>
      </c>
      <c r="G260" s="96">
        <v>0</v>
      </c>
      <c r="H260" s="96">
        <f t="shared" si="55"/>
        <v>1547.7555599999998</v>
      </c>
      <c r="I260" s="36"/>
      <c r="L260" s="115"/>
      <c r="M260" s="115"/>
      <c r="N260" s="36"/>
    </row>
    <row r="261" spans="1:14" s="109" customFormat="1" ht="35.5" customHeight="1" x14ac:dyDescent="0.35">
      <c r="A261" s="143" t="s">
        <v>456</v>
      </c>
      <c r="B261" s="144"/>
      <c r="C261" s="144"/>
      <c r="D261" s="144"/>
      <c r="E261" s="144"/>
      <c r="F261" s="144"/>
      <c r="G261" s="144"/>
      <c r="H261" s="145"/>
      <c r="I261" s="36"/>
      <c r="L261" s="115"/>
      <c r="M261" s="115"/>
    </row>
    <row r="262" spans="1:14" s="109" customFormat="1" x14ac:dyDescent="0.35">
      <c r="A262" s="96">
        <v>1</v>
      </c>
      <c r="B262" s="108" t="s">
        <v>387</v>
      </c>
      <c r="C262" s="96" t="s">
        <v>383</v>
      </c>
      <c r="D262" s="98">
        <f>(151.32)*10.764-E262</f>
        <v>1499.5113119999999</v>
      </c>
      <c r="E262" s="98">
        <f>(6.6*1.82)*10.764</f>
        <v>129.297168</v>
      </c>
      <c r="F262" s="96">
        <f>D262+E262</f>
        <v>1628.8084799999999</v>
      </c>
      <c r="G262" s="96">
        <v>0</v>
      </c>
      <c r="H262" s="96">
        <f>F262*(($H$137)+1)+(IF(G262&lt;101,G262,IF(G262&lt;201,G262/2,IF(G262&lt;=301,G262/3,G262/4))))</f>
        <v>2443.21272</v>
      </c>
      <c r="I262" s="36"/>
      <c r="N262" s="36"/>
    </row>
    <row r="263" spans="1:14" s="109" customFormat="1" ht="15.75" customHeight="1" x14ac:dyDescent="0.35">
      <c r="A263" s="96">
        <f t="shared" ref="A263" si="56">A262+1</f>
        <v>2</v>
      </c>
      <c r="B263" s="146" t="s">
        <v>385</v>
      </c>
      <c r="C263" s="147"/>
      <c r="D263" s="147"/>
      <c r="E263" s="147"/>
      <c r="F263" s="147"/>
      <c r="G263" s="147"/>
      <c r="H263" s="148"/>
      <c r="I263" s="36"/>
      <c r="N263" s="36"/>
    </row>
    <row r="264" spans="1:14" s="109" customFormat="1" ht="15.75" customHeight="1" x14ac:dyDescent="0.35">
      <c r="A264" s="96">
        <f>A263+1</f>
        <v>3</v>
      </c>
      <c r="B264" s="96" t="s">
        <v>389</v>
      </c>
      <c r="C264" s="96" t="s">
        <v>473</v>
      </c>
      <c r="D264" s="98">
        <f>79.05*10.764-E264</f>
        <v>795.88800719999995</v>
      </c>
      <c r="E264" s="96">
        <f>(3.34*1.53)*10.764</f>
        <v>55.006192799999994</v>
      </c>
      <c r="F264" s="96">
        <f t="shared" ref="F264:F265" si="57">D264+E264</f>
        <v>850.89419999999996</v>
      </c>
      <c r="G264" s="96">
        <v>0</v>
      </c>
      <c r="H264" s="96">
        <f t="shared" ref="H264:H265" si="58">F264*(($H$137)+1)+(IF(G264&lt;101,G264,IF(G264&lt;201,G264/2,IF(G264&lt;=301,G264/3,G264/4))))</f>
        <v>1276.3413</v>
      </c>
      <c r="I264" s="36"/>
      <c r="L264" s="115"/>
      <c r="M264" s="115"/>
      <c r="N264" s="36"/>
    </row>
    <row r="265" spans="1:14" s="109" customFormat="1" ht="15.75" customHeight="1" x14ac:dyDescent="0.35">
      <c r="A265" s="96">
        <f>A264+1</f>
        <v>4</v>
      </c>
      <c r="B265" s="96" t="s">
        <v>389</v>
      </c>
      <c r="C265" s="96" t="s">
        <v>384</v>
      </c>
      <c r="D265" s="98">
        <f>95.86*10.764-E265</f>
        <v>975.5133335999999</v>
      </c>
      <c r="E265" s="96">
        <f>(3.42*1.53)*10.764</f>
        <v>56.323706399999992</v>
      </c>
      <c r="F265" s="96">
        <f t="shared" si="57"/>
        <v>1031.8370399999999</v>
      </c>
      <c r="G265" s="96">
        <v>0</v>
      </c>
      <c r="H265" s="96">
        <f t="shared" si="58"/>
        <v>1547.7555599999998</v>
      </c>
      <c r="I265" s="36"/>
      <c r="L265" s="115"/>
      <c r="M265" s="115"/>
      <c r="N265" s="36"/>
    </row>
    <row r="266" spans="1:14" s="109" customFormat="1" ht="35.15" customHeight="1" x14ac:dyDescent="0.35">
      <c r="A266" s="143" t="s">
        <v>457</v>
      </c>
      <c r="B266" s="144"/>
      <c r="C266" s="144"/>
      <c r="D266" s="144"/>
      <c r="E266" s="144"/>
      <c r="F266" s="144"/>
      <c r="G266" s="144"/>
      <c r="H266" s="145"/>
      <c r="I266" s="36"/>
      <c r="L266" s="115"/>
      <c r="M266" s="115"/>
    </row>
    <row r="267" spans="1:14" s="109" customFormat="1" x14ac:dyDescent="0.35">
      <c r="A267" s="96">
        <v>1</v>
      </c>
      <c r="B267" s="108" t="s">
        <v>387</v>
      </c>
      <c r="C267" s="96" t="s">
        <v>383</v>
      </c>
      <c r="D267" s="98">
        <f>(151.32)*10.764-E267</f>
        <v>1499.5113119999999</v>
      </c>
      <c r="E267" s="98">
        <f>(6.6*1.82)*10.764</f>
        <v>129.297168</v>
      </c>
      <c r="F267" s="96">
        <f>D267+E267</f>
        <v>1628.8084799999999</v>
      </c>
      <c r="G267" s="96">
        <v>0</v>
      </c>
      <c r="H267" s="96">
        <f>F267*(($H$137)+1)+(IF(G267&lt;101,G267,IF(G267&lt;201,G267/2,IF(G267&lt;=301,G267/3,G267/4))))</f>
        <v>2443.21272</v>
      </c>
      <c r="I267" s="36"/>
      <c r="N267" s="36"/>
    </row>
    <row r="268" spans="1:14" s="109" customFormat="1" ht="15.75" customHeight="1" x14ac:dyDescent="0.35">
      <c r="A268" s="96">
        <f t="shared" ref="A268" si="59">A267+1</f>
        <v>2</v>
      </c>
      <c r="B268" s="146" t="s">
        <v>385</v>
      </c>
      <c r="C268" s="147"/>
      <c r="D268" s="147"/>
      <c r="E268" s="147"/>
      <c r="F268" s="147"/>
      <c r="G268" s="147"/>
      <c r="H268" s="148"/>
      <c r="I268" s="36"/>
      <c r="N268" s="36"/>
    </row>
    <row r="269" spans="1:14" s="109" customFormat="1" ht="15.75" customHeight="1" x14ac:dyDescent="0.35">
      <c r="A269" s="96">
        <f>A268+1</f>
        <v>3</v>
      </c>
      <c r="B269" s="108" t="s">
        <v>387</v>
      </c>
      <c r="C269" s="96" t="s">
        <v>473</v>
      </c>
      <c r="D269" s="98">
        <f>79.05*10.764-E269</f>
        <v>795.88800719999995</v>
      </c>
      <c r="E269" s="96">
        <f>(3.34*1.53)*10.764</f>
        <v>55.006192799999994</v>
      </c>
      <c r="F269" s="96">
        <f t="shared" ref="F269:F270" si="60">D269+E269</f>
        <v>850.89419999999996</v>
      </c>
      <c r="G269" s="96">
        <v>0</v>
      </c>
      <c r="H269" s="96">
        <f t="shared" ref="H269:H270" si="61">F269*(($H$137)+1)+(IF(G269&lt;101,G269,IF(G269&lt;201,G269/2,IF(G269&lt;=301,G269/3,G269/4))))</f>
        <v>1276.3413</v>
      </c>
      <c r="I269" s="36"/>
      <c r="L269" s="115"/>
      <c r="M269" s="115"/>
      <c r="N269" s="36"/>
    </row>
    <row r="270" spans="1:14" s="109" customFormat="1" ht="15.75" customHeight="1" x14ac:dyDescent="0.35">
      <c r="A270" s="96">
        <f>A269+1</f>
        <v>4</v>
      </c>
      <c r="B270" s="108" t="s">
        <v>387</v>
      </c>
      <c r="C270" s="96" t="s">
        <v>384</v>
      </c>
      <c r="D270" s="98">
        <f>95.86*10.764-E270</f>
        <v>975.5133335999999</v>
      </c>
      <c r="E270" s="96">
        <f>(3.42*1.53)*10.764</f>
        <v>56.323706399999992</v>
      </c>
      <c r="F270" s="96">
        <f t="shared" si="60"/>
        <v>1031.8370399999999</v>
      </c>
      <c r="G270" s="96">
        <v>0</v>
      </c>
      <c r="H270" s="96">
        <f t="shared" si="61"/>
        <v>1547.7555599999998</v>
      </c>
      <c r="I270" s="36"/>
      <c r="L270" s="115"/>
      <c r="M270" s="115"/>
      <c r="N270" s="36"/>
    </row>
    <row r="271" spans="1:14" s="109" customFormat="1" ht="31.5" customHeight="1" x14ac:dyDescent="0.35">
      <c r="A271" s="143" t="s">
        <v>458</v>
      </c>
      <c r="B271" s="144"/>
      <c r="C271" s="144"/>
      <c r="D271" s="144"/>
      <c r="E271" s="144"/>
      <c r="F271" s="144"/>
      <c r="G271" s="144"/>
      <c r="H271" s="145"/>
      <c r="I271" s="36"/>
      <c r="L271" s="115"/>
      <c r="M271" s="115"/>
    </row>
    <row r="272" spans="1:14" s="109" customFormat="1" x14ac:dyDescent="0.35">
      <c r="A272" s="96">
        <v>1</v>
      </c>
      <c r="B272" s="112" t="s">
        <v>387</v>
      </c>
      <c r="C272" s="96" t="s">
        <v>383</v>
      </c>
      <c r="D272" s="98">
        <f>'Wing A'!D135</f>
        <v>1656.3707783999994</v>
      </c>
      <c r="E272" s="96">
        <f>'Wing A'!H135</f>
        <v>129.297168</v>
      </c>
      <c r="F272" s="96">
        <f>D272+E272</f>
        <v>1785.6679463999994</v>
      </c>
      <c r="G272" s="96">
        <v>0</v>
      </c>
      <c r="H272" s="96">
        <f>F272*(($H$137)+1)+(IF(G272&lt;101,G272,IF(G272&lt;201,G272/2,IF(G272&lt;=301,G272/3,G272/4))))</f>
        <v>2678.5019195999994</v>
      </c>
      <c r="I272" s="36"/>
      <c r="N272" s="36"/>
    </row>
    <row r="273" spans="1:14" s="109" customFormat="1" ht="15.75" customHeight="1" x14ac:dyDescent="0.35">
      <c r="A273" s="96">
        <f t="shared" ref="A273" si="62">A272+1</f>
        <v>2</v>
      </c>
      <c r="B273" s="146" t="s">
        <v>385</v>
      </c>
      <c r="C273" s="147"/>
      <c r="D273" s="147"/>
      <c r="E273" s="147"/>
      <c r="F273" s="147"/>
      <c r="G273" s="147"/>
      <c r="H273" s="148"/>
      <c r="I273" s="36"/>
      <c r="N273" s="36"/>
    </row>
    <row r="274" spans="1:14" s="109" customFormat="1" ht="15.75" customHeight="1" x14ac:dyDescent="0.35">
      <c r="A274" s="96">
        <f>A273+1</f>
        <v>3</v>
      </c>
      <c r="B274" s="108" t="s">
        <v>387</v>
      </c>
      <c r="C274" s="96" t="s">
        <v>473</v>
      </c>
      <c r="D274" s="98">
        <f>79.05*10.764-E274</f>
        <v>795.88800719999995</v>
      </c>
      <c r="E274" s="96">
        <f>(3.34*1.53)*10.764</f>
        <v>55.006192799999994</v>
      </c>
      <c r="F274" s="96">
        <f t="shared" ref="F274:F275" si="63">D274+E274</f>
        <v>850.89419999999996</v>
      </c>
      <c r="G274" s="96">
        <v>0</v>
      </c>
      <c r="H274" s="96">
        <f t="shared" ref="H274:H275" si="64">F274*(($H$137)+1)+(IF(G274&lt;101,G274,IF(G274&lt;201,G274/2,IF(G274&lt;=301,G274/3,G274/4))))</f>
        <v>1276.3413</v>
      </c>
      <c r="I274" s="36"/>
      <c r="L274" s="115"/>
      <c r="M274" s="115"/>
      <c r="N274" s="36"/>
    </row>
    <row r="275" spans="1:14" s="109" customFormat="1" ht="15.75" customHeight="1" x14ac:dyDescent="0.35">
      <c r="A275" s="96">
        <f>A274+1</f>
        <v>4</v>
      </c>
      <c r="B275" s="108" t="s">
        <v>387</v>
      </c>
      <c r="C275" s="96" t="s">
        <v>384</v>
      </c>
      <c r="D275" s="98">
        <f>95.86*10.764-E275</f>
        <v>975.5133335999999</v>
      </c>
      <c r="E275" s="96">
        <f>(3.42*1.53)*10.764</f>
        <v>56.323706399999992</v>
      </c>
      <c r="F275" s="96">
        <f t="shared" si="63"/>
        <v>1031.8370399999999</v>
      </c>
      <c r="G275" s="96">
        <v>0</v>
      </c>
      <c r="H275" s="96">
        <f t="shared" si="64"/>
        <v>1547.7555599999998</v>
      </c>
      <c r="I275" s="36"/>
      <c r="L275" s="115"/>
      <c r="M275" s="115"/>
      <c r="N275" s="36"/>
    </row>
    <row r="276" spans="1:14" s="109" customFormat="1" ht="35.15" customHeight="1" x14ac:dyDescent="0.35">
      <c r="A276" s="143" t="s">
        <v>459</v>
      </c>
      <c r="B276" s="144"/>
      <c r="C276" s="144"/>
      <c r="D276" s="144"/>
      <c r="E276" s="144"/>
      <c r="F276" s="144"/>
      <c r="G276" s="144"/>
      <c r="H276" s="145"/>
      <c r="I276" s="36"/>
      <c r="L276" s="115"/>
      <c r="M276" s="115"/>
    </row>
    <row r="277" spans="1:14" s="109" customFormat="1" x14ac:dyDescent="0.35">
      <c r="A277" s="96">
        <v>1</v>
      </c>
      <c r="B277" s="108" t="s">
        <v>387</v>
      </c>
      <c r="C277" s="96" t="s">
        <v>383</v>
      </c>
      <c r="D277" s="98">
        <f>(151.32)*10.764-E277</f>
        <v>1499.5113119999999</v>
      </c>
      <c r="E277" s="98">
        <f>(6.6*1.82)*10.764</f>
        <v>129.297168</v>
      </c>
      <c r="F277" s="96">
        <f>D277+E277</f>
        <v>1628.8084799999999</v>
      </c>
      <c r="G277" s="96">
        <v>0</v>
      </c>
      <c r="H277" s="96">
        <f>F277*(($H$137)+1)+(IF(G277&lt;101,G277,IF(G277&lt;201,G277/2,IF(G277&lt;=301,G277/3,G277/4))))</f>
        <v>2443.21272</v>
      </c>
      <c r="I277" s="36"/>
      <c r="N277" s="36"/>
    </row>
    <row r="278" spans="1:14" s="109" customFormat="1" ht="15.75" customHeight="1" x14ac:dyDescent="0.35">
      <c r="A278" s="96">
        <f t="shared" ref="A278" si="65">A277+1</f>
        <v>2</v>
      </c>
      <c r="B278" s="108" t="s">
        <v>387</v>
      </c>
      <c r="C278" s="96" t="s">
        <v>384</v>
      </c>
      <c r="D278" s="98">
        <f>(116.96)*10.764-E278</f>
        <v>1190.39076</v>
      </c>
      <c r="E278" s="98">
        <f>(3.5*1.82)*10.764</f>
        <v>68.566679999999991</v>
      </c>
      <c r="F278" s="96">
        <f>D278+E278</f>
        <v>1258.9574399999999</v>
      </c>
      <c r="G278" s="96">
        <v>0</v>
      </c>
      <c r="H278" s="96">
        <f>F278*(($H$137)+1)+(IF(G278&lt;101,G278,IF(G278&lt;201,G278/2,IF(G278&lt;=301,G278/3,G278/4))))</f>
        <v>1888.4361599999997</v>
      </c>
      <c r="I278" s="36"/>
      <c r="N278" s="36"/>
    </row>
    <row r="279" spans="1:14" s="109" customFormat="1" ht="15.75" customHeight="1" x14ac:dyDescent="0.35">
      <c r="A279" s="96">
        <f>A278+1</f>
        <v>3</v>
      </c>
      <c r="B279" s="108" t="s">
        <v>387</v>
      </c>
      <c r="C279" s="96" t="s">
        <v>473</v>
      </c>
      <c r="D279" s="98">
        <f>79.05*10.764-E279</f>
        <v>795.88800719999995</v>
      </c>
      <c r="E279" s="96">
        <f>(3.34*1.53)*10.764</f>
        <v>55.006192799999994</v>
      </c>
      <c r="F279" s="96">
        <f t="shared" ref="F279:F280" si="66">D279+E279</f>
        <v>850.89419999999996</v>
      </c>
      <c r="G279" s="96">
        <v>0</v>
      </c>
      <c r="H279" s="96">
        <f t="shared" ref="H279:H280" si="67">F279*(($H$137)+1)+(IF(G279&lt;101,G279,IF(G279&lt;201,G279/2,IF(G279&lt;=301,G279/3,G279/4))))</f>
        <v>1276.3413</v>
      </c>
      <c r="I279" s="36"/>
      <c r="L279" s="115"/>
      <c r="M279" s="115"/>
      <c r="N279" s="36"/>
    </row>
    <row r="280" spans="1:14" s="109" customFormat="1" ht="15.75" customHeight="1" x14ac:dyDescent="0.35">
      <c r="A280" s="96">
        <f>A279+1</f>
        <v>4</v>
      </c>
      <c r="B280" s="108" t="s">
        <v>387</v>
      </c>
      <c r="C280" s="96" t="s">
        <v>384</v>
      </c>
      <c r="D280" s="98">
        <f>95.86*10.764-E280</f>
        <v>975.5133335999999</v>
      </c>
      <c r="E280" s="96">
        <f>(3.42*1.53)*10.764</f>
        <v>56.323706399999992</v>
      </c>
      <c r="F280" s="96">
        <f t="shared" si="66"/>
        <v>1031.8370399999999</v>
      </c>
      <c r="G280" s="96">
        <v>0</v>
      </c>
      <c r="H280" s="96">
        <f t="shared" si="67"/>
        <v>1547.7555599999998</v>
      </c>
      <c r="I280" s="36"/>
      <c r="L280" s="115"/>
      <c r="M280" s="115"/>
      <c r="N280" s="36"/>
    </row>
    <row r="281" spans="1:14" s="97" customFormat="1" x14ac:dyDescent="0.35">
      <c r="A281" s="150" t="s">
        <v>382</v>
      </c>
      <c r="B281" s="151"/>
      <c r="C281" s="151"/>
      <c r="D281" s="151"/>
      <c r="E281" s="151"/>
      <c r="F281" s="151"/>
      <c r="G281" s="151"/>
      <c r="H281" s="152"/>
      <c r="I281" s="97">
        <f>10.764</f>
        <v>10.763999999999999</v>
      </c>
      <c r="J281" s="36"/>
    </row>
    <row r="282" spans="1:14" s="97" customFormat="1" ht="30.75" customHeight="1" x14ac:dyDescent="0.35">
      <c r="A282" s="116" t="s">
        <v>381</v>
      </c>
      <c r="B282" s="117"/>
      <c r="C282" s="117"/>
      <c r="D282" s="117"/>
      <c r="E282" s="117"/>
      <c r="F282" s="117"/>
      <c r="G282" s="117"/>
      <c r="H282" s="118"/>
      <c r="J282" s="36"/>
    </row>
    <row r="283" spans="1:14" s="97" customFormat="1" ht="15.75" customHeight="1" x14ac:dyDescent="0.35">
      <c r="A283" s="116" t="s">
        <v>415</v>
      </c>
      <c r="B283" s="117"/>
      <c r="C283" s="117"/>
      <c r="D283" s="117"/>
      <c r="E283" s="117"/>
      <c r="F283" s="117"/>
      <c r="G283" s="117"/>
      <c r="H283" s="118"/>
      <c r="J283" s="36"/>
    </row>
    <row r="284" spans="1:14" s="97" customFormat="1" ht="15.75" customHeight="1" x14ac:dyDescent="0.35">
      <c r="A284" s="116" t="s">
        <v>414</v>
      </c>
      <c r="B284" s="117"/>
      <c r="C284" s="117"/>
      <c r="D284" s="117"/>
      <c r="E284" s="117"/>
      <c r="F284" s="117"/>
      <c r="G284" s="117"/>
      <c r="H284" s="118"/>
      <c r="J284" s="98">
        <v>10.763999999999999</v>
      </c>
    </row>
    <row r="285" spans="1:14" s="107" customFormat="1" x14ac:dyDescent="0.35">
      <c r="A285" s="96">
        <v>1</v>
      </c>
      <c r="B285" s="96" t="s">
        <v>418</v>
      </c>
      <c r="C285" s="96" t="s">
        <v>384</v>
      </c>
      <c r="D285" s="98">
        <f>(116.62)*10.764-E285</f>
        <v>1186.731</v>
      </c>
      <c r="E285" s="98">
        <f>(3.5*1.82)*10.764</f>
        <v>68.566679999999991</v>
      </c>
      <c r="F285" s="96">
        <f>D285+E285</f>
        <v>1255.2976799999999</v>
      </c>
      <c r="G285" s="96">
        <v>0</v>
      </c>
      <c r="H285" s="96">
        <f>F285*(($H$137)+1)+(IF(G285&lt;101,G285,IF(G285&lt;201,G285/2,IF(G285&lt;=301,G285/3,G285/4))))</f>
        <v>1882.94652</v>
      </c>
      <c r="I285" s="36"/>
      <c r="N285" s="36"/>
    </row>
    <row r="286" spans="1:14" s="107" customFormat="1" ht="15.75" customHeight="1" x14ac:dyDescent="0.35">
      <c r="A286" s="96">
        <f t="shared" ref="A286" si="68">A285+1</f>
        <v>2</v>
      </c>
      <c r="B286" s="96" t="s">
        <v>418</v>
      </c>
      <c r="C286" s="96" t="s">
        <v>383</v>
      </c>
      <c r="D286" s="98">
        <f>(151.32)*10.764-E286</f>
        <v>1499.5113119999999</v>
      </c>
      <c r="E286" s="98">
        <f>(6.6*1.82)*10.764</f>
        <v>129.297168</v>
      </c>
      <c r="F286" s="96">
        <f>D286+E286</f>
        <v>1628.8084799999999</v>
      </c>
      <c r="G286" s="96">
        <v>0</v>
      </c>
      <c r="H286" s="96">
        <f>F286*(($H$137)+1)+(IF(G286&lt;101,G286,IF(G286&lt;201,G286/2,IF(G286&lt;=301,G286/3,G286/4))))</f>
        <v>2443.21272</v>
      </c>
      <c r="I286" s="36"/>
      <c r="N286" s="36"/>
    </row>
    <row r="287" spans="1:14" s="107" customFormat="1" ht="15.75" customHeight="1" x14ac:dyDescent="0.35">
      <c r="A287" s="96">
        <f>A286+1</f>
        <v>3</v>
      </c>
      <c r="B287" s="119" t="s">
        <v>419</v>
      </c>
      <c r="C287" s="120"/>
      <c r="D287" s="120"/>
      <c r="E287" s="120"/>
      <c r="F287" s="120"/>
      <c r="G287" s="120"/>
      <c r="H287" s="121"/>
      <c r="I287" s="36"/>
      <c r="L287" s="115"/>
      <c r="M287" s="115"/>
      <c r="N287" s="36"/>
    </row>
    <row r="288" spans="1:14" s="107" customFormat="1" ht="15.75" customHeight="1" x14ac:dyDescent="0.35">
      <c r="A288" s="96">
        <f>A287+1</f>
        <v>4</v>
      </c>
      <c r="B288" s="122"/>
      <c r="C288" s="123"/>
      <c r="D288" s="123"/>
      <c r="E288" s="123"/>
      <c r="F288" s="123"/>
      <c r="G288" s="123"/>
      <c r="H288" s="124"/>
      <c r="I288" s="36"/>
      <c r="L288" s="115"/>
      <c r="M288" s="115"/>
      <c r="N288" s="36"/>
    </row>
    <row r="289" spans="1:14" s="97" customFormat="1" ht="15.75" customHeight="1" x14ac:dyDescent="0.35">
      <c r="A289" s="116" t="s">
        <v>416</v>
      </c>
      <c r="B289" s="117"/>
      <c r="C289" s="117"/>
      <c r="D289" s="117"/>
      <c r="E289" s="117"/>
      <c r="F289" s="117"/>
      <c r="G289" s="117"/>
      <c r="H289" s="118"/>
      <c r="J289" s="36"/>
    </row>
    <row r="290" spans="1:14" s="107" customFormat="1" x14ac:dyDescent="0.35">
      <c r="A290" s="96">
        <v>1</v>
      </c>
      <c r="B290" s="96" t="s">
        <v>418</v>
      </c>
      <c r="C290" s="96" t="s">
        <v>384</v>
      </c>
      <c r="D290" s="98">
        <f>(116.62)*10.764-E290</f>
        <v>1186.731</v>
      </c>
      <c r="E290" s="98">
        <f>(3.5*1.82)*10.764</f>
        <v>68.566679999999991</v>
      </c>
      <c r="F290" s="96">
        <f>D290+E290</f>
        <v>1255.2976799999999</v>
      </c>
      <c r="G290" s="96">
        <v>0</v>
      </c>
      <c r="H290" s="96">
        <f>F290*(($H$137)+1)+(IF(G290&lt;101,G290,IF(G290&lt;201,G290/2,IF(G290&lt;=301,G290/3,G290/4))))</f>
        <v>1882.94652</v>
      </c>
      <c r="I290" s="36"/>
      <c r="N290" s="36"/>
    </row>
    <row r="291" spans="1:14" s="107" customFormat="1" ht="15.75" customHeight="1" x14ac:dyDescent="0.35">
      <c r="A291" s="96">
        <f t="shared" ref="A291" si="69">A290+1</f>
        <v>2</v>
      </c>
      <c r="B291" s="96" t="s">
        <v>418</v>
      </c>
      <c r="C291" s="96" t="s">
        <v>383</v>
      </c>
      <c r="D291" s="98">
        <f>(151.32)*10.764-E291</f>
        <v>1499.5113119999999</v>
      </c>
      <c r="E291" s="98">
        <f>(6.6*1.82)*10.764</f>
        <v>129.297168</v>
      </c>
      <c r="F291" s="96">
        <f>D291+E291</f>
        <v>1628.8084799999999</v>
      </c>
      <c r="G291" s="96">
        <v>0</v>
      </c>
      <c r="H291" s="96">
        <f>F291*(($H$137)+1)+(IF(G291&lt;101,G291,IF(G291&lt;201,G291/2,IF(G291&lt;=301,G291/3,G291/4))))</f>
        <v>2443.21272</v>
      </c>
      <c r="I291" s="36"/>
      <c r="N291" s="36"/>
    </row>
    <row r="292" spans="1:14" s="107" customFormat="1" ht="15.75" customHeight="1" x14ac:dyDescent="0.35">
      <c r="A292" s="96">
        <f>A291+1</f>
        <v>3</v>
      </c>
      <c r="B292" s="119" t="s">
        <v>419</v>
      </c>
      <c r="C292" s="120"/>
      <c r="D292" s="120"/>
      <c r="E292" s="120"/>
      <c r="F292" s="120"/>
      <c r="G292" s="120"/>
      <c r="H292" s="121"/>
      <c r="I292" s="36"/>
      <c r="L292" s="115"/>
      <c r="M292" s="115"/>
      <c r="N292" s="36"/>
    </row>
    <row r="293" spans="1:14" s="107" customFormat="1" ht="15.75" customHeight="1" x14ac:dyDescent="0.35">
      <c r="A293" s="96">
        <f>A292+1</f>
        <v>4</v>
      </c>
      <c r="B293" s="122"/>
      <c r="C293" s="123"/>
      <c r="D293" s="123"/>
      <c r="E293" s="123"/>
      <c r="F293" s="123"/>
      <c r="G293" s="123"/>
      <c r="H293" s="124"/>
      <c r="I293" s="36"/>
      <c r="L293" s="115"/>
      <c r="M293" s="115"/>
      <c r="N293" s="36"/>
    </row>
    <row r="294" spans="1:14" s="107" customFormat="1" ht="15.65" customHeight="1" x14ac:dyDescent="0.35">
      <c r="A294" s="116" t="s">
        <v>417</v>
      </c>
      <c r="B294" s="117"/>
      <c r="C294" s="117"/>
      <c r="D294" s="117"/>
      <c r="E294" s="117"/>
      <c r="F294" s="117"/>
      <c r="G294" s="117"/>
      <c r="H294" s="118"/>
      <c r="I294" s="36"/>
      <c r="L294" s="115"/>
      <c r="M294" s="115"/>
    </row>
    <row r="295" spans="1:14" s="107" customFormat="1" x14ac:dyDescent="0.35">
      <c r="A295" s="96">
        <v>1</v>
      </c>
      <c r="B295" s="96" t="s">
        <v>418</v>
      </c>
      <c r="C295" s="96" t="s">
        <v>384</v>
      </c>
      <c r="D295" s="98">
        <f>(116.62)*10.764-E295</f>
        <v>1186.731</v>
      </c>
      <c r="E295" s="98">
        <f>(3.5*1.82)*10.764</f>
        <v>68.566679999999991</v>
      </c>
      <c r="F295" s="96">
        <f>D295+E295</f>
        <v>1255.2976799999999</v>
      </c>
      <c r="G295" s="96">
        <v>0</v>
      </c>
      <c r="H295" s="96">
        <f>F295*(($H$137)+1)+(IF(G295&lt;101,G295,IF(G295&lt;201,G295/2,IF(G295&lt;=301,G295/3,G295/4))))</f>
        <v>1882.94652</v>
      </c>
      <c r="I295" s="36"/>
      <c r="N295" s="36"/>
    </row>
    <row r="296" spans="1:14" s="107" customFormat="1" ht="15.75" customHeight="1" x14ac:dyDescent="0.35">
      <c r="A296" s="96">
        <f t="shared" ref="A296" si="70">A295+1</f>
        <v>2</v>
      </c>
      <c r="B296" s="96" t="s">
        <v>418</v>
      </c>
      <c r="C296" s="96" t="s">
        <v>383</v>
      </c>
      <c r="D296" s="98">
        <f>(151.32)*10.764-E296</f>
        <v>1499.5113119999999</v>
      </c>
      <c r="E296" s="98">
        <f>(6.6*1.82)*10.764</f>
        <v>129.297168</v>
      </c>
      <c r="F296" s="96">
        <f>D296+E296</f>
        <v>1628.8084799999999</v>
      </c>
      <c r="G296" s="96">
        <v>0</v>
      </c>
      <c r="H296" s="96">
        <f>F296*(($H$137)+1)+(IF(G296&lt;101,G296,IF(G296&lt;201,G296/2,IF(G296&lt;=301,G296/3,G296/4))))</f>
        <v>2443.21272</v>
      </c>
      <c r="I296" s="36"/>
      <c r="N296" s="36"/>
    </row>
    <row r="297" spans="1:14" s="107" customFormat="1" ht="15.75" customHeight="1" x14ac:dyDescent="0.35">
      <c r="A297" s="96">
        <f>A296+1</f>
        <v>3</v>
      </c>
      <c r="B297" s="119" t="s">
        <v>419</v>
      </c>
      <c r="C297" s="120"/>
      <c r="D297" s="120"/>
      <c r="E297" s="120"/>
      <c r="F297" s="120"/>
      <c r="G297" s="120"/>
      <c r="H297" s="121"/>
      <c r="I297" s="36"/>
      <c r="L297" s="115"/>
      <c r="M297" s="115"/>
      <c r="N297" s="36"/>
    </row>
    <row r="298" spans="1:14" s="107" customFormat="1" ht="15.75" customHeight="1" x14ac:dyDescent="0.35">
      <c r="A298" s="96">
        <f>A297+1</f>
        <v>4</v>
      </c>
      <c r="B298" s="122"/>
      <c r="C298" s="123"/>
      <c r="D298" s="123"/>
      <c r="E298" s="123"/>
      <c r="F298" s="123"/>
      <c r="G298" s="123"/>
      <c r="H298" s="124"/>
      <c r="I298" s="36"/>
      <c r="L298" s="115"/>
      <c r="M298" s="115"/>
      <c r="N298" s="36"/>
    </row>
    <row r="299" spans="1:14" s="107" customFormat="1" ht="15.65" customHeight="1" x14ac:dyDescent="0.35">
      <c r="A299" s="116" t="s">
        <v>420</v>
      </c>
      <c r="B299" s="117"/>
      <c r="C299" s="117"/>
      <c r="D299" s="117"/>
      <c r="E299" s="117"/>
      <c r="F299" s="117"/>
      <c r="G299" s="117"/>
      <c r="H299" s="118"/>
      <c r="I299" s="36"/>
      <c r="L299" s="115"/>
      <c r="M299" s="115"/>
    </row>
    <row r="300" spans="1:14" s="107" customFormat="1" x14ac:dyDescent="0.35">
      <c r="A300" s="96">
        <v>1</v>
      </c>
      <c r="B300" s="96" t="s">
        <v>418</v>
      </c>
      <c r="C300" s="96" t="s">
        <v>384</v>
      </c>
      <c r="D300" s="98">
        <f>(116.62)*10.764-E300</f>
        <v>1186.731</v>
      </c>
      <c r="E300" s="98">
        <f>(3.5*1.82)*10.764</f>
        <v>68.566679999999991</v>
      </c>
      <c r="F300" s="96">
        <f>D300+E300</f>
        <v>1255.2976799999999</v>
      </c>
      <c r="G300" s="96">
        <v>0</v>
      </c>
      <c r="H300" s="96">
        <f>F300*(($H$137)+1)+(IF(G300&lt;101,G300,IF(G300&lt;201,G300/2,IF(G300&lt;=301,G300/3,G300/4))))</f>
        <v>1882.94652</v>
      </c>
      <c r="I300" s="36"/>
      <c r="N300" s="36"/>
    </row>
    <row r="301" spans="1:14" s="107" customFormat="1" ht="15.75" customHeight="1" x14ac:dyDescent="0.35">
      <c r="A301" s="96">
        <f t="shared" ref="A301" si="71">A300+1</f>
        <v>2</v>
      </c>
      <c r="B301" s="96" t="s">
        <v>418</v>
      </c>
      <c r="C301" s="96" t="s">
        <v>383</v>
      </c>
      <c r="D301" s="98">
        <f>(151.32)*10.764-E301</f>
        <v>1499.5113119999999</v>
      </c>
      <c r="E301" s="98">
        <f>(6.6*1.82)*10.764</f>
        <v>129.297168</v>
      </c>
      <c r="F301" s="96">
        <f>D301+E301</f>
        <v>1628.8084799999999</v>
      </c>
      <c r="G301" s="96">
        <v>0</v>
      </c>
      <c r="H301" s="96">
        <f>F301*(($H$137)+1)+(IF(G301&lt;101,G301,IF(G301&lt;201,G301/2,IF(G301&lt;=301,G301/3,G301/4))))</f>
        <v>2443.21272</v>
      </c>
      <c r="I301" s="36"/>
      <c r="N301" s="36"/>
    </row>
    <row r="302" spans="1:14" s="107" customFormat="1" ht="15.75" customHeight="1" x14ac:dyDescent="0.35">
      <c r="A302" s="96">
        <f>A301+1</f>
        <v>3</v>
      </c>
      <c r="B302" s="119" t="s">
        <v>419</v>
      </c>
      <c r="C302" s="120"/>
      <c r="D302" s="120"/>
      <c r="E302" s="120"/>
      <c r="F302" s="120"/>
      <c r="G302" s="120"/>
      <c r="H302" s="121"/>
      <c r="I302" s="36"/>
      <c r="L302" s="115"/>
      <c r="M302" s="115"/>
      <c r="N302" s="36"/>
    </row>
    <row r="303" spans="1:14" s="107" customFormat="1" ht="15.75" customHeight="1" x14ac:dyDescent="0.35">
      <c r="A303" s="96">
        <f>A302+1</f>
        <v>4</v>
      </c>
      <c r="B303" s="122"/>
      <c r="C303" s="123"/>
      <c r="D303" s="123"/>
      <c r="E303" s="123"/>
      <c r="F303" s="123"/>
      <c r="G303" s="123"/>
      <c r="H303" s="124"/>
      <c r="I303" s="36"/>
      <c r="L303" s="115"/>
      <c r="M303" s="115"/>
      <c r="N303" s="36"/>
    </row>
    <row r="304" spans="1:14" s="107" customFormat="1" ht="15.65" customHeight="1" x14ac:dyDescent="0.35">
      <c r="A304" s="116" t="s">
        <v>421</v>
      </c>
      <c r="B304" s="117"/>
      <c r="C304" s="117"/>
      <c r="D304" s="117"/>
      <c r="E304" s="117"/>
      <c r="F304" s="117"/>
      <c r="G304" s="117"/>
      <c r="H304" s="118"/>
      <c r="I304" s="36"/>
      <c r="L304" s="115"/>
      <c r="M304" s="115"/>
    </row>
    <row r="305" spans="1:14" s="107" customFormat="1" x14ac:dyDescent="0.35">
      <c r="A305" s="96">
        <v>1</v>
      </c>
      <c r="B305" s="106" t="s">
        <v>387</v>
      </c>
      <c r="C305" s="96" t="s">
        <v>384</v>
      </c>
      <c r="D305" s="98">
        <f>(116.62)*10.764-E305</f>
        <v>1186.731</v>
      </c>
      <c r="E305" s="98">
        <f>(3.5*1.82)*10.764</f>
        <v>68.566679999999991</v>
      </c>
      <c r="F305" s="96">
        <f>D305+E305</f>
        <v>1255.2976799999999</v>
      </c>
      <c r="G305" s="96">
        <v>0</v>
      </c>
      <c r="H305" s="96">
        <f>F305*(($H$137)+1)+(IF(G305&lt;101,G305,IF(G305&lt;201,G305/2,IF(G305&lt;=301,G305/3,G305/4))))</f>
        <v>1882.94652</v>
      </c>
      <c r="I305" s="36"/>
      <c r="N305" s="36"/>
    </row>
    <row r="306" spans="1:14" s="107" customFormat="1" ht="15.75" customHeight="1" x14ac:dyDescent="0.35">
      <c r="A306" s="96">
        <f t="shared" ref="A306" si="72">A305+1</f>
        <v>2</v>
      </c>
      <c r="B306" s="106" t="s">
        <v>387</v>
      </c>
      <c r="C306" s="96" t="s">
        <v>383</v>
      </c>
      <c r="D306" s="98">
        <f>(151.32)*10.764-E306</f>
        <v>1499.5113119999999</v>
      </c>
      <c r="E306" s="98">
        <f>(6.6*1.82)*10.764</f>
        <v>129.297168</v>
      </c>
      <c r="F306" s="96">
        <f>D306+E306</f>
        <v>1628.8084799999999</v>
      </c>
      <c r="G306" s="96">
        <v>0</v>
      </c>
      <c r="H306" s="96">
        <f>F306*(($H$137)+1)+(IF(G306&lt;101,G306,IF(G306&lt;201,G306/2,IF(G306&lt;=301,G306/3,G306/4))))</f>
        <v>2443.21272</v>
      </c>
      <c r="I306" s="36"/>
      <c r="N306" s="36"/>
    </row>
    <row r="307" spans="1:14" s="107" customFormat="1" ht="15.75" customHeight="1" x14ac:dyDescent="0.35">
      <c r="A307" s="96">
        <f>A306+1</f>
        <v>3</v>
      </c>
      <c r="B307" s="119" t="s">
        <v>419</v>
      </c>
      <c r="C307" s="120"/>
      <c r="D307" s="120"/>
      <c r="E307" s="120"/>
      <c r="F307" s="120"/>
      <c r="G307" s="120"/>
      <c r="H307" s="121"/>
      <c r="I307" s="36"/>
      <c r="L307" s="115"/>
      <c r="M307" s="115"/>
      <c r="N307" s="36"/>
    </row>
    <row r="308" spans="1:14" s="107" customFormat="1" ht="15.75" customHeight="1" x14ac:dyDescent="0.35">
      <c r="A308" s="96">
        <f>A307+1</f>
        <v>4</v>
      </c>
      <c r="B308" s="122"/>
      <c r="C308" s="123"/>
      <c r="D308" s="123"/>
      <c r="E308" s="123"/>
      <c r="F308" s="123"/>
      <c r="G308" s="123"/>
      <c r="H308" s="124"/>
      <c r="I308" s="36"/>
      <c r="L308" s="115"/>
      <c r="M308" s="115"/>
      <c r="N308" s="36"/>
    </row>
    <row r="309" spans="1:14" s="109" customFormat="1" ht="15.65" customHeight="1" x14ac:dyDescent="0.35">
      <c r="A309" s="116" t="s">
        <v>424</v>
      </c>
      <c r="B309" s="117"/>
      <c r="C309" s="117"/>
      <c r="D309" s="117"/>
      <c r="E309" s="117"/>
      <c r="F309" s="117"/>
      <c r="G309" s="117"/>
      <c r="H309" s="118"/>
      <c r="I309" s="36"/>
      <c r="L309" s="115"/>
      <c r="M309" s="115"/>
    </row>
    <row r="310" spans="1:14" s="109" customFormat="1" x14ac:dyDescent="0.35">
      <c r="A310" s="96">
        <v>1</v>
      </c>
      <c r="B310" s="108" t="s">
        <v>387</v>
      </c>
      <c r="C310" s="96" t="s">
        <v>384</v>
      </c>
      <c r="D310" s="98">
        <f>(116.62)*10.764-E310</f>
        <v>1186.731</v>
      </c>
      <c r="E310" s="98">
        <f>(3.5*1.82)*10.764</f>
        <v>68.566679999999991</v>
      </c>
      <c r="F310" s="96">
        <f>D310+E310</f>
        <v>1255.2976799999999</v>
      </c>
      <c r="G310" s="96">
        <v>0</v>
      </c>
      <c r="H310" s="96">
        <f>F310*(($H$137)+1)+(IF(G310&lt;101,G310,IF(G310&lt;201,G310/2,IF(G310&lt;=301,G310/3,G310/4))))</f>
        <v>1882.94652</v>
      </c>
      <c r="I310" s="36"/>
      <c r="N310" s="36"/>
    </row>
    <row r="311" spans="1:14" s="109" customFormat="1" ht="15.75" customHeight="1" x14ac:dyDescent="0.35">
      <c r="A311" s="96">
        <f t="shared" ref="A311" si="73">A310+1</f>
        <v>2</v>
      </c>
      <c r="B311" s="108" t="s">
        <v>387</v>
      </c>
      <c r="C311" s="96" t="s">
        <v>383</v>
      </c>
      <c r="D311" s="98">
        <f>(151.32)*10.764-E311</f>
        <v>1499.5113119999999</v>
      </c>
      <c r="E311" s="98">
        <f>(6.6*1.82)*10.764</f>
        <v>129.297168</v>
      </c>
      <c r="F311" s="96">
        <f>D311+E311</f>
        <v>1628.8084799999999</v>
      </c>
      <c r="G311" s="96">
        <v>0</v>
      </c>
      <c r="H311" s="96">
        <f>F311*(($H$137)+1)+(IF(G311&lt;101,G311,IF(G311&lt;201,G311/2,IF(G311&lt;=301,G311/3,G311/4))))</f>
        <v>2443.21272</v>
      </c>
      <c r="I311" s="36"/>
      <c r="N311" s="36"/>
    </row>
    <row r="312" spans="1:14" s="109" customFormat="1" ht="15.75" customHeight="1" x14ac:dyDescent="0.35">
      <c r="A312" s="96">
        <f>A311+1</f>
        <v>3</v>
      </c>
      <c r="B312" s="119" t="s">
        <v>419</v>
      </c>
      <c r="C312" s="120"/>
      <c r="D312" s="120"/>
      <c r="E312" s="120"/>
      <c r="F312" s="120"/>
      <c r="G312" s="120"/>
      <c r="H312" s="121"/>
      <c r="I312" s="36"/>
      <c r="L312" s="115"/>
      <c r="M312" s="115"/>
      <c r="N312" s="36"/>
    </row>
    <row r="313" spans="1:14" s="109" customFormat="1" ht="15.75" customHeight="1" x14ac:dyDescent="0.35">
      <c r="A313" s="96">
        <f>A312+1</f>
        <v>4</v>
      </c>
      <c r="B313" s="122"/>
      <c r="C313" s="123"/>
      <c r="D313" s="123"/>
      <c r="E313" s="123"/>
      <c r="F313" s="123"/>
      <c r="G313" s="123"/>
      <c r="H313" s="124"/>
      <c r="I313" s="36"/>
      <c r="L313" s="115"/>
      <c r="M313" s="115"/>
      <c r="N313" s="36"/>
    </row>
    <row r="314" spans="1:14" s="109" customFormat="1" ht="15.65" customHeight="1" x14ac:dyDescent="0.35">
      <c r="A314" s="116" t="s">
        <v>425</v>
      </c>
      <c r="B314" s="117"/>
      <c r="C314" s="117"/>
      <c r="D314" s="117"/>
      <c r="E314" s="117"/>
      <c r="F314" s="117"/>
      <c r="G314" s="117"/>
      <c r="H314" s="118"/>
      <c r="I314" s="36"/>
      <c r="L314" s="115"/>
      <c r="M314" s="115"/>
    </row>
    <row r="315" spans="1:14" s="109" customFormat="1" x14ac:dyDescent="0.35">
      <c r="A315" s="96">
        <v>1</v>
      </c>
      <c r="B315" s="146" t="s">
        <v>385</v>
      </c>
      <c r="C315" s="147"/>
      <c r="D315" s="147"/>
      <c r="E315" s="147"/>
      <c r="F315" s="147"/>
      <c r="G315" s="147"/>
      <c r="H315" s="148"/>
      <c r="I315" s="36"/>
      <c r="N315" s="36"/>
    </row>
    <row r="316" spans="1:14" s="109" customFormat="1" ht="15.75" customHeight="1" x14ac:dyDescent="0.35">
      <c r="A316" s="96">
        <f t="shared" ref="A316" si="74">A315+1</f>
        <v>2</v>
      </c>
      <c r="B316" s="108" t="s">
        <v>387</v>
      </c>
      <c r="C316" s="96" t="s">
        <v>383</v>
      </c>
      <c r="D316" s="98">
        <f>(151.32)*10.764-E316</f>
        <v>1499.5113119999999</v>
      </c>
      <c r="E316" s="98">
        <f>(6.6*1.82)*10.764</f>
        <v>129.297168</v>
      </c>
      <c r="F316" s="96">
        <f>D316+E316</f>
        <v>1628.8084799999999</v>
      </c>
      <c r="G316" s="96">
        <v>0</v>
      </c>
      <c r="H316" s="96">
        <f>F316*(($H$137)+1)+(IF(G316&lt;101,G316,IF(G316&lt;201,G316/2,IF(G316&lt;=301,G316/3,G316/4))))</f>
        <v>2443.21272</v>
      </c>
      <c r="I316" s="36"/>
      <c r="N316" s="36"/>
    </row>
    <row r="317" spans="1:14" s="109" customFormat="1" ht="15.75" customHeight="1" x14ac:dyDescent="0.35">
      <c r="A317" s="96">
        <f>A316+1</f>
        <v>3</v>
      </c>
      <c r="B317" s="119" t="s">
        <v>419</v>
      </c>
      <c r="C317" s="120"/>
      <c r="D317" s="120"/>
      <c r="E317" s="120"/>
      <c r="F317" s="120"/>
      <c r="G317" s="120"/>
      <c r="H317" s="121"/>
      <c r="I317" s="36"/>
      <c r="L317" s="115"/>
      <c r="M317" s="115"/>
      <c r="N317" s="36"/>
    </row>
    <row r="318" spans="1:14" s="109" customFormat="1" ht="15.75" customHeight="1" x14ac:dyDescent="0.35">
      <c r="A318" s="96">
        <f>A317+1</f>
        <v>4</v>
      </c>
      <c r="B318" s="122"/>
      <c r="C318" s="123"/>
      <c r="D318" s="123"/>
      <c r="E318" s="123"/>
      <c r="F318" s="123"/>
      <c r="G318" s="123"/>
      <c r="H318" s="124"/>
      <c r="I318" s="36"/>
      <c r="L318" s="115"/>
      <c r="M318" s="115"/>
      <c r="N318" s="36"/>
    </row>
    <row r="319" spans="1:14" s="109" customFormat="1" ht="15.65" customHeight="1" x14ac:dyDescent="0.35">
      <c r="A319" s="143" t="s">
        <v>426</v>
      </c>
      <c r="B319" s="144"/>
      <c r="C319" s="144"/>
      <c r="D319" s="144"/>
      <c r="E319" s="144"/>
      <c r="F319" s="144"/>
      <c r="G319" s="144"/>
      <c r="H319" s="145"/>
      <c r="I319" s="36"/>
      <c r="L319" s="115"/>
      <c r="M319" s="115"/>
    </row>
    <row r="320" spans="1:14" s="109" customFormat="1" x14ac:dyDescent="0.35">
      <c r="A320" s="96">
        <v>1</v>
      </c>
      <c r="B320" s="108" t="s">
        <v>387</v>
      </c>
      <c r="C320" s="96" t="s">
        <v>384</v>
      </c>
      <c r="D320" s="98">
        <f>(116.62)*10.764-E320</f>
        <v>1186.731</v>
      </c>
      <c r="E320" s="98">
        <f>(3.5*1.82)*10.764</f>
        <v>68.566679999999991</v>
      </c>
      <c r="F320" s="96">
        <f>D320+E320</f>
        <v>1255.2976799999999</v>
      </c>
      <c r="G320" s="96">
        <v>0</v>
      </c>
      <c r="H320" s="96">
        <f>F320*(($H$137)+1)+(IF(G320&lt;101,G320,IF(G320&lt;201,G320/2,IF(G320&lt;=301,G320/3,G320/4))))</f>
        <v>1882.94652</v>
      </c>
      <c r="I320" s="36"/>
      <c r="N320" s="36"/>
    </row>
    <row r="321" spans="1:14" s="109" customFormat="1" ht="15.75" customHeight="1" x14ac:dyDescent="0.35">
      <c r="A321" s="96">
        <f t="shared" ref="A321" si="75">A320+1</f>
        <v>2</v>
      </c>
      <c r="B321" s="108" t="s">
        <v>387</v>
      </c>
      <c r="C321" s="96" t="s">
        <v>383</v>
      </c>
      <c r="D321" s="98">
        <f>(151.32)*10.764-E321</f>
        <v>1499.5113119999999</v>
      </c>
      <c r="E321" s="98">
        <f>(6.6*1.82)*10.764</f>
        <v>129.297168</v>
      </c>
      <c r="F321" s="96">
        <f>D321+E321</f>
        <v>1628.8084799999999</v>
      </c>
      <c r="G321" s="96">
        <v>0</v>
      </c>
      <c r="H321" s="96">
        <f>F321*(($H$137)+1)+(IF(G321&lt;101,G321,IF(G321&lt;201,G321/2,IF(G321&lt;=301,G321/3,G321/4))))</f>
        <v>2443.21272</v>
      </c>
      <c r="I321" s="36"/>
      <c r="N321" s="36"/>
    </row>
    <row r="322" spans="1:14" s="109" customFormat="1" ht="15.75" customHeight="1" x14ac:dyDescent="0.35">
      <c r="A322" s="96">
        <f>A321+1</f>
        <v>3</v>
      </c>
      <c r="B322" s="119" t="s">
        <v>386</v>
      </c>
      <c r="C322" s="120"/>
      <c r="D322" s="120"/>
      <c r="E322" s="120"/>
      <c r="F322" s="120"/>
      <c r="G322" s="120"/>
      <c r="H322" s="121"/>
      <c r="I322" s="36"/>
      <c r="L322" s="115"/>
      <c r="M322" s="115"/>
      <c r="N322" s="36"/>
    </row>
    <row r="323" spans="1:14" s="109" customFormat="1" ht="15.75" customHeight="1" x14ac:dyDescent="0.35">
      <c r="A323" s="96">
        <f>A322+1</f>
        <v>4</v>
      </c>
      <c r="B323" s="122"/>
      <c r="C323" s="123"/>
      <c r="D323" s="123"/>
      <c r="E323" s="123"/>
      <c r="F323" s="123"/>
      <c r="G323" s="123"/>
      <c r="H323" s="124"/>
      <c r="I323" s="36"/>
      <c r="L323" s="115"/>
      <c r="M323" s="115"/>
      <c r="N323" s="36"/>
    </row>
    <row r="324" spans="1:14" s="109" customFormat="1" ht="15.65" customHeight="1" x14ac:dyDescent="0.35">
      <c r="A324" s="143" t="s">
        <v>427</v>
      </c>
      <c r="B324" s="144"/>
      <c r="C324" s="144"/>
      <c r="D324" s="144"/>
      <c r="E324" s="144"/>
      <c r="F324" s="144"/>
      <c r="G324" s="144"/>
      <c r="H324" s="145"/>
      <c r="I324" s="36"/>
      <c r="L324" s="115"/>
      <c r="M324" s="115"/>
    </row>
    <row r="325" spans="1:14" s="109" customFormat="1" x14ac:dyDescent="0.35">
      <c r="A325" s="96">
        <v>1</v>
      </c>
      <c r="B325" s="108" t="s">
        <v>387</v>
      </c>
      <c r="C325" s="96" t="s">
        <v>384</v>
      </c>
      <c r="D325" s="98">
        <f>(116.62)*10.764-E325</f>
        <v>1186.731</v>
      </c>
      <c r="E325" s="98">
        <f>(3.5*1.82)*10.764</f>
        <v>68.566679999999991</v>
      </c>
      <c r="F325" s="96">
        <f>D325+E325</f>
        <v>1255.2976799999999</v>
      </c>
      <c r="G325" s="96">
        <v>0</v>
      </c>
      <c r="H325" s="96">
        <f>F325*(($H$137)+1)+(IF(G325&lt;101,G325,IF(G325&lt;201,G325/2,IF(G325&lt;=301,G325/3,G325/4))))</f>
        <v>1882.94652</v>
      </c>
      <c r="I325" s="36"/>
      <c r="N325" s="36"/>
    </row>
    <row r="326" spans="1:14" s="109" customFormat="1" ht="15.75" customHeight="1" x14ac:dyDescent="0.35">
      <c r="A326" s="96">
        <f t="shared" ref="A326" si="76">A325+1</f>
        <v>2</v>
      </c>
      <c r="B326" s="108" t="s">
        <v>387</v>
      </c>
      <c r="C326" s="96" t="s">
        <v>383</v>
      </c>
      <c r="D326" s="98">
        <f>(151.32)*10.764-E326</f>
        <v>1499.5113119999999</v>
      </c>
      <c r="E326" s="98">
        <f>(6.6*1.82)*10.764</f>
        <v>129.297168</v>
      </c>
      <c r="F326" s="96">
        <f>D326+E326</f>
        <v>1628.8084799999999</v>
      </c>
      <c r="G326" s="96">
        <v>0</v>
      </c>
      <c r="H326" s="96">
        <f>F326*(($H$137)+1)+(IF(G326&lt;101,G326,IF(G326&lt;201,G326/2,IF(G326&lt;=301,G326/3,G326/4))))</f>
        <v>2443.21272</v>
      </c>
      <c r="I326" s="36"/>
      <c r="N326" s="36"/>
    </row>
    <row r="327" spans="1:14" s="109" customFormat="1" ht="15.75" customHeight="1" x14ac:dyDescent="0.35">
      <c r="A327" s="96">
        <f>A326+1</f>
        <v>3</v>
      </c>
      <c r="B327" s="96" t="s">
        <v>389</v>
      </c>
      <c r="C327" s="96" t="s">
        <v>384</v>
      </c>
      <c r="D327" s="98">
        <f>90.22*10.764</f>
        <v>971.12807999999995</v>
      </c>
      <c r="E327" s="96">
        <v>0</v>
      </c>
      <c r="F327" s="96">
        <f t="shared" ref="F327:F328" si="77">D327+E327</f>
        <v>971.12807999999995</v>
      </c>
      <c r="G327" s="96">
        <v>0</v>
      </c>
      <c r="H327" s="96">
        <f t="shared" ref="H327:H328" si="78">F327*(($H$137)+1)+(IF(G327&lt;101,G327,IF(G327&lt;201,G327/2,IF(G327&lt;=301,G327/3,G327/4))))</f>
        <v>1456.6921199999999</v>
      </c>
      <c r="I327" s="36"/>
      <c r="L327" s="115"/>
      <c r="M327" s="115"/>
      <c r="N327" s="36"/>
    </row>
    <row r="328" spans="1:14" s="109" customFormat="1" ht="15.75" customHeight="1" x14ac:dyDescent="0.35">
      <c r="A328" s="96">
        <f>A327+1</f>
        <v>4</v>
      </c>
      <c r="B328" s="96" t="s">
        <v>389</v>
      </c>
      <c r="C328" s="96" t="s">
        <v>473</v>
      </c>
      <c r="D328" s="98">
        <f>73.4*10.764</f>
        <v>790.07759999999996</v>
      </c>
      <c r="E328" s="96">
        <v>0</v>
      </c>
      <c r="F328" s="96">
        <f t="shared" si="77"/>
        <v>790.07759999999996</v>
      </c>
      <c r="G328" s="96">
        <v>0</v>
      </c>
      <c r="H328" s="96">
        <f t="shared" si="78"/>
        <v>1185.1163999999999</v>
      </c>
      <c r="I328" s="36"/>
      <c r="L328" s="115"/>
      <c r="M328" s="115"/>
      <c r="N328" s="36"/>
    </row>
    <row r="329" spans="1:14" s="109" customFormat="1" ht="15.65" customHeight="1" x14ac:dyDescent="0.35">
      <c r="A329" s="143" t="s">
        <v>400</v>
      </c>
      <c r="B329" s="144"/>
      <c r="C329" s="144"/>
      <c r="D329" s="144"/>
      <c r="E329" s="144"/>
      <c r="F329" s="144"/>
      <c r="G329" s="144"/>
      <c r="H329" s="145"/>
      <c r="I329" s="36"/>
      <c r="L329" s="115"/>
      <c r="M329" s="115"/>
    </row>
    <row r="330" spans="1:14" s="109" customFormat="1" x14ac:dyDescent="0.35">
      <c r="A330" s="96">
        <v>1</v>
      </c>
      <c r="B330" s="108" t="s">
        <v>387</v>
      </c>
      <c r="C330" s="96" t="s">
        <v>384</v>
      </c>
      <c r="D330" s="98">
        <f>(116.62)*10.764-E330</f>
        <v>1186.731</v>
      </c>
      <c r="E330" s="98">
        <f>(3.5*1.82)*10.764</f>
        <v>68.566679999999991</v>
      </c>
      <c r="F330" s="96">
        <f>D330+E330</f>
        <v>1255.2976799999999</v>
      </c>
      <c r="G330" s="96">
        <v>0</v>
      </c>
      <c r="H330" s="96">
        <f>F330*(($H$137)+1)+(IF(G330&lt;101,G330,IF(G330&lt;201,G330/2,IF(G330&lt;=301,G330/3,G330/4))))</f>
        <v>1882.94652</v>
      </c>
      <c r="I330" s="36"/>
      <c r="N330" s="36"/>
    </row>
    <row r="331" spans="1:14" s="109" customFormat="1" ht="15.75" customHeight="1" x14ac:dyDescent="0.35">
      <c r="A331" s="96">
        <f t="shared" ref="A331" si="79">A330+1</f>
        <v>2</v>
      </c>
      <c r="B331" s="108" t="s">
        <v>387</v>
      </c>
      <c r="C331" s="96" t="s">
        <v>383</v>
      </c>
      <c r="D331" s="98">
        <f>(151.32)*10.764-E331</f>
        <v>1499.5113119999999</v>
      </c>
      <c r="E331" s="98">
        <f>(6.6*1.82)*10.764</f>
        <v>129.297168</v>
      </c>
      <c r="F331" s="96">
        <f>D331+E331</f>
        <v>1628.8084799999999</v>
      </c>
      <c r="G331" s="96">
        <v>0</v>
      </c>
      <c r="H331" s="96">
        <f>F331*(($H$137)+1)+(IF(G331&lt;101,G331,IF(G331&lt;201,G331/2,IF(G331&lt;=301,G331/3,G331/4))))</f>
        <v>2443.21272</v>
      </c>
      <c r="I331" s="36"/>
      <c r="N331" s="36"/>
    </row>
    <row r="332" spans="1:14" s="109" customFormat="1" ht="15.75" customHeight="1" x14ac:dyDescent="0.35">
      <c r="A332" s="96">
        <f>A331+1</f>
        <v>3</v>
      </c>
      <c r="B332" s="96" t="s">
        <v>389</v>
      </c>
      <c r="C332" s="96" t="s">
        <v>384</v>
      </c>
      <c r="D332" s="98">
        <f>90.22*10.764</f>
        <v>971.12807999999995</v>
      </c>
      <c r="E332" s="96">
        <v>0</v>
      </c>
      <c r="F332" s="96">
        <f t="shared" ref="F332:F333" si="80">D332+E332</f>
        <v>971.12807999999995</v>
      </c>
      <c r="G332" s="96">
        <v>0</v>
      </c>
      <c r="H332" s="96">
        <f t="shared" ref="H332:H333" si="81">F332*(($H$137)+1)+(IF(G332&lt;101,G332,IF(G332&lt;201,G332/2,IF(G332&lt;=301,G332/3,G332/4))))</f>
        <v>1456.6921199999999</v>
      </c>
      <c r="I332" s="36"/>
      <c r="L332" s="115"/>
      <c r="M332" s="115"/>
      <c r="N332" s="36"/>
    </row>
    <row r="333" spans="1:14" s="109" customFormat="1" ht="15.75" customHeight="1" x14ac:dyDescent="0.35">
      <c r="A333" s="96">
        <f>A332+1</f>
        <v>4</v>
      </c>
      <c r="B333" s="108" t="s">
        <v>387</v>
      </c>
      <c r="C333" s="96" t="s">
        <v>384</v>
      </c>
      <c r="D333" s="98">
        <f>73.4*10.764</f>
        <v>790.07759999999996</v>
      </c>
      <c r="E333" s="96">
        <v>0</v>
      </c>
      <c r="F333" s="96">
        <f t="shared" si="80"/>
        <v>790.07759999999996</v>
      </c>
      <c r="G333" s="96">
        <v>0</v>
      </c>
      <c r="H333" s="96">
        <f t="shared" si="81"/>
        <v>1185.1163999999999</v>
      </c>
      <c r="I333" s="36"/>
      <c r="L333" s="115"/>
      <c r="M333" s="115"/>
      <c r="N333" s="36"/>
    </row>
    <row r="334" spans="1:14" s="109" customFormat="1" ht="15.65" customHeight="1" x14ac:dyDescent="0.35">
      <c r="A334" s="143" t="s">
        <v>401</v>
      </c>
      <c r="B334" s="144"/>
      <c r="C334" s="144"/>
      <c r="D334" s="144"/>
      <c r="E334" s="144"/>
      <c r="F334" s="144"/>
      <c r="G334" s="144"/>
      <c r="H334" s="145"/>
      <c r="I334" s="36"/>
      <c r="L334" s="115"/>
      <c r="M334" s="115"/>
    </row>
    <row r="335" spans="1:14" s="109" customFormat="1" x14ac:dyDescent="0.35">
      <c r="A335" s="96">
        <v>1</v>
      </c>
      <c r="B335" s="108" t="s">
        <v>387</v>
      </c>
      <c r="C335" s="96" t="s">
        <v>384</v>
      </c>
      <c r="D335" s="98">
        <f>(116.62)*10.764-E335</f>
        <v>1186.731</v>
      </c>
      <c r="E335" s="98">
        <f>(3.5*1.82)*10.764</f>
        <v>68.566679999999991</v>
      </c>
      <c r="F335" s="96">
        <f>D335+E335</f>
        <v>1255.2976799999999</v>
      </c>
      <c r="G335" s="96">
        <v>0</v>
      </c>
      <c r="H335" s="96">
        <f>F335*(($H$137)+1)+(IF(G335&lt;101,G335,IF(G335&lt;201,G335/2,IF(G335&lt;=301,G335/3,G335/4))))</f>
        <v>1882.94652</v>
      </c>
      <c r="I335" s="36"/>
      <c r="N335" s="36"/>
    </row>
    <row r="336" spans="1:14" s="109" customFormat="1" ht="15.75" customHeight="1" x14ac:dyDescent="0.35">
      <c r="A336" s="96">
        <f t="shared" ref="A336" si="82">A335+1</f>
        <v>2</v>
      </c>
      <c r="B336" s="108" t="s">
        <v>387</v>
      </c>
      <c r="C336" s="96" t="s">
        <v>383</v>
      </c>
      <c r="D336" s="98">
        <f>(151.32)*10.764-E336</f>
        <v>1499.5113119999999</v>
      </c>
      <c r="E336" s="98">
        <f>(6.6*1.82)*10.764</f>
        <v>129.297168</v>
      </c>
      <c r="F336" s="96">
        <f>D336+E336</f>
        <v>1628.8084799999999</v>
      </c>
      <c r="G336" s="96">
        <v>0</v>
      </c>
      <c r="H336" s="96">
        <f>F336*(($H$137)+1)+(IF(G336&lt;101,G336,IF(G336&lt;201,G336/2,IF(G336&lt;=301,G336/3,G336/4))))</f>
        <v>2443.21272</v>
      </c>
      <c r="I336" s="36"/>
      <c r="N336" s="36"/>
    </row>
    <row r="337" spans="1:14" s="109" customFormat="1" ht="15.75" customHeight="1" x14ac:dyDescent="0.35">
      <c r="A337" s="96">
        <f>A336+1</f>
        <v>3</v>
      </c>
      <c r="B337" s="108" t="s">
        <v>387</v>
      </c>
      <c r="C337" s="96" t="s">
        <v>384</v>
      </c>
      <c r="D337" s="98">
        <f>90.22*10.764</f>
        <v>971.12807999999995</v>
      </c>
      <c r="E337" s="96">
        <v>0</v>
      </c>
      <c r="F337" s="96">
        <f t="shared" ref="F337:F338" si="83">D337+E337</f>
        <v>971.12807999999995</v>
      </c>
      <c r="G337" s="96">
        <v>0</v>
      </c>
      <c r="H337" s="96">
        <f t="shared" ref="H337:H338" si="84">F337*(($H$137)+1)+(IF(G337&lt;101,G337,IF(G337&lt;201,G337/2,IF(G337&lt;=301,G337/3,G337/4))))</f>
        <v>1456.6921199999999</v>
      </c>
      <c r="I337" s="111">
        <f>3.35*6.18+0.93*3.58+2.38*2.43+0.68*2.33+3.2*4.22+2.73*0.6+0.68*1.05+3.25*3.65+1.58*0.6+3.2*3.55+1*0.1+1.53*2.43+1.53*2.02+1.48*0.4+1.53*1.45+1.63*0.98+3.63*1.05+0.68*1.05+1.28*1.98</f>
        <v>89.802999999999969</v>
      </c>
      <c r="L337" s="115"/>
      <c r="M337" s="115"/>
      <c r="N337" s="36"/>
    </row>
    <row r="338" spans="1:14" s="109" customFormat="1" ht="15.75" customHeight="1" x14ac:dyDescent="0.35">
      <c r="A338" s="96">
        <f>A337+1</f>
        <v>4</v>
      </c>
      <c r="B338" s="96" t="s">
        <v>389</v>
      </c>
      <c r="C338" s="96" t="s">
        <v>384</v>
      </c>
      <c r="D338" s="98">
        <f>73.4*10.764</f>
        <v>790.07759999999996</v>
      </c>
      <c r="E338" s="96">
        <v>0</v>
      </c>
      <c r="F338" s="96">
        <f t="shared" si="83"/>
        <v>790.07759999999996</v>
      </c>
      <c r="G338" s="96">
        <v>0</v>
      </c>
      <c r="H338" s="96">
        <f t="shared" si="84"/>
        <v>1185.1163999999999</v>
      </c>
      <c r="I338" s="36"/>
      <c r="L338" s="115"/>
      <c r="M338" s="115"/>
      <c r="N338" s="36"/>
    </row>
    <row r="339" spans="1:14" s="109" customFormat="1" ht="36.65" customHeight="1" x14ac:dyDescent="0.35">
      <c r="A339" s="143" t="s">
        <v>429</v>
      </c>
      <c r="B339" s="144"/>
      <c r="C339" s="144"/>
      <c r="D339" s="144"/>
      <c r="E339" s="144"/>
      <c r="F339" s="144"/>
      <c r="G339" s="144"/>
      <c r="H339" s="145"/>
      <c r="I339" s="36"/>
      <c r="L339" s="115"/>
      <c r="M339" s="115"/>
    </row>
    <row r="340" spans="1:14" s="109" customFormat="1" x14ac:dyDescent="0.35">
      <c r="A340" s="96">
        <v>1</v>
      </c>
      <c r="B340" s="108" t="s">
        <v>387</v>
      </c>
      <c r="C340" s="96" t="s">
        <v>384</v>
      </c>
      <c r="D340" s="98">
        <f>(116.62)*10.764-E340</f>
        <v>1186.731</v>
      </c>
      <c r="E340" s="98">
        <f>(3.5*1.82)*10.764</f>
        <v>68.566679999999991</v>
      </c>
      <c r="F340" s="96">
        <f>D340+E340</f>
        <v>1255.2976799999999</v>
      </c>
      <c r="G340" s="96">
        <v>0</v>
      </c>
      <c r="H340" s="96">
        <f>F340*(($H$137)+1)+(IF(G340&lt;101,G340,IF(G340&lt;201,G340/2,IF(G340&lt;=301,G340/3,G340/4))))</f>
        <v>1882.94652</v>
      </c>
      <c r="I340" s="36"/>
      <c r="N340" s="36"/>
    </row>
    <row r="341" spans="1:14" s="109" customFormat="1" ht="15.75" customHeight="1" x14ac:dyDescent="0.35">
      <c r="A341" s="96">
        <f t="shared" ref="A341" si="85">A340+1</f>
        <v>2</v>
      </c>
      <c r="B341" s="108" t="s">
        <v>387</v>
      </c>
      <c r="C341" s="96" t="s">
        <v>383</v>
      </c>
      <c r="D341" s="98">
        <f>(151.32)*10.764-E341</f>
        <v>1499.5113119999999</v>
      </c>
      <c r="E341" s="98">
        <f>(6.6*1.82)*10.764</f>
        <v>129.297168</v>
      </c>
      <c r="F341" s="96">
        <f>D341+E341</f>
        <v>1628.8084799999999</v>
      </c>
      <c r="G341" s="96">
        <v>0</v>
      </c>
      <c r="H341" s="96">
        <f>F341*(($H$137)+1)+(IF(G341&lt;101,G341,IF(G341&lt;201,G341/2,IF(G341&lt;=301,G341/3,G341/4))))</f>
        <v>2443.21272</v>
      </c>
      <c r="I341" s="36"/>
      <c r="N341" s="36"/>
    </row>
    <row r="342" spans="1:14" s="109" customFormat="1" ht="15.75" customHeight="1" x14ac:dyDescent="0.35">
      <c r="A342" s="96">
        <f>A341+1</f>
        <v>3</v>
      </c>
      <c r="B342" s="108" t="s">
        <v>387</v>
      </c>
      <c r="C342" s="96" t="s">
        <v>384</v>
      </c>
      <c r="D342" s="98">
        <f>95.27*10.764-E342</f>
        <v>969.16257359999986</v>
      </c>
      <c r="E342" s="96">
        <f>(3.42*1.53)*10.764</f>
        <v>56.323706399999992</v>
      </c>
      <c r="F342" s="96">
        <f t="shared" ref="F342:F343" si="86">D342+E342</f>
        <v>1025.4862799999999</v>
      </c>
      <c r="G342" s="96">
        <v>0</v>
      </c>
      <c r="H342" s="96">
        <f t="shared" ref="H342:H343" si="87">F342*(($H$137)+1)+(IF(G342&lt;101,G342,IF(G342&lt;201,G342/2,IF(G342&lt;=301,G342/3,G342/4))))</f>
        <v>1538.2294199999997</v>
      </c>
      <c r="I342" s="111">
        <f>3.35*6.18+0.93*3.58+2.38*2.43+0.68*2.33+3.2*4.22+2.73*0.6+0.68*1.05+3.25*3.65+1.58*0.6+3.2*3.55+1*0.1+1.53*2.43+1.53*2.02+1.48*0.4+1.53*1.45+1.63*0.98+3.63*1.05+0.68*1.05+1.28*1.98+3.42*1.53</f>
        <v>95.035599999999974</v>
      </c>
      <c r="L342" s="115"/>
      <c r="M342" s="115"/>
      <c r="N342" s="36"/>
    </row>
    <row r="343" spans="1:14" s="109" customFormat="1" ht="15.75" customHeight="1" x14ac:dyDescent="0.35">
      <c r="A343" s="96">
        <f>A342+1</f>
        <v>4</v>
      </c>
      <c r="B343" s="96" t="s">
        <v>389</v>
      </c>
      <c r="C343" s="96" t="s">
        <v>473</v>
      </c>
      <c r="D343" s="98">
        <f>73.4*10.764</f>
        <v>790.07759999999996</v>
      </c>
      <c r="E343" s="96">
        <v>0</v>
      </c>
      <c r="F343" s="96">
        <f t="shared" si="86"/>
        <v>790.07759999999996</v>
      </c>
      <c r="G343" s="96">
        <v>0</v>
      </c>
      <c r="H343" s="96">
        <f t="shared" si="87"/>
        <v>1185.1163999999999</v>
      </c>
      <c r="I343" s="36"/>
      <c r="L343" s="115"/>
      <c r="M343" s="115"/>
      <c r="N343" s="36"/>
    </row>
    <row r="344" spans="1:14" s="109" customFormat="1" ht="33" customHeight="1" x14ac:dyDescent="0.35">
      <c r="A344" s="143" t="s">
        <v>438</v>
      </c>
      <c r="B344" s="144"/>
      <c r="C344" s="144"/>
      <c r="D344" s="144"/>
      <c r="E344" s="144"/>
      <c r="F344" s="144"/>
      <c r="G344" s="144"/>
      <c r="H344" s="145"/>
      <c r="I344" s="36"/>
      <c r="L344" s="115"/>
      <c r="M344" s="115"/>
    </row>
    <row r="345" spans="1:14" s="109" customFormat="1" x14ac:dyDescent="0.35">
      <c r="A345" s="96">
        <v>1</v>
      </c>
      <c r="B345" s="146" t="s">
        <v>385</v>
      </c>
      <c r="C345" s="147"/>
      <c r="D345" s="147"/>
      <c r="E345" s="147"/>
      <c r="F345" s="147"/>
      <c r="G345" s="147"/>
      <c r="H345" s="148"/>
      <c r="I345" s="36"/>
      <c r="N345" s="36"/>
    </row>
    <row r="346" spans="1:14" s="109" customFormat="1" ht="15.75" customHeight="1" x14ac:dyDescent="0.35">
      <c r="A346" s="96">
        <f t="shared" ref="A346" si="88">A345+1</f>
        <v>2</v>
      </c>
      <c r="B346" s="108" t="s">
        <v>387</v>
      </c>
      <c r="C346" s="96" t="s">
        <v>383</v>
      </c>
      <c r="D346" s="98">
        <f>(151.32)*10.764-E346</f>
        <v>1499.5113119999999</v>
      </c>
      <c r="E346" s="98">
        <f>(6.6*1.82)*10.764</f>
        <v>129.297168</v>
      </c>
      <c r="F346" s="96">
        <f>D346+E346</f>
        <v>1628.8084799999999</v>
      </c>
      <c r="G346" s="96">
        <v>0</v>
      </c>
      <c r="H346" s="96">
        <f>F346*(($H$137)+1)+(IF(G346&lt;101,G346,IF(G346&lt;201,G346/2,IF(G346&lt;=301,G346/3,G346/4))))</f>
        <v>2443.21272</v>
      </c>
      <c r="I346" s="36"/>
      <c r="N346" s="36"/>
    </row>
    <row r="347" spans="1:14" s="109" customFormat="1" ht="15.75" customHeight="1" x14ac:dyDescent="0.35">
      <c r="A347" s="96">
        <f>A346+1</f>
        <v>3</v>
      </c>
      <c r="B347" s="108" t="s">
        <v>387</v>
      </c>
      <c r="C347" s="96" t="s">
        <v>384</v>
      </c>
      <c r="D347" s="98">
        <f>95.27*10.764-E347</f>
        <v>969.16257359999986</v>
      </c>
      <c r="E347" s="96">
        <f>(3.42*1.53)*10.764</f>
        <v>56.323706399999992</v>
      </c>
      <c r="F347" s="96">
        <f t="shared" ref="F347:F348" si="89">D347+E347</f>
        <v>1025.4862799999999</v>
      </c>
      <c r="G347" s="96">
        <v>0</v>
      </c>
      <c r="H347" s="96">
        <f t="shared" ref="H347:H348" si="90">F347*(($H$137)+1)+(IF(G347&lt;101,G347,IF(G347&lt;201,G347/2,IF(G347&lt;=301,G347/3,G347/4))))</f>
        <v>1538.2294199999997</v>
      </c>
      <c r="I347" s="36"/>
      <c r="L347" s="115"/>
      <c r="M347" s="115"/>
      <c r="N347" s="36"/>
    </row>
    <row r="348" spans="1:14" s="109" customFormat="1" ht="15.75" customHeight="1" x14ac:dyDescent="0.35">
      <c r="A348" s="96">
        <f>A347+1</f>
        <v>4</v>
      </c>
      <c r="B348" s="96" t="s">
        <v>389</v>
      </c>
      <c r="C348" s="96" t="s">
        <v>473</v>
      </c>
      <c r="D348" s="98">
        <f>73.4*10.764</f>
        <v>790.07759999999996</v>
      </c>
      <c r="E348" s="96">
        <v>0</v>
      </c>
      <c r="F348" s="96">
        <f t="shared" si="89"/>
        <v>790.07759999999996</v>
      </c>
      <c r="G348" s="96">
        <v>0</v>
      </c>
      <c r="H348" s="96">
        <f t="shared" si="90"/>
        <v>1185.1163999999999</v>
      </c>
      <c r="I348" s="36"/>
      <c r="L348" s="115"/>
      <c r="M348" s="115"/>
      <c r="N348" s="36"/>
    </row>
    <row r="349" spans="1:14" s="109" customFormat="1" ht="32.5" customHeight="1" x14ac:dyDescent="0.35">
      <c r="A349" s="143" t="s">
        <v>440</v>
      </c>
      <c r="B349" s="144"/>
      <c r="C349" s="144"/>
      <c r="D349" s="144"/>
      <c r="E349" s="144"/>
      <c r="F349" s="144"/>
      <c r="G349" s="144"/>
      <c r="H349" s="145"/>
      <c r="I349" s="36"/>
      <c r="L349" s="115"/>
      <c r="M349" s="115"/>
    </row>
    <row r="350" spans="1:14" s="109" customFormat="1" x14ac:dyDescent="0.35">
      <c r="A350" s="96">
        <v>1</v>
      </c>
      <c r="B350" s="108" t="s">
        <v>387</v>
      </c>
      <c r="C350" s="96" t="s">
        <v>384</v>
      </c>
      <c r="D350" s="98">
        <f>(116.62)*10.764-E350</f>
        <v>1186.731</v>
      </c>
      <c r="E350" s="98">
        <f>(3.5*1.82)*10.764</f>
        <v>68.566679999999991</v>
      </c>
      <c r="F350" s="96">
        <f>D350+E350</f>
        <v>1255.2976799999999</v>
      </c>
      <c r="G350" s="96">
        <v>0</v>
      </c>
      <c r="H350" s="96">
        <f>F350*(($H$137)+1)+(IF(G350&lt;101,G350,IF(G350&lt;201,G350/2,IF(G350&lt;=301,G350/3,G350/4))))</f>
        <v>1882.94652</v>
      </c>
      <c r="I350" s="36"/>
      <c r="N350" s="36"/>
    </row>
    <row r="351" spans="1:14" s="109" customFormat="1" ht="15.75" customHeight="1" x14ac:dyDescent="0.35">
      <c r="A351" s="96">
        <f t="shared" ref="A351" si="91">A350+1</f>
        <v>2</v>
      </c>
      <c r="B351" s="108" t="s">
        <v>387</v>
      </c>
      <c r="C351" s="96" t="s">
        <v>383</v>
      </c>
      <c r="D351" s="98">
        <f>(151.32)*10.764-E351</f>
        <v>1499.5113119999999</v>
      </c>
      <c r="E351" s="98">
        <f>(6.6*1.82)*10.764</f>
        <v>129.297168</v>
      </c>
      <c r="F351" s="96">
        <f>D351+E351</f>
        <v>1628.8084799999999</v>
      </c>
      <c r="G351" s="96">
        <v>0</v>
      </c>
      <c r="H351" s="96">
        <f>F351*(($H$137)+1)+(IF(G351&lt;101,G351,IF(G351&lt;201,G351/2,IF(G351&lt;=301,G351/3,G351/4))))</f>
        <v>2443.21272</v>
      </c>
      <c r="I351" s="36"/>
      <c r="N351" s="36"/>
    </row>
    <row r="352" spans="1:14" s="109" customFormat="1" ht="15.75" customHeight="1" x14ac:dyDescent="0.35">
      <c r="A352" s="96">
        <f>A351+1</f>
        <v>3</v>
      </c>
      <c r="B352" s="108" t="s">
        <v>387</v>
      </c>
      <c r="C352" s="96" t="s">
        <v>384</v>
      </c>
      <c r="D352" s="98">
        <f>95.27*10.764-E352</f>
        <v>969.16257359999986</v>
      </c>
      <c r="E352" s="96">
        <f>(3.42*1.53)*10.764</f>
        <v>56.323706399999992</v>
      </c>
      <c r="F352" s="96">
        <f t="shared" ref="F352:F353" si="92">D352+E352</f>
        <v>1025.4862799999999</v>
      </c>
      <c r="G352" s="96">
        <v>0</v>
      </c>
      <c r="H352" s="96">
        <f t="shared" ref="H352:H353" si="93">F352*(($H$137)+1)+(IF(G352&lt;101,G352,IF(G352&lt;201,G352/2,IF(G352&lt;=301,G352/3,G352/4))))</f>
        <v>1538.2294199999997</v>
      </c>
      <c r="I352" s="36"/>
      <c r="L352" s="115"/>
      <c r="M352" s="115"/>
      <c r="N352" s="36"/>
    </row>
    <row r="353" spans="1:14" s="109" customFormat="1" ht="16" customHeight="1" x14ac:dyDescent="0.35">
      <c r="A353" s="96">
        <f>A352+1</f>
        <v>4</v>
      </c>
      <c r="B353" s="96" t="s">
        <v>389</v>
      </c>
      <c r="C353" s="96" t="s">
        <v>473</v>
      </c>
      <c r="D353" s="98">
        <f>73.4*10.764</f>
        <v>790.07759999999996</v>
      </c>
      <c r="E353" s="96">
        <v>0</v>
      </c>
      <c r="F353" s="96">
        <f t="shared" si="92"/>
        <v>790.07759999999996</v>
      </c>
      <c r="G353" s="96">
        <v>0</v>
      </c>
      <c r="H353" s="96">
        <f t="shared" si="93"/>
        <v>1185.1163999999999</v>
      </c>
      <c r="I353" s="36"/>
      <c r="L353" s="115"/>
      <c r="M353" s="115"/>
      <c r="N353" s="36"/>
    </row>
    <row r="354" spans="1:14" s="109" customFormat="1" ht="33" customHeight="1" x14ac:dyDescent="0.35">
      <c r="A354" s="143" t="s">
        <v>461</v>
      </c>
      <c r="B354" s="144"/>
      <c r="C354" s="144"/>
      <c r="D354" s="144"/>
      <c r="E354" s="144"/>
      <c r="F354" s="144"/>
      <c r="G354" s="144"/>
      <c r="H354" s="145"/>
      <c r="I354" s="36"/>
      <c r="L354" s="115"/>
      <c r="M354" s="115"/>
    </row>
    <row r="355" spans="1:14" s="109" customFormat="1" x14ac:dyDescent="0.35">
      <c r="A355" s="96">
        <v>1</v>
      </c>
      <c r="B355" s="108" t="s">
        <v>387</v>
      </c>
      <c r="C355" s="96" t="s">
        <v>384</v>
      </c>
      <c r="D355" s="98">
        <f>(116.62)*10.764-E355</f>
        <v>1186.731</v>
      </c>
      <c r="E355" s="98">
        <f>(3.5*1.82)*10.764</f>
        <v>68.566679999999991</v>
      </c>
      <c r="F355" s="96">
        <f>D355+E355</f>
        <v>1255.2976799999999</v>
      </c>
      <c r="G355" s="96">
        <v>0</v>
      </c>
      <c r="H355" s="96">
        <f>F355*(($H$137)+1)+(IF(G355&lt;101,G355,IF(G355&lt;201,G355/2,IF(G355&lt;=301,G355/3,G355/4))))</f>
        <v>1882.94652</v>
      </c>
      <c r="I355" s="36"/>
      <c r="N355" s="36"/>
    </row>
    <row r="356" spans="1:14" s="109" customFormat="1" ht="15.75" customHeight="1" x14ac:dyDescent="0.35">
      <c r="A356" s="96">
        <f t="shared" ref="A356" si="94">A355+1</f>
        <v>2</v>
      </c>
      <c r="B356" s="108" t="s">
        <v>387</v>
      </c>
      <c r="C356" s="96" t="s">
        <v>383</v>
      </c>
      <c r="D356" s="98">
        <f>(151.32)*10.764-E356</f>
        <v>1499.5113119999999</v>
      </c>
      <c r="E356" s="98">
        <f>(6.6*1.82)*10.764</f>
        <v>129.297168</v>
      </c>
      <c r="F356" s="96">
        <f>D356+E356</f>
        <v>1628.8084799999999</v>
      </c>
      <c r="G356" s="96">
        <v>0</v>
      </c>
      <c r="H356" s="96">
        <f>F356*(($H$137)+1)+(IF(G356&lt;101,G356,IF(G356&lt;201,G356/2,IF(G356&lt;=301,G356/3,G356/4))))</f>
        <v>2443.21272</v>
      </c>
      <c r="I356" s="36"/>
      <c r="N356" s="36"/>
    </row>
    <row r="357" spans="1:14" s="109" customFormat="1" ht="15.75" customHeight="1" x14ac:dyDescent="0.35">
      <c r="A357" s="96">
        <f>A356+1</f>
        <v>3</v>
      </c>
      <c r="B357" s="108" t="s">
        <v>387</v>
      </c>
      <c r="C357" s="96" t="s">
        <v>384</v>
      </c>
      <c r="D357" s="98">
        <f>95.27*10.764-E357</f>
        <v>969.16257359999986</v>
      </c>
      <c r="E357" s="96">
        <f>(3.42*1.53)*10.764</f>
        <v>56.323706399999992</v>
      </c>
      <c r="F357" s="96">
        <f t="shared" ref="F357:F358" si="95">D357+E357</f>
        <v>1025.4862799999999</v>
      </c>
      <c r="G357" s="96">
        <v>0</v>
      </c>
      <c r="H357" s="96">
        <f t="shared" ref="H357:H358" si="96">F357*(($H$137)+1)+(IF(G357&lt;101,G357,IF(G357&lt;201,G357/2,IF(G357&lt;=301,G357/3,G357/4))))</f>
        <v>1538.2294199999997</v>
      </c>
      <c r="I357" s="36"/>
      <c r="L357" s="115"/>
      <c r="M357" s="115"/>
      <c r="N357" s="36"/>
    </row>
    <row r="358" spans="1:14" s="109" customFormat="1" ht="15.75" customHeight="1" x14ac:dyDescent="0.35">
      <c r="A358" s="96">
        <f>A357+1</f>
        <v>4</v>
      </c>
      <c r="B358" s="96" t="s">
        <v>389</v>
      </c>
      <c r="C358" s="96" t="s">
        <v>473</v>
      </c>
      <c r="D358" s="98">
        <f>78.87*10.764-E358</f>
        <v>793.9504872</v>
      </c>
      <c r="E358" s="96">
        <f>(3.34*1.53)*10.764</f>
        <v>55.006192799999994</v>
      </c>
      <c r="F358" s="96">
        <f t="shared" si="95"/>
        <v>848.95668000000001</v>
      </c>
      <c r="G358" s="96">
        <v>0</v>
      </c>
      <c r="H358" s="96">
        <f t="shared" si="96"/>
        <v>1273.4350199999999</v>
      </c>
      <c r="I358" s="36"/>
      <c r="L358" s="115"/>
      <c r="M358" s="115"/>
      <c r="N358" s="36"/>
    </row>
    <row r="359" spans="1:14" s="109" customFormat="1" ht="31.5" customHeight="1" x14ac:dyDescent="0.35">
      <c r="A359" s="143" t="s">
        <v>462</v>
      </c>
      <c r="B359" s="144"/>
      <c r="C359" s="144"/>
      <c r="D359" s="144"/>
      <c r="E359" s="144"/>
      <c r="F359" s="144"/>
      <c r="G359" s="144"/>
      <c r="H359" s="145"/>
      <c r="I359" s="36"/>
      <c r="L359" s="115"/>
      <c r="M359" s="115"/>
    </row>
    <row r="360" spans="1:14" s="109" customFormat="1" x14ac:dyDescent="0.35">
      <c r="A360" s="96">
        <v>1</v>
      </c>
      <c r="B360" s="96" t="s">
        <v>389</v>
      </c>
      <c r="C360" s="96" t="s">
        <v>384</v>
      </c>
      <c r="D360" s="98">
        <f>(116.62)*10.764-E360</f>
        <v>1186.731</v>
      </c>
      <c r="E360" s="98">
        <f>(3.5*1.82)*10.764</f>
        <v>68.566679999999991</v>
      </c>
      <c r="F360" s="96">
        <f>D360+E360</f>
        <v>1255.2976799999999</v>
      </c>
      <c r="G360" s="96">
        <v>0</v>
      </c>
      <c r="H360" s="96">
        <f>F360*(($H$137)+1)+(IF(G360&lt;101,G360,IF(G360&lt;201,G360/2,IF(G360&lt;=301,G360/3,G360/4))))</f>
        <v>1882.94652</v>
      </c>
      <c r="I360" s="36"/>
      <c r="N360" s="36"/>
    </row>
    <row r="361" spans="1:14" s="109" customFormat="1" ht="15.75" customHeight="1" x14ac:dyDescent="0.35">
      <c r="A361" s="96">
        <f t="shared" ref="A361" si="97">A360+1</f>
        <v>2</v>
      </c>
      <c r="B361" s="108" t="s">
        <v>387</v>
      </c>
      <c r="C361" s="96" t="s">
        <v>383</v>
      </c>
      <c r="D361" s="98">
        <f>(151.32)*10.764-E361</f>
        <v>1499.5113119999999</v>
      </c>
      <c r="E361" s="98">
        <f>(6.6*1.82)*10.764</f>
        <v>129.297168</v>
      </c>
      <c r="F361" s="96">
        <f>D361+E361</f>
        <v>1628.8084799999999</v>
      </c>
      <c r="G361" s="96">
        <v>0</v>
      </c>
      <c r="H361" s="96">
        <f>F361*(($H$137)+1)+(IF(G361&lt;101,G361,IF(G361&lt;201,G361/2,IF(G361&lt;=301,G361/3,G361/4))))</f>
        <v>2443.21272</v>
      </c>
      <c r="I361" s="36"/>
      <c r="N361" s="36"/>
    </row>
    <row r="362" spans="1:14" s="109" customFormat="1" ht="15.75" customHeight="1" x14ac:dyDescent="0.35">
      <c r="A362" s="96">
        <f>A361+1</f>
        <v>3</v>
      </c>
      <c r="B362" s="108" t="s">
        <v>387</v>
      </c>
      <c r="C362" s="96" t="s">
        <v>384</v>
      </c>
      <c r="D362" s="98">
        <f>95.27*10.764-E362</f>
        <v>969.16257359999986</v>
      </c>
      <c r="E362" s="96">
        <f>(3.42*1.53)*10.764</f>
        <v>56.323706399999992</v>
      </c>
      <c r="F362" s="96">
        <f t="shared" ref="F362:F363" si="98">D362+E362</f>
        <v>1025.4862799999999</v>
      </c>
      <c r="G362" s="96">
        <v>0</v>
      </c>
      <c r="H362" s="96">
        <f t="shared" ref="H362:H363" si="99">F362*(($H$137)+1)+(IF(G362&lt;101,G362,IF(G362&lt;201,G362/2,IF(G362&lt;=301,G362/3,G362/4))))</f>
        <v>1538.2294199999997</v>
      </c>
      <c r="I362" s="36"/>
      <c r="L362" s="115"/>
      <c r="M362" s="115"/>
      <c r="N362" s="36"/>
    </row>
    <row r="363" spans="1:14" s="109" customFormat="1" ht="15.75" customHeight="1" x14ac:dyDescent="0.35">
      <c r="A363" s="96">
        <f>A362+1</f>
        <v>4</v>
      </c>
      <c r="B363" s="108" t="s">
        <v>387</v>
      </c>
      <c r="C363" s="96" t="s">
        <v>473</v>
      </c>
      <c r="D363" s="98">
        <f>78.87*10.764-E363</f>
        <v>793.9504872</v>
      </c>
      <c r="E363" s="96">
        <f>(3.34*1.53)*10.764</f>
        <v>55.006192799999994</v>
      </c>
      <c r="F363" s="96">
        <f t="shared" si="98"/>
        <v>848.95668000000001</v>
      </c>
      <c r="G363" s="96">
        <v>0</v>
      </c>
      <c r="H363" s="96">
        <f t="shared" si="99"/>
        <v>1273.4350199999999</v>
      </c>
      <c r="I363" s="36"/>
      <c r="L363" s="115"/>
      <c r="M363" s="115"/>
      <c r="N363" s="36"/>
    </row>
    <row r="364" spans="1:14" s="109" customFormat="1" ht="32.15" customHeight="1" x14ac:dyDescent="0.35">
      <c r="A364" s="143" t="s">
        <v>448</v>
      </c>
      <c r="B364" s="144"/>
      <c r="C364" s="144"/>
      <c r="D364" s="144"/>
      <c r="E364" s="144"/>
      <c r="F364" s="144"/>
      <c r="G364" s="144"/>
      <c r="H364" s="145"/>
      <c r="I364" s="36"/>
      <c r="L364" s="115"/>
      <c r="M364" s="115"/>
    </row>
    <row r="365" spans="1:14" s="109" customFormat="1" x14ac:dyDescent="0.35">
      <c r="A365" s="96">
        <v>1</v>
      </c>
      <c r="B365" s="108" t="s">
        <v>387</v>
      </c>
      <c r="C365" s="96" t="s">
        <v>384</v>
      </c>
      <c r="D365" s="98">
        <f>(116.62)*10.764-E365</f>
        <v>1186.731</v>
      </c>
      <c r="E365" s="98">
        <f>(3.5*1.82)*10.764</f>
        <v>68.566679999999991</v>
      </c>
      <c r="F365" s="96">
        <f>D365+E365</f>
        <v>1255.2976799999999</v>
      </c>
      <c r="G365" s="96">
        <v>0</v>
      </c>
      <c r="H365" s="96">
        <f>F365*(($H$137)+1)+(IF(G365&lt;101,G365,IF(G365&lt;201,G365/2,IF(G365&lt;=301,G365/3,G365/4))))</f>
        <v>1882.94652</v>
      </c>
      <c r="I365" s="36"/>
      <c r="N365" s="36"/>
    </row>
    <row r="366" spans="1:14" s="109" customFormat="1" ht="15.75" customHeight="1" x14ac:dyDescent="0.35">
      <c r="A366" s="96">
        <f t="shared" ref="A366" si="100">A365+1</f>
        <v>2</v>
      </c>
      <c r="B366" s="108" t="s">
        <v>387</v>
      </c>
      <c r="C366" s="96" t="s">
        <v>383</v>
      </c>
      <c r="D366" s="98">
        <f>(151.32)*10.764-E366</f>
        <v>1499.5113119999999</v>
      </c>
      <c r="E366" s="98">
        <f>(6.6*1.82)*10.764</f>
        <v>129.297168</v>
      </c>
      <c r="F366" s="96">
        <f>D366+E366</f>
        <v>1628.8084799999999</v>
      </c>
      <c r="G366" s="96">
        <v>0</v>
      </c>
      <c r="H366" s="96">
        <f>F366*(($H$137)+1)+(IF(G366&lt;101,G366,IF(G366&lt;201,G366/2,IF(G366&lt;=301,G366/3,G366/4))))</f>
        <v>2443.21272</v>
      </c>
      <c r="I366" s="36"/>
      <c r="N366" s="36"/>
    </row>
    <row r="367" spans="1:14" s="109" customFormat="1" ht="15.75" customHeight="1" x14ac:dyDescent="0.35">
      <c r="A367" s="96">
        <f>A366+1</f>
        <v>3</v>
      </c>
      <c r="B367" s="96" t="s">
        <v>389</v>
      </c>
      <c r="C367" s="96" t="s">
        <v>384</v>
      </c>
      <c r="D367" s="98">
        <f>95.27*10.764-E367</f>
        <v>969.16257359999986</v>
      </c>
      <c r="E367" s="96">
        <f>(3.42*1.53)*10.764</f>
        <v>56.323706399999992</v>
      </c>
      <c r="F367" s="96">
        <f t="shared" ref="F367:F368" si="101">D367+E367</f>
        <v>1025.4862799999999</v>
      </c>
      <c r="G367" s="96">
        <v>0</v>
      </c>
      <c r="H367" s="96">
        <f t="shared" ref="H367:H368" si="102">F367*(($H$137)+1)+(IF(G367&lt;101,G367,IF(G367&lt;201,G367/2,IF(G367&lt;=301,G367/3,G367/4))))</f>
        <v>1538.2294199999997</v>
      </c>
      <c r="I367" s="36"/>
      <c r="L367" s="115"/>
      <c r="M367" s="115"/>
      <c r="N367" s="36"/>
    </row>
    <row r="368" spans="1:14" s="109" customFormat="1" ht="15.75" customHeight="1" x14ac:dyDescent="0.35">
      <c r="A368" s="96">
        <f>A367+1</f>
        <v>4</v>
      </c>
      <c r="B368" s="96" t="s">
        <v>389</v>
      </c>
      <c r="C368" s="96" t="s">
        <v>473</v>
      </c>
      <c r="D368" s="98">
        <f>78.87*10.764-E368</f>
        <v>793.9504872</v>
      </c>
      <c r="E368" s="96">
        <f>(3.34*1.53)*10.764</f>
        <v>55.006192799999994</v>
      </c>
      <c r="F368" s="96">
        <f t="shared" si="101"/>
        <v>848.95668000000001</v>
      </c>
      <c r="G368" s="96">
        <v>0</v>
      </c>
      <c r="H368" s="96">
        <f t="shared" si="102"/>
        <v>1273.4350199999999</v>
      </c>
      <c r="I368" s="36"/>
      <c r="L368" s="115"/>
      <c r="M368" s="115"/>
      <c r="N368" s="36"/>
    </row>
    <row r="369" spans="1:14" s="109" customFormat="1" ht="31.5" customHeight="1" x14ac:dyDescent="0.35">
      <c r="A369" s="143" t="s">
        <v>449</v>
      </c>
      <c r="B369" s="144"/>
      <c r="C369" s="144"/>
      <c r="D369" s="144"/>
      <c r="E369" s="144"/>
      <c r="F369" s="144"/>
      <c r="G369" s="144"/>
      <c r="H369" s="145"/>
      <c r="I369" s="36"/>
      <c r="L369" s="115"/>
      <c r="M369" s="115"/>
    </row>
    <row r="370" spans="1:14" s="109" customFormat="1" x14ac:dyDescent="0.35">
      <c r="A370" s="96">
        <v>1</v>
      </c>
      <c r="B370" s="108" t="s">
        <v>387</v>
      </c>
      <c r="C370" s="96" t="s">
        <v>384</v>
      </c>
      <c r="D370" s="98">
        <f>(116.62)*10.764-E370</f>
        <v>1186.731</v>
      </c>
      <c r="E370" s="98">
        <f>(3.5*1.82)*10.764</f>
        <v>68.566679999999991</v>
      </c>
      <c r="F370" s="96">
        <f>D370+E370</f>
        <v>1255.2976799999999</v>
      </c>
      <c r="G370" s="96">
        <v>0</v>
      </c>
      <c r="H370" s="96">
        <f>F370*(($H$137)+1)+(IF(G370&lt;101,G370,IF(G370&lt;201,G370/2,IF(G370&lt;=301,G370/3,G370/4))))</f>
        <v>1882.94652</v>
      </c>
      <c r="I370" s="36"/>
      <c r="N370" s="36"/>
    </row>
    <row r="371" spans="1:14" s="109" customFormat="1" ht="15.75" customHeight="1" x14ac:dyDescent="0.35">
      <c r="A371" s="96">
        <f t="shared" ref="A371" si="103">A370+1</f>
        <v>2</v>
      </c>
      <c r="B371" s="108" t="s">
        <v>387</v>
      </c>
      <c r="C371" s="96" t="s">
        <v>383</v>
      </c>
      <c r="D371" s="98">
        <f>(151.32)*10.764-E371</f>
        <v>1499.5113119999999</v>
      </c>
      <c r="E371" s="98">
        <f>(6.6*1.82)*10.764</f>
        <v>129.297168</v>
      </c>
      <c r="F371" s="96">
        <f>D371+E371</f>
        <v>1628.8084799999999</v>
      </c>
      <c r="G371" s="96">
        <v>0</v>
      </c>
      <c r="H371" s="96">
        <f>F371*(($H$137)+1)+(IF(G371&lt;101,G371,IF(G371&lt;201,G371/2,IF(G371&lt;=301,G371/3,G371/4))))</f>
        <v>2443.21272</v>
      </c>
      <c r="I371" s="36"/>
      <c r="N371" s="36"/>
    </row>
    <row r="372" spans="1:14" s="109" customFormat="1" ht="15.75" customHeight="1" x14ac:dyDescent="0.35">
      <c r="A372" s="96">
        <f>A371+1</f>
        <v>3</v>
      </c>
      <c r="B372" s="108" t="s">
        <v>387</v>
      </c>
      <c r="C372" s="96" t="s">
        <v>384</v>
      </c>
      <c r="D372" s="98">
        <f>95.27*10.764-E372</f>
        <v>969.16257359999986</v>
      </c>
      <c r="E372" s="96">
        <f>(3.42*1.53)*10.764</f>
        <v>56.323706399999992</v>
      </c>
      <c r="F372" s="96">
        <f t="shared" ref="F372:F373" si="104">D372+E372</f>
        <v>1025.4862799999999</v>
      </c>
      <c r="G372" s="96">
        <v>0</v>
      </c>
      <c r="H372" s="96">
        <f t="shared" ref="H372:H373" si="105">F372*(($H$137)+1)+(IF(G372&lt;101,G372,IF(G372&lt;201,G372/2,IF(G372&lt;=301,G372/3,G372/4))))</f>
        <v>1538.2294199999997</v>
      </c>
      <c r="I372" s="36"/>
      <c r="L372" s="115"/>
      <c r="M372" s="115"/>
      <c r="N372" s="36"/>
    </row>
    <row r="373" spans="1:14" s="109" customFormat="1" ht="15.75" customHeight="1" x14ac:dyDescent="0.35">
      <c r="A373" s="96">
        <f>A372+1</f>
        <v>4</v>
      </c>
      <c r="B373" s="96" t="s">
        <v>389</v>
      </c>
      <c r="C373" s="96" t="s">
        <v>473</v>
      </c>
      <c r="D373" s="98">
        <f>78.87*10.764-E373</f>
        <v>793.9504872</v>
      </c>
      <c r="E373" s="96">
        <f>(3.34*1.53)*10.764</f>
        <v>55.006192799999994</v>
      </c>
      <c r="F373" s="96">
        <f t="shared" si="104"/>
        <v>848.95668000000001</v>
      </c>
      <c r="G373" s="96">
        <v>0</v>
      </c>
      <c r="H373" s="96">
        <f t="shared" si="105"/>
        <v>1273.4350199999999</v>
      </c>
      <c r="I373" s="36"/>
      <c r="L373" s="115"/>
      <c r="M373" s="115"/>
      <c r="N373" s="36"/>
    </row>
    <row r="374" spans="1:14" s="109" customFormat="1" ht="32.15" customHeight="1" x14ac:dyDescent="0.35">
      <c r="A374" s="143" t="s">
        <v>463</v>
      </c>
      <c r="B374" s="144"/>
      <c r="C374" s="144"/>
      <c r="D374" s="144"/>
      <c r="E374" s="144"/>
      <c r="F374" s="144"/>
      <c r="G374" s="144"/>
      <c r="H374" s="145"/>
      <c r="I374" s="36"/>
      <c r="L374" s="115"/>
      <c r="M374" s="115"/>
    </row>
    <row r="375" spans="1:14" s="109" customFormat="1" x14ac:dyDescent="0.35">
      <c r="A375" s="96">
        <v>1</v>
      </c>
      <c r="B375" s="108" t="s">
        <v>387</v>
      </c>
      <c r="C375" s="96" t="s">
        <v>384</v>
      </c>
      <c r="D375" s="98">
        <f>(116.62)*10.764-E375</f>
        <v>1186.731</v>
      </c>
      <c r="E375" s="98">
        <f>(3.5*1.82)*10.764</f>
        <v>68.566679999999991</v>
      </c>
      <c r="F375" s="96">
        <f>D375+E375</f>
        <v>1255.2976799999999</v>
      </c>
      <c r="G375" s="96">
        <v>0</v>
      </c>
      <c r="H375" s="96">
        <f>F375*(($H$137)+1)+(IF(G375&lt;101,G375,IF(G375&lt;201,G375/2,IF(G375&lt;=301,G375/3,G375/4))))</f>
        <v>1882.94652</v>
      </c>
      <c r="I375" s="36"/>
      <c r="N375" s="36"/>
    </row>
    <row r="376" spans="1:14" s="109" customFormat="1" ht="15.75" customHeight="1" x14ac:dyDescent="0.35">
      <c r="A376" s="96">
        <f t="shared" ref="A376" si="106">A375+1</f>
        <v>2</v>
      </c>
      <c r="B376" s="108" t="s">
        <v>387</v>
      </c>
      <c r="C376" s="96" t="s">
        <v>383</v>
      </c>
      <c r="D376" s="98">
        <f>(151.32)*10.764-E376</f>
        <v>1499.5113119999999</v>
      </c>
      <c r="E376" s="98">
        <f>(6.6*1.82)*10.764</f>
        <v>129.297168</v>
      </c>
      <c r="F376" s="96">
        <f>D376+E376</f>
        <v>1628.8084799999999</v>
      </c>
      <c r="G376" s="96">
        <v>0</v>
      </c>
      <c r="H376" s="96">
        <f>F376*(($H$137)+1)+(IF(G376&lt;101,G376,IF(G376&lt;201,G376/2,IF(G376&lt;=301,G376/3,G376/4))))</f>
        <v>2443.21272</v>
      </c>
      <c r="I376" s="36"/>
      <c r="N376" s="36"/>
    </row>
    <row r="377" spans="1:14" s="109" customFormat="1" ht="15.75" customHeight="1" x14ac:dyDescent="0.35">
      <c r="A377" s="96">
        <f>A376+1</f>
        <v>3</v>
      </c>
      <c r="B377" s="108" t="s">
        <v>387</v>
      </c>
      <c r="C377" s="96" t="s">
        <v>384</v>
      </c>
      <c r="D377" s="98">
        <f>95.27*10.764-E377</f>
        <v>969.16257359999986</v>
      </c>
      <c r="E377" s="96">
        <f>(3.42*1.53)*10.764</f>
        <v>56.323706399999992</v>
      </c>
      <c r="F377" s="96">
        <f t="shared" ref="F377:F378" si="107">D377+E377</f>
        <v>1025.4862799999999</v>
      </c>
      <c r="G377" s="96">
        <v>0</v>
      </c>
      <c r="H377" s="96">
        <f t="shared" ref="H377:H378" si="108">F377*(($H$137)+1)+(IF(G377&lt;101,G377,IF(G377&lt;201,G377/2,IF(G377&lt;=301,G377/3,G377/4))))</f>
        <v>1538.2294199999997</v>
      </c>
      <c r="I377" s="36"/>
      <c r="L377" s="115"/>
      <c r="M377" s="115"/>
      <c r="N377" s="36"/>
    </row>
    <row r="378" spans="1:14" s="109" customFormat="1" ht="15.75" customHeight="1" x14ac:dyDescent="0.35">
      <c r="A378" s="96">
        <f>A377+1</f>
        <v>4</v>
      </c>
      <c r="B378" s="108" t="s">
        <v>387</v>
      </c>
      <c r="C378" s="96" t="s">
        <v>473</v>
      </c>
      <c r="D378" s="98">
        <f>78.87*10.764-E378</f>
        <v>793.9504872</v>
      </c>
      <c r="E378" s="96">
        <f>(3.34*1.53)*10.764</f>
        <v>55.006192799999994</v>
      </c>
      <c r="F378" s="96">
        <f t="shared" si="107"/>
        <v>848.95668000000001</v>
      </c>
      <c r="G378" s="96">
        <v>0</v>
      </c>
      <c r="H378" s="96">
        <f t="shared" si="108"/>
        <v>1273.4350199999999</v>
      </c>
      <c r="I378" s="36"/>
      <c r="L378" s="115"/>
      <c r="M378" s="115"/>
      <c r="N378" s="36"/>
    </row>
    <row r="379" spans="1:14" s="109" customFormat="1" ht="31.5" customHeight="1" x14ac:dyDescent="0.35">
      <c r="A379" s="143" t="s">
        <v>451</v>
      </c>
      <c r="B379" s="144"/>
      <c r="C379" s="144"/>
      <c r="D379" s="144"/>
      <c r="E379" s="144"/>
      <c r="F379" s="144"/>
      <c r="G379" s="144"/>
      <c r="H379" s="145"/>
      <c r="I379" s="36"/>
      <c r="L379" s="115"/>
      <c r="M379" s="115"/>
    </row>
    <row r="380" spans="1:14" s="109" customFormat="1" x14ac:dyDescent="0.35">
      <c r="A380" s="96">
        <v>1</v>
      </c>
      <c r="B380" s="108" t="s">
        <v>387</v>
      </c>
      <c r="C380" s="96" t="s">
        <v>384</v>
      </c>
      <c r="D380" s="98">
        <f>(116.62)*10.764-E380</f>
        <v>1186.731</v>
      </c>
      <c r="E380" s="98">
        <f>(3.5*1.82)*10.764</f>
        <v>68.566679999999991</v>
      </c>
      <c r="F380" s="96">
        <f>D380+E380</f>
        <v>1255.2976799999999</v>
      </c>
      <c r="G380" s="96">
        <v>0</v>
      </c>
      <c r="H380" s="96">
        <f>F380*(($H$137)+1)+(IF(G380&lt;101,G380,IF(G380&lt;201,G380/2,IF(G380&lt;=301,G380/3,G380/4))))</f>
        <v>1882.94652</v>
      </c>
      <c r="I380" s="36"/>
      <c r="N380" s="36"/>
    </row>
    <row r="381" spans="1:14" s="109" customFormat="1" ht="15.75" customHeight="1" x14ac:dyDescent="0.35">
      <c r="A381" s="96">
        <f t="shared" ref="A381" si="109">A380+1</f>
        <v>2</v>
      </c>
      <c r="B381" s="108" t="s">
        <v>387</v>
      </c>
      <c r="C381" s="96" t="s">
        <v>383</v>
      </c>
      <c r="D381" s="98">
        <f>(151.32)*10.764-E381</f>
        <v>1499.5113119999999</v>
      </c>
      <c r="E381" s="98">
        <f>(6.6*1.82)*10.764</f>
        <v>129.297168</v>
      </c>
      <c r="F381" s="96">
        <f>D381+E381</f>
        <v>1628.8084799999999</v>
      </c>
      <c r="G381" s="96">
        <v>0</v>
      </c>
      <c r="H381" s="96">
        <f>F381*(($H$137)+1)+(IF(G381&lt;101,G381,IF(G381&lt;201,G381/2,IF(G381&lt;=301,G381/3,G381/4))))</f>
        <v>2443.21272</v>
      </c>
      <c r="I381" s="36"/>
      <c r="N381" s="36"/>
    </row>
    <row r="382" spans="1:14" s="109" customFormat="1" ht="15.75" customHeight="1" x14ac:dyDescent="0.35">
      <c r="A382" s="96">
        <f>A381+1</f>
        <v>3</v>
      </c>
      <c r="B382" s="108" t="s">
        <v>387</v>
      </c>
      <c r="C382" s="96" t="s">
        <v>384</v>
      </c>
      <c r="D382" s="98">
        <f>95.27*10.764-E382</f>
        <v>969.16257359999986</v>
      </c>
      <c r="E382" s="96">
        <f>(3.42*1.53)*10.764</f>
        <v>56.323706399999992</v>
      </c>
      <c r="F382" s="96">
        <f t="shared" ref="F382:F383" si="110">D382+E382</f>
        <v>1025.4862799999999</v>
      </c>
      <c r="G382" s="96">
        <v>0</v>
      </c>
      <c r="H382" s="96">
        <f t="shared" ref="H382:H383" si="111">F382*(($H$137)+1)+(IF(G382&lt;101,G382,IF(G382&lt;201,G382/2,IF(G382&lt;=301,G382/3,G382/4))))</f>
        <v>1538.2294199999997</v>
      </c>
      <c r="I382" s="36"/>
      <c r="L382" s="115"/>
      <c r="M382" s="115"/>
      <c r="N382" s="36"/>
    </row>
    <row r="383" spans="1:14" s="109" customFormat="1" ht="15.75" customHeight="1" x14ac:dyDescent="0.35">
      <c r="A383" s="96">
        <f>A382+1</f>
        <v>4</v>
      </c>
      <c r="B383" s="96" t="s">
        <v>389</v>
      </c>
      <c r="C383" s="96" t="s">
        <v>473</v>
      </c>
      <c r="D383" s="98">
        <f>78.87*10.764-E383</f>
        <v>793.9504872</v>
      </c>
      <c r="E383" s="96">
        <f>(3.34*1.53)*10.764</f>
        <v>55.006192799999994</v>
      </c>
      <c r="F383" s="96">
        <f t="shared" si="110"/>
        <v>848.95668000000001</v>
      </c>
      <c r="G383" s="96">
        <v>0</v>
      </c>
      <c r="H383" s="96">
        <f t="shared" si="111"/>
        <v>1273.4350199999999</v>
      </c>
      <c r="I383" s="36"/>
      <c r="L383" s="115"/>
      <c r="M383" s="115"/>
      <c r="N383" s="36"/>
    </row>
    <row r="384" spans="1:14" s="109" customFormat="1" ht="31" customHeight="1" x14ac:dyDescent="0.35">
      <c r="A384" s="266" t="s">
        <v>464</v>
      </c>
      <c r="B384" s="267"/>
      <c r="C384" s="267"/>
      <c r="D384" s="267"/>
      <c r="E384" s="267"/>
      <c r="F384" s="267"/>
      <c r="G384" s="267"/>
      <c r="H384" s="268"/>
      <c r="I384" s="36"/>
      <c r="L384" s="115"/>
      <c r="M384" s="115"/>
    </row>
    <row r="385" spans="1:14" s="109" customFormat="1" x14ac:dyDescent="0.35">
      <c r="A385" s="96">
        <v>1</v>
      </c>
      <c r="B385" s="96" t="s">
        <v>389</v>
      </c>
      <c r="C385" s="96" t="s">
        <v>384</v>
      </c>
      <c r="D385" s="98">
        <f>(116.62)*10.764-E385</f>
        <v>1186.731</v>
      </c>
      <c r="E385" s="98">
        <f>(3.5*1.82)*10.764</f>
        <v>68.566679999999991</v>
      </c>
      <c r="F385" s="96">
        <f>D385+E385</f>
        <v>1255.2976799999999</v>
      </c>
      <c r="G385" s="96">
        <v>0</v>
      </c>
      <c r="H385" s="96">
        <f>F385*(($H$137)+1)+(IF(G385&lt;101,G385,IF(G385&lt;201,G385/2,IF(G385&lt;=301,G385/3,G385/4))))</f>
        <v>1882.94652</v>
      </c>
      <c r="I385" s="36"/>
      <c r="N385" s="36"/>
    </row>
    <row r="386" spans="1:14" s="109" customFormat="1" ht="15.75" customHeight="1" x14ac:dyDescent="0.35">
      <c r="A386" s="96">
        <f t="shared" ref="A386" si="112">A385+1</f>
        <v>2</v>
      </c>
      <c r="B386" s="108" t="s">
        <v>387</v>
      </c>
      <c r="C386" s="96" t="s">
        <v>383</v>
      </c>
      <c r="D386" s="98">
        <f>(151.32)*10.764-E386</f>
        <v>1499.5113119999999</v>
      </c>
      <c r="E386" s="98">
        <f>(6.6*1.82)*10.764</f>
        <v>129.297168</v>
      </c>
      <c r="F386" s="96">
        <f>D386+E386</f>
        <v>1628.8084799999999</v>
      </c>
      <c r="G386" s="96">
        <v>0</v>
      </c>
      <c r="H386" s="96">
        <f>F386*(($H$137)+1)+(IF(G386&lt;101,G386,IF(G386&lt;201,G386/2,IF(G386&lt;=301,G386/3,G386/4))))</f>
        <v>2443.21272</v>
      </c>
      <c r="I386" s="36"/>
      <c r="N386" s="36"/>
    </row>
    <row r="387" spans="1:14" s="109" customFormat="1" ht="15.75" customHeight="1" x14ac:dyDescent="0.35">
      <c r="A387" s="96">
        <f>A386+1</f>
        <v>3</v>
      </c>
      <c r="B387" s="108" t="s">
        <v>387</v>
      </c>
      <c r="C387" s="96" t="s">
        <v>384</v>
      </c>
      <c r="D387" s="98">
        <f>95.27*10.764-E387</f>
        <v>969.16257359999986</v>
      </c>
      <c r="E387" s="96">
        <f>(3.42*1.53)*10.764</f>
        <v>56.323706399999992</v>
      </c>
      <c r="F387" s="96">
        <f t="shared" ref="F387:F388" si="113">D387+E387</f>
        <v>1025.4862799999999</v>
      </c>
      <c r="G387" s="96">
        <v>0</v>
      </c>
      <c r="H387" s="96">
        <f t="shared" ref="H387:H388" si="114">F387*(($H$137)+1)+(IF(G387&lt;101,G387,IF(G387&lt;201,G387/2,IF(G387&lt;=301,G387/3,G387/4))))</f>
        <v>1538.2294199999997</v>
      </c>
      <c r="I387" s="36"/>
      <c r="L387" s="115"/>
      <c r="M387" s="115"/>
      <c r="N387" s="36"/>
    </row>
    <row r="388" spans="1:14" s="109" customFormat="1" ht="15.75" customHeight="1" x14ac:dyDescent="0.35">
      <c r="A388" s="96">
        <f>A387+1</f>
        <v>4</v>
      </c>
      <c r="B388" s="96" t="s">
        <v>389</v>
      </c>
      <c r="C388" s="96" t="s">
        <v>473</v>
      </c>
      <c r="D388" s="98">
        <f>78.87*10.764-E388</f>
        <v>793.9504872</v>
      </c>
      <c r="E388" s="96">
        <f>(3.34*1.53)*10.764</f>
        <v>55.006192799999994</v>
      </c>
      <c r="F388" s="96">
        <f t="shared" si="113"/>
        <v>848.95668000000001</v>
      </c>
      <c r="G388" s="96">
        <v>0</v>
      </c>
      <c r="H388" s="96">
        <f t="shared" si="114"/>
        <v>1273.4350199999999</v>
      </c>
      <c r="I388" s="36"/>
      <c r="L388" s="115"/>
      <c r="M388" s="115"/>
      <c r="N388" s="36"/>
    </row>
    <row r="389" spans="1:14" s="109" customFormat="1" ht="34" customHeight="1" x14ac:dyDescent="0.35">
      <c r="A389" s="143" t="s">
        <v>454</v>
      </c>
      <c r="B389" s="144"/>
      <c r="C389" s="144"/>
      <c r="D389" s="144"/>
      <c r="E389" s="144"/>
      <c r="F389" s="144"/>
      <c r="G389" s="144"/>
      <c r="H389" s="145"/>
      <c r="I389" s="36"/>
      <c r="L389" s="115"/>
      <c r="M389" s="115"/>
    </row>
    <row r="390" spans="1:14" s="109" customFormat="1" x14ac:dyDescent="0.35">
      <c r="A390" s="96">
        <v>1</v>
      </c>
      <c r="B390" s="108" t="s">
        <v>387</v>
      </c>
      <c r="C390" s="96" t="s">
        <v>384</v>
      </c>
      <c r="D390" s="98">
        <f>(116.62)*10.764-E390</f>
        <v>1186.731</v>
      </c>
      <c r="E390" s="98">
        <f>(3.5*1.82)*10.764</f>
        <v>68.566679999999991</v>
      </c>
      <c r="F390" s="96">
        <f>D390+E390</f>
        <v>1255.2976799999999</v>
      </c>
      <c r="G390" s="96">
        <v>0</v>
      </c>
      <c r="H390" s="96">
        <f>F390*(($H$137)+1)+(IF(G390&lt;101,G390,IF(G390&lt;201,G390/2,IF(G390&lt;=301,G390/3,G390/4))))</f>
        <v>1882.94652</v>
      </c>
      <c r="I390" s="36"/>
      <c r="N390" s="36"/>
    </row>
    <row r="391" spans="1:14" s="109" customFormat="1" ht="15.75" customHeight="1" x14ac:dyDescent="0.35">
      <c r="A391" s="96">
        <f t="shared" ref="A391" si="115">A390+1</f>
        <v>2</v>
      </c>
      <c r="B391" s="108" t="s">
        <v>387</v>
      </c>
      <c r="C391" s="96" t="s">
        <v>383</v>
      </c>
      <c r="D391" s="98">
        <f>(151.32)*10.764-E391</f>
        <v>1499.5113119999999</v>
      </c>
      <c r="E391" s="98">
        <f>(6.6*1.82)*10.764</f>
        <v>129.297168</v>
      </c>
      <c r="F391" s="96">
        <f>D391+E391</f>
        <v>1628.8084799999999</v>
      </c>
      <c r="G391" s="96">
        <v>0</v>
      </c>
      <c r="H391" s="96">
        <f>F391*(($H$137)+1)+(IF(G391&lt;101,G391,IF(G391&lt;201,G391/2,IF(G391&lt;=301,G391/3,G391/4))))</f>
        <v>2443.21272</v>
      </c>
      <c r="I391" s="36"/>
      <c r="N391" s="36"/>
    </row>
    <row r="392" spans="1:14" s="109" customFormat="1" ht="15.75" customHeight="1" x14ac:dyDescent="0.35">
      <c r="A392" s="96">
        <f>A391+1</f>
        <v>3</v>
      </c>
      <c r="B392" s="108" t="s">
        <v>387</v>
      </c>
      <c r="C392" s="96" t="s">
        <v>384</v>
      </c>
      <c r="D392" s="98">
        <f>95.27*10.764-E392</f>
        <v>969.16257359999986</v>
      </c>
      <c r="E392" s="96">
        <f>(3.42*1.53)*10.764</f>
        <v>56.323706399999992</v>
      </c>
      <c r="F392" s="96">
        <f t="shared" ref="F392:F393" si="116">D392+E392</f>
        <v>1025.4862799999999</v>
      </c>
      <c r="G392" s="96">
        <v>0</v>
      </c>
      <c r="H392" s="96">
        <f t="shared" ref="H392:H393" si="117">F392*(($H$137)+1)+(IF(G392&lt;101,G392,IF(G392&lt;201,G392/2,IF(G392&lt;=301,G392/3,G392/4))))</f>
        <v>1538.2294199999997</v>
      </c>
      <c r="I392" s="36"/>
      <c r="L392" s="115"/>
      <c r="M392" s="115"/>
      <c r="N392" s="36"/>
    </row>
    <row r="393" spans="1:14" s="109" customFormat="1" ht="15.75" customHeight="1" x14ac:dyDescent="0.35">
      <c r="A393" s="96">
        <f>A392+1</f>
        <v>4</v>
      </c>
      <c r="B393" s="96" t="s">
        <v>389</v>
      </c>
      <c r="C393" s="96" t="s">
        <v>473</v>
      </c>
      <c r="D393" s="98">
        <f>78.87*10.764-E393</f>
        <v>793.9504872</v>
      </c>
      <c r="E393" s="96">
        <f>(3.34*1.53)*10.764</f>
        <v>55.006192799999994</v>
      </c>
      <c r="F393" s="96">
        <f t="shared" si="116"/>
        <v>848.95668000000001</v>
      </c>
      <c r="G393" s="96">
        <v>0</v>
      </c>
      <c r="H393" s="96">
        <f t="shared" si="117"/>
        <v>1273.4350199999999</v>
      </c>
      <c r="I393" s="36"/>
      <c r="L393" s="115"/>
      <c r="M393" s="115"/>
      <c r="N393" s="36"/>
    </row>
    <row r="394" spans="1:14" s="109" customFormat="1" ht="34" customHeight="1" x14ac:dyDescent="0.35">
      <c r="A394" s="143" t="s">
        <v>465</v>
      </c>
      <c r="B394" s="144"/>
      <c r="C394" s="144"/>
      <c r="D394" s="144"/>
      <c r="E394" s="144"/>
      <c r="F394" s="144"/>
      <c r="G394" s="144"/>
      <c r="H394" s="145"/>
      <c r="I394" s="36"/>
      <c r="L394" s="115"/>
      <c r="M394" s="115"/>
    </row>
    <row r="395" spans="1:14" s="109" customFormat="1" x14ac:dyDescent="0.35">
      <c r="A395" s="96">
        <v>1</v>
      </c>
      <c r="B395" s="108" t="s">
        <v>387</v>
      </c>
      <c r="C395" s="96" t="s">
        <v>384</v>
      </c>
      <c r="D395" s="98">
        <f>(116.62)*10.764-E395</f>
        <v>1186.731</v>
      </c>
      <c r="E395" s="98">
        <f>(3.5*1.82)*10.764</f>
        <v>68.566679999999991</v>
      </c>
      <c r="F395" s="96">
        <f>D395+E395</f>
        <v>1255.2976799999999</v>
      </c>
      <c r="G395" s="96">
        <v>0</v>
      </c>
      <c r="H395" s="96">
        <f>F395*(($H$137)+1)+(IF(G395&lt;101,G395,IF(G395&lt;201,G395/2,IF(G395&lt;=301,G395/3,G395/4))))</f>
        <v>1882.94652</v>
      </c>
      <c r="I395" s="36"/>
      <c r="N395" s="36"/>
    </row>
    <row r="396" spans="1:14" s="109" customFormat="1" ht="15.75" customHeight="1" x14ac:dyDescent="0.35">
      <c r="A396" s="96">
        <f t="shared" ref="A396" si="118">A395+1</f>
        <v>2</v>
      </c>
      <c r="B396" s="108" t="s">
        <v>387</v>
      </c>
      <c r="C396" s="96" t="s">
        <v>383</v>
      </c>
      <c r="D396" s="98">
        <f>(151.32)*10.764-E396</f>
        <v>1499.5113119999999</v>
      </c>
      <c r="E396" s="98">
        <f>(6.6*1.82)*10.764</f>
        <v>129.297168</v>
      </c>
      <c r="F396" s="96">
        <f>D396+E396</f>
        <v>1628.8084799999999</v>
      </c>
      <c r="G396" s="96">
        <v>0</v>
      </c>
      <c r="H396" s="96">
        <f>F396*(($H$137)+1)+(IF(G396&lt;101,G396,IF(G396&lt;201,G396/2,IF(G396&lt;=301,G396/3,G396/4))))</f>
        <v>2443.21272</v>
      </c>
      <c r="I396" s="36"/>
      <c r="N396" s="36"/>
    </row>
    <row r="397" spans="1:14" s="109" customFormat="1" ht="15.75" customHeight="1" x14ac:dyDescent="0.35">
      <c r="A397" s="96">
        <f>A396+1</f>
        <v>3</v>
      </c>
      <c r="B397" s="108" t="s">
        <v>387</v>
      </c>
      <c r="C397" s="96" t="s">
        <v>384</v>
      </c>
      <c r="D397" s="98">
        <f>95.27*10.764-E397</f>
        <v>969.16257359999986</v>
      </c>
      <c r="E397" s="96">
        <f>(3.42*1.53)*10.764</f>
        <v>56.323706399999992</v>
      </c>
      <c r="F397" s="96">
        <f t="shared" ref="F397:F398" si="119">D397+E397</f>
        <v>1025.4862799999999</v>
      </c>
      <c r="G397" s="96">
        <v>0</v>
      </c>
      <c r="H397" s="96">
        <f t="shared" ref="H397:H398" si="120">F397*(($H$137)+1)+(IF(G397&lt;101,G397,IF(G397&lt;201,G397/2,IF(G397&lt;=301,G397/3,G397/4))))</f>
        <v>1538.2294199999997</v>
      </c>
      <c r="I397" s="36"/>
      <c r="L397" s="115"/>
      <c r="M397" s="115"/>
      <c r="N397" s="36"/>
    </row>
    <row r="398" spans="1:14" s="109" customFormat="1" ht="15.75" customHeight="1" x14ac:dyDescent="0.35">
      <c r="A398" s="96">
        <f>A397+1</f>
        <v>4</v>
      </c>
      <c r="B398" s="108" t="s">
        <v>387</v>
      </c>
      <c r="C398" s="96" t="s">
        <v>473</v>
      </c>
      <c r="D398" s="98">
        <f>78.87*10.764-E398</f>
        <v>793.9504872</v>
      </c>
      <c r="E398" s="96">
        <f>(3.34*1.53)*10.764</f>
        <v>55.006192799999994</v>
      </c>
      <c r="F398" s="96">
        <f t="shared" si="119"/>
        <v>848.95668000000001</v>
      </c>
      <c r="G398" s="96">
        <v>0</v>
      </c>
      <c r="H398" s="96">
        <f t="shared" si="120"/>
        <v>1273.4350199999999</v>
      </c>
      <c r="I398" s="36"/>
      <c r="L398" s="115"/>
      <c r="M398" s="115"/>
      <c r="N398" s="36"/>
    </row>
    <row r="399" spans="1:14" s="109" customFormat="1" ht="33.65" customHeight="1" x14ac:dyDescent="0.35">
      <c r="A399" s="143" t="s">
        <v>456</v>
      </c>
      <c r="B399" s="144"/>
      <c r="C399" s="144"/>
      <c r="D399" s="144"/>
      <c r="E399" s="144"/>
      <c r="F399" s="144"/>
      <c r="G399" s="144"/>
      <c r="H399" s="145"/>
      <c r="I399" s="36"/>
      <c r="L399" s="115"/>
      <c r="M399" s="115"/>
    </row>
    <row r="400" spans="1:14" s="109" customFormat="1" x14ac:dyDescent="0.35">
      <c r="A400" s="96">
        <v>1</v>
      </c>
      <c r="B400" s="146" t="s">
        <v>385</v>
      </c>
      <c r="C400" s="147"/>
      <c r="D400" s="147"/>
      <c r="E400" s="147"/>
      <c r="F400" s="147"/>
      <c r="G400" s="147"/>
      <c r="H400" s="148"/>
      <c r="I400" s="36"/>
      <c r="N400" s="36"/>
    </row>
    <row r="401" spans="1:20" s="109" customFormat="1" ht="15.75" customHeight="1" x14ac:dyDescent="0.35">
      <c r="A401" s="96">
        <f t="shared" ref="A401" si="121">A400+1</f>
        <v>2</v>
      </c>
      <c r="B401" s="108" t="s">
        <v>387</v>
      </c>
      <c r="C401" s="96" t="s">
        <v>383</v>
      </c>
      <c r="D401" s="98">
        <f>(151.32)*10.764-E401</f>
        <v>1499.5113119999999</v>
      </c>
      <c r="E401" s="98">
        <f>(6.6*1.82)*10.764</f>
        <v>129.297168</v>
      </c>
      <c r="F401" s="96">
        <f>D401+E401</f>
        <v>1628.8084799999999</v>
      </c>
      <c r="G401" s="96">
        <v>0</v>
      </c>
      <c r="H401" s="96">
        <f>F401*(($H$137)+1)+(IF(G401&lt;101,G401,IF(G401&lt;201,G401/2,IF(G401&lt;=301,G401/3,G401/4))))</f>
        <v>2443.21272</v>
      </c>
      <c r="I401" s="36"/>
      <c r="N401" s="36"/>
    </row>
    <row r="402" spans="1:20" s="109" customFormat="1" ht="15.75" customHeight="1" x14ac:dyDescent="0.35">
      <c r="A402" s="96">
        <f>A401+1</f>
        <v>3</v>
      </c>
      <c r="B402" s="108" t="s">
        <v>387</v>
      </c>
      <c r="C402" s="96" t="s">
        <v>384</v>
      </c>
      <c r="D402" s="98">
        <f>95.27*10.764-E402</f>
        <v>969.16257359999986</v>
      </c>
      <c r="E402" s="96">
        <f>(3.42*1.53)*10.764</f>
        <v>56.323706399999992</v>
      </c>
      <c r="F402" s="96">
        <f t="shared" ref="F402:F403" si="122">D402+E402</f>
        <v>1025.4862799999999</v>
      </c>
      <c r="G402" s="96">
        <v>0</v>
      </c>
      <c r="H402" s="96">
        <f t="shared" ref="H402:H403" si="123">F402*(($H$137)+1)+(IF(G402&lt;101,G402,IF(G402&lt;201,G402/2,IF(G402&lt;=301,G402/3,G402/4))))</f>
        <v>1538.2294199999997</v>
      </c>
      <c r="I402" s="36"/>
      <c r="L402" s="115"/>
      <c r="M402" s="115"/>
      <c r="N402" s="36"/>
    </row>
    <row r="403" spans="1:20" s="109" customFormat="1" ht="15.75" customHeight="1" x14ac:dyDescent="0.35">
      <c r="A403" s="96">
        <f>A402+1</f>
        <v>4</v>
      </c>
      <c r="B403" s="96" t="s">
        <v>389</v>
      </c>
      <c r="C403" s="96" t="s">
        <v>473</v>
      </c>
      <c r="D403" s="98">
        <f>78.87*10.764-E403</f>
        <v>793.9504872</v>
      </c>
      <c r="E403" s="96">
        <f>(3.34*1.53)*10.764</f>
        <v>55.006192799999994</v>
      </c>
      <c r="F403" s="96">
        <f t="shared" si="122"/>
        <v>848.95668000000001</v>
      </c>
      <c r="G403" s="96">
        <v>0</v>
      </c>
      <c r="H403" s="96">
        <f t="shared" si="123"/>
        <v>1273.4350199999999</v>
      </c>
      <c r="I403" s="36"/>
      <c r="L403" s="115"/>
      <c r="M403" s="115"/>
      <c r="N403" s="36"/>
    </row>
    <row r="404" spans="1:20" s="109" customFormat="1" ht="32.5" customHeight="1" x14ac:dyDescent="0.35">
      <c r="A404" s="143" t="s">
        <v>457</v>
      </c>
      <c r="B404" s="144"/>
      <c r="C404" s="144"/>
      <c r="D404" s="144"/>
      <c r="E404" s="144"/>
      <c r="F404" s="144"/>
      <c r="G404" s="144"/>
      <c r="H404" s="145"/>
      <c r="I404" s="36"/>
      <c r="L404" s="115"/>
      <c r="M404" s="115"/>
    </row>
    <row r="405" spans="1:20" s="109" customFormat="1" x14ac:dyDescent="0.35">
      <c r="A405" s="96">
        <v>1</v>
      </c>
      <c r="B405" s="146" t="s">
        <v>385</v>
      </c>
      <c r="C405" s="147"/>
      <c r="D405" s="147"/>
      <c r="E405" s="147"/>
      <c r="F405" s="147"/>
      <c r="G405" s="147"/>
      <c r="H405" s="148"/>
      <c r="I405" s="36"/>
      <c r="N405" s="36"/>
    </row>
    <row r="406" spans="1:20" s="109" customFormat="1" ht="15.75" customHeight="1" x14ac:dyDescent="0.35">
      <c r="A406" s="96">
        <f t="shared" ref="A406" si="124">A405+1</f>
        <v>2</v>
      </c>
      <c r="B406" s="108" t="s">
        <v>387</v>
      </c>
      <c r="C406" s="96" t="s">
        <v>383</v>
      </c>
      <c r="D406" s="98">
        <f>(151.32)*10.764-E406</f>
        <v>1499.5113119999999</v>
      </c>
      <c r="E406" s="98">
        <f>(6.6*1.82)*10.764</f>
        <v>129.297168</v>
      </c>
      <c r="F406" s="96">
        <f>D406+E406</f>
        <v>1628.8084799999999</v>
      </c>
      <c r="G406" s="96">
        <v>0</v>
      </c>
      <c r="H406" s="96">
        <f>F406*(($H$137)+1)+(IF(G406&lt;101,G406,IF(G406&lt;201,G406/2,IF(G406&lt;=301,G406/3,G406/4))))</f>
        <v>2443.21272</v>
      </c>
      <c r="I406" s="36"/>
      <c r="N406" s="36"/>
    </row>
    <row r="407" spans="1:20" s="109" customFormat="1" ht="15.75" customHeight="1" x14ac:dyDescent="0.35">
      <c r="A407" s="96">
        <f>A406+1</f>
        <v>3</v>
      </c>
      <c r="B407" s="108" t="s">
        <v>387</v>
      </c>
      <c r="C407" s="96" t="s">
        <v>384</v>
      </c>
      <c r="D407" s="98">
        <f>95.27*10.764-E407</f>
        <v>969.16257359999986</v>
      </c>
      <c r="E407" s="96">
        <f>(3.42*1.53)*10.764</f>
        <v>56.323706399999992</v>
      </c>
      <c r="F407" s="96">
        <f t="shared" ref="F407:F408" si="125">D407+E407</f>
        <v>1025.4862799999999</v>
      </c>
      <c r="G407" s="96">
        <v>0</v>
      </c>
      <c r="H407" s="96">
        <f t="shared" ref="H407:H408" si="126">F407*(($H$137)+1)+(IF(G407&lt;101,G407,IF(G407&lt;201,G407/2,IF(G407&lt;=301,G407/3,G407/4))))</f>
        <v>1538.2294199999997</v>
      </c>
      <c r="I407" s="36"/>
      <c r="L407" s="115"/>
      <c r="M407" s="115"/>
      <c r="N407" s="36"/>
    </row>
    <row r="408" spans="1:20" s="109" customFormat="1" ht="15.75" customHeight="1" x14ac:dyDescent="0.35">
      <c r="A408" s="96">
        <f>A407+1</f>
        <v>4</v>
      </c>
      <c r="B408" s="96" t="s">
        <v>389</v>
      </c>
      <c r="C408" s="96" t="s">
        <v>473</v>
      </c>
      <c r="D408" s="98">
        <f>78.87*10.764-E408</f>
        <v>793.9504872</v>
      </c>
      <c r="E408" s="96">
        <f>(3.34*1.53)*10.764</f>
        <v>55.006192799999994</v>
      </c>
      <c r="F408" s="96">
        <f t="shared" si="125"/>
        <v>848.95668000000001</v>
      </c>
      <c r="G408" s="96">
        <v>0</v>
      </c>
      <c r="H408" s="96">
        <f t="shared" si="126"/>
        <v>1273.4350199999999</v>
      </c>
      <c r="I408" s="36"/>
      <c r="L408" s="115"/>
      <c r="M408" s="115"/>
      <c r="N408" s="36"/>
    </row>
    <row r="409" spans="1:20" s="109" customFormat="1" ht="32.5" customHeight="1" x14ac:dyDescent="0.35">
      <c r="A409" s="143" t="s">
        <v>460</v>
      </c>
      <c r="B409" s="144"/>
      <c r="C409" s="144"/>
      <c r="D409" s="144"/>
      <c r="E409" s="144"/>
      <c r="F409" s="144"/>
      <c r="G409" s="144"/>
      <c r="H409" s="145"/>
      <c r="I409" s="36"/>
      <c r="L409" s="115"/>
      <c r="M409" s="115"/>
    </row>
    <row r="410" spans="1:20" s="109" customFormat="1" x14ac:dyDescent="0.35">
      <c r="A410" s="96">
        <v>1</v>
      </c>
      <c r="B410" s="146" t="s">
        <v>474</v>
      </c>
      <c r="C410" s="147"/>
      <c r="D410" s="147"/>
      <c r="E410" s="147"/>
      <c r="F410" s="147"/>
      <c r="G410" s="147"/>
      <c r="H410" s="148"/>
      <c r="I410" s="36"/>
      <c r="N410" s="36"/>
    </row>
    <row r="411" spans="1:20" s="109" customFormat="1" ht="15.75" customHeight="1" x14ac:dyDescent="0.35">
      <c r="A411" s="96">
        <f t="shared" ref="A411" si="127">A410+1</f>
        <v>2</v>
      </c>
      <c r="B411" s="108" t="s">
        <v>387</v>
      </c>
      <c r="C411" s="96" t="s">
        <v>383</v>
      </c>
      <c r="D411" s="98">
        <f>'Wing B'!D133</f>
        <v>1656.3707783999994</v>
      </c>
      <c r="E411" s="96">
        <f>'Wing B'!H133</f>
        <v>129.297168</v>
      </c>
      <c r="F411" s="96">
        <f>D411+E411</f>
        <v>1785.6679463999994</v>
      </c>
      <c r="G411" s="96">
        <v>0</v>
      </c>
      <c r="H411" s="96">
        <f>F411*(($H$137)+1)+(IF(G411&lt;101,G411,IF(G411&lt;201,G411/2,IF(G411&lt;=301,G411/3,G411/4))))</f>
        <v>2678.5019195999994</v>
      </c>
      <c r="I411" s="36"/>
      <c r="N411" s="36"/>
    </row>
    <row r="412" spans="1:20" s="109" customFormat="1" ht="15.75" customHeight="1" x14ac:dyDescent="0.35">
      <c r="A412" s="96">
        <f>A411+1</f>
        <v>3</v>
      </c>
      <c r="B412" s="108" t="s">
        <v>387</v>
      </c>
      <c r="C412" s="96" t="s">
        <v>384</v>
      </c>
      <c r="D412" s="98">
        <f>95.27*10.764-E412</f>
        <v>969.16257359999986</v>
      </c>
      <c r="E412" s="96">
        <f>(3.42*1.53)*10.764</f>
        <v>56.323706399999992</v>
      </c>
      <c r="F412" s="96">
        <f t="shared" ref="F412:F413" si="128">D412+E412</f>
        <v>1025.4862799999999</v>
      </c>
      <c r="G412" s="96">
        <v>0</v>
      </c>
      <c r="H412" s="96">
        <f t="shared" ref="H412:H413" si="129">F412*(($H$137)+1)+(IF(G412&lt;101,G412,IF(G412&lt;201,G412/2,IF(G412&lt;=301,G412/3,G412/4))))</f>
        <v>1538.2294199999997</v>
      </c>
      <c r="I412" s="36"/>
      <c r="L412" s="115"/>
      <c r="M412" s="115"/>
      <c r="N412" s="36"/>
    </row>
    <row r="413" spans="1:20" s="109" customFormat="1" ht="15.75" customHeight="1" x14ac:dyDescent="0.35">
      <c r="A413" s="96">
        <f>A412+1</f>
        <v>4</v>
      </c>
      <c r="B413" s="108" t="s">
        <v>387</v>
      </c>
      <c r="C413" s="96" t="s">
        <v>473</v>
      </c>
      <c r="D413" s="98">
        <f>78.87*10.764-E413</f>
        <v>793.9504872</v>
      </c>
      <c r="E413" s="96">
        <f>(3.34*1.53)*10.764</f>
        <v>55.006192799999994</v>
      </c>
      <c r="F413" s="96">
        <f t="shared" si="128"/>
        <v>848.95668000000001</v>
      </c>
      <c r="G413" s="96">
        <v>0</v>
      </c>
      <c r="H413" s="96">
        <f t="shared" si="129"/>
        <v>1273.4350199999999</v>
      </c>
      <c r="I413" s="36"/>
      <c r="L413" s="115"/>
      <c r="M413" s="115"/>
      <c r="N413" s="36"/>
    </row>
    <row r="414" spans="1:20" s="35" customFormat="1" x14ac:dyDescent="0.35">
      <c r="A414" s="262" t="s">
        <v>64</v>
      </c>
      <c r="B414" s="262"/>
      <c r="C414" s="262"/>
      <c r="D414" s="262"/>
      <c r="E414" s="262"/>
      <c r="F414" s="262"/>
      <c r="G414" s="262"/>
      <c r="H414" s="262"/>
      <c r="I414" s="130"/>
      <c r="J414" s="131"/>
      <c r="K414" s="131"/>
      <c r="L414" s="131"/>
      <c r="M414" s="131"/>
      <c r="N414" s="131"/>
      <c r="O414" s="131"/>
      <c r="T414" s="37"/>
    </row>
    <row r="415" spans="1:20" s="35" customFormat="1" ht="47.15" customHeight="1" x14ac:dyDescent="0.35">
      <c r="A415" s="105" t="s">
        <v>146</v>
      </c>
      <c r="B415" s="231" t="s">
        <v>466</v>
      </c>
      <c r="C415" s="231"/>
      <c r="D415" s="231"/>
      <c r="E415" s="231"/>
      <c r="F415" s="231"/>
      <c r="G415" s="231"/>
      <c r="H415" s="231"/>
      <c r="T415" s="37"/>
    </row>
    <row r="416" spans="1:20" s="35" customFormat="1" x14ac:dyDescent="0.35">
      <c r="A416" s="105" t="s">
        <v>146</v>
      </c>
      <c r="B416" s="227" t="str">
        <f>(IF(H136="Saleable area Loading :","We have considered Saleable area of Flats as per our Calculation.","We considered Saleable area of Flat as per Builder area Sheet."))</f>
        <v>We have considered Saleable area of Flats as per our Calculation.</v>
      </c>
      <c r="C416" s="227"/>
      <c r="D416" s="227"/>
      <c r="E416" s="227"/>
      <c r="F416" s="227"/>
      <c r="G416" s="227"/>
      <c r="H416" s="227"/>
      <c r="T416" s="37"/>
    </row>
    <row r="417" spans="1:20" s="35" customFormat="1" x14ac:dyDescent="0.35">
      <c r="A417" s="105" t="s">
        <v>146</v>
      </c>
      <c r="B417" s="232" t="s">
        <v>115</v>
      </c>
      <c r="C417" s="232"/>
      <c r="D417" s="232"/>
      <c r="E417" s="232"/>
      <c r="F417" s="232"/>
      <c r="G417" s="232"/>
      <c r="H417" s="232"/>
      <c r="T417" s="37"/>
    </row>
    <row r="418" spans="1:20" s="35" customFormat="1" x14ac:dyDescent="0.35">
      <c r="A418" s="105" t="s">
        <v>146</v>
      </c>
      <c r="B418" s="227" t="s">
        <v>467</v>
      </c>
      <c r="C418" s="227"/>
      <c r="D418" s="227"/>
      <c r="E418" s="227"/>
      <c r="F418" s="227"/>
      <c r="G418" s="227"/>
      <c r="H418" s="227"/>
      <c r="T418" s="37"/>
    </row>
    <row r="419" spans="1:20" s="35" customFormat="1" x14ac:dyDescent="0.35">
      <c r="A419" s="105" t="s">
        <v>146</v>
      </c>
      <c r="B419" s="232" t="s">
        <v>145</v>
      </c>
      <c r="C419" s="232"/>
      <c r="D419" s="232"/>
      <c r="E419" s="232"/>
      <c r="F419" s="232"/>
      <c r="G419" s="232"/>
      <c r="H419" s="232"/>
    </row>
    <row r="420" spans="1:20" s="35" customFormat="1" x14ac:dyDescent="0.35">
      <c r="A420" s="105" t="s">
        <v>146</v>
      </c>
      <c r="B420" s="232" t="s">
        <v>116</v>
      </c>
      <c r="C420" s="232"/>
      <c r="D420" s="232"/>
      <c r="E420" s="232"/>
      <c r="F420" s="232"/>
      <c r="G420" s="232"/>
      <c r="H420" s="232"/>
    </row>
    <row r="421" spans="1:20" s="35" customFormat="1" ht="34.5" customHeight="1" x14ac:dyDescent="0.35">
      <c r="A421" s="105" t="s">
        <v>146</v>
      </c>
      <c r="B421" s="231" t="s">
        <v>147</v>
      </c>
      <c r="C421" s="231"/>
      <c r="D421" s="231"/>
      <c r="E421" s="231"/>
      <c r="F421" s="231"/>
      <c r="G421" s="231"/>
      <c r="H421" s="231"/>
    </row>
    <row r="422" spans="1:20" s="35" customFormat="1" x14ac:dyDescent="0.35">
      <c r="A422" s="105" t="s">
        <v>146</v>
      </c>
      <c r="B422" s="232" t="s">
        <v>117</v>
      </c>
      <c r="C422" s="232"/>
      <c r="D422" s="232"/>
      <c r="E422" s="232"/>
      <c r="F422" s="232"/>
      <c r="G422" s="232"/>
      <c r="H422" s="232"/>
    </row>
    <row r="423" spans="1:20" s="35" customFormat="1" x14ac:dyDescent="0.35">
      <c r="A423" s="99" t="s">
        <v>146</v>
      </c>
      <c r="B423" s="127" t="s">
        <v>362</v>
      </c>
      <c r="C423" s="128"/>
      <c r="D423" s="128"/>
      <c r="E423" s="128"/>
      <c r="F423" s="128"/>
      <c r="G423" s="128"/>
      <c r="H423" s="129"/>
    </row>
    <row r="424" spans="1:20" s="35" customFormat="1" x14ac:dyDescent="0.35">
      <c r="A424" s="100" t="s">
        <v>146</v>
      </c>
      <c r="B424" s="127" t="s">
        <v>399</v>
      </c>
      <c r="C424" s="128"/>
      <c r="D424" s="128"/>
      <c r="E424" s="128"/>
      <c r="F424" s="128"/>
      <c r="G424" s="128"/>
      <c r="H424" s="129"/>
    </row>
    <row r="425" spans="1:20" s="35" customFormat="1" ht="33" hidden="1" customHeight="1" x14ac:dyDescent="0.35">
      <c r="A425" s="102" t="s">
        <v>146</v>
      </c>
      <c r="B425" s="127" t="s">
        <v>402</v>
      </c>
      <c r="C425" s="128"/>
      <c r="D425" s="128"/>
      <c r="E425" s="128"/>
      <c r="F425" s="128"/>
      <c r="G425" s="128"/>
      <c r="H425" s="129"/>
    </row>
    <row r="426" spans="1:20" s="35" customFormat="1" hidden="1" x14ac:dyDescent="0.35">
      <c r="A426" s="102" t="s">
        <v>146</v>
      </c>
      <c r="B426" s="228" t="s">
        <v>392</v>
      </c>
      <c r="C426" s="229"/>
      <c r="D426" s="229"/>
      <c r="E426" s="229"/>
      <c r="F426" s="229"/>
      <c r="G426" s="229"/>
      <c r="H426" s="230"/>
    </row>
    <row r="427" spans="1:20" s="35" customFormat="1" hidden="1" x14ac:dyDescent="0.35">
      <c r="A427" s="102" t="s">
        <v>146</v>
      </c>
      <c r="B427" s="228" t="str">
        <f ca="1">IF(G54&gt;EDATE(E3,-48),"NO REMARK FOR CC","REMARK FOR CC")</f>
        <v>NO REMARK FOR CC</v>
      </c>
      <c r="C427" s="229"/>
      <c r="D427" s="229"/>
      <c r="E427" s="229"/>
      <c r="F427" s="229"/>
      <c r="G427" s="229"/>
      <c r="H427" s="230"/>
    </row>
    <row r="428" spans="1:20" s="35" customFormat="1" ht="33" hidden="1" customHeight="1" x14ac:dyDescent="0.35">
      <c r="A428" s="102" t="s">
        <v>146</v>
      </c>
      <c r="B428" s="127" t="s">
        <v>468</v>
      </c>
      <c r="C428" s="128"/>
      <c r="D428" s="128"/>
      <c r="E428" s="128"/>
      <c r="F428" s="128"/>
      <c r="G428" s="128"/>
      <c r="H428" s="129"/>
    </row>
    <row r="429" spans="1:20" s="35" customFormat="1" ht="33" hidden="1" customHeight="1" x14ac:dyDescent="0.35">
      <c r="A429" s="102" t="s">
        <v>146</v>
      </c>
      <c r="B429" s="127" t="s">
        <v>404</v>
      </c>
      <c r="C429" s="128"/>
      <c r="D429" s="128"/>
      <c r="E429" s="128"/>
      <c r="F429" s="128"/>
      <c r="G429" s="128"/>
      <c r="H429" s="129"/>
    </row>
    <row r="430" spans="1:20" s="35" customFormat="1" ht="46.5" hidden="1" customHeight="1" x14ac:dyDescent="0.35">
      <c r="A430" s="102" t="s">
        <v>146</v>
      </c>
      <c r="B430" s="127" t="s">
        <v>403</v>
      </c>
      <c r="C430" s="128"/>
      <c r="D430" s="128"/>
      <c r="E430" s="128"/>
      <c r="F430" s="128"/>
      <c r="G430" s="128"/>
      <c r="H430" s="129"/>
    </row>
    <row r="431" spans="1:20" s="35" customFormat="1" ht="31.5" customHeight="1" x14ac:dyDescent="0.35">
      <c r="A431" s="101" t="s">
        <v>146</v>
      </c>
      <c r="B431" s="127" t="s">
        <v>405</v>
      </c>
      <c r="C431" s="128"/>
      <c r="D431" s="128"/>
      <c r="E431" s="128"/>
      <c r="F431" s="128"/>
      <c r="G431" s="128"/>
      <c r="H431" s="129"/>
    </row>
    <row r="432" spans="1:20" s="35" customFormat="1" x14ac:dyDescent="0.35">
      <c r="A432" s="104" t="s">
        <v>146</v>
      </c>
      <c r="B432" s="127" t="s">
        <v>411</v>
      </c>
      <c r="C432" s="128"/>
      <c r="D432" s="128"/>
      <c r="E432" s="128"/>
      <c r="F432" s="128"/>
      <c r="G432" s="128"/>
      <c r="H432" s="129"/>
    </row>
    <row r="433" spans="1:20" s="35" customFormat="1" x14ac:dyDescent="0.35">
      <c r="A433" s="110" t="s">
        <v>146</v>
      </c>
      <c r="B433" s="127" t="s">
        <v>469</v>
      </c>
      <c r="C433" s="128"/>
      <c r="D433" s="128"/>
      <c r="E433" s="128"/>
      <c r="F433" s="128"/>
      <c r="G433" s="128"/>
      <c r="H433" s="129"/>
    </row>
    <row r="434" spans="1:20" s="35" customFormat="1" ht="33" customHeight="1" x14ac:dyDescent="0.35">
      <c r="A434" s="104" t="s">
        <v>146</v>
      </c>
      <c r="B434" s="127" t="s">
        <v>479</v>
      </c>
      <c r="C434" s="128"/>
      <c r="D434" s="128"/>
      <c r="E434" s="128"/>
      <c r="F434" s="128"/>
      <c r="G434" s="128"/>
      <c r="H434" s="129"/>
    </row>
    <row r="435" spans="1:20" x14ac:dyDescent="0.35">
      <c r="A435" s="226" t="s">
        <v>57</v>
      </c>
      <c r="B435" s="226"/>
      <c r="C435" s="226"/>
      <c r="D435" s="226"/>
      <c r="E435" s="226"/>
      <c r="F435" s="226"/>
      <c r="G435" s="226"/>
      <c r="H435" s="226"/>
      <c r="T435" s="35"/>
    </row>
    <row r="436" spans="1:20" x14ac:dyDescent="0.35">
      <c r="A436" s="113" t="s">
        <v>58</v>
      </c>
      <c r="B436" s="113"/>
      <c r="C436" s="113"/>
      <c r="D436" s="113"/>
      <c r="E436" s="113"/>
      <c r="F436" s="113"/>
      <c r="G436" s="113"/>
      <c r="H436" s="113"/>
      <c r="T436" s="35"/>
    </row>
    <row r="437" spans="1:20" ht="15.75" customHeight="1" x14ac:dyDescent="0.35">
      <c r="A437" s="233" t="s">
        <v>59</v>
      </c>
      <c r="B437" s="233"/>
      <c r="C437" s="233"/>
      <c r="D437" s="233"/>
      <c r="E437" s="233"/>
      <c r="F437" s="233"/>
      <c r="G437" s="233"/>
      <c r="H437" s="233"/>
      <c r="T437" s="35"/>
    </row>
    <row r="438" spans="1:20" x14ac:dyDescent="0.35">
      <c r="A438" s="113" t="s">
        <v>60</v>
      </c>
      <c r="B438" s="113"/>
      <c r="C438" s="113"/>
      <c r="D438" s="113"/>
      <c r="E438" s="113"/>
      <c r="F438" s="113"/>
      <c r="G438" s="113"/>
      <c r="H438" s="113"/>
      <c r="T438" s="35"/>
    </row>
    <row r="439" spans="1:20" x14ac:dyDescent="0.35">
      <c r="A439" s="113" t="s">
        <v>61</v>
      </c>
      <c r="B439" s="113"/>
      <c r="C439" s="113"/>
      <c r="D439" s="113"/>
      <c r="E439" s="113"/>
      <c r="F439" s="113"/>
      <c r="G439" s="113"/>
      <c r="H439" s="113"/>
      <c r="T439" s="35"/>
    </row>
    <row r="440" spans="1:20" x14ac:dyDescent="0.35">
      <c r="A440" s="113" t="s">
        <v>118</v>
      </c>
      <c r="B440" s="113"/>
      <c r="C440" s="113"/>
      <c r="D440" s="113"/>
      <c r="E440" s="113"/>
      <c r="F440" s="113"/>
      <c r="G440" s="113"/>
      <c r="H440" s="113"/>
      <c r="T440" s="35"/>
    </row>
    <row r="441" spans="1:20" ht="34" customHeight="1" x14ac:dyDescent="0.35">
      <c r="A441" s="169" t="s">
        <v>119</v>
      </c>
      <c r="B441" s="169"/>
      <c r="C441" s="169"/>
      <c r="D441" s="169"/>
      <c r="E441" s="169"/>
      <c r="F441" s="169"/>
      <c r="G441" s="169"/>
      <c r="H441" s="169"/>
    </row>
    <row r="442" spans="1:20" x14ac:dyDescent="0.35">
      <c r="A442" s="222" t="s">
        <v>71</v>
      </c>
      <c r="B442" s="222"/>
      <c r="C442" s="222" t="s">
        <v>393</v>
      </c>
      <c r="D442" s="222"/>
      <c r="E442" s="222" t="s">
        <v>100</v>
      </c>
      <c r="F442" s="222"/>
      <c r="G442" s="223" t="s">
        <v>410</v>
      </c>
      <c r="H442" s="223"/>
    </row>
    <row r="443" spans="1:20" x14ac:dyDescent="0.35">
      <c r="A443" s="221" t="s">
        <v>73</v>
      </c>
      <c r="B443" s="221"/>
      <c r="C443" s="221"/>
      <c r="D443" s="221"/>
      <c r="E443" s="221"/>
      <c r="F443" s="221"/>
      <c r="G443" s="221"/>
      <c r="H443" s="221"/>
    </row>
    <row r="444" spans="1:20" x14ac:dyDescent="0.35">
      <c r="A444" s="221"/>
      <c r="B444" s="221"/>
      <c r="C444" s="221"/>
      <c r="D444" s="221"/>
      <c r="E444" s="221"/>
      <c r="F444" s="221"/>
      <c r="G444" s="221"/>
      <c r="H444" s="221"/>
    </row>
    <row r="445" spans="1:20" x14ac:dyDescent="0.35">
      <c r="A445" s="221"/>
      <c r="B445" s="221"/>
      <c r="C445" s="221"/>
      <c r="D445" s="221"/>
      <c r="E445" s="221"/>
      <c r="F445" s="221"/>
      <c r="G445" s="221"/>
      <c r="H445" s="221"/>
    </row>
    <row r="446" spans="1:20" x14ac:dyDescent="0.35">
      <c r="A446" s="221"/>
      <c r="B446" s="221"/>
      <c r="C446" s="221"/>
      <c r="D446" s="221"/>
      <c r="E446" s="221"/>
      <c r="F446" s="221"/>
      <c r="G446" s="221"/>
      <c r="H446" s="221"/>
    </row>
    <row r="447" spans="1:20" x14ac:dyDescent="0.35">
      <c r="A447" s="38" t="s">
        <v>62</v>
      </c>
      <c r="B447" s="39"/>
      <c r="C447" s="39"/>
      <c r="D447" s="38" t="str">
        <f>E9</f>
        <v>Altus</v>
      </c>
      <c r="F447" s="39"/>
      <c r="G447" s="39"/>
      <c r="H447" s="39"/>
    </row>
    <row r="448" spans="1:20" x14ac:dyDescent="0.35">
      <c r="A448" s="39"/>
      <c r="B448" s="39"/>
      <c r="C448" s="39"/>
      <c r="D448" s="39"/>
      <c r="E448" s="39"/>
      <c r="F448" s="39"/>
      <c r="G448" s="39"/>
      <c r="H448" s="39"/>
    </row>
    <row r="449" spans="1:8" x14ac:dyDescent="0.35">
      <c r="A449" s="39"/>
      <c r="B449" s="39"/>
      <c r="C449" s="39"/>
      <c r="D449" s="39"/>
      <c r="E449" s="39"/>
      <c r="F449" s="39"/>
      <c r="G449" s="39"/>
      <c r="H449" s="39"/>
    </row>
    <row r="450" spans="1:8" ht="15" customHeight="1" x14ac:dyDescent="0.35"/>
    <row r="485" spans="1:1" x14ac:dyDescent="0.35">
      <c r="A485" s="41" t="s">
        <v>156</v>
      </c>
    </row>
    <row r="526" spans="1:1" x14ac:dyDescent="0.35">
      <c r="A526" s="41" t="s">
        <v>63</v>
      </c>
    </row>
  </sheetData>
  <mergeCells count="569">
    <mergeCell ref="B434:H434"/>
    <mergeCell ref="B431:H431"/>
    <mergeCell ref="B429:H429"/>
    <mergeCell ref="B430:H430"/>
    <mergeCell ref="B428:H428"/>
    <mergeCell ref="B425:H425"/>
    <mergeCell ref="B422:H422"/>
    <mergeCell ref="L408:M408"/>
    <mergeCell ref="A409:H409"/>
    <mergeCell ref="L409:M409"/>
    <mergeCell ref="B410:H410"/>
    <mergeCell ref="L412:M412"/>
    <mergeCell ref="L413:M413"/>
    <mergeCell ref="B433:H433"/>
    <mergeCell ref="A399:H399"/>
    <mergeCell ref="L399:M399"/>
    <mergeCell ref="L402:M402"/>
    <mergeCell ref="L403:M403"/>
    <mergeCell ref="B400:H400"/>
    <mergeCell ref="A404:H404"/>
    <mergeCell ref="L404:M404"/>
    <mergeCell ref="B405:H405"/>
    <mergeCell ref="L407:M407"/>
    <mergeCell ref="B432:H432"/>
    <mergeCell ref="L388:M388"/>
    <mergeCell ref="A389:H389"/>
    <mergeCell ref="L389:M389"/>
    <mergeCell ref="L392:M392"/>
    <mergeCell ref="L393:M393"/>
    <mergeCell ref="A394:H394"/>
    <mergeCell ref="L394:M394"/>
    <mergeCell ref="L397:M397"/>
    <mergeCell ref="L398:M398"/>
    <mergeCell ref="L377:M377"/>
    <mergeCell ref="L378:M378"/>
    <mergeCell ref="A379:H379"/>
    <mergeCell ref="L379:M379"/>
    <mergeCell ref="L382:M382"/>
    <mergeCell ref="L383:M383"/>
    <mergeCell ref="A384:H384"/>
    <mergeCell ref="L384:M384"/>
    <mergeCell ref="L387:M387"/>
    <mergeCell ref="L280:M280"/>
    <mergeCell ref="A344:H344"/>
    <mergeCell ref="L344:M344"/>
    <mergeCell ref="L347:M347"/>
    <mergeCell ref="B345:H345"/>
    <mergeCell ref="L337:M337"/>
    <mergeCell ref="L338:M338"/>
    <mergeCell ref="A339:H339"/>
    <mergeCell ref="L339:M339"/>
    <mergeCell ref="L342:M342"/>
    <mergeCell ref="L343:M343"/>
    <mergeCell ref="A324:H324"/>
    <mergeCell ref="L324:M324"/>
    <mergeCell ref="L327:M327"/>
    <mergeCell ref="L328:M328"/>
    <mergeCell ref="A329:H329"/>
    <mergeCell ref="L329:M329"/>
    <mergeCell ref="L332:M332"/>
    <mergeCell ref="L333:M333"/>
    <mergeCell ref="A334:H334"/>
    <mergeCell ref="L334:M334"/>
    <mergeCell ref="L323:M323"/>
    <mergeCell ref="L269:M269"/>
    <mergeCell ref="L270:M270"/>
    <mergeCell ref="A271:H271"/>
    <mergeCell ref="L271:M271"/>
    <mergeCell ref="B273:H273"/>
    <mergeCell ref="L274:M274"/>
    <mergeCell ref="L275:M275"/>
    <mergeCell ref="L276:M276"/>
    <mergeCell ref="L279:M279"/>
    <mergeCell ref="L259:M259"/>
    <mergeCell ref="L260:M260"/>
    <mergeCell ref="A261:H261"/>
    <mergeCell ref="L261:M261"/>
    <mergeCell ref="L264:M264"/>
    <mergeCell ref="L265:M265"/>
    <mergeCell ref="B263:H263"/>
    <mergeCell ref="L266:M266"/>
    <mergeCell ref="B268:H268"/>
    <mergeCell ref="A246:H246"/>
    <mergeCell ref="L246:M246"/>
    <mergeCell ref="L249:M249"/>
    <mergeCell ref="L250:M250"/>
    <mergeCell ref="A251:H251"/>
    <mergeCell ref="L251:M251"/>
    <mergeCell ref="L254:M254"/>
    <mergeCell ref="L255:M255"/>
    <mergeCell ref="A256:H256"/>
    <mergeCell ref="L256:M256"/>
    <mergeCell ref="B322:H323"/>
    <mergeCell ref="A176:H176"/>
    <mergeCell ref="L176:M176"/>
    <mergeCell ref="B179:H180"/>
    <mergeCell ref="L179:M179"/>
    <mergeCell ref="L180:M180"/>
    <mergeCell ref="A181:H181"/>
    <mergeCell ref="L181:M181"/>
    <mergeCell ref="L184:M184"/>
    <mergeCell ref="L185:M185"/>
    <mergeCell ref="A186:H186"/>
    <mergeCell ref="L186:M186"/>
    <mergeCell ref="L189:M189"/>
    <mergeCell ref="L190:M190"/>
    <mergeCell ref="L211:M211"/>
    <mergeCell ref="L214:M214"/>
    <mergeCell ref="L215:M215"/>
    <mergeCell ref="A216:H216"/>
    <mergeCell ref="L216:M216"/>
    <mergeCell ref="L219:M219"/>
    <mergeCell ref="L220:M220"/>
    <mergeCell ref="A221:H221"/>
    <mergeCell ref="A314:H314"/>
    <mergeCell ref="L314:M314"/>
    <mergeCell ref="B317:H318"/>
    <mergeCell ref="L317:M317"/>
    <mergeCell ref="L318:M318"/>
    <mergeCell ref="B315:H315"/>
    <mergeCell ref="A319:H319"/>
    <mergeCell ref="L319:M319"/>
    <mergeCell ref="L231:M231"/>
    <mergeCell ref="L302:M302"/>
    <mergeCell ref="L303:M303"/>
    <mergeCell ref="A304:H304"/>
    <mergeCell ref="L304:M304"/>
    <mergeCell ref="B307:H308"/>
    <mergeCell ref="L307:M307"/>
    <mergeCell ref="L308:M308"/>
    <mergeCell ref="L234:M234"/>
    <mergeCell ref="L235:M235"/>
    <mergeCell ref="A236:H236"/>
    <mergeCell ref="L236:M236"/>
    <mergeCell ref="L239:M239"/>
    <mergeCell ref="L240:M240"/>
    <mergeCell ref="A241:H241"/>
    <mergeCell ref="L241:M241"/>
    <mergeCell ref="A309:H309"/>
    <mergeCell ref="L309:M309"/>
    <mergeCell ref="B312:H313"/>
    <mergeCell ref="L312:M312"/>
    <mergeCell ref="L313:M313"/>
    <mergeCell ref="A166:H166"/>
    <mergeCell ref="L166:M166"/>
    <mergeCell ref="B169:H170"/>
    <mergeCell ref="L169:M169"/>
    <mergeCell ref="L170:M170"/>
    <mergeCell ref="A171:H171"/>
    <mergeCell ref="L171:M171"/>
    <mergeCell ref="B174:H175"/>
    <mergeCell ref="L174:M174"/>
    <mergeCell ref="L175:M175"/>
    <mergeCell ref="B173:H173"/>
    <mergeCell ref="L224:M224"/>
    <mergeCell ref="L225:M225"/>
    <mergeCell ref="A226:H226"/>
    <mergeCell ref="L226:M226"/>
    <mergeCell ref="L229:M229"/>
    <mergeCell ref="L230:M230"/>
    <mergeCell ref="A231:H231"/>
    <mergeCell ref="L221:M221"/>
    <mergeCell ref="L244:M244"/>
    <mergeCell ref="L245:M245"/>
    <mergeCell ref="B420:H420"/>
    <mergeCell ref="B415:H415"/>
    <mergeCell ref="B416:H416"/>
    <mergeCell ref="A414:H414"/>
    <mergeCell ref="B417:H417"/>
    <mergeCell ref="B423:H423"/>
    <mergeCell ref="A74:C74"/>
    <mergeCell ref="A79:B79"/>
    <mergeCell ref="A119:B119"/>
    <mergeCell ref="A99:B99"/>
    <mergeCell ref="C120:D120"/>
    <mergeCell ref="E120:F120"/>
    <mergeCell ref="A105:E105"/>
    <mergeCell ref="A100:B100"/>
    <mergeCell ref="F105:H105"/>
    <mergeCell ref="G120:H120"/>
    <mergeCell ref="A103:B103"/>
    <mergeCell ref="A107:E107"/>
    <mergeCell ref="A104:E104"/>
    <mergeCell ref="F108:H108"/>
    <mergeCell ref="A108:E108"/>
    <mergeCell ref="F104:H104"/>
    <mergeCell ref="F109:H109"/>
    <mergeCell ref="F107:H107"/>
    <mergeCell ref="A42:B42"/>
    <mergeCell ref="C42:H42"/>
    <mergeCell ref="C136:C137"/>
    <mergeCell ref="G136:G137"/>
    <mergeCell ref="C92:H92"/>
    <mergeCell ref="A95:B95"/>
    <mergeCell ref="A96:B96"/>
    <mergeCell ref="G94:H103"/>
    <mergeCell ref="A97:B97"/>
    <mergeCell ref="F106:H106"/>
    <mergeCell ref="A106:E106"/>
    <mergeCell ref="A92:B92"/>
    <mergeCell ref="E93:F93"/>
    <mergeCell ref="E94:F103"/>
    <mergeCell ref="G93:H93"/>
    <mergeCell ref="A49:D49"/>
    <mergeCell ref="D70:H70"/>
    <mergeCell ref="A46:D46"/>
    <mergeCell ref="C57:H57"/>
    <mergeCell ref="A109:E109"/>
    <mergeCell ref="G122:H122"/>
    <mergeCell ref="C121:D121"/>
    <mergeCell ref="A121:B121"/>
    <mergeCell ref="E121:F121"/>
    <mergeCell ref="A40:H40"/>
    <mergeCell ref="A39:B39"/>
    <mergeCell ref="C39:E39"/>
    <mergeCell ref="A44:D44"/>
    <mergeCell ref="E44:H44"/>
    <mergeCell ref="A43:H43"/>
    <mergeCell ref="A69:C69"/>
    <mergeCell ref="A70:C70"/>
    <mergeCell ref="D69:H69"/>
    <mergeCell ref="F39:H39"/>
    <mergeCell ref="C53:E53"/>
    <mergeCell ref="C52:E52"/>
    <mergeCell ref="G52:H52"/>
    <mergeCell ref="A53:B53"/>
    <mergeCell ref="G58:H58"/>
    <mergeCell ref="A60:B61"/>
    <mergeCell ref="C60:E60"/>
    <mergeCell ref="G60:H60"/>
    <mergeCell ref="G53:H53"/>
    <mergeCell ref="A54:B55"/>
    <mergeCell ref="A41:B41"/>
    <mergeCell ref="C41:H41"/>
    <mergeCell ref="A65:C65"/>
    <mergeCell ref="A48:D48"/>
    <mergeCell ref="E46:H46"/>
    <mergeCell ref="E47:H47"/>
    <mergeCell ref="E48:H48"/>
    <mergeCell ref="E49:H49"/>
    <mergeCell ref="C59:H59"/>
    <mergeCell ref="A50:H50"/>
    <mergeCell ref="D66:H66"/>
    <mergeCell ref="A66:C66"/>
    <mergeCell ref="A47:D47"/>
    <mergeCell ref="A51:B51"/>
    <mergeCell ref="C51:H51"/>
    <mergeCell ref="A52:B52"/>
    <mergeCell ref="A67:C68"/>
    <mergeCell ref="D67:H67"/>
    <mergeCell ref="D68:H68"/>
    <mergeCell ref="C55:E55"/>
    <mergeCell ref="G55:H55"/>
    <mergeCell ref="G54:H54"/>
    <mergeCell ref="A63:H63"/>
    <mergeCell ref="G61:H61"/>
    <mergeCell ref="C56:E56"/>
    <mergeCell ref="A64:C64"/>
    <mergeCell ref="C54:E54"/>
    <mergeCell ref="A38:B38"/>
    <mergeCell ref="C38:E38"/>
    <mergeCell ref="A33:D33"/>
    <mergeCell ref="E33:H33"/>
    <mergeCell ref="A34:D34"/>
    <mergeCell ref="E34:H34"/>
    <mergeCell ref="A30:D30"/>
    <mergeCell ref="E30:H30"/>
    <mergeCell ref="C35:E35"/>
    <mergeCell ref="F38:H38"/>
    <mergeCell ref="F35:H35"/>
    <mergeCell ref="A36:B36"/>
    <mergeCell ref="A35:B35"/>
    <mergeCell ref="C36:E36"/>
    <mergeCell ref="A37:B37"/>
    <mergeCell ref="C37:E37"/>
    <mergeCell ref="F36:H36"/>
    <mergeCell ref="F37:H37"/>
    <mergeCell ref="E29:H29"/>
    <mergeCell ref="A31:D31"/>
    <mergeCell ref="E31:H31"/>
    <mergeCell ref="A28:D28"/>
    <mergeCell ref="E28:H28"/>
    <mergeCell ref="A27:D27"/>
    <mergeCell ref="E27:H27"/>
    <mergeCell ref="A32:D32"/>
    <mergeCell ref="E32:H32"/>
    <mergeCell ref="A29:D29"/>
    <mergeCell ref="C22:D22"/>
    <mergeCell ref="E22:F22"/>
    <mergeCell ref="G22:H22"/>
    <mergeCell ref="A23:B23"/>
    <mergeCell ref="C23:D23"/>
    <mergeCell ref="E23:F23"/>
    <mergeCell ref="G23:H23"/>
    <mergeCell ref="A24:B24"/>
    <mergeCell ref="C24:D24"/>
    <mergeCell ref="E24:F24"/>
    <mergeCell ref="G24:H24"/>
    <mergeCell ref="E11:H11"/>
    <mergeCell ref="E16:H16"/>
    <mergeCell ref="A17:D17"/>
    <mergeCell ref="A13:D13"/>
    <mergeCell ref="E13:H13"/>
    <mergeCell ref="A25:D26"/>
    <mergeCell ref="E25:H26"/>
    <mergeCell ref="E17:H17"/>
    <mergeCell ref="A18:B18"/>
    <mergeCell ref="C18:H18"/>
    <mergeCell ref="C19:H19"/>
    <mergeCell ref="A20:B20"/>
    <mergeCell ref="C20:H20"/>
    <mergeCell ref="A15:D15"/>
    <mergeCell ref="E15:H15"/>
    <mergeCell ref="A14:D14"/>
    <mergeCell ref="E14:H14"/>
    <mergeCell ref="A19:B19"/>
    <mergeCell ref="A16:D16"/>
    <mergeCell ref="A21:B21"/>
    <mergeCell ref="C21:D21"/>
    <mergeCell ref="E21:F21"/>
    <mergeCell ref="G21:H21"/>
    <mergeCell ref="A22:B22"/>
    <mergeCell ref="A440:H440"/>
    <mergeCell ref="A437:H437"/>
    <mergeCell ref="A1:H1"/>
    <mergeCell ref="A2:H2"/>
    <mergeCell ref="A3:D3"/>
    <mergeCell ref="E3:H3"/>
    <mergeCell ref="A5:D5"/>
    <mergeCell ref="A9:D9"/>
    <mergeCell ref="E9:H9"/>
    <mergeCell ref="A12:D12"/>
    <mergeCell ref="E12:H12"/>
    <mergeCell ref="E5:H5"/>
    <mergeCell ref="A6:D6"/>
    <mergeCell ref="E6:H6"/>
    <mergeCell ref="A7:D7"/>
    <mergeCell ref="E7:H7"/>
    <mergeCell ref="A8:D8"/>
    <mergeCell ref="E8:H8"/>
    <mergeCell ref="A4:D4"/>
    <mergeCell ref="E4:H4"/>
    <mergeCell ref="A11:D11"/>
    <mergeCell ref="A111:E111"/>
    <mergeCell ref="F111:H111"/>
    <mergeCell ref="A113:E113"/>
    <mergeCell ref="A443:H446"/>
    <mergeCell ref="A442:B442"/>
    <mergeCell ref="E442:F442"/>
    <mergeCell ref="C442:D442"/>
    <mergeCell ref="G442:H442"/>
    <mergeCell ref="A116:E116"/>
    <mergeCell ref="F116:H116"/>
    <mergeCell ref="A117:E117"/>
    <mergeCell ref="F117:H117"/>
    <mergeCell ref="A120:B120"/>
    <mergeCell ref="A438:H438"/>
    <mergeCell ref="A118:H118"/>
    <mergeCell ref="A441:H441"/>
    <mergeCell ref="A439:H439"/>
    <mergeCell ref="A435:H435"/>
    <mergeCell ref="G119:H119"/>
    <mergeCell ref="B418:H418"/>
    <mergeCell ref="A436:H436"/>
    <mergeCell ref="B427:H427"/>
    <mergeCell ref="B426:H426"/>
    <mergeCell ref="B421:H421"/>
    <mergeCell ref="B419:H419"/>
    <mergeCell ref="G121:H121"/>
    <mergeCell ref="G133:H133"/>
    <mergeCell ref="F112:H112"/>
    <mergeCell ref="C122:D122"/>
    <mergeCell ref="B136:B137"/>
    <mergeCell ref="A125:B125"/>
    <mergeCell ref="C125:D125"/>
    <mergeCell ref="E125:F125"/>
    <mergeCell ref="G125:H125"/>
    <mergeCell ref="A126:B126"/>
    <mergeCell ref="D136:D137"/>
    <mergeCell ref="A123:H123"/>
    <mergeCell ref="A124:B124"/>
    <mergeCell ref="C124:D124"/>
    <mergeCell ref="E124:F124"/>
    <mergeCell ref="G124:H124"/>
    <mergeCell ref="A112:E112"/>
    <mergeCell ref="E119:F119"/>
    <mergeCell ref="A134:H134"/>
    <mergeCell ref="A136:A137"/>
    <mergeCell ref="F136:F137"/>
    <mergeCell ref="G132:H132"/>
    <mergeCell ref="A122:B122"/>
    <mergeCell ref="E122:F122"/>
    <mergeCell ref="G131:H131"/>
    <mergeCell ref="C126:D126"/>
    <mergeCell ref="C132:D132"/>
    <mergeCell ref="E132:F132"/>
    <mergeCell ref="A115:E115"/>
    <mergeCell ref="G127:H127"/>
    <mergeCell ref="I17:P17"/>
    <mergeCell ref="F115:H115"/>
    <mergeCell ref="F113:H113"/>
    <mergeCell ref="A135:H135"/>
    <mergeCell ref="A114:E114"/>
    <mergeCell ref="A62:B62"/>
    <mergeCell ref="C62:E62"/>
    <mergeCell ref="D64:H64"/>
    <mergeCell ref="F114:H114"/>
    <mergeCell ref="C119:D119"/>
    <mergeCell ref="D73:H73"/>
    <mergeCell ref="D65:H65"/>
    <mergeCell ref="G62:H62"/>
    <mergeCell ref="A56:B57"/>
    <mergeCell ref="C61:E61"/>
    <mergeCell ref="G56:H56"/>
    <mergeCell ref="A58:B59"/>
    <mergeCell ref="C58:E58"/>
    <mergeCell ref="A81:B81"/>
    <mergeCell ref="A80:B80"/>
    <mergeCell ref="G79:H79"/>
    <mergeCell ref="A88:B88"/>
    <mergeCell ref="A89:B89"/>
    <mergeCell ref="A84:B84"/>
    <mergeCell ref="A83:B83"/>
    <mergeCell ref="E79:F79"/>
    <mergeCell ref="A86:B86"/>
    <mergeCell ref="A102:B102"/>
    <mergeCell ref="A82:B82"/>
    <mergeCell ref="E80:F89"/>
    <mergeCell ref="G80:H89"/>
    <mergeCell ref="A87:B87"/>
    <mergeCell ref="A90:B90"/>
    <mergeCell ref="C90:H90"/>
    <mergeCell ref="A94:B94"/>
    <mergeCell ref="A98:B98"/>
    <mergeCell ref="A93:B93"/>
    <mergeCell ref="A101:B101"/>
    <mergeCell ref="A85:B85"/>
    <mergeCell ref="A78:B78"/>
    <mergeCell ref="A76:B76"/>
    <mergeCell ref="C76:H76"/>
    <mergeCell ref="A71:C71"/>
    <mergeCell ref="D71:H71"/>
    <mergeCell ref="C78:H78"/>
    <mergeCell ref="A72:C72"/>
    <mergeCell ref="D72:H72"/>
    <mergeCell ref="A75:C75"/>
    <mergeCell ref="D75:H75"/>
    <mergeCell ref="A73:C73"/>
    <mergeCell ref="D74:H74"/>
    <mergeCell ref="A374:H374"/>
    <mergeCell ref="B302:H303"/>
    <mergeCell ref="L322:M322"/>
    <mergeCell ref="I13:L13"/>
    <mergeCell ref="A138:H138"/>
    <mergeCell ref="A139:H139"/>
    <mergeCell ref="A281:H281"/>
    <mergeCell ref="A282:H282"/>
    <mergeCell ref="A140:H140"/>
    <mergeCell ref="A283:H283"/>
    <mergeCell ref="A141:H141"/>
    <mergeCell ref="C129:D129"/>
    <mergeCell ref="E129:F129"/>
    <mergeCell ref="G129:H129"/>
    <mergeCell ref="A130:B130"/>
    <mergeCell ref="C130:D130"/>
    <mergeCell ref="E130:F130"/>
    <mergeCell ref="G130:H130"/>
    <mergeCell ref="E45:H45"/>
    <mergeCell ref="A45:D45"/>
    <mergeCell ref="A146:H146"/>
    <mergeCell ref="E126:F126"/>
    <mergeCell ref="G126:H126"/>
    <mergeCell ref="A127:B127"/>
    <mergeCell ref="B198:H198"/>
    <mergeCell ref="A266:H266"/>
    <mergeCell ref="A276:H276"/>
    <mergeCell ref="L358:M358"/>
    <mergeCell ref="L359:M359"/>
    <mergeCell ref="L373:M373"/>
    <mergeCell ref="L374:M374"/>
    <mergeCell ref="L298:M298"/>
    <mergeCell ref="L353:M353"/>
    <mergeCell ref="L354:M354"/>
    <mergeCell ref="A349:H349"/>
    <mergeCell ref="L352:M352"/>
    <mergeCell ref="A354:H354"/>
    <mergeCell ref="L357:M357"/>
    <mergeCell ref="A359:H359"/>
    <mergeCell ref="L362:M362"/>
    <mergeCell ref="L363:M363"/>
    <mergeCell ref="A364:H364"/>
    <mergeCell ref="L364:M364"/>
    <mergeCell ref="L367:M367"/>
    <mergeCell ref="L368:M368"/>
    <mergeCell ref="A369:H369"/>
    <mergeCell ref="L369:M369"/>
    <mergeCell ref="L372:M372"/>
    <mergeCell ref="A10:D10"/>
    <mergeCell ref="E10:H10"/>
    <mergeCell ref="B424:H424"/>
    <mergeCell ref="I414:O414"/>
    <mergeCell ref="L144:M144"/>
    <mergeCell ref="L145:M145"/>
    <mergeCell ref="L287:M287"/>
    <mergeCell ref="L288:M288"/>
    <mergeCell ref="B287:H288"/>
    <mergeCell ref="L292:M292"/>
    <mergeCell ref="L293:M293"/>
    <mergeCell ref="B292:H293"/>
    <mergeCell ref="L164:M164"/>
    <mergeCell ref="L165:M165"/>
    <mergeCell ref="L151:M151"/>
    <mergeCell ref="L154:M154"/>
    <mergeCell ref="L155:M155"/>
    <mergeCell ref="B154:H155"/>
    <mergeCell ref="A294:H294"/>
    <mergeCell ref="L294:M294"/>
    <mergeCell ref="L297:M297"/>
    <mergeCell ref="L348:M348"/>
    <mergeCell ref="L349:M349"/>
    <mergeCell ref="B297:H298"/>
    <mergeCell ref="A299:H299"/>
    <mergeCell ref="L299:M299"/>
    <mergeCell ref="A161:H161"/>
    <mergeCell ref="L161:M161"/>
    <mergeCell ref="B164:H165"/>
    <mergeCell ref="L201:M201"/>
    <mergeCell ref="L204:M204"/>
    <mergeCell ref="L205:M205"/>
    <mergeCell ref="L206:M206"/>
    <mergeCell ref="L209:M209"/>
    <mergeCell ref="L210:M210"/>
    <mergeCell ref="L191:M191"/>
    <mergeCell ref="L194:M194"/>
    <mergeCell ref="L195:M195"/>
    <mergeCell ref="L196:M196"/>
    <mergeCell ref="L199:M199"/>
    <mergeCell ref="L200:M200"/>
    <mergeCell ref="A284:H284"/>
    <mergeCell ref="A289:H289"/>
    <mergeCell ref="A201:H201"/>
    <mergeCell ref="A206:H206"/>
    <mergeCell ref="A211:H211"/>
    <mergeCell ref="A191:H191"/>
    <mergeCell ref="A196:H196"/>
    <mergeCell ref="A110:E110"/>
    <mergeCell ref="F110:H110"/>
    <mergeCell ref="L149:M149"/>
    <mergeCell ref="L150:M150"/>
    <mergeCell ref="A156:H156"/>
    <mergeCell ref="L156:M156"/>
    <mergeCell ref="B159:H160"/>
    <mergeCell ref="L159:M159"/>
    <mergeCell ref="L160:M160"/>
    <mergeCell ref="A128:H128"/>
    <mergeCell ref="A129:B129"/>
    <mergeCell ref="A151:H151"/>
    <mergeCell ref="B144:H145"/>
    <mergeCell ref="A131:B131"/>
    <mergeCell ref="C131:D131"/>
    <mergeCell ref="E131:F131"/>
    <mergeCell ref="B149:H150"/>
    <mergeCell ref="A132:B132"/>
    <mergeCell ref="A133:B133"/>
    <mergeCell ref="C133:D133"/>
    <mergeCell ref="E133:F133"/>
    <mergeCell ref="E136:E137"/>
    <mergeCell ref="C127:D127"/>
    <mergeCell ref="E127:F127"/>
  </mergeCells>
  <dataValidations disablePrompts="1" count="15">
    <dataValidation type="list" allowBlank="1" showInputMessage="1" showErrorMessage="1" sqref="E5:H5">
      <formula1>OFFSET($L$3,1,MATCH($E4,$L$3:$P$3,0)-1,10,1)</formula1>
    </dataValidation>
    <dataValidation type="list" allowBlank="1" showInputMessage="1" showErrorMessage="1" sqref="A19:B19">
      <formula1>"CTS No,Survey No,Plot No,Gut No,FP No,"</formula1>
    </dataValidation>
    <dataValidation type="list" allowBlank="1" showInputMessage="1" showErrorMessage="1" sqref="G22:H22">
      <formula1>$S$15:$W$15</formula1>
    </dataValidation>
    <dataValidation type="list" allowBlank="1" showInputMessage="1" showErrorMessage="1" sqref="G442:H442">
      <formula1>"Saurav Panse, Kunal Kadam,Pranita Mhatre,Shruti Fule,Pooja Kawale,Gaurav Panchal,Shruti Tathare, Hitakshi Mhatre, Sachin Sawant"</formula1>
    </dataValidation>
    <dataValidation type="list" allowBlank="1" showInputMessage="1" showErrorMessage="1" sqref="F104:H104">
      <formula1>"On Saleable Area,On Builtup Area,On Carpet Area,On Plot Area"</formula1>
    </dataValidation>
    <dataValidation type="list" allowBlank="1" showInputMessage="1" showErrorMessage="1" sqref="F116:H116">
      <formula1>OFFSET($S$104,1,MATCH($G22,$S$104:$W$104,0)-1,15,1)</formula1>
    </dataValidation>
    <dataValidation type="list" allowBlank="1" showInputMessage="1" showErrorMessage="1" sqref="B136:B137">
      <formula1>"Flat No. (Sale Plan),Sale / Rehab,Sale / Rehab / MHADA"</formula1>
    </dataValidation>
    <dataValidation type="list" allowBlank="1" showInputMessage="1" showErrorMessage="1" sqref="C23:D23">
      <formula1>OFFSET($S$15,1,MATCH($G22,$S$15:$W$15,0)-1,15,1)</formula1>
    </dataValidation>
    <dataValidation type="list" allowBlank="1" showInputMessage="1" showErrorMessage="1" sqref="Y15">
      <formula1>$D$5:$H$5</formula1>
    </dataValidation>
    <dataValidation type="list" allowBlank="1" showInputMessage="1" showErrorMessage="1" sqref="E136:E137">
      <formula1>"Fungible area,Balcony Area,Deck Area,Chajja Area,Cornice Area,AP Area,WS Area"</formula1>
    </dataValidation>
    <dataValidation type="list" allowBlank="1" showInputMessage="1" showErrorMessage="1" sqref="H137">
      <formula1>".45,.50,.55,.60"</formula1>
    </dataValidation>
    <dataValidation type="list" allowBlank="1" showInputMessage="1" showErrorMessage="1" sqref="E4:H4">
      <formula1>$L$3:$P$3</formula1>
    </dataValidation>
    <dataValidation type="list" allowBlank="1" showInputMessage="1" showErrorMessage="1" sqref="C51:H51">
      <formula1>OFFSET($S$51,1,MATCH($G22,$S$51:$W$51,0)-1,15,1)</formula1>
    </dataValidation>
    <dataValidation type="list" allowBlank="1" showInputMessage="1" showErrorMessage="1" sqref="H136">
      <formula1>"Saleable area Loading :,Builder Saleable Area"</formula1>
    </dataValidation>
    <dataValidation type="list" allowBlank="1" showInputMessage="1" showErrorMessage="1" sqref="D136:D137">
      <formula1>"Carpet area,RERA Carpet area"</formula1>
    </dataValidation>
  </dataValidations>
  <hyperlinks>
    <hyperlink ref="C42" r:id="rId1"/>
    <hyperlink ref="I72" display="https://www.lodhagroup.in/projects/campaigns/lodha-borivali-west/?campaign=Google-P&amp;publisher=Google-Perf-RI&amp;banner_size=712809213304&amp;digital_source=Google&amp;digital_medium=CPC&amp;adgroup=Lodha_Borivali_RI_Proj_Phrase_Search-August-24-Lodha-Borivali-Altus-Bran"/>
    <hyperlink ref="K67" display="https://lodha-altus.get-details.in/altus-Borivali.html?utm_source=Digital&amp;utm_medium=cpc&amp;utm_campaign=lodha_altus_google_brand&amp;utm_content=lodha%20altus%20borivali&amp;utm_term=&amp;gad_source=1&amp;gclid=Cj0KCQiAu8W6BhC-ARIsACEQoDCMvlAvsPkGuRNDbw86QgMwil_LZL1cpdgHAh"/>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446" max="16383" man="1"/>
    <brk id="484" max="16383" man="1"/>
    <brk id="52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69" t="s">
        <v>101</v>
      </c>
      <c r="C3" s="269"/>
      <c r="D3" s="269"/>
      <c r="E3" s="269"/>
      <c r="F3" s="269"/>
      <c r="G3" s="269"/>
      <c r="H3" s="269"/>
    </row>
    <row r="4" spans="1:9" x14ac:dyDescent="0.35">
      <c r="A4" s="2"/>
      <c r="B4" s="3" t="s">
        <v>102</v>
      </c>
      <c r="C4" s="3" t="s">
        <v>103</v>
      </c>
      <c r="D4" s="3" t="s">
        <v>65</v>
      </c>
      <c r="E4" s="3" t="s">
        <v>104</v>
      </c>
      <c r="F4" s="3" t="s">
        <v>110</v>
      </c>
      <c r="G4" s="3" t="s">
        <v>111</v>
      </c>
      <c r="H4" s="3" t="s">
        <v>105</v>
      </c>
    </row>
    <row r="5" spans="1:9" ht="15" customHeight="1" x14ac:dyDescent="0.35">
      <c r="A5" s="2"/>
      <c r="B5" s="5" t="s">
        <v>106</v>
      </c>
      <c r="C5" s="6"/>
      <c r="D5" s="5"/>
      <c r="E5" s="5"/>
      <c r="F5" s="7">
        <f>E5*1.6</f>
        <v>0</v>
      </c>
      <c r="G5" s="7" t="e">
        <f>H5/F5</f>
        <v>#DIV/0!</v>
      </c>
      <c r="H5" s="8"/>
    </row>
    <row r="6" spans="1:9" x14ac:dyDescent="0.35">
      <c r="A6" s="2"/>
      <c r="B6" s="5" t="s">
        <v>106</v>
      </c>
      <c r="C6" s="9"/>
      <c r="D6" s="5"/>
      <c r="E6" s="5"/>
      <c r="F6" s="7">
        <f t="shared" ref="F6:F11" si="0">E6*1.6</f>
        <v>0</v>
      </c>
      <c r="G6" s="7" t="e">
        <f t="shared" ref="G6:G11" si="1">H6/F6</f>
        <v>#DIV/0!</v>
      </c>
      <c r="H6" s="8"/>
    </row>
    <row r="7" spans="1:9" ht="15" customHeight="1" x14ac:dyDescent="0.35">
      <c r="A7" s="2"/>
      <c r="B7" s="5" t="s">
        <v>106</v>
      </c>
      <c r="C7" s="6"/>
      <c r="D7" s="5"/>
      <c r="E7" s="5"/>
      <c r="F7" s="7">
        <f t="shared" si="0"/>
        <v>0</v>
      </c>
      <c r="G7" s="7" t="e">
        <f t="shared" si="1"/>
        <v>#DIV/0!</v>
      </c>
      <c r="H7" s="8"/>
    </row>
    <row r="8" spans="1:9" x14ac:dyDescent="0.35">
      <c r="A8" s="2"/>
      <c r="B8" s="5" t="s">
        <v>106</v>
      </c>
      <c r="C8" s="9"/>
      <c r="D8" s="5"/>
      <c r="E8" s="5"/>
      <c r="F8" s="7">
        <f t="shared" si="0"/>
        <v>0</v>
      </c>
      <c r="G8" s="7" t="e">
        <f t="shared" si="1"/>
        <v>#DIV/0!</v>
      </c>
      <c r="H8" s="8"/>
    </row>
    <row r="9" spans="1:9" ht="15" customHeight="1" x14ac:dyDescent="0.35">
      <c r="A9" s="2"/>
      <c r="B9" s="5" t="s">
        <v>106</v>
      </c>
      <c r="C9" s="9"/>
      <c r="D9" s="5"/>
      <c r="E9" s="5"/>
      <c r="F9" s="7">
        <f t="shared" si="0"/>
        <v>0</v>
      </c>
      <c r="G9" s="7" t="e">
        <f t="shared" si="1"/>
        <v>#DIV/0!</v>
      </c>
      <c r="H9" s="8"/>
    </row>
    <row r="10" spans="1:9" ht="15" customHeight="1" x14ac:dyDescent="0.35">
      <c r="A10" s="2"/>
      <c r="B10" s="5" t="s">
        <v>107</v>
      </c>
      <c r="C10" s="6"/>
      <c r="D10" s="5"/>
      <c r="E10" s="5"/>
      <c r="F10" s="7">
        <f t="shared" si="0"/>
        <v>0</v>
      </c>
      <c r="G10" s="7" t="e">
        <f t="shared" si="1"/>
        <v>#DIV/0!</v>
      </c>
      <c r="H10" s="8"/>
    </row>
    <row r="11" spans="1:9" ht="15" customHeight="1" x14ac:dyDescent="0.35">
      <c r="A11" s="2"/>
      <c r="B11" s="5" t="s">
        <v>107</v>
      </c>
      <c r="C11" s="6"/>
      <c r="D11" s="5"/>
      <c r="E11" s="5"/>
      <c r="F11" s="7">
        <f t="shared" si="0"/>
        <v>0</v>
      </c>
      <c r="G11" s="7" t="e">
        <f t="shared" si="1"/>
        <v>#DIV/0!</v>
      </c>
      <c r="H11" s="8"/>
    </row>
    <row r="12" spans="1:9" ht="15" customHeight="1" x14ac:dyDescent="0.35">
      <c r="A12" s="2"/>
      <c r="B12" s="10" t="s">
        <v>108</v>
      </c>
      <c r="C12" s="5"/>
      <c r="D12" s="5"/>
      <c r="E12" s="5"/>
      <c r="F12" s="5"/>
      <c r="G12" s="11" t="e">
        <f>AVERAGE(G5:G11)</f>
        <v>#DIV/0!</v>
      </c>
      <c r="H12" s="5"/>
    </row>
    <row r="13" spans="1:9" ht="15" customHeight="1" x14ac:dyDescent="0.35">
      <c r="B13" s="10" t="s">
        <v>109</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3"/>
      <c r="C4" s="53" t="s">
        <v>10</v>
      </c>
      <c r="D4" s="54" t="s">
        <v>169</v>
      </c>
      <c r="E4" s="54" t="s">
        <v>179</v>
      </c>
      <c r="F4" s="54" t="s">
        <v>165</v>
      </c>
      <c r="G4" s="54" t="s">
        <v>184</v>
      </c>
      <c r="H4" s="54" t="s">
        <v>202</v>
      </c>
      <c r="J4" t="s">
        <v>184</v>
      </c>
      <c r="K4" t="s">
        <v>200</v>
      </c>
    </row>
    <row r="5" spans="2:11" x14ac:dyDescent="0.35">
      <c r="B5" s="53"/>
      <c r="C5" s="53"/>
      <c r="D5" s="54" t="s">
        <v>170</v>
      </c>
      <c r="E5" s="54" t="s">
        <v>177</v>
      </c>
      <c r="F5" s="54" t="s">
        <v>199</v>
      </c>
      <c r="G5" s="54" t="s">
        <v>185</v>
      </c>
      <c r="H5" s="54" t="s">
        <v>203</v>
      </c>
    </row>
    <row r="6" spans="2:11" x14ac:dyDescent="0.35">
      <c r="B6" s="53"/>
      <c r="C6" s="53"/>
      <c r="D6" s="54" t="s">
        <v>171</v>
      </c>
      <c r="E6" s="54" t="s">
        <v>178</v>
      </c>
      <c r="F6" s="54" t="s">
        <v>200</v>
      </c>
      <c r="G6" s="54" t="s">
        <v>186</v>
      </c>
      <c r="H6" s="54" t="s">
        <v>216</v>
      </c>
    </row>
    <row r="7" spans="2:11" x14ac:dyDescent="0.35">
      <c r="B7" s="53"/>
      <c r="C7" s="53"/>
      <c r="D7" s="54" t="s">
        <v>172</v>
      </c>
      <c r="E7" s="54" t="s">
        <v>180</v>
      </c>
      <c r="F7" s="54" t="s">
        <v>201</v>
      </c>
      <c r="G7" s="54" t="s">
        <v>187</v>
      </c>
      <c r="H7" s="54" t="s">
        <v>204</v>
      </c>
    </row>
    <row r="8" spans="2:11" x14ac:dyDescent="0.35">
      <c r="B8" s="53"/>
      <c r="C8" s="53"/>
      <c r="D8" s="54" t="s">
        <v>173</v>
      </c>
      <c r="E8" s="54" t="s">
        <v>181</v>
      </c>
      <c r="F8" s="54"/>
      <c r="G8" s="54" t="s">
        <v>188</v>
      </c>
      <c r="H8" s="54" t="s">
        <v>205</v>
      </c>
    </row>
    <row r="9" spans="2:11" x14ac:dyDescent="0.35">
      <c r="B9" s="53"/>
      <c r="C9" s="53"/>
      <c r="D9" s="54" t="s">
        <v>174</v>
      </c>
      <c r="E9" s="54" t="s">
        <v>179</v>
      </c>
      <c r="F9" s="54"/>
      <c r="G9" s="54" t="s">
        <v>189</v>
      </c>
      <c r="H9" s="54" t="s">
        <v>206</v>
      </c>
    </row>
    <row r="10" spans="2:11" x14ac:dyDescent="0.35">
      <c r="B10" s="53"/>
      <c r="C10" s="53"/>
      <c r="D10" s="54" t="s">
        <v>175</v>
      </c>
      <c r="E10" s="54" t="s">
        <v>182</v>
      </c>
      <c r="F10" s="54"/>
      <c r="G10" s="54" t="s">
        <v>190</v>
      </c>
      <c r="H10" s="54" t="s">
        <v>207</v>
      </c>
    </row>
    <row r="11" spans="2:11" x14ac:dyDescent="0.35">
      <c r="B11" s="53"/>
      <c r="C11" s="53"/>
      <c r="D11" s="54" t="s">
        <v>176</v>
      </c>
      <c r="E11" s="54" t="s">
        <v>183</v>
      </c>
      <c r="F11" s="54"/>
      <c r="G11" s="54" t="s">
        <v>191</v>
      </c>
      <c r="H11" s="54" t="s">
        <v>208</v>
      </c>
    </row>
    <row r="12" spans="2:11" x14ac:dyDescent="0.35">
      <c r="B12" s="53"/>
      <c r="C12" s="53"/>
      <c r="D12" s="54"/>
      <c r="E12" s="54"/>
      <c r="F12" s="54"/>
      <c r="G12" s="54" t="s">
        <v>192</v>
      </c>
      <c r="H12" s="54" t="s">
        <v>209</v>
      </c>
    </row>
    <row r="13" spans="2:11" x14ac:dyDescent="0.35">
      <c r="B13" s="53"/>
      <c r="C13" s="53"/>
      <c r="D13" s="54"/>
      <c r="E13" s="54"/>
      <c r="F13" s="54"/>
      <c r="G13" s="54" t="s">
        <v>193</v>
      </c>
      <c r="H13" s="54" t="s">
        <v>210</v>
      </c>
    </row>
    <row r="14" spans="2:11" x14ac:dyDescent="0.35">
      <c r="B14" s="53"/>
      <c r="C14" s="53"/>
      <c r="D14" s="54"/>
      <c r="E14" s="54"/>
      <c r="F14" s="54"/>
      <c r="G14" s="54" t="s">
        <v>194</v>
      </c>
      <c r="H14" s="54" t="s">
        <v>211</v>
      </c>
    </row>
    <row r="15" spans="2:11" x14ac:dyDescent="0.35">
      <c r="B15" s="53"/>
      <c r="C15" s="53"/>
      <c r="D15" s="54"/>
      <c r="E15" s="54"/>
      <c r="F15" s="54"/>
      <c r="G15" s="54" t="s">
        <v>195</v>
      </c>
      <c r="H15" s="54" t="s">
        <v>212</v>
      </c>
    </row>
    <row r="16" spans="2:11" x14ac:dyDescent="0.35">
      <c r="B16" s="53"/>
      <c r="C16" s="53"/>
      <c r="D16" s="54"/>
      <c r="E16" s="54"/>
      <c r="F16" s="54"/>
      <c r="G16" s="54" t="s">
        <v>196</v>
      </c>
      <c r="H16" s="54" t="s">
        <v>213</v>
      </c>
    </row>
    <row r="17" spans="2:8" x14ac:dyDescent="0.35">
      <c r="B17" s="53"/>
      <c r="C17" s="53"/>
      <c r="D17" s="54"/>
      <c r="E17" s="54"/>
      <c r="F17" s="54"/>
      <c r="G17" s="54" t="s">
        <v>197</v>
      </c>
      <c r="H17" s="54" t="s">
        <v>214</v>
      </c>
    </row>
    <row r="18" spans="2:8" x14ac:dyDescent="0.35">
      <c r="B18" s="53"/>
      <c r="C18" s="53"/>
      <c r="D18" s="54"/>
      <c r="E18" s="54"/>
      <c r="F18" s="54"/>
      <c r="G18" s="54" t="s">
        <v>198</v>
      </c>
      <c r="H18" s="54" t="s">
        <v>215</v>
      </c>
    </row>
    <row r="24" spans="2:8" x14ac:dyDescent="0.35">
      <c r="C24" t="s">
        <v>162</v>
      </c>
    </row>
    <row r="25" spans="2:8" x14ac:dyDescent="0.35">
      <c r="C25" t="s">
        <v>217</v>
      </c>
    </row>
    <row r="26" spans="2:8" x14ac:dyDescent="0.35">
      <c r="C26" t="s">
        <v>218</v>
      </c>
    </row>
    <row r="27" spans="2:8" x14ac:dyDescent="0.35">
      <c r="C27" t="s">
        <v>219</v>
      </c>
    </row>
    <row r="28" spans="2:8" x14ac:dyDescent="0.35">
      <c r="C28" t="s">
        <v>220</v>
      </c>
    </row>
    <row r="29" spans="2:8" x14ac:dyDescent="0.35">
      <c r="C29" t="s">
        <v>221</v>
      </c>
    </row>
    <row r="30" spans="2:8" x14ac:dyDescent="0.35">
      <c r="C30" t="s">
        <v>162</v>
      </c>
    </row>
    <row r="33" spans="3:11" x14ac:dyDescent="0.35">
      <c r="J33">
        <v>1</v>
      </c>
      <c r="K33">
        <v>2</v>
      </c>
    </row>
    <row r="34" spans="3:11" x14ac:dyDescent="0.35">
      <c r="C34" s="55" t="s">
        <v>226</v>
      </c>
      <c r="D34" s="54" t="s">
        <v>224</v>
      </c>
      <c r="E34" s="54" t="s">
        <v>229</v>
      </c>
      <c r="F34" s="54" t="s">
        <v>227</v>
      </c>
      <c r="G34" s="54" t="s">
        <v>228</v>
      </c>
      <c r="H34" s="54" t="s">
        <v>230</v>
      </c>
      <c r="J34" t="s">
        <v>184</v>
      </c>
      <c r="K34" t="s">
        <v>200</v>
      </c>
    </row>
    <row r="35" spans="3:11" x14ac:dyDescent="0.35">
      <c r="C35" s="53" t="s">
        <v>225</v>
      </c>
      <c r="D35" s="54" t="s">
        <v>163</v>
      </c>
      <c r="E35" s="54" t="s">
        <v>234</v>
      </c>
      <c r="F35" s="54" t="s">
        <v>236</v>
      </c>
      <c r="G35" s="54" t="s">
        <v>238</v>
      </c>
      <c r="H35" s="54"/>
    </row>
    <row r="36" spans="3:11" x14ac:dyDescent="0.35">
      <c r="C36" s="53"/>
      <c r="D36" s="54" t="s">
        <v>231</v>
      </c>
      <c r="E36" s="54" t="s">
        <v>235</v>
      </c>
      <c r="F36" s="54" t="s">
        <v>237</v>
      </c>
      <c r="G36" s="54" t="s">
        <v>239</v>
      </c>
      <c r="H36" s="54"/>
    </row>
    <row r="37" spans="3:11" x14ac:dyDescent="0.35">
      <c r="C37" s="53"/>
      <c r="D37" s="54" t="s">
        <v>232</v>
      </c>
      <c r="E37" s="54"/>
      <c r="F37" s="54"/>
      <c r="G37" s="54" t="s">
        <v>240</v>
      </c>
      <c r="H37" s="54"/>
    </row>
    <row r="38" spans="3:11" x14ac:dyDescent="0.35">
      <c r="C38" s="53"/>
      <c r="D38" s="54" t="s">
        <v>233</v>
      </c>
      <c r="E38" s="54"/>
      <c r="F38" s="54"/>
      <c r="G38" s="54" t="s">
        <v>240</v>
      </c>
      <c r="H38" s="54"/>
    </row>
    <row r="39" spans="3:11" x14ac:dyDescent="0.35">
      <c r="C39" s="53"/>
      <c r="D39" s="54"/>
      <c r="E39" s="54"/>
      <c r="F39" s="54"/>
      <c r="G39" s="54" t="s">
        <v>241</v>
      </c>
      <c r="H39" s="54"/>
    </row>
    <row r="40" spans="3:11" x14ac:dyDescent="0.35">
      <c r="C40" s="53"/>
      <c r="D40" s="54"/>
      <c r="E40" s="54"/>
      <c r="F40" s="54"/>
      <c r="G40" s="54" t="s">
        <v>242</v>
      </c>
      <c r="H40" s="54"/>
    </row>
    <row r="41" spans="3:11" x14ac:dyDescent="0.35">
      <c r="C41" s="53"/>
      <c r="D41" s="54"/>
      <c r="E41" s="54"/>
      <c r="F41" s="54"/>
      <c r="G41" s="54"/>
      <c r="H41" s="54"/>
    </row>
    <row r="43" spans="3:11" x14ac:dyDescent="0.35">
      <c r="C43" t="s">
        <v>243</v>
      </c>
    </row>
    <row r="44" spans="3:11" x14ac:dyDescent="0.35">
      <c r="C44" t="s">
        <v>165</v>
      </c>
      <c r="D44" t="s">
        <v>244</v>
      </c>
    </row>
    <row r="45" spans="3:11" x14ac:dyDescent="0.35">
      <c r="D45" t="s">
        <v>245</v>
      </c>
    </row>
    <row r="46" spans="3:11" x14ac:dyDescent="0.35">
      <c r="D46" t="s">
        <v>246</v>
      </c>
    </row>
    <row r="47" spans="3:11" x14ac:dyDescent="0.35">
      <c r="D47" t="s">
        <v>247</v>
      </c>
    </row>
    <row r="48" spans="3:11" x14ac:dyDescent="0.35">
      <c r="D48" t="s">
        <v>248</v>
      </c>
    </row>
    <row r="49" spans="3:4" x14ac:dyDescent="0.35">
      <c r="C49" t="s">
        <v>169</v>
      </c>
      <c r="D49" t="s">
        <v>249</v>
      </c>
    </row>
    <row r="50" spans="3:4" x14ac:dyDescent="0.35">
      <c r="D50" t="s">
        <v>250</v>
      </c>
    </row>
    <row r="51" spans="3:4" x14ac:dyDescent="0.35">
      <c r="D51" t="s">
        <v>251</v>
      </c>
    </row>
    <row r="52" spans="3:4" x14ac:dyDescent="0.35">
      <c r="D52" t="s">
        <v>254</v>
      </c>
    </row>
    <row r="53" spans="3:4" x14ac:dyDescent="0.35">
      <c r="D53" t="s">
        <v>252</v>
      </c>
    </row>
    <row r="54" spans="3:4" x14ac:dyDescent="0.35">
      <c r="D54" t="s">
        <v>253</v>
      </c>
    </row>
    <row r="55" spans="3:4" x14ac:dyDescent="0.35">
      <c r="D55" t="s">
        <v>255</v>
      </c>
    </row>
    <row r="56" spans="3:4" x14ac:dyDescent="0.35">
      <c r="D56" t="s">
        <v>256</v>
      </c>
    </row>
    <row r="57" spans="3:4" x14ac:dyDescent="0.35">
      <c r="D57" t="s">
        <v>257</v>
      </c>
    </row>
    <row r="58" spans="3:4" x14ac:dyDescent="0.35">
      <c r="D58" t="s">
        <v>259</v>
      </c>
    </row>
    <row r="59" spans="3:4" x14ac:dyDescent="0.35">
      <c r="D59" t="s">
        <v>268</v>
      </c>
    </row>
    <row r="60" spans="3:4" x14ac:dyDescent="0.35">
      <c r="C60" t="s">
        <v>184</v>
      </c>
      <c r="D60" t="s">
        <v>260</v>
      </c>
    </row>
    <row r="61" spans="3:4" x14ac:dyDescent="0.35">
      <c r="D61" t="s">
        <v>258</v>
      </c>
    </row>
    <row r="62" spans="3:4" x14ac:dyDescent="0.35">
      <c r="D62" t="s">
        <v>248</v>
      </c>
    </row>
    <row r="63" spans="3:4" x14ac:dyDescent="0.35">
      <c r="D63" t="s">
        <v>261</v>
      </c>
    </row>
    <row r="64" spans="3:4" x14ac:dyDescent="0.35">
      <c r="D64" t="s">
        <v>262</v>
      </c>
    </row>
    <row r="65" spans="3:4" x14ac:dyDescent="0.35">
      <c r="D65" t="s">
        <v>263</v>
      </c>
    </row>
    <row r="66" spans="3:4" x14ac:dyDescent="0.35">
      <c r="D66" t="s">
        <v>264</v>
      </c>
    </row>
    <row r="67" spans="3:4" x14ac:dyDescent="0.35">
      <c r="C67" t="s">
        <v>179</v>
      </c>
      <c r="D67" t="s">
        <v>265</v>
      </c>
    </row>
    <row r="68" spans="3:4" x14ac:dyDescent="0.35">
      <c r="D68" t="s">
        <v>266</v>
      </c>
    </row>
    <row r="69" spans="3:4" x14ac:dyDescent="0.35">
      <c r="D69" t="s">
        <v>267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6">
        <v>1</v>
      </c>
      <c r="C2" s="59" t="s">
        <v>273</v>
      </c>
    </row>
    <row r="3" spans="2:3" x14ac:dyDescent="0.35">
      <c r="B3" s="56">
        <v>2</v>
      </c>
      <c r="C3" s="57" t="s">
        <v>274</v>
      </c>
    </row>
    <row r="4" spans="2:3" x14ac:dyDescent="0.35">
      <c r="B4" s="56">
        <v>3</v>
      </c>
      <c r="C4" s="58" t="s">
        <v>275</v>
      </c>
    </row>
    <row r="5" spans="2:3" x14ac:dyDescent="0.35">
      <c r="B5" s="56">
        <v>4</v>
      </c>
      <c r="C5" s="57" t="s">
        <v>276</v>
      </c>
    </row>
    <row r="6" spans="2:3" x14ac:dyDescent="0.35">
      <c r="B6" s="56">
        <v>5</v>
      </c>
      <c r="C6" s="58" t="s">
        <v>277</v>
      </c>
    </row>
    <row r="7" spans="2:3" ht="29" x14ac:dyDescent="0.35">
      <c r="B7" s="56">
        <v>6</v>
      </c>
      <c r="C7" s="57" t="s">
        <v>278</v>
      </c>
    </row>
    <row r="8" spans="2:3" ht="72.5" x14ac:dyDescent="0.35">
      <c r="B8" s="56">
        <v>7</v>
      </c>
      <c r="C8" s="57" t="s">
        <v>279</v>
      </c>
    </row>
    <row r="9" spans="2:3" x14ac:dyDescent="0.35">
      <c r="B9" s="56">
        <v>8</v>
      </c>
      <c r="C9" s="58" t="s">
        <v>280</v>
      </c>
    </row>
    <row r="10" spans="2:3" x14ac:dyDescent="0.35">
      <c r="B10" s="56">
        <v>9</v>
      </c>
      <c r="C10" s="58" t="s">
        <v>281</v>
      </c>
    </row>
    <row r="11" spans="2:3" x14ac:dyDescent="0.35">
      <c r="B11" s="56">
        <v>10</v>
      </c>
      <c r="C11" s="58" t="s">
        <v>282</v>
      </c>
    </row>
    <row r="12" spans="2:3" x14ac:dyDescent="0.35">
      <c r="B12" s="56">
        <v>11</v>
      </c>
      <c r="C12" s="58" t="s">
        <v>283</v>
      </c>
    </row>
    <row r="13" spans="2:3" x14ac:dyDescent="0.35">
      <c r="B13" s="56">
        <v>12</v>
      </c>
      <c r="C13" s="58" t="s">
        <v>284</v>
      </c>
    </row>
    <row r="14" spans="2:3" x14ac:dyDescent="0.35">
      <c r="B14" s="56">
        <v>13</v>
      </c>
      <c r="C14" s="58" t="s">
        <v>285</v>
      </c>
    </row>
    <row r="15" spans="2:3" x14ac:dyDescent="0.35">
      <c r="B15" s="56">
        <v>14</v>
      </c>
      <c r="C15" s="58" t="s">
        <v>275</v>
      </c>
    </row>
    <row r="16" spans="2:3" x14ac:dyDescent="0.35">
      <c r="B16" s="56">
        <v>15</v>
      </c>
      <c r="C16" s="58" t="s">
        <v>287</v>
      </c>
    </row>
    <row r="17" spans="2:3" x14ac:dyDescent="0.35">
      <c r="B17" s="81">
        <v>16</v>
      </c>
      <c r="C17" s="64" t="s">
        <v>288</v>
      </c>
    </row>
    <row r="18" spans="2:3" x14ac:dyDescent="0.35">
      <c r="B18" s="63">
        <v>17</v>
      </c>
      <c r="C18" s="64" t="s">
        <v>289</v>
      </c>
    </row>
    <row r="19" spans="2:3" x14ac:dyDescent="0.35">
      <c r="B19" s="62">
        <v>18</v>
      </c>
      <c r="C19" s="56" t="s">
        <v>290</v>
      </c>
    </row>
    <row r="20" spans="2:3" x14ac:dyDescent="0.35">
      <c r="B20" s="63">
        <v>19</v>
      </c>
      <c r="C20" s="56" t="s">
        <v>320</v>
      </c>
    </row>
    <row r="21" spans="2:3" x14ac:dyDescent="0.35">
      <c r="B21" s="65">
        <v>20</v>
      </c>
      <c r="C21" s="56" t="s">
        <v>291</v>
      </c>
    </row>
    <row r="22" spans="2:3" x14ac:dyDescent="0.35">
      <c r="B22" s="63">
        <v>21</v>
      </c>
      <c r="C22" s="56" t="s">
        <v>290</v>
      </c>
    </row>
    <row r="23" spans="2:3" s="73" customFormat="1" ht="29.25" customHeight="1" x14ac:dyDescent="0.35">
      <c r="B23" s="72">
        <v>22</v>
      </c>
      <c r="C23" s="59" t="s">
        <v>312</v>
      </c>
    </row>
    <row r="24" spans="2:3" s="73" customFormat="1" ht="30.75" customHeight="1" x14ac:dyDescent="0.35">
      <c r="B24" s="74">
        <v>23</v>
      </c>
      <c r="C24" s="59" t="s">
        <v>313</v>
      </c>
    </row>
    <row r="25" spans="2:3" x14ac:dyDescent="0.35">
      <c r="B25" s="65">
        <v>24</v>
      </c>
      <c r="C25" s="56" t="s">
        <v>316</v>
      </c>
    </row>
    <row r="26" spans="2:3" x14ac:dyDescent="0.35">
      <c r="B26" s="63">
        <v>25</v>
      </c>
      <c r="C26" s="56" t="s">
        <v>314</v>
      </c>
    </row>
    <row r="27" spans="2:3" x14ac:dyDescent="0.35">
      <c r="B27" s="74">
        <v>26</v>
      </c>
      <c r="C27" s="65" t="s">
        <v>315</v>
      </c>
    </row>
    <row r="28" spans="2:3" x14ac:dyDescent="0.35">
      <c r="B28" s="75">
        <v>27</v>
      </c>
      <c r="C28" s="56" t="s">
        <v>317</v>
      </c>
    </row>
    <row r="29" spans="2:3" ht="43.5" x14ac:dyDescent="0.35">
      <c r="B29" s="80">
        <v>28</v>
      </c>
      <c r="C29" s="57" t="s">
        <v>318</v>
      </c>
    </row>
    <row r="30" spans="2:3" x14ac:dyDescent="0.35">
      <c r="B30" s="74">
        <v>29</v>
      </c>
      <c r="C30" s="56" t="s">
        <v>319</v>
      </c>
    </row>
    <row r="31" spans="2:3" ht="29" x14ac:dyDescent="0.35">
      <c r="B31" s="82">
        <v>30</v>
      </c>
      <c r="C31" s="57" t="s">
        <v>321</v>
      </c>
    </row>
    <row r="32" spans="2:3" x14ac:dyDescent="0.35">
      <c r="B32" s="74">
        <v>31</v>
      </c>
      <c r="C32" s="56" t="s">
        <v>322</v>
      </c>
    </row>
    <row r="33" spans="2:3" x14ac:dyDescent="0.35">
      <c r="B33" s="74">
        <v>32</v>
      </c>
      <c r="C33" s="56" t="s">
        <v>323</v>
      </c>
    </row>
    <row r="34" spans="2:3" ht="36.75" customHeight="1" x14ac:dyDescent="0.35">
      <c r="B34" s="82">
        <v>33</v>
      </c>
      <c r="C34" s="64" t="s">
        <v>324</v>
      </c>
    </row>
    <row r="35" spans="2:3" x14ac:dyDescent="0.35">
      <c r="B35" s="85">
        <v>34</v>
      </c>
      <c r="C35" s="56" t="s">
        <v>333</v>
      </c>
    </row>
    <row r="36" spans="2:3" ht="58" x14ac:dyDescent="0.35">
      <c r="B36" s="72">
        <v>35</v>
      </c>
      <c r="C36" s="57" t="s">
        <v>335</v>
      </c>
    </row>
    <row r="37" spans="2:3" x14ac:dyDescent="0.35">
      <c r="B37" s="56"/>
      <c r="C37" s="56"/>
    </row>
    <row r="38" spans="2:3" x14ac:dyDescent="0.35">
      <c r="B38" s="56"/>
      <c r="C38" s="56"/>
    </row>
    <row r="39" spans="2:3" x14ac:dyDescent="0.35">
      <c r="B39" s="56"/>
      <c r="C39" s="56"/>
    </row>
    <row r="40" spans="2:3" x14ac:dyDescent="0.35">
      <c r="B40" s="56"/>
      <c r="C40" s="56"/>
    </row>
    <row r="41" spans="2:3" x14ac:dyDescent="0.35">
      <c r="B41" s="56"/>
      <c r="C41" s="56"/>
    </row>
    <row r="42" spans="2:3" x14ac:dyDescent="0.35">
      <c r="B42" s="56"/>
      <c r="C42" s="56"/>
    </row>
    <row r="43" spans="2:3" x14ac:dyDescent="0.35">
      <c r="B43" s="56"/>
      <c r="C43" s="56"/>
    </row>
    <row r="44" spans="2:3" x14ac:dyDescent="0.35">
      <c r="B44" s="56"/>
      <c r="C44"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37"/>
  <sheetViews>
    <sheetView topLeftCell="A25" zoomScale="85" zoomScaleNormal="85" workbookViewId="0">
      <selection activeCell="P48" sqref="P48:Q48"/>
    </sheetView>
  </sheetViews>
  <sheetFormatPr defaultColWidth="9.1796875" defaultRowHeight="14.5" x14ac:dyDescent="0.35"/>
  <cols>
    <col min="1" max="1" width="9.1796875" style="53"/>
    <col min="2" max="2" width="12.26953125" style="53" customWidth="1"/>
    <col min="3" max="16384" width="9.1796875" style="53"/>
  </cols>
  <sheetData>
    <row r="2" spans="1:25" ht="202" customHeight="1" x14ac:dyDescent="0.35">
      <c r="B2" s="66" t="s">
        <v>292</v>
      </c>
      <c r="C2" s="270" t="s">
        <v>442</v>
      </c>
      <c r="D2" s="270"/>
      <c r="O2" s="66" t="s">
        <v>292</v>
      </c>
      <c r="P2" s="270" t="s">
        <v>443</v>
      </c>
      <c r="Q2" s="270"/>
    </row>
    <row r="3" spans="1:25" x14ac:dyDescent="0.35">
      <c r="D3" s="67"/>
      <c r="E3" s="67"/>
      <c r="F3" s="67"/>
      <c r="G3" s="67"/>
      <c r="H3" s="67"/>
      <c r="I3" s="67"/>
      <c r="Q3" s="67"/>
      <c r="R3" s="67"/>
      <c r="S3" s="67"/>
      <c r="T3" s="67"/>
      <c r="U3" s="67"/>
      <c r="V3" s="67"/>
    </row>
    <row r="4" spans="1:25" x14ac:dyDescent="0.35">
      <c r="A4" s="66" t="s">
        <v>65</v>
      </c>
      <c r="B4" s="68" t="s">
        <v>293</v>
      </c>
      <c r="C4" s="271" t="s">
        <v>294</v>
      </c>
      <c r="D4" s="271"/>
      <c r="E4" s="271"/>
      <c r="F4" s="68"/>
      <c r="G4" s="272" t="s">
        <v>295</v>
      </c>
      <c r="H4" s="272"/>
      <c r="I4" s="272"/>
      <c r="J4" s="273" t="s">
        <v>296</v>
      </c>
      <c r="K4" s="273"/>
      <c r="L4" s="273"/>
      <c r="N4" s="66" t="s">
        <v>65</v>
      </c>
      <c r="O4" s="68" t="s">
        <v>293</v>
      </c>
      <c r="P4" s="271" t="s">
        <v>294</v>
      </c>
      <c r="Q4" s="271"/>
      <c r="R4" s="271"/>
      <c r="S4" s="68"/>
      <c r="T4" s="272" t="s">
        <v>295</v>
      </c>
      <c r="U4" s="272"/>
      <c r="V4" s="272"/>
      <c r="W4" s="273" t="s">
        <v>296</v>
      </c>
      <c r="X4" s="273"/>
      <c r="Y4" s="273"/>
    </row>
    <row r="5" spans="1:25" x14ac:dyDescent="0.35">
      <c r="A5" s="66">
        <v>1</v>
      </c>
      <c r="B5" s="68"/>
      <c r="C5" s="68" t="s">
        <v>297</v>
      </c>
      <c r="D5" s="68" t="s">
        <v>298</v>
      </c>
      <c r="E5" s="68" t="s">
        <v>299</v>
      </c>
      <c r="F5" s="68"/>
      <c r="G5" s="68" t="s">
        <v>297</v>
      </c>
      <c r="H5" s="68" t="s">
        <v>298</v>
      </c>
      <c r="I5" s="68" t="s">
        <v>299</v>
      </c>
      <c r="J5" s="68" t="s">
        <v>297</v>
      </c>
      <c r="K5" s="68" t="s">
        <v>298</v>
      </c>
      <c r="L5" s="68" t="s">
        <v>299</v>
      </c>
      <c r="N5" s="66">
        <v>2</v>
      </c>
      <c r="O5" s="68"/>
      <c r="P5" s="68" t="s">
        <v>297</v>
      </c>
      <c r="Q5" s="68" t="s">
        <v>298</v>
      </c>
      <c r="R5" s="68" t="s">
        <v>299</v>
      </c>
      <c r="S5" s="68"/>
      <c r="T5" s="68" t="s">
        <v>297</v>
      </c>
      <c r="U5" s="68" t="s">
        <v>298</v>
      </c>
      <c r="V5" s="68" t="s">
        <v>299</v>
      </c>
      <c r="W5" s="68" t="s">
        <v>297</v>
      </c>
      <c r="X5" s="68" t="s">
        <v>298</v>
      </c>
      <c r="Y5" s="68" t="s">
        <v>299</v>
      </c>
    </row>
    <row r="6" spans="1:25" x14ac:dyDescent="0.35">
      <c r="B6" s="54" t="s">
        <v>300</v>
      </c>
      <c r="C6" s="54">
        <v>1.53</v>
      </c>
      <c r="D6" s="54">
        <v>2.35</v>
      </c>
      <c r="E6" s="54">
        <f>C6*D6</f>
        <v>3.5955000000000004</v>
      </c>
      <c r="F6" s="54" t="s">
        <v>433</v>
      </c>
      <c r="G6" s="54">
        <v>6.6</v>
      </c>
      <c r="H6" s="54">
        <v>1.82</v>
      </c>
      <c r="I6" s="54">
        <f>G6*H6</f>
        <v>12.012</v>
      </c>
      <c r="J6" s="54"/>
      <c r="K6" s="54"/>
      <c r="L6" s="54">
        <f>J6*K6</f>
        <v>0</v>
      </c>
      <c r="O6" s="54" t="s">
        <v>300</v>
      </c>
      <c r="P6" s="54">
        <v>1.48</v>
      </c>
      <c r="Q6" s="54">
        <v>3.6</v>
      </c>
      <c r="R6" s="54">
        <f>P6*Q6</f>
        <v>5.3280000000000003</v>
      </c>
      <c r="S6" s="54" t="s">
        <v>433</v>
      </c>
      <c r="T6" s="54">
        <v>3.5</v>
      </c>
      <c r="U6" s="54">
        <v>1.82</v>
      </c>
      <c r="V6" s="54">
        <f>T6*U6</f>
        <v>6.37</v>
      </c>
      <c r="W6" s="54"/>
      <c r="X6" s="54"/>
      <c r="Y6" s="54">
        <f>W6*X6</f>
        <v>0</v>
      </c>
    </row>
    <row r="7" spans="1:25" x14ac:dyDescent="0.35">
      <c r="B7" s="54"/>
      <c r="C7" s="54">
        <v>3.35</v>
      </c>
      <c r="D7" s="54">
        <v>7.43</v>
      </c>
      <c r="E7" s="54">
        <f t="shared" ref="E7:E41" si="0">C7*D7</f>
        <v>24.890499999999999</v>
      </c>
      <c r="F7" s="54" t="s">
        <v>311</v>
      </c>
      <c r="G7" s="54"/>
      <c r="H7" s="54"/>
      <c r="I7" s="54">
        <f t="shared" ref="I7:I41" si="1">G7*H7</f>
        <v>0</v>
      </c>
      <c r="J7" s="54"/>
      <c r="K7" s="54"/>
      <c r="L7" s="54">
        <f t="shared" ref="L7:L41" si="2">J7*K7</f>
        <v>0</v>
      </c>
      <c r="O7" s="54"/>
      <c r="P7" s="54">
        <v>0.53</v>
      </c>
      <c r="Q7" s="54">
        <v>0.85</v>
      </c>
      <c r="R7" s="54">
        <f t="shared" ref="R7:R24" si="3">P7*Q7</f>
        <v>0.45050000000000001</v>
      </c>
      <c r="S7" s="54" t="s">
        <v>311</v>
      </c>
      <c r="T7" s="54"/>
      <c r="U7" s="54"/>
      <c r="V7" s="54">
        <f t="shared" ref="V7:V24" si="4">T7*U7</f>
        <v>0</v>
      </c>
      <c r="W7" s="54"/>
      <c r="X7" s="54"/>
      <c r="Y7" s="54">
        <f t="shared" ref="Y7:Y24" si="5">W7*X7</f>
        <v>0</v>
      </c>
    </row>
    <row r="8" spans="1:25" x14ac:dyDescent="0.35">
      <c r="B8" s="54"/>
      <c r="C8" s="54">
        <v>3.03</v>
      </c>
      <c r="D8" s="54">
        <v>0.1</v>
      </c>
      <c r="E8" s="54">
        <f t="shared" si="0"/>
        <v>0.30299999999999999</v>
      </c>
      <c r="F8" s="54"/>
      <c r="G8" s="54"/>
      <c r="H8" s="54"/>
      <c r="I8" s="54">
        <f t="shared" si="1"/>
        <v>0</v>
      </c>
      <c r="J8" s="54"/>
      <c r="K8" s="54"/>
      <c r="L8" s="54">
        <f t="shared" si="2"/>
        <v>0</v>
      </c>
      <c r="O8" s="54"/>
      <c r="P8" s="54">
        <v>3.35</v>
      </c>
      <c r="Q8" s="54">
        <v>6.18</v>
      </c>
      <c r="R8" s="54">
        <f t="shared" si="3"/>
        <v>20.702999999999999</v>
      </c>
      <c r="S8" s="54"/>
      <c r="T8" s="54"/>
      <c r="U8" s="54"/>
      <c r="V8" s="54">
        <f t="shared" si="4"/>
        <v>0</v>
      </c>
      <c r="W8" s="54"/>
      <c r="X8" s="54"/>
      <c r="Y8" s="54">
        <f t="shared" si="5"/>
        <v>0</v>
      </c>
    </row>
    <row r="9" spans="1:25" x14ac:dyDescent="0.35">
      <c r="B9" s="54"/>
      <c r="C9" s="54">
        <v>1.23</v>
      </c>
      <c r="D9" s="54">
        <v>3.55</v>
      </c>
      <c r="E9" s="54">
        <f t="shared" si="0"/>
        <v>4.3664999999999994</v>
      </c>
      <c r="F9" s="54" t="s">
        <v>301</v>
      </c>
      <c r="G9" s="54"/>
      <c r="H9" s="54"/>
      <c r="I9" s="54">
        <f t="shared" si="1"/>
        <v>0</v>
      </c>
      <c r="J9" s="54"/>
      <c r="K9" s="54"/>
      <c r="L9" s="54">
        <f t="shared" si="2"/>
        <v>0</v>
      </c>
      <c r="O9" s="54"/>
      <c r="P9" s="54">
        <v>3.05</v>
      </c>
      <c r="Q9" s="54">
        <v>0.1</v>
      </c>
      <c r="R9" s="54">
        <f t="shared" si="3"/>
        <v>0.30499999999999999</v>
      </c>
      <c r="S9" s="54" t="s">
        <v>301</v>
      </c>
      <c r="T9" s="54"/>
      <c r="U9" s="54"/>
      <c r="V9" s="54">
        <f t="shared" si="4"/>
        <v>0</v>
      </c>
      <c r="W9" s="54"/>
      <c r="X9" s="54"/>
      <c r="Y9" s="54">
        <f t="shared" si="5"/>
        <v>0</v>
      </c>
    </row>
    <row r="10" spans="1:25" x14ac:dyDescent="0.35">
      <c r="B10" s="54" t="s">
        <v>435</v>
      </c>
      <c r="C10" s="54">
        <v>3.65</v>
      </c>
      <c r="D10" s="54">
        <v>2.4500000000000002</v>
      </c>
      <c r="E10" s="54">
        <f t="shared" si="0"/>
        <v>8.9425000000000008</v>
      </c>
      <c r="F10" s="54" t="s">
        <v>301</v>
      </c>
      <c r="G10" s="54"/>
      <c r="H10" s="54"/>
      <c r="I10" s="54">
        <f t="shared" si="1"/>
        <v>0</v>
      </c>
      <c r="J10" s="54"/>
      <c r="K10" s="54"/>
      <c r="L10" s="54">
        <f t="shared" si="2"/>
        <v>0</v>
      </c>
      <c r="O10" s="54"/>
      <c r="P10" s="54">
        <v>1.27</v>
      </c>
      <c r="Q10" s="54">
        <v>3.58</v>
      </c>
      <c r="R10" s="54">
        <f t="shared" si="3"/>
        <v>4.5465999999999998</v>
      </c>
      <c r="S10" s="54" t="s">
        <v>301</v>
      </c>
      <c r="T10" s="54"/>
      <c r="U10" s="54"/>
      <c r="V10" s="54">
        <f t="shared" si="4"/>
        <v>0</v>
      </c>
      <c r="W10" s="54"/>
      <c r="X10" s="54"/>
      <c r="Y10" s="54">
        <f t="shared" si="5"/>
        <v>0</v>
      </c>
    </row>
    <row r="11" spans="1:25" x14ac:dyDescent="0.35">
      <c r="B11" s="54" t="s">
        <v>436</v>
      </c>
      <c r="C11" s="54">
        <v>1.18</v>
      </c>
      <c r="D11" s="54">
        <v>0.35</v>
      </c>
      <c r="E11" s="54">
        <f t="shared" si="0"/>
        <v>0.41299999999999998</v>
      </c>
      <c r="F11" s="54" t="s">
        <v>302</v>
      </c>
      <c r="G11" s="54"/>
      <c r="H11" s="54"/>
      <c r="I11" s="54">
        <f t="shared" si="1"/>
        <v>0</v>
      </c>
      <c r="J11" s="54"/>
      <c r="K11" s="54"/>
      <c r="L11" s="54">
        <f t="shared" si="2"/>
        <v>0</v>
      </c>
      <c r="O11" s="54" t="s">
        <v>435</v>
      </c>
      <c r="P11" s="54">
        <v>2.5</v>
      </c>
      <c r="Q11" s="54">
        <v>2.4500000000000002</v>
      </c>
      <c r="R11" s="54">
        <f t="shared" si="3"/>
        <v>6.125</v>
      </c>
      <c r="S11" s="54" t="s">
        <v>302</v>
      </c>
      <c r="T11" s="54"/>
      <c r="U11" s="54"/>
      <c r="V11" s="54">
        <f t="shared" si="4"/>
        <v>0</v>
      </c>
      <c r="W11" s="54"/>
      <c r="X11" s="54"/>
      <c r="Y11" s="54">
        <f t="shared" si="5"/>
        <v>0</v>
      </c>
    </row>
    <row r="12" spans="1:25" x14ac:dyDescent="0.35">
      <c r="B12" s="54"/>
      <c r="C12" s="54">
        <v>1.78</v>
      </c>
      <c r="D12" s="54">
        <v>1.5</v>
      </c>
      <c r="E12" s="54">
        <f t="shared" si="0"/>
        <v>2.67</v>
      </c>
      <c r="F12" s="54"/>
      <c r="G12" s="54"/>
      <c r="H12" s="54"/>
      <c r="I12" s="54">
        <f t="shared" si="1"/>
        <v>0</v>
      </c>
      <c r="J12" s="54"/>
      <c r="K12" s="54"/>
      <c r="L12" s="54">
        <f t="shared" si="2"/>
        <v>0</v>
      </c>
      <c r="O12" s="54"/>
      <c r="P12" s="54">
        <v>1.05</v>
      </c>
      <c r="Q12" s="54">
        <v>2.5499999999999998</v>
      </c>
      <c r="R12" s="54">
        <f t="shared" si="3"/>
        <v>2.6774999999999998</v>
      </c>
      <c r="S12" s="54"/>
      <c r="T12" s="54"/>
      <c r="U12" s="54"/>
      <c r="V12" s="54">
        <f t="shared" si="4"/>
        <v>0</v>
      </c>
      <c r="W12" s="54"/>
      <c r="X12" s="54"/>
      <c r="Y12" s="54">
        <f t="shared" si="5"/>
        <v>0</v>
      </c>
    </row>
    <row r="13" spans="1:25" x14ac:dyDescent="0.35">
      <c r="B13" s="54" t="s">
        <v>303</v>
      </c>
      <c r="C13" s="54">
        <v>3.8</v>
      </c>
      <c r="D13" s="54">
        <v>1.5</v>
      </c>
      <c r="E13" s="54">
        <f t="shared" si="0"/>
        <v>5.6999999999999993</v>
      </c>
      <c r="F13" s="54"/>
      <c r="G13" s="54"/>
      <c r="H13" s="54"/>
      <c r="I13" s="54">
        <f t="shared" si="1"/>
        <v>0</v>
      </c>
      <c r="J13" s="54"/>
      <c r="K13" s="54"/>
      <c r="L13" s="54">
        <f t="shared" si="2"/>
        <v>0</v>
      </c>
      <c r="O13" s="54"/>
      <c r="P13" s="54">
        <v>1.73</v>
      </c>
      <c r="Q13" s="54">
        <v>0.1</v>
      </c>
      <c r="R13" s="54">
        <f t="shared" si="3"/>
        <v>0.17300000000000001</v>
      </c>
      <c r="S13" s="54"/>
      <c r="T13" s="54"/>
      <c r="U13" s="54"/>
      <c r="V13" s="54">
        <f t="shared" si="4"/>
        <v>0</v>
      </c>
      <c r="W13" s="54"/>
      <c r="X13" s="54"/>
      <c r="Y13" s="54">
        <f t="shared" si="5"/>
        <v>0</v>
      </c>
    </row>
    <row r="14" spans="1:25" x14ac:dyDescent="0.35">
      <c r="B14" s="54"/>
      <c r="C14" s="54">
        <v>3.2</v>
      </c>
      <c r="D14" s="54">
        <v>5.18</v>
      </c>
      <c r="E14" s="54">
        <f t="shared" si="0"/>
        <v>16.576000000000001</v>
      </c>
      <c r="F14" s="54" t="s">
        <v>301</v>
      </c>
      <c r="G14" s="54"/>
      <c r="H14" s="54"/>
      <c r="I14" s="54">
        <f t="shared" si="1"/>
        <v>0</v>
      </c>
      <c r="J14" s="54"/>
      <c r="K14" s="54"/>
      <c r="L14" s="54">
        <f t="shared" si="2"/>
        <v>0</v>
      </c>
      <c r="O14" s="54" t="s">
        <v>436</v>
      </c>
      <c r="P14" s="54">
        <v>0.5</v>
      </c>
      <c r="Q14" s="54">
        <v>2.2000000000000002</v>
      </c>
      <c r="R14" s="54">
        <f t="shared" si="3"/>
        <v>1.1000000000000001</v>
      </c>
      <c r="S14" s="54" t="s">
        <v>301</v>
      </c>
      <c r="T14" s="54"/>
      <c r="U14" s="54"/>
      <c r="V14" s="54">
        <f t="shared" si="4"/>
        <v>0</v>
      </c>
      <c r="W14" s="54"/>
      <c r="X14" s="54"/>
      <c r="Y14" s="54">
        <f t="shared" si="5"/>
        <v>0</v>
      </c>
    </row>
    <row r="15" spans="1:25" x14ac:dyDescent="0.35">
      <c r="B15" s="54"/>
      <c r="C15" s="54">
        <v>3.05</v>
      </c>
      <c r="D15" s="54">
        <v>0.65</v>
      </c>
      <c r="E15" s="54">
        <f t="shared" si="0"/>
        <v>1.9824999999999999</v>
      </c>
      <c r="F15" s="54" t="s">
        <v>302</v>
      </c>
      <c r="G15" s="54"/>
      <c r="H15" s="54"/>
      <c r="I15" s="54">
        <f t="shared" si="1"/>
        <v>0</v>
      </c>
      <c r="J15" s="54"/>
      <c r="K15" s="54"/>
      <c r="L15" s="54">
        <f t="shared" si="2"/>
        <v>0</v>
      </c>
      <c r="O15" s="54"/>
      <c r="P15" s="54">
        <v>0.67</v>
      </c>
      <c r="Q15" s="54">
        <v>2.4500000000000002</v>
      </c>
      <c r="R15" s="54">
        <f t="shared" si="3"/>
        <v>1.6415000000000002</v>
      </c>
      <c r="S15" s="54" t="s">
        <v>302</v>
      </c>
      <c r="T15" s="54"/>
      <c r="U15" s="54"/>
      <c r="V15" s="54">
        <f t="shared" si="4"/>
        <v>0</v>
      </c>
      <c r="W15" s="54"/>
      <c r="X15" s="54"/>
      <c r="Y15" s="54">
        <f t="shared" si="5"/>
        <v>0</v>
      </c>
    </row>
    <row r="16" spans="1:25" x14ac:dyDescent="0.35">
      <c r="B16" s="54" t="s">
        <v>304</v>
      </c>
      <c r="C16" s="54">
        <v>3.2</v>
      </c>
      <c r="D16" s="54">
        <v>4.7</v>
      </c>
      <c r="E16" s="54">
        <f t="shared" si="0"/>
        <v>15.040000000000001</v>
      </c>
      <c r="F16" s="54"/>
      <c r="G16" s="54"/>
      <c r="H16" s="54"/>
      <c r="I16" s="54">
        <f t="shared" si="1"/>
        <v>0</v>
      </c>
      <c r="J16" s="54"/>
      <c r="K16" s="54"/>
      <c r="L16" s="54">
        <f t="shared" si="2"/>
        <v>0</v>
      </c>
      <c r="O16" s="54" t="s">
        <v>303</v>
      </c>
      <c r="P16" s="54">
        <v>3.2</v>
      </c>
      <c r="Q16" s="54">
        <v>4.45</v>
      </c>
      <c r="R16" s="54">
        <f t="shared" si="3"/>
        <v>14.240000000000002</v>
      </c>
      <c r="S16" s="54"/>
      <c r="T16" s="54"/>
      <c r="U16" s="54"/>
      <c r="V16" s="54">
        <f t="shared" si="4"/>
        <v>0</v>
      </c>
      <c r="W16" s="54"/>
      <c r="X16" s="54"/>
      <c r="Y16" s="54">
        <f t="shared" si="5"/>
        <v>0</v>
      </c>
    </row>
    <row r="17" spans="2:25" x14ac:dyDescent="0.35">
      <c r="B17" s="54"/>
      <c r="C17" s="54">
        <v>2.8</v>
      </c>
      <c r="D17" s="54">
        <v>0.1</v>
      </c>
      <c r="E17" s="54">
        <f t="shared" si="0"/>
        <v>0.27999999999999997</v>
      </c>
      <c r="F17" s="54"/>
      <c r="G17" s="54"/>
      <c r="H17" s="54"/>
      <c r="I17" s="54">
        <f t="shared" si="1"/>
        <v>0</v>
      </c>
      <c r="J17" s="54"/>
      <c r="K17" s="54"/>
      <c r="L17" s="54">
        <f t="shared" si="2"/>
        <v>0</v>
      </c>
      <c r="O17" s="54"/>
      <c r="P17" s="54">
        <v>3</v>
      </c>
      <c r="Q17" s="54">
        <v>0.6</v>
      </c>
      <c r="R17" s="54">
        <f t="shared" si="3"/>
        <v>1.7999999999999998</v>
      </c>
      <c r="S17" s="54"/>
      <c r="T17" s="54"/>
      <c r="U17" s="54"/>
      <c r="V17" s="54">
        <f t="shared" si="4"/>
        <v>0</v>
      </c>
      <c r="W17" s="54"/>
      <c r="X17" s="54"/>
      <c r="Y17" s="54">
        <f t="shared" si="5"/>
        <v>0</v>
      </c>
    </row>
    <row r="18" spans="2:25" x14ac:dyDescent="0.35">
      <c r="B18" s="54"/>
      <c r="C18" s="54">
        <v>2.0499999999999998</v>
      </c>
      <c r="D18" s="54">
        <v>0.6</v>
      </c>
      <c r="E18" s="54">
        <f t="shared" si="0"/>
        <v>1.2299999999999998</v>
      </c>
      <c r="F18" s="54" t="s">
        <v>301</v>
      </c>
      <c r="G18" s="54"/>
      <c r="H18" s="54"/>
      <c r="I18" s="54">
        <f t="shared" si="1"/>
        <v>0</v>
      </c>
      <c r="J18" s="54"/>
      <c r="K18" s="54"/>
      <c r="L18" s="54">
        <f t="shared" si="2"/>
        <v>0</v>
      </c>
      <c r="O18" s="54"/>
      <c r="P18" s="54">
        <v>1.68</v>
      </c>
      <c r="Q18" s="54">
        <v>1.05</v>
      </c>
      <c r="R18" s="54">
        <f t="shared" si="3"/>
        <v>1.764</v>
      </c>
      <c r="S18" s="54" t="s">
        <v>301</v>
      </c>
      <c r="T18" s="54"/>
      <c r="U18" s="54"/>
      <c r="V18" s="54">
        <f t="shared" si="4"/>
        <v>0</v>
      </c>
      <c r="W18" s="54"/>
      <c r="X18" s="54"/>
      <c r="Y18" s="54">
        <f t="shared" si="5"/>
        <v>0</v>
      </c>
    </row>
    <row r="19" spans="2:25" x14ac:dyDescent="0.35">
      <c r="B19" s="54"/>
      <c r="C19" s="54">
        <v>1.5</v>
      </c>
      <c r="D19" s="54">
        <v>1.05</v>
      </c>
      <c r="E19" s="54">
        <f t="shared" si="0"/>
        <v>1.5750000000000002</v>
      </c>
      <c r="F19" s="54" t="s">
        <v>302</v>
      </c>
      <c r="G19" s="54"/>
      <c r="H19" s="54"/>
      <c r="I19" s="54">
        <f t="shared" si="1"/>
        <v>0</v>
      </c>
      <c r="J19" s="54"/>
      <c r="K19" s="54"/>
      <c r="L19" s="54">
        <f t="shared" si="2"/>
        <v>0</v>
      </c>
      <c r="O19" s="54" t="s">
        <v>304</v>
      </c>
      <c r="P19" s="54">
        <v>3.25</v>
      </c>
      <c r="Q19" s="54">
        <v>2.2999999999999998</v>
      </c>
      <c r="R19" s="54">
        <f t="shared" si="3"/>
        <v>7.4749999999999996</v>
      </c>
      <c r="S19" s="54" t="s">
        <v>302</v>
      </c>
      <c r="T19" s="54"/>
      <c r="U19" s="54"/>
      <c r="V19" s="54">
        <f t="shared" si="4"/>
        <v>0</v>
      </c>
      <c r="W19" s="54"/>
      <c r="X19" s="54"/>
      <c r="Y19" s="54">
        <f t="shared" si="5"/>
        <v>0</v>
      </c>
    </row>
    <row r="20" spans="2:25" x14ac:dyDescent="0.35">
      <c r="B20" s="54" t="s">
        <v>305</v>
      </c>
      <c r="C20" s="54">
        <v>3.1</v>
      </c>
      <c r="D20" s="54">
        <v>2.1800000000000002</v>
      </c>
      <c r="E20" s="54">
        <f t="shared" si="0"/>
        <v>6.7580000000000009</v>
      </c>
      <c r="F20" s="54"/>
      <c r="G20" s="54"/>
      <c r="H20" s="54"/>
      <c r="I20" s="54">
        <f t="shared" si="1"/>
        <v>0</v>
      </c>
      <c r="J20" s="54"/>
      <c r="K20" s="54"/>
      <c r="L20" s="54">
        <f t="shared" si="2"/>
        <v>0</v>
      </c>
      <c r="O20" s="54"/>
      <c r="P20" s="54">
        <v>3.15</v>
      </c>
      <c r="Q20" s="54">
        <v>2.4</v>
      </c>
      <c r="R20" s="54">
        <f t="shared" si="3"/>
        <v>7.56</v>
      </c>
      <c r="S20" s="54"/>
      <c r="T20" s="54"/>
      <c r="U20" s="54"/>
      <c r="V20" s="54">
        <f t="shared" si="4"/>
        <v>0</v>
      </c>
      <c r="W20" s="54"/>
      <c r="X20" s="54"/>
      <c r="Y20" s="54">
        <f t="shared" si="5"/>
        <v>0</v>
      </c>
    </row>
    <row r="21" spans="2:25" x14ac:dyDescent="0.35">
      <c r="B21" s="54"/>
      <c r="C21" s="54">
        <v>3.25</v>
      </c>
      <c r="D21" s="54">
        <v>2.4</v>
      </c>
      <c r="E21" s="54">
        <f t="shared" si="0"/>
        <v>7.8</v>
      </c>
      <c r="F21" s="54" t="s">
        <v>301</v>
      </c>
      <c r="G21" s="54"/>
      <c r="H21" s="54"/>
      <c r="I21" s="54">
        <f t="shared" si="1"/>
        <v>0</v>
      </c>
      <c r="J21" s="54"/>
      <c r="K21" s="54"/>
      <c r="L21" s="54">
        <f t="shared" si="2"/>
        <v>0</v>
      </c>
      <c r="O21" s="54"/>
      <c r="P21" s="54">
        <v>2.4</v>
      </c>
      <c r="Q21" s="54">
        <v>0.1</v>
      </c>
      <c r="R21" s="54">
        <f t="shared" si="3"/>
        <v>0.24</v>
      </c>
      <c r="S21" s="54" t="s">
        <v>301</v>
      </c>
      <c r="T21" s="54"/>
      <c r="U21" s="54"/>
      <c r="V21" s="54">
        <f t="shared" si="4"/>
        <v>0</v>
      </c>
      <c r="W21" s="54"/>
      <c r="X21" s="54"/>
      <c r="Y21" s="54">
        <f t="shared" si="5"/>
        <v>0</v>
      </c>
    </row>
    <row r="22" spans="2:25" x14ac:dyDescent="0.35">
      <c r="B22" s="54"/>
      <c r="C22" s="54">
        <v>1.1299999999999999</v>
      </c>
      <c r="D22" s="54">
        <v>0.6</v>
      </c>
      <c r="E22" s="54">
        <f t="shared" si="0"/>
        <v>0.67799999999999994</v>
      </c>
      <c r="F22" s="54" t="s">
        <v>302</v>
      </c>
      <c r="G22" s="54"/>
      <c r="H22" s="54"/>
      <c r="I22" s="54">
        <f t="shared" si="1"/>
        <v>0</v>
      </c>
      <c r="J22" s="54"/>
      <c r="K22" s="54"/>
      <c r="L22" s="54">
        <f t="shared" si="2"/>
        <v>0</v>
      </c>
      <c r="O22" s="54"/>
      <c r="P22" s="54">
        <v>1.48</v>
      </c>
      <c r="Q22" s="54">
        <v>0.6</v>
      </c>
      <c r="R22" s="54">
        <f t="shared" si="3"/>
        <v>0.88800000000000001</v>
      </c>
      <c r="S22" s="54" t="s">
        <v>302</v>
      </c>
      <c r="T22" s="54"/>
      <c r="U22" s="54"/>
      <c r="V22" s="54">
        <f t="shared" si="4"/>
        <v>0</v>
      </c>
      <c r="W22" s="54"/>
      <c r="X22" s="54"/>
      <c r="Y22" s="54">
        <f t="shared" si="5"/>
        <v>0</v>
      </c>
    </row>
    <row r="23" spans="2:25" x14ac:dyDescent="0.35">
      <c r="B23" s="54" t="s">
        <v>306</v>
      </c>
      <c r="C23" s="54">
        <v>3.1</v>
      </c>
      <c r="D23" s="54">
        <v>2.4</v>
      </c>
      <c r="E23" s="54">
        <f t="shared" si="0"/>
        <v>7.4399999999999995</v>
      </c>
      <c r="F23" s="54"/>
      <c r="G23" s="54"/>
      <c r="H23" s="54"/>
      <c r="I23" s="54">
        <f t="shared" si="1"/>
        <v>0</v>
      </c>
      <c r="J23" s="54"/>
      <c r="K23" s="54"/>
      <c r="L23" s="54">
        <f t="shared" si="2"/>
        <v>0</v>
      </c>
      <c r="O23" s="54" t="s">
        <v>305</v>
      </c>
      <c r="P23" s="54">
        <v>3.15</v>
      </c>
      <c r="Q23" s="54">
        <v>2.0299999999999998</v>
      </c>
      <c r="R23" s="54">
        <f t="shared" si="3"/>
        <v>6.394499999999999</v>
      </c>
      <c r="S23" s="54"/>
      <c r="T23" s="54"/>
      <c r="U23" s="54"/>
      <c r="V23" s="54">
        <f t="shared" si="4"/>
        <v>0</v>
      </c>
      <c r="W23" s="54"/>
      <c r="X23" s="54"/>
      <c r="Y23" s="54">
        <f t="shared" si="5"/>
        <v>0</v>
      </c>
    </row>
    <row r="24" spans="2:25" x14ac:dyDescent="0.35">
      <c r="B24" s="54"/>
      <c r="C24" s="54">
        <v>2.7</v>
      </c>
      <c r="D24" s="54">
        <v>0.1</v>
      </c>
      <c r="E24" s="54">
        <f t="shared" si="0"/>
        <v>0.27</v>
      </c>
      <c r="F24" s="54" t="s">
        <v>307</v>
      </c>
      <c r="G24" s="54"/>
      <c r="H24" s="54"/>
      <c r="I24" s="54">
        <f t="shared" si="1"/>
        <v>0</v>
      </c>
      <c r="J24" s="54"/>
      <c r="K24" s="54"/>
      <c r="L24" s="54">
        <f t="shared" si="2"/>
        <v>0</v>
      </c>
      <c r="O24" s="54"/>
      <c r="P24" s="54">
        <v>3.25</v>
      </c>
      <c r="Q24" s="54">
        <v>1.78</v>
      </c>
      <c r="R24" s="54">
        <f t="shared" si="3"/>
        <v>5.7850000000000001</v>
      </c>
      <c r="S24" s="54" t="s">
        <v>307</v>
      </c>
      <c r="T24" s="54"/>
      <c r="U24" s="54"/>
      <c r="V24" s="54">
        <f t="shared" si="4"/>
        <v>0</v>
      </c>
      <c r="W24" s="54"/>
      <c r="X24" s="54"/>
      <c r="Y24" s="54">
        <f t="shared" si="5"/>
        <v>0</v>
      </c>
    </row>
    <row r="25" spans="2:25" x14ac:dyDescent="0.35">
      <c r="B25" s="54"/>
      <c r="C25" s="54">
        <v>3.2</v>
      </c>
      <c r="D25" s="54">
        <v>1.1499999999999999</v>
      </c>
      <c r="E25" s="54">
        <f>C25*D25</f>
        <v>3.6799999999999997</v>
      </c>
      <c r="F25" s="54" t="s">
        <v>307</v>
      </c>
      <c r="G25" s="54"/>
      <c r="H25" s="54"/>
      <c r="I25" s="54">
        <f>G25*H25</f>
        <v>0</v>
      </c>
      <c r="J25" s="54"/>
      <c r="K25" s="54"/>
      <c r="L25" s="54">
        <f>J25*K25</f>
        <v>0</v>
      </c>
      <c r="O25" s="54" t="s">
        <v>430</v>
      </c>
      <c r="P25" s="54">
        <v>2.13</v>
      </c>
      <c r="Q25" s="54">
        <v>1.78</v>
      </c>
      <c r="R25" s="54">
        <f>P25*Q25</f>
        <v>3.7913999999999999</v>
      </c>
      <c r="S25" s="54" t="s">
        <v>307</v>
      </c>
      <c r="T25" s="54"/>
      <c r="U25" s="54"/>
      <c r="V25" s="54">
        <f>T25*U25</f>
        <v>0</v>
      </c>
      <c r="W25" s="54"/>
      <c r="X25" s="54"/>
      <c r="Y25" s="54">
        <f>W25*X25</f>
        <v>0</v>
      </c>
    </row>
    <row r="26" spans="2:25" x14ac:dyDescent="0.35">
      <c r="B26" s="54" t="s">
        <v>431</v>
      </c>
      <c r="C26" s="54">
        <v>1.53</v>
      </c>
      <c r="D26" s="54">
        <v>2.4300000000000002</v>
      </c>
      <c r="E26" s="54">
        <f>C26*D26</f>
        <v>3.7179000000000002</v>
      </c>
      <c r="F26" s="54" t="s">
        <v>307</v>
      </c>
      <c r="G26" s="54"/>
      <c r="H26" s="54"/>
      <c r="I26" s="54">
        <f>G26*H26</f>
        <v>0</v>
      </c>
      <c r="J26" s="54"/>
      <c r="K26" s="54"/>
      <c r="L26" s="54">
        <f>J26*K26</f>
        <v>0</v>
      </c>
      <c r="O26" s="54"/>
      <c r="P26" s="54">
        <v>1.7</v>
      </c>
      <c r="Q26" s="54">
        <v>0.2</v>
      </c>
      <c r="R26" s="54">
        <f>P26*Q26</f>
        <v>0.34</v>
      </c>
      <c r="S26" s="54" t="s">
        <v>307</v>
      </c>
      <c r="T26" s="54"/>
      <c r="U26" s="54"/>
      <c r="V26" s="54">
        <f>T26*U26</f>
        <v>0</v>
      </c>
      <c r="W26" s="54"/>
      <c r="X26" s="54"/>
      <c r="Y26" s="54">
        <f>W26*X26</f>
        <v>0</v>
      </c>
    </row>
    <row r="27" spans="2:25" x14ac:dyDescent="0.35">
      <c r="B27" s="54" t="s">
        <v>308</v>
      </c>
      <c r="C27" s="54">
        <v>1.53</v>
      </c>
      <c r="D27" s="54">
        <v>2.4300000000000002</v>
      </c>
      <c r="E27" s="54">
        <f>C27*D27</f>
        <v>3.7179000000000002</v>
      </c>
      <c r="F27" s="54" t="s">
        <v>307</v>
      </c>
      <c r="G27" s="54"/>
      <c r="H27" s="54"/>
      <c r="I27" s="54">
        <f>G27*H27</f>
        <v>0</v>
      </c>
      <c r="J27" s="54"/>
      <c r="K27" s="54"/>
      <c r="L27" s="54">
        <f>J27*K27</f>
        <v>0</v>
      </c>
      <c r="O27" s="54"/>
      <c r="P27" s="54">
        <v>2.0299999999999998</v>
      </c>
      <c r="Q27" s="54">
        <v>0.73</v>
      </c>
      <c r="R27" s="54">
        <f>P27*Q27</f>
        <v>1.4818999999999998</v>
      </c>
      <c r="S27" s="54" t="s">
        <v>307</v>
      </c>
      <c r="T27" s="54"/>
      <c r="U27" s="54"/>
      <c r="V27" s="54">
        <f>T27*U27</f>
        <v>0</v>
      </c>
      <c r="W27" s="54"/>
      <c r="X27" s="54"/>
      <c r="Y27" s="54">
        <f>W27*X27</f>
        <v>0</v>
      </c>
    </row>
    <row r="28" spans="2:25" x14ac:dyDescent="0.35">
      <c r="B28" s="54" t="s">
        <v>309</v>
      </c>
      <c r="C28" s="54">
        <v>1.53</v>
      </c>
      <c r="D28" s="54">
        <v>1.98</v>
      </c>
      <c r="E28" s="54">
        <f t="shared" si="0"/>
        <v>3.0293999999999999</v>
      </c>
      <c r="F28" s="54" t="s">
        <v>307</v>
      </c>
      <c r="G28" s="54"/>
      <c r="H28" s="54"/>
      <c r="I28" s="54">
        <f t="shared" si="1"/>
        <v>0</v>
      </c>
      <c r="J28" s="54"/>
      <c r="K28" s="54"/>
      <c r="L28" s="54">
        <f t="shared" si="2"/>
        <v>0</v>
      </c>
      <c r="O28" s="54"/>
      <c r="P28" s="54">
        <v>1.83</v>
      </c>
      <c r="Q28" s="54">
        <v>0.1</v>
      </c>
      <c r="R28" s="54">
        <f t="shared" ref="R28:R30" si="6">P28*Q28</f>
        <v>0.18300000000000002</v>
      </c>
      <c r="S28" s="54" t="s">
        <v>307</v>
      </c>
      <c r="T28" s="54"/>
      <c r="U28" s="54"/>
      <c r="V28" s="54">
        <f t="shared" ref="V28:V30" si="7">T28*U28</f>
        <v>0</v>
      </c>
      <c r="W28" s="54"/>
      <c r="X28" s="54"/>
      <c r="Y28" s="54">
        <f t="shared" ref="Y28:Y30" si="8">W28*X28</f>
        <v>0</v>
      </c>
    </row>
    <row r="29" spans="2:25" x14ac:dyDescent="0.35">
      <c r="B29" s="54"/>
      <c r="C29" s="54">
        <v>1.48</v>
      </c>
      <c r="D29" s="54">
        <v>0.45</v>
      </c>
      <c r="E29" s="54">
        <f t="shared" si="0"/>
        <v>0.66600000000000004</v>
      </c>
      <c r="F29" s="54" t="s">
        <v>307</v>
      </c>
      <c r="G29" s="54"/>
      <c r="H29" s="54"/>
      <c r="I29" s="54">
        <f t="shared" si="1"/>
        <v>0</v>
      </c>
      <c r="J29" s="54"/>
      <c r="K29" s="54"/>
      <c r="L29" s="54">
        <f t="shared" si="2"/>
        <v>0</v>
      </c>
      <c r="O29" s="54" t="s">
        <v>431</v>
      </c>
      <c r="P29" s="54">
        <v>1.53</v>
      </c>
      <c r="Q29" s="54">
        <v>2.4300000000000002</v>
      </c>
      <c r="R29" s="54">
        <f t="shared" si="6"/>
        <v>3.7179000000000002</v>
      </c>
      <c r="S29" s="54" t="s">
        <v>307</v>
      </c>
      <c r="T29" s="54"/>
      <c r="U29" s="54"/>
      <c r="V29" s="54">
        <f t="shared" si="7"/>
        <v>0</v>
      </c>
      <c r="W29" s="54"/>
      <c r="X29" s="54"/>
      <c r="Y29" s="54">
        <f t="shared" si="8"/>
        <v>0</v>
      </c>
    </row>
    <row r="30" spans="2:25" x14ac:dyDescent="0.35">
      <c r="B30" s="54" t="s">
        <v>310</v>
      </c>
      <c r="C30" s="54">
        <v>2.4300000000000002</v>
      </c>
      <c r="D30" s="54">
        <v>1.53</v>
      </c>
      <c r="E30" s="54">
        <f t="shared" si="0"/>
        <v>3.7179000000000002</v>
      </c>
      <c r="F30" s="54"/>
      <c r="G30" s="54"/>
      <c r="H30" s="54"/>
      <c r="I30" s="54">
        <f t="shared" si="1"/>
        <v>0</v>
      </c>
      <c r="J30" s="54"/>
      <c r="K30" s="54"/>
      <c r="L30" s="54">
        <f t="shared" si="2"/>
        <v>0</v>
      </c>
      <c r="O30" s="54" t="s">
        <v>308</v>
      </c>
      <c r="P30" s="54">
        <v>1.53</v>
      </c>
      <c r="Q30" s="54">
        <v>2.4300000000000002</v>
      </c>
      <c r="R30" s="54">
        <f t="shared" si="6"/>
        <v>3.7179000000000002</v>
      </c>
      <c r="S30" s="54"/>
      <c r="T30" s="54"/>
      <c r="U30" s="54"/>
      <c r="V30" s="54">
        <f t="shared" si="7"/>
        <v>0</v>
      </c>
      <c r="W30" s="54"/>
      <c r="X30" s="54"/>
      <c r="Y30" s="54">
        <f t="shared" si="8"/>
        <v>0</v>
      </c>
    </row>
    <row r="31" spans="2:25" x14ac:dyDescent="0.35">
      <c r="B31" s="54" t="s">
        <v>437</v>
      </c>
      <c r="C31" s="54">
        <v>1.78</v>
      </c>
      <c r="D31" s="54">
        <v>1.9</v>
      </c>
      <c r="E31" s="54">
        <f>C31*D31</f>
        <v>3.3819999999999997</v>
      </c>
      <c r="F31" s="54"/>
      <c r="G31" s="54"/>
      <c r="H31" s="54"/>
      <c r="I31" s="54">
        <f>G31*H31</f>
        <v>0</v>
      </c>
      <c r="J31" s="54"/>
      <c r="K31" s="54"/>
      <c r="L31" s="54">
        <f>J31*K31</f>
        <v>0</v>
      </c>
      <c r="O31" s="54" t="s">
        <v>309</v>
      </c>
      <c r="P31" s="54">
        <v>1.53</v>
      </c>
      <c r="Q31" s="54">
        <v>2.4300000000000002</v>
      </c>
      <c r="R31" s="54">
        <f>P31*Q31</f>
        <v>3.7179000000000002</v>
      </c>
      <c r="S31" s="54"/>
      <c r="T31" s="54"/>
      <c r="U31" s="54"/>
      <c r="V31" s="54">
        <f>T31*U31</f>
        <v>0</v>
      </c>
      <c r="W31" s="54"/>
      <c r="X31" s="54"/>
      <c r="Y31" s="54">
        <f>W31*X31</f>
        <v>0</v>
      </c>
    </row>
    <row r="32" spans="2:25" x14ac:dyDescent="0.35">
      <c r="B32" s="54"/>
      <c r="C32" s="54">
        <v>2.4300000000000002</v>
      </c>
      <c r="D32" s="54">
        <v>1.2</v>
      </c>
      <c r="E32" s="54">
        <f>C32*D32</f>
        <v>2.9159999999999999</v>
      </c>
      <c r="F32" s="54"/>
      <c r="G32" s="54"/>
      <c r="H32" s="54"/>
      <c r="I32" s="54">
        <f>G32*H32</f>
        <v>0</v>
      </c>
      <c r="J32" s="54"/>
      <c r="K32" s="54"/>
      <c r="L32" s="54">
        <f>J32*K32</f>
        <v>0</v>
      </c>
      <c r="O32" s="54"/>
      <c r="P32" s="54"/>
      <c r="Q32" s="54"/>
      <c r="R32" s="54">
        <f>P32*Q32</f>
        <v>0</v>
      </c>
      <c r="S32" s="54"/>
      <c r="T32" s="54"/>
      <c r="U32" s="54"/>
      <c r="V32" s="54">
        <f>T32*U32</f>
        <v>0</v>
      </c>
      <c r="W32" s="54"/>
      <c r="X32" s="54"/>
      <c r="Y32" s="54">
        <f>W32*X32</f>
        <v>0</v>
      </c>
    </row>
    <row r="33" spans="2:25" x14ac:dyDescent="0.35">
      <c r="B33" s="54" t="s">
        <v>432</v>
      </c>
      <c r="C33" s="54">
        <v>1.8</v>
      </c>
      <c r="D33" s="54">
        <v>1.05</v>
      </c>
      <c r="E33" s="54">
        <f t="shared" si="0"/>
        <v>1.8900000000000001</v>
      </c>
      <c r="F33" s="54"/>
      <c r="G33" s="54"/>
      <c r="H33" s="54"/>
      <c r="I33" s="54">
        <f t="shared" si="1"/>
        <v>0</v>
      </c>
      <c r="J33" s="54"/>
      <c r="K33" s="54"/>
      <c r="L33" s="54">
        <f t="shared" si="2"/>
        <v>0</v>
      </c>
      <c r="O33" s="54" t="s">
        <v>432</v>
      </c>
      <c r="P33" s="54">
        <v>2.83</v>
      </c>
      <c r="Q33" s="54">
        <v>1.05</v>
      </c>
      <c r="R33" s="54">
        <f t="shared" ref="R33:R36" si="9">P33*Q33</f>
        <v>2.9715000000000003</v>
      </c>
      <c r="S33" s="54"/>
      <c r="T33" s="54"/>
      <c r="U33" s="54"/>
      <c r="V33" s="54">
        <f t="shared" ref="V33:V41" si="10">T33*U33</f>
        <v>0</v>
      </c>
      <c r="W33" s="54"/>
      <c r="X33" s="54"/>
      <c r="Y33" s="54">
        <f t="shared" ref="Y33:Y41" si="11">W33*X33</f>
        <v>0</v>
      </c>
    </row>
    <row r="34" spans="2:25" x14ac:dyDescent="0.35">
      <c r="B34" s="54"/>
      <c r="C34" s="54"/>
      <c r="D34" s="54"/>
      <c r="E34" s="54">
        <f t="shared" si="0"/>
        <v>0</v>
      </c>
      <c r="F34" s="54"/>
      <c r="G34" s="54"/>
      <c r="H34" s="54"/>
      <c r="I34" s="54">
        <f t="shared" si="1"/>
        <v>0</v>
      </c>
      <c r="J34" s="54"/>
      <c r="K34" s="54"/>
      <c r="L34" s="54">
        <f t="shared" si="2"/>
        <v>0</v>
      </c>
      <c r="O34" s="54"/>
      <c r="P34" s="54"/>
      <c r="Q34" s="54"/>
      <c r="R34" s="54">
        <f t="shared" si="9"/>
        <v>0</v>
      </c>
      <c r="S34" s="54"/>
      <c r="T34" s="54"/>
      <c r="U34" s="54"/>
      <c r="V34" s="54">
        <f t="shared" si="10"/>
        <v>0</v>
      </c>
      <c r="W34" s="54"/>
      <c r="X34" s="54"/>
      <c r="Y34" s="54">
        <f t="shared" si="11"/>
        <v>0</v>
      </c>
    </row>
    <row r="35" spans="2:25" x14ac:dyDescent="0.35">
      <c r="B35" s="54"/>
      <c r="C35" s="54"/>
      <c r="D35" s="54"/>
      <c r="E35" s="54">
        <f t="shared" si="0"/>
        <v>0</v>
      </c>
      <c r="F35" s="54"/>
      <c r="G35" s="54"/>
      <c r="H35" s="54"/>
      <c r="I35" s="54">
        <f t="shared" si="1"/>
        <v>0</v>
      </c>
      <c r="J35" s="54"/>
      <c r="K35" s="54"/>
      <c r="L35" s="54">
        <f t="shared" si="2"/>
        <v>0</v>
      </c>
      <c r="O35" s="54"/>
      <c r="P35" s="54"/>
      <c r="Q35" s="54"/>
      <c r="R35" s="54">
        <f t="shared" si="9"/>
        <v>0</v>
      </c>
      <c r="S35" s="54"/>
      <c r="T35" s="54"/>
      <c r="U35" s="54"/>
      <c r="V35" s="54">
        <f t="shared" si="10"/>
        <v>0</v>
      </c>
      <c r="W35" s="54"/>
      <c r="X35" s="54"/>
      <c r="Y35" s="54">
        <f t="shared" si="11"/>
        <v>0</v>
      </c>
    </row>
    <row r="36" spans="2:25" x14ac:dyDescent="0.35">
      <c r="B36" s="54"/>
      <c r="C36" s="54"/>
      <c r="D36" s="54"/>
      <c r="E36" s="54">
        <f t="shared" si="0"/>
        <v>0</v>
      </c>
      <c r="F36" s="54"/>
      <c r="G36" s="54"/>
      <c r="H36" s="54"/>
      <c r="I36" s="54">
        <f t="shared" si="1"/>
        <v>0</v>
      </c>
      <c r="J36" s="54"/>
      <c r="K36" s="54"/>
      <c r="L36" s="54">
        <f t="shared" si="2"/>
        <v>0</v>
      </c>
      <c r="O36" s="54"/>
      <c r="P36" s="54"/>
      <c r="Q36" s="54"/>
      <c r="R36" s="54">
        <f t="shared" si="9"/>
        <v>0</v>
      </c>
      <c r="S36" s="54"/>
      <c r="T36" s="54"/>
      <c r="U36" s="54"/>
      <c r="V36" s="54">
        <f t="shared" si="10"/>
        <v>0</v>
      </c>
      <c r="W36" s="54"/>
      <c r="X36" s="54"/>
      <c r="Y36" s="54">
        <f t="shared" si="11"/>
        <v>0</v>
      </c>
    </row>
    <row r="37" spans="2:25" x14ac:dyDescent="0.35">
      <c r="B37" s="54"/>
      <c r="C37" s="54"/>
      <c r="D37" s="54"/>
      <c r="E37" s="54">
        <f>C37*D37</f>
        <v>0</v>
      </c>
      <c r="F37" s="54"/>
      <c r="G37" s="54"/>
      <c r="H37" s="54"/>
      <c r="I37" s="54">
        <f t="shared" si="1"/>
        <v>0</v>
      </c>
      <c r="J37" s="54"/>
      <c r="K37" s="54"/>
      <c r="L37" s="54">
        <f t="shared" si="2"/>
        <v>0</v>
      </c>
      <c r="O37" s="54"/>
      <c r="P37" s="54"/>
      <c r="Q37" s="54"/>
      <c r="R37" s="54">
        <f>P37*Q37</f>
        <v>0</v>
      </c>
      <c r="S37" s="54"/>
      <c r="T37" s="54"/>
      <c r="U37" s="54"/>
      <c r="V37" s="54">
        <f t="shared" si="10"/>
        <v>0</v>
      </c>
      <c r="W37" s="54"/>
      <c r="X37" s="54"/>
      <c r="Y37" s="54">
        <f t="shared" si="11"/>
        <v>0</v>
      </c>
    </row>
    <row r="38" spans="2:25" x14ac:dyDescent="0.35">
      <c r="B38" s="54"/>
      <c r="C38" s="54"/>
      <c r="D38" s="54"/>
      <c r="E38" s="54">
        <f>C38*D38</f>
        <v>0</v>
      </c>
      <c r="F38" s="54"/>
      <c r="G38" s="54"/>
      <c r="H38" s="54"/>
      <c r="I38" s="54">
        <f t="shared" si="1"/>
        <v>0</v>
      </c>
      <c r="J38" s="54"/>
      <c r="K38" s="54"/>
      <c r="L38" s="54">
        <f t="shared" si="2"/>
        <v>0</v>
      </c>
      <c r="O38" s="54"/>
      <c r="P38" s="54"/>
      <c r="Q38" s="54"/>
      <c r="R38" s="54">
        <f>P38*Q38</f>
        <v>0</v>
      </c>
      <c r="S38" s="54"/>
      <c r="T38" s="54"/>
      <c r="U38" s="54"/>
      <c r="V38" s="54">
        <f t="shared" si="10"/>
        <v>0</v>
      </c>
      <c r="W38" s="54"/>
      <c r="X38" s="54"/>
      <c r="Y38" s="54">
        <f t="shared" si="11"/>
        <v>0</v>
      </c>
    </row>
    <row r="39" spans="2:25" x14ac:dyDescent="0.35">
      <c r="B39" s="54"/>
      <c r="C39" s="54"/>
      <c r="D39" s="54"/>
      <c r="E39" s="54">
        <f t="shared" si="0"/>
        <v>0</v>
      </c>
      <c r="F39" s="54"/>
      <c r="G39" s="54"/>
      <c r="H39" s="54"/>
      <c r="I39" s="54">
        <f t="shared" si="1"/>
        <v>0</v>
      </c>
      <c r="J39" s="54"/>
      <c r="K39" s="54"/>
      <c r="L39" s="54">
        <f t="shared" si="2"/>
        <v>0</v>
      </c>
      <c r="O39" s="54"/>
      <c r="P39" s="54"/>
      <c r="Q39" s="54"/>
      <c r="R39" s="54">
        <f t="shared" ref="R39:R41" si="12">P39*Q39</f>
        <v>0</v>
      </c>
      <c r="S39" s="54"/>
      <c r="T39" s="54"/>
      <c r="U39" s="54"/>
      <c r="V39" s="54">
        <f t="shared" si="10"/>
        <v>0</v>
      </c>
      <c r="W39" s="54"/>
      <c r="X39" s="54"/>
      <c r="Y39" s="54">
        <f t="shared" si="11"/>
        <v>0</v>
      </c>
    </row>
    <row r="40" spans="2:25" x14ac:dyDescent="0.35">
      <c r="B40" s="54"/>
      <c r="C40" s="54"/>
      <c r="D40" s="54"/>
      <c r="E40" s="54">
        <f t="shared" si="0"/>
        <v>0</v>
      </c>
      <c r="F40" s="54"/>
      <c r="G40" s="54"/>
      <c r="H40" s="54"/>
      <c r="I40" s="54">
        <f t="shared" si="1"/>
        <v>0</v>
      </c>
      <c r="J40" s="54"/>
      <c r="K40" s="54"/>
      <c r="L40" s="54">
        <f t="shared" si="2"/>
        <v>0</v>
      </c>
      <c r="O40" s="54"/>
      <c r="P40" s="54"/>
      <c r="Q40" s="54"/>
      <c r="R40" s="54">
        <f t="shared" si="12"/>
        <v>0</v>
      </c>
      <c r="S40" s="54"/>
      <c r="T40" s="54"/>
      <c r="U40" s="54"/>
      <c r="V40" s="54">
        <f t="shared" si="10"/>
        <v>0</v>
      </c>
      <c r="W40" s="54"/>
      <c r="X40" s="54"/>
      <c r="Y40" s="54">
        <f t="shared" si="11"/>
        <v>0</v>
      </c>
    </row>
    <row r="41" spans="2:25" x14ac:dyDescent="0.35">
      <c r="B41" s="54"/>
      <c r="C41" s="54"/>
      <c r="D41" s="54"/>
      <c r="E41" s="54">
        <f t="shared" si="0"/>
        <v>0</v>
      </c>
      <c r="F41" s="54"/>
      <c r="G41" s="54"/>
      <c r="H41" s="54"/>
      <c r="I41" s="54">
        <f t="shared" si="1"/>
        <v>0</v>
      </c>
      <c r="J41" s="54"/>
      <c r="K41" s="54"/>
      <c r="L41" s="54">
        <f t="shared" si="2"/>
        <v>0</v>
      </c>
      <c r="O41" s="54"/>
      <c r="P41" s="54"/>
      <c r="Q41" s="54"/>
      <c r="R41" s="54">
        <f t="shared" si="12"/>
        <v>0</v>
      </c>
      <c r="S41" s="54"/>
      <c r="T41" s="54"/>
      <c r="U41" s="54"/>
      <c r="V41" s="54">
        <f t="shared" si="10"/>
        <v>0</v>
      </c>
      <c r="W41" s="54"/>
      <c r="X41" s="54"/>
      <c r="Y41" s="54">
        <f t="shared" si="11"/>
        <v>0</v>
      </c>
    </row>
    <row r="42" spans="2:25" x14ac:dyDescent="0.35">
      <c r="B42" s="54" t="s">
        <v>143</v>
      </c>
      <c r="C42" s="54"/>
      <c r="D42" s="54">
        <f>E42*10.764</f>
        <v>1477.1178863999996</v>
      </c>
      <c r="E42" s="71">
        <f>SUM(E6:E41)</f>
        <v>137.22759999999997</v>
      </c>
      <c r="F42" s="54"/>
      <c r="G42" s="54"/>
      <c r="H42" s="54">
        <f>I42*10.764</f>
        <v>129.297168</v>
      </c>
      <c r="I42" s="70">
        <f>SUM(I6:I41)</f>
        <v>12.012</v>
      </c>
      <c r="J42" s="54"/>
      <c r="K42" s="54">
        <f>L42*10.764</f>
        <v>0</v>
      </c>
      <c r="L42" s="69">
        <f>SUM(L6:L41)</f>
        <v>0</v>
      </c>
      <c r="O42" s="54" t="s">
        <v>143</v>
      </c>
      <c r="P42" s="54"/>
      <c r="Q42" s="54">
        <f>R42*10.764</f>
        <v>1174.5472284</v>
      </c>
      <c r="R42" s="71">
        <f>SUM(R6:R41)</f>
        <v>109.11810000000001</v>
      </c>
      <c r="S42" s="54"/>
      <c r="T42" s="54"/>
      <c r="U42" s="54">
        <f>V42*10.764</f>
        <v>68.566679999999991</v>
      </c>
      <c r="V42" s="70">
        <f>SUM(V6:V41)</f>
        <v>6.37</v>
      </c>
      <c r="W42" s="54"/>
      <c r="X42" s="54">
        <f>Y42*10.764</f>
        <v>0</v>
      </c>
      <c r="Y42" s="69">
        <f>SUM(Y6:Y41)</f>
        <v>0</v>
      </c>
    </row>
    <row r="44" spans="2:25" x14ac:dyDescent="0.35">
      <c r="D44" s="53">
        <f>D42+H42</f>
        <v>1606.4150543999997</v>
      </c>
      <c r="E44" s="53">
        <f>E42+I42</f>
        <v>149.23959999999997</v>
      </c>
      <c r="Q44" s="53">
        <f>Q42+U42</f>
        <v>1243.1139083999999</v>
      </c>
      <c r="R44" s="53">
        <f>R42+V42</f>
        <v>115.48810000000002</v>
      </c>
    </row>
    <row r="48" spans="2:25" ht="191.5" customHeight="1" x14ac:dyDescent="0.35">
      <c r="B48" s="66" t="s">
        <v>292</v>
      </c>
      <c r="C48" s="270" t="s">
        <v>441</v>
      </c>
      <c r="D48" s="270"/>
      <c r="O48" s="66" t="s">
        <v>292</v>
      </c>
      <c r="P48" s="270" t="s">
        <v>441</v>
      </c>
      <c r="Q48" s="270"/>
    </row>
    <row r="49" spans="1:25" x14ac:dyDescent="0.35">
      <c r="D49" s="67"/>
      <c r="E49" s="67"/>
      <c r="F49" s="67"/>
      <c r="G49" s="67"/>
      <c r="H49" s="67"/>
      <c r="I49" s="67"/>
      <c r="Q49" s="67"/>
      <c r="R49" s="67"/>
      <c r="S49" s="67"/>
      <c r="T49" s="67"/>
      <c r="U49" s="67"/>
      <c r="V49" s="67"/>
    </row>
    <row r="50" spans="1:25" x14ac:dyDescent="0.35">
      <c r="A50" s="66" t="s">
        <v>65</v>
      </c>
      <c r="B50" s="68" t="s">
        <v>293</v>
      </c>
      <c r="C50" s="271" t="s">
        <v>294</v>
      </c>
      <c r="D50" s="271"/>
      <c r="E50" s="271"/>
      <c r="F50" s="68"/>
      <c r="G50" s="272" t="s">
        <v>295</v>
      </c>
      <c r="H50" s="272"/>
      <c r="I50" s="272"/>
      <c r="J50" s="273" t="s">
        <v>296</v>
      </c>
      <c r="K50" s="273"/>
      <c r="L50" s="273"/>
      <c r="N50" s="66" t="s">
        <v>65</v>
      </c>
      <c r="O50" s="68" t="s">
        <v>293</v>
      </c>
      <c r="P50" s="271" t="s">
        <v>294</v>
      </c>
      <c r="Q50" s="271"/>
      <c r="R50" s="271"/>
      <c r="S50" s="68"/>
      <c r="T50" s="272" t="s">
        <v>295</v>
      </c>
      <c r="U50" s="272"/>
      <c r="V50" s="272"/>
      <c r="W50" s="273" t="s">
        <v>296</v>
      </c>
      <c r="X50" s="273"/>
      <c r="Y50" s="273"/>
    </row>
    <row r="51" spans="1:25" x14ac:dyDescent="0.35">
      <c r="A51" s="66">
        <v>3</v>
      </c>
      <c r="B51" s="68"/>
      <c r="C51" s="68" t="s">
        <v>297</v>
      </c>
      <c r="D51" s="68" t="s">
        <v>298</v>
      </c>
      <c r="E51" s="68" t="s">
        <v>299</v>
      </c>
      <c r="F51" s="68"/>
      <c r="G51" s="68" t="s">
        <v>297</v>
      </c>
      <c r="H51" s="68" t="s">
        <v>298</v>
      </c>
      <c r="I51" s="68" t="s">
        <v>299</v>
      </c>
      <c r="J51" s="68" t="s">
        <v>297</v>
      </c>
      <c r="K51" s="68" t="s">
        <v>298</v>
      </c>
      <c r="L51" s="68" t="s">
        <v>299</v>
      </c>
      <c r="N51" s="66">
        <v>4</v>
      </c>
      <c r="O51" s="68"/>
      <c r="P51" s="68" t="s">
        <v>297</v>
      </c>
      <c r="Q51" s="68" t="s">
        <v>298</v>
      </c>
      <c r="R51" s="68" t="s">
        <v>299</v>
      </c>
      <c r="S51" s="68"/>
      <c r="T51" s="68" t="s">
        <v>297</v>
      </c>
      <c r="U51" s="68" t="s">
        <v>298</v>
      </c>
      <c r="V51" s="68" t="s">
        <v>299</v>
      </c>
      <c r="W51" s="68" t="s">
        <v>297</v>
      </c>
      <c r="X51" s="68" t="s">
        <v>298</v>
      </c>
      <c r="Y51" s="68" t="s">
        <v>299</v>
      </c>
    </row>
    <row r="52" spans="1:25" x14ac:dyDescent="0.35">
      <c r="B52" s="54" t="s">
        <v>300</v>
      </c>
      <c r="C52" s="54">
        <v>3.2</v>
      </c>
      <c r="D52" s="54">
        <v>6.18</v>
      </c>
      <c r="E52" s="54">
        <f>C52*D52</f>
        <v>19.776</v>
      </c>
      <c r="F52" s="54" t="s">
        <v>433</v>
      </c>
      <c r="G52" s="54"/>
      <c r="H52" s="54"/>
      <c r="I52" s="54">
        <f>G52*H52</f>
        <v>0</v>
      </c>
      <c r="J52" s="54"/>
      <c r="K52" s="54"/>
      <c r="L52" s="54">
        <f>J52*K52</f>
        <v>0</v>
      </c>
      <c r="O52" s="54" t="s">
        <v>300</v>
      </c>
      <c r="P52" s="54">
        <v>3.35</v>
      </c>
      <c r="Q52" s="54">
        <v>6.18</v>
      </c>
      <c r="R52" s="54">
        <f>P52*Q52</f>
        <v>20.702999999999999</v>
      </c>
      <c r="S52" s="54" t="s">
        <v>433</v>
      </c>
      <c r="T52" s="54"/>
      <c r="U52" s="54"/>
      <c r="V52" s="54">
        <f>T52*U52</f>
        <v>0</v>
      </c>
      <c r="W52" s="54"/>
      <c r="X52" s="54"/>
      <c r="Y52" s="54">
        <f>W52*X52</f>
        <v>0</v>
      </c>
    </row>
    <row r="53" spans="1:25" x14ac:dyDescent="0.35">
      <c r="B53" s="54"/>
      <c r="C53" s="54">
        <v>0.93</v>
      </c>
      <c r="D53" s="54">
        <v>3.58</v>
      </c>
      <c r="E53" s="54">
        <f t="shared" ref="E53:E70" si="13">C53*D53</f>
        <v>3.3294000000000001</v>
      </c>
      <c r="F53" s="54" t="s">
        <v>311</v>
      </c>
      <c r="G53" s="54"/>
      <c r="H53" s="54"/>
      <c r="I53" s="54">
        <f t="shared" ref="I53:I70" si="14">G53*H53</f>
        <v>0</v>
      </c>
      <c r="J53" s="54"/>
      <c r="K53" s="54"/>
      <c r="L53" s="54">
        <f t="shared" ref="L53:L70" si="15">J53*K53</f>
        <v>0</v>
      </c>
      <c r="O53" s="54"/>
      <c r="P53" s="54">
        <v>0.93</v>
      </c>
      <c r="Q53" s="54">
        <v>3.58</v>
      </c>
      <c r="R53" s="54">
        <f t="shared" ref="R53:R70" si="16">P53*Q53</f>
        <v>3.3294000000000001</v>
      </c>
      <c r="S53" s="54" t="s">
        <v>311</v>
      </c>
      <c r="T53" s="54"/>
      <c r="U53" s="54"/>
      <c r="V53" s="54">
        <f t="shared" ref="V53:V70" si="17">T53*U53</f>
        <v>0</v>
      </c>
      <c r="W53" s="54"/>
      <c r="X53" s="54"/>
      <c r="Y53" s="54">
        <f t="shared" ref="Y53:Y70" si="18">W53*X53</f>
        <v>0</v>
      </c>
    </row>
    <row r="54" spans="1:25" x14ac:dyDescent="0.35">
      <c r="B54" s="54" t="s">
        <v>435</v>
      </c>
      <c r="C54" s="54">
        <v>3.05</v>
      </c>
      <c r="D54" s="54">
        <v>2.4300000000000002</v>
      </c>
      <c r="E54" s="54">
        <f t="shared" si="13"/>
        <v>7.4115000000000002</v>
      </c>
      <c r="F54" s="54"/>
      <c r="G54" s="54"/>
      <c r="H54" s="54"/>
      <c r="I54" s="54">
        <f t="shared" si="14"/>
        <v>0</v>
      </c>
      <c r="J54" s="54"/>
      <c r="K54" s="54"/>
      <c r="L54" s="54">
        <f t="shared" si="15"/>
        <v>0</v>
      </c>
      <c r="O54" s="54" t="s">
        <v>435</v>
      </c>
      <c r="P54" s="54">
        <v>2.38</v>
      </c>
      <c r="Q54" s="54">
        <v>2.4300000000000002</v>
      </c>
      <c r="R54" s="54">
        <f t="shared" si="16"/>
        <v>5.7834000000000003</v>
      </c>
      <c r="S54" s="54"/>
      <c r="T54" s="54"/>
      <c r="U54" s="54"/>
      <c r="V54" s="54">
        <f t="shared" si="17"/>
        <v>0</v>
      </c>
      <c r="W54" s="54"/>
      <c r="X54" s="54"/>
      <c r="Y54" s="54">
        <f t="shared" si="18"/>
        <v>0</v>
      </c>
    </row>
    <row r="55" spans="1:25" x14ac:dyDescent="0.35">
      <c r="B55" s="54" t="s">
        <v>436</v>
      </c>
      <c r="C55" s="54">
        <v>1.23</v>
      </c>
      <c r="D55" s="54">
        <v>1.38</v>
      </c>
      <c r="E55" s="54">
        <f t="shared" si="13"/>
        <v>1.6973999999999998</v>
      </c>
      <c r="F55" s="54" t="s">
        <v>301</v>
      </c>
      <c r="G55" s="54"/>
      <c r="H55" s="54"/>
      <c r="I55" s="54">
        <f t="shared" si="14"/>
        <v>0</v>
      </c>
      <c r="J55" s="54"/>
      <c r="K55" s="54"/>
      <c r="L55" s="54">
        <f t="shared" si="15"/>
        <v>0</v>
      </c>
      <c r="O55" s="54"/>
      <c r="P55" s="54">
        <v>0.68</v>
      </c>
      <c r="Q55" s="54">
        <v>2.33</v>
      </c>
      <c r="R55" s="54">
        <f t="shared" si="16"/>
        <v>1.5844000000000003</v>
      </c>
      <c r="S55" s="54" t="s">
        <v>301</v>
      </c>
      <c r="T55" s="54"/>
      <c r="U55" s="54"/>
      <c r="V55" s="54">
        <f t="shared" si="17"/>
        <v>0</v>
      </c>
      <c r="W55" s="54"/>
      <c r="X55" s="54"/>
      <c r="Y55" s="54">
        <f t="shared" si="18"/>
        <v>0</v>
      </c>
    </row>
    <row r="56" spans="1:25" x14ac:dyDescent="0.35">
      <c r="B56" s="54"/>
      <c r="C56" s="54"/>
      <c r="D56" s="54"/>
      <c r="E56" s="54">
        <f t="shared" si="13"/>
        <v>0</v>
      </c>
      <c r="F56" s="54" t="s">
        <v>301</v>
      </c>
      <c r="G56" s="54"/>
      <c r="H56" s="54"/>
      <c r="I56" s="54">
        <f t="shared" si="14"/>
        <v>0</v>
      </c>
      <c r="J56" s="54"/>
      <c r="K56" s="54"/>
      <c r="L56" s="54">
        <f t="shared" si="15"/>
        <v>0</v>
      </c>
      <c r="O56" s="54" t="s">
        <v>436</v>
      </c>
      <c r="P56" s="54">
        <v>1.28</v>
      </c>
      <c r="Q56" s="54">
        <v>1.98</v>
      </c>
      <c r="R56" s="54">
        <f t="shared" si="16"/>
        <v>2.5344000000000002</v>
      </c>
      <c r="S56" s="54" t="s">
        <v>301</v>
      </c>
      <c r="T56" s="54"/>
      <c r="U56" s="54"/>
      <c r="V56" s="54">
        <f t="shared" si="17"/>
        <v>0</v>
      </c>
      <c r="W56" s="54"/>
      <c r="X56" s="54"/>
      <c r="Y56" s="54">
        <f t="shared" si="18"/>
        <v>0</v>
      </c>
    </row>
    <row r="57" spans="1:25" x14ac:dyDescent="0.35">
      <c r="B57" s="54" t="s">
        <v>303</v>
      </c>
      <c r="C57" s="54">
        <v>0.8</v>
      </c>
      <c r="D57" s="54">
        <v>1.05</v>
      </c>
      <c r="E57" s="54">
        <f t="shared" si="13"/>
        <v>0.84000000000000008</v>
      </c>
      <c r="F57" s="54" t="s">
        <v>302</v>
      </c>
      <c r="G57" s="54"/>
      <c r="H57" s="54"/>
      <c r="I57" s="54">
        <f t="shared" si="14"/>
        <v>0</v>
      </c>
      <c r="J57" s="54"/>
      <c r="K57" s="54"/>
      <c r="L57" s="54">
        <f t="shared" si="15"/>
        <v>0</v>
      </c>
      <c r="O57" s="54"/>
      <c r="P57" s="54"/>
      <c r="Q57" s="54"/>
      <c r="R57" s="54">
        <f t="shared" si="16"/>
        <v>0</v>
      </c>
      <c r="S57" s="54" t="s">
        <v>302</v>
      </c>
      <c r="T57" s="54"/>
      <c r="U57" s="54"/>
      <c r="V57" s="54">
        <f t="shared" si="17"/>
        <v>0</v>
      </c>
      <c r="W57" s="54"/>
      <c r="X57" s="54"/>
      <c r="Y57" s="54">
        <f t="shared" si="18"/>
        <v>0</v>
      </c>
    </row>
    <row r="58" spans="1:25" x14ac:dyDescent="0.35">
      <c r="B58" s="54"/>
      <c r="C58" s="54">
        <v>3</v>
      </c>
      <c r="D58" s="54">
        <v>3.65</v>
      </c>
      <c r="E58" s="54">
        <f t="shared" si="13"/>
        <v>10.95</v>
      </c>
      <c r="F58" s="54"/>
      <c r="G58" s="54"/>
      <c r="H58" s="54"/>
      <c r="I58" s="54">
        <f t="shared" si="14"/>
        <v>0</v>
      </c>
      <c r="J58" s="54"/>
      <c r="K58" s="54"/>
      <c r="L58" s="54">
        <f t="shared" si="15"/>
        <v>0</v>
      </c>
      <c r="O58" s="54" t="s">
        <v>303</v>
      </c>
      <c r="P58" s="54">
        <v>0.68</v>
      </c>
      <c r="Q58" s="54">
        <v>1.05</v>
      </c>
      <c r="R58" s="54">
        <f t="shared" si="16"/>
        <v>0.71400000000000008</v>
      </c>
      <c r="S58" s="54"/>
      <c r="T58" s="54"/>
      <c r="U58" s="54"/>
      <c r="V58" s="54">
        <f t="shared" si="17"/>
        <v>0</v>
      </c>
      <c r="W58" s="54"/>
      <c r="X58" s="54"/>
      <c r="Y58" s="54">
        <f t="shared" si="18"/>
        <v>0</v>
      </c>
    </row>
    <row r="59" spans="1:25" x14ac:dyDescent="0.35">
      <c r="B59" s="54"/>
      <c r="C59" s="54">
        <v>1.77</v>
      </c>
      <c r="D59" s="54">
        <v>0.2</v>
      </c>
      <c r="E59" s="54">
        <f t="shared" si="13"/>
        <v>0.35400000000000004</v>
      </c>
      <c r="F59" s="54"/>
      <c r="G59" s="54"/>
      <c r="H59" s="54"/>
      <c r="I59" s="54">
        <f t="shared" si="14"/>
        <v>0</v>
      </c>
      <c r="J59" s="54"/>
      <c r="K59" s="54"/>
      <c r="L59" s="54">
        <f t="shared" si="15"/>
        <v>0</v>
      </c>
      <c r="O59" s="54"/>
      <c r="P59" s="54">
        <v>3.2</v>
      </c>
      <c r="Q59" s="54">
        <v>4.22</v>
      </c>
      <c r="R59" s="54">
        <f t="shared" si="16"/>
        <v>13.504</v>
      </c>
      <c r="S59" s="54"/>
      <c r="T59" s="54"/>
      <c r="U59" s="54"/>
      <c r="V59" s="54">
        <f t="shared" si="17"/>
        <v>0</v>
      </c>
      <c r="W59" s="54"/>
      <c r="X59" s="54"/>
      <c r="Y59" s="54">
        <f t="shared" si="18"/>
        <v>0</v>
      </c>
    </row>
    <row r="60" spans="1:25" x14ac:dyDescent="0.35">
      <c r="B60" s="54"/>
      <c r="C60" s="54">
        <v>1.77</v>
      </c>
      <c r="D60" s="54">
        <v>0.6</v>
      </c>
      <c r="E60" s="54">
        <f t="shared" si="13"/>
        <v>1.0620000000000001</v>
      </c>
      <c r="F60" s="54" t="s">
        <v>301</v>
      </c>
      <c r="G60" s="54"/>
      <c r="H60" s="54"/>
      <c r="I60" s="54">
        <f t="shared" si="14"/>
        <v>0</v>
      </c>
      <c r="J60" s="54"/>
      <c r="K60" s="54"/>
      <c r="L60" s="54">
        <f t="shared" si="15"/>
        <v>0</v>
      </c>
      <c r="O60" s="54"/>
      <c r="P60" s="54">
        <v>2.73</v>
      </c>
      <c r="Q60" s="54">
        <v>0.6</v>
      </c>
      <c r="R60" s="54">
        <f t="shared" si="16"/>
        <v>1.6379999999999999</v>
      </c>
      <c r="S60" s="54" t="s">
        <v>301</v>
      </c>
      <c r="T60" s="54"/>
      <c r="U60" s="54"/>
      <c r="V60" s="54">
        <f t="shared" si="17"/>
        <v>0</v>
      </c>
      <c r="W60" s="54"/>
      <c r="X60" s="54"/>
      <c r="Y60" s="54">
        <f t="shared" si="18"/>
        <v>0</v>
      </c>
    </row>
    <row r="61" spans="1:25" x14ac:dyDescent="0.35">
      <c r="B61" s="54" t="s">
        <v>304</v>
      </c>
      <c r="C61" s="54">
        <v>3.3</v>
      </c>
      <c r="D61" s="54">
        <v>1.6</v>
      </c>
      <c r="E61" s="54">
        <f t="shared" si="13"/>
        <v>5.28</v>
      </c>
      <c r="F61" s="54" t="s">
        <v>302</v>
      </c>
      <c r="G61" s="54"/>
      <c r="H61" s="54"/>
      <c r="I61" s="54">
        <f t="shared" si="14"/>
        <v>0</v>
      </c>
      <c r="J61" s="54"/>
      <c r="K61" s="54"/>
      <c r="L61" s="54">
        <f t="shared" si="15"/>
        <v>0</v>
      </c>
      <c r="O61" s="54" t="s">
        <v>304</v>
      </c>
      <c r="P61" s="54">
        <v>3.25</v>
      </c>
      <c r="Q61" s="54">
        <v>3.65</v>
      </c>
      <c r="R61" s="54">
        <f t="shared" si="16"/>
        <v>11.862499999999999</v>
      </c>
      <c r="S61" s="54" t="s">
        <v>302</v>
      </c>
      <c r="T61" s="54"/>
      <c r="U61" s="54"/>
      <c r="V61" s="54">
        <f t="shared" si="17"/>
        <v>0</v>
      </c>
      <c r="W61" s="54"/>
      <c r="X61" s="54"/>
      <c r="Y61" s="54">
        <f t="shared" si="18"/>
        <v>0</v>
      </c>
    </row>
    <row r="62" spans="1:25" x14ac:dyDescent="0.35">
      <c r="B62" s="54"/>
      <c r="C62" s="54">
        <v>3.2</v>
      </c>
      <c r="D62" s="54">
        <v>1.45</v>
      </c>
      <c r="E62" s="54">
        <f t="shared" si="13"/>
        <v>4.6399999999999997</v>
      </c>
      <c r="F62" s="54"/>
      <c r="G62" s="54"/>
      <c r="H62" s="54"/>
      <c r="I62" s="54">
        <f t="shared" si="14"/>
        <v>0</v>
      </c>
      <c r="J62" s="54"/>
      <c r="K62" s="54"/>
      <c r="L62" s="54">
        <f t="shared" si="15"/>
        <v>0</v>
      </c>
      <c r="O62" s="54"/>
      <c r="P62" s="54">
        <v>1.58</v>
      </c>
      <c r="Q62" s="54">
        <v>0.6</v>
      </c>
      <c r="R62" s="54">
        <f t="shared" si="16"/>
        <v>0.94799999999999995</v>
      </c>
      <c r="S62" s="54"/>
      <c r="T62" s="54"/>
      <c r="U62" s="54"/>
      <c r="V62" s="54">
        <f t="shared" si="17"/>
        <v>0</v>
      </c>
      <c r="W62" s="54"/>
      <c r="X62" s="54"/>
      <c r="Y62" s="54">
        <f t="shared" si="18"/>
        <v>0</v>
      </c>
    </row>
    <row r="63" spans="1:25" x14ac:dyDescent="0.35">
      <c r="B63" s="54"/>
      <c r="C63" s="54">
        <v>1.58</v>
      </c>
      <c r="D63" s="54">
        <v>0.6</v>
      </c>
      <c r="E63" s="54">
        <f t="shared" si="13"/>
        <v>0.94799999999999995</v>
      </c>
      <c r="F63" s="54"/>
      <c r="G63" s="54"/>
      <c r="H63" s="54"/>
      <c r="I63" s="54">
        <f t="shared" si="14"/>
        <v>0</v>
      </c>
      <c r="J63" s="54"/>
      <c r="K63" s="54"/>
      <c r="L63" s="54">
        <f t="shared" si="15"/>
        <v>0</v>
      </c>
      <c r="O63" s="54" t="s">
        <v>305</v>
      </c>
      <c r="P63" s="54">
        <v>3.2</v>
      </c>
      <c r="Q63" s="54">
        <v>3.55</v>
      </c>
      <c r="R63" s="54">
        <f t="shared" si="16"/>
        <v>11.36</v>
      </c>
      <c r="S63" s="54"/>
      <c r="T63" s="54"/>
      <c r="U63" s="54"/>
      <c r="V63" s="54">
        <f t="shared" si="17"/>
        <v>0</v>
      </c>
      <c r="W63" s="54"/>
      <c r="X63" s="54"/>
      <c r="Y63" s="54">
        <f t="shared" si="18"/>
        <v>0</v>
      </c>
    </row>
    <row r="64" spans="1:25" x14ac:dyDescent="0.35">
      <c r="B64" s="54" t="s">
        <v>305</v>
      </c>
      <c r="C64" s="54">
        <v>2.4500000000000002</v>
      </c>
      <c r="D64" s="54">
        <v>3.05</v>
      </c>
      <c r="E64" s="54">
        <f t="shared" si="13"/>
        <v>7.4725000000000001</v>
      </c>
      <c r="F64" s="54" t="s">
        <v>301</v>
      </c>
      <c r="G64" s="54"/>
      <c r="H64" s="54"/>
      <c r="I64" s="54">
        <f t="shared" si="14"/>
        <v>0</v>
      </c>
      <c r="J64" s="54"/>
      <c r="K64" s="54"/>
      <c r="L64" s="54">
        <f t="shared" si="15"/>
        <v>0</v>
      </c>
      <c r="O64" s="54"/>
      <c r="P64" s="54">
        <v>1</v>
      </c>
      <c r="Q64" s="54">
        <v>0.1</v>
      </c>
      <c r="R64" s="54">
        <f t="shared" si="16"/>
        <v>0.1</v>
      </c>
      <c r="S64" s="54" t="s">
        <v>301</v>
      </c>
      <c r="T64" s="54"/>
      <c r="U64" s="54"/>
      <c r="V64" s="54">
        <f t="shared" si="17"/>
        <v>0</v>
      </c>
      <c r="W64" s="54"/>
      <c r="X64" s="54"/>
      <c r="Y64" s="54">
        <f t="shared" si="18"/>
        <v>0</v>
      </c>
    </row>
    <row r="65" spans="2:25" x14ac:dyDescent="0.35">
      <c r="B65" s="54"/>
      <c r="C65" s="54"/>
      <c r="D65" s="54"/>
      <c r="E65" s="54">
        <f t="shared" si="13"/>
        <v>0</v>
      </c>
      <c r="F65" s="54" t="s">
        <v>302</v>
      </c>
      <c r="G65" s="54"/>
      <c r="H65" s="54"/>
      <c r="I65" s="54">
        <f t="shared" si="14"/>
        <v>0</v>
      </c>
      <c r="J65" s="54"/>
      <c r="K65" s="54"/>
      <c r="L65" s="54">
        <f t="shared" si="15"/>
        <v>0</v>
      </c>
      <c r="O65" s="54" t="s">
        <v>431</v>
      </c>
      <c r="P65" s="54">
        <v>1.53</v>
      </c>
      <c r="Q65" s="54">
        <v>2.4300000000000002</v>
      </c>
      <c r="R65" s="54">
        <f t="shared" si="16"/>
        <v>3.7179000000000002</v>
      </c>
      <c r="S65" s="54" t="s">
        <v>302</v>
      </c>
      <c r="T65" s="54"/>
      <c r="U65" s="54"/>
      <c r="V65" s="54">
        <f t="shared" si="17"/>
        <v>0</v>
      </c>
      <c r="W65" s="54"/>
      <c r="X65" s="54"/>
      <c r="Y65" s="54">
        <f t="shared" si="18"/>
        <v>0</v>
      </c>
    </row>
    <row r="66" spans="2:25" x14ac:dyDescent="0.35">
      <c r="B66" s="54" t="s">
        <v>431</v>
      </c>
      <c r="C66" s="54">
        <v>1.53</v>
      </c>
      <c r="D66" s="54">
        <v>2.4300000000000002</v>
      </c>
      <c r="E66" s="54">
        <f t="shared" si="13"/>
        <v>3.7179000000000002</v>
      </c>
      <c r="F66" s="54"/>
      <c r="G66" s="54"/>
      <c r="H66" s="54"/>
      <c r="I66" s="54">
        <f t="shared" si="14"/>
        <v>0</v>
      </c>
      <c r="J66" s="54"/>
      <c r="K66" s="54"/>
      <c r="L66" s="54">
        <f t="shared" si="15"/>
        <v>0</v>
      </c>
      <c r="O66" s="54" t="s">
        <v>308</v>
      </c>
      <c r="P66" s="54">
        <v>1.53</v>
      </c>
      <c r="Q66" s="54">
        <v>2.02</v>
      </c>
      <c r="R66" s="54">
        <f t="shared" si="16"/>
        <v>3.0906000000000002</v>
      </c>
      <c r="S66" s="54"/>
      <c r="T66" s="54"/>
      <c r="U66" s="54"/>
      <c r="V66" s="54">
        <f t="shared" si="17"/>
        <v>0</v>
      </c>
      <c r="W66" s="54"/>
      <c r="X66" s="54"/>
      <c r="Y66" s="54">
        <f t="shared" si="18"/>
        <v>0</v>
      </c>
    </row>
    <row r="67" spans="2:25" x14ac:dyDescent="0.35">
      <c r="B67" s="54" t="s">
        <v>308</v>
      </c>
      <c r="C67" s="54">
        <v>1.53</v>
      </c>
      <c r="D67" s="54">
        <v>2.4300000000000002</v>
      </c>
      <c r="E67" s="54">
        <f t="shared" si="13"/>
        <v>3.7179000000000002</v>
      </c>
      <c r="F67" s="54" t="s">
        <v>301</v>
      </c>
      <c r="G67" s="54"/>
      <c r="H67" s="54"/>
      <c r="I67" s="54">
        <f t="shared" si="14"/>
        <v>0</v>
      </c>
      <c r="J67" s="54"/>
      <c r="K67" s="54"/>
      <c r="L67" s="54">
        <f t="shared" si="15"/>
        <v>0</v>
      </c>
      <c r="O67" s="54" t="s">
        <v>309</v>
      </c>
      <c r="P67" s="54">
        <v>1.53</v>
      </c>
      <c r="Q67" s="54">
        <v>1.45</v>
      </c>
      <c r="R67" s="54">
        <f t="shared" si="16"/>
        <v>2.2185000000000001</v>
      </c>
      <c r="S67" s="54" t="s">
        <v>301</v>
      </c>
      <c r="T67" s="54"/>
      <c r="U67" s="54"/>
      <c r="V67" s="54">
        <f t="shared" si="17"/>
        <v>0</v>
      </c>
      <c r="W67" s="54"/>
      <c r="X67" s="54"/>
      <c r="Y67" s="54">
        <f t="shared" si="18"/>
        <v>0</v>
      </c>
    </row>
    <row r="68" spans="2:25" x14ac:dyDescent="0.35">
      <c r="B68" s="54"/>
      <c r="C68" s="54"/>
      <c r="D68" s="54"/>
      <c r="E68" s="54">
        <f t="shared" si="13"/>
        <v>0</v>
      </c>
      <c r="F68" s="54" t="s">
        <v>302</v>
      </c>
      <c r="G68" s="54"/>
      <c r="H68" s="54"/>
      <c r="I68" s="54">
        <f t="shared" si="14"/>
        <v>0</v>
      </c>
      <c r="J68" s="54"/>
      <c r="K68" s="54"/>
      <c r="L68" s="54">
        <f t="shared" si="15"/>
        <v>0</v>
      </c>
      <c r="O68" s="54"/>
      <c r="P68" s="54">
        <v>1.63</v>
      </c>
      <c r="Q68" s="54">
        <v>0.98</v>
      </c>
      <c r="R68" s="54">
        <f t="shared" si="16"/>
        <v>1.5973999999999999</v>
      </c>
      <c r="S68" s="54" t="s">
        <v>302</v>
      </c>
      <c r="T68" s="54"/>
      <c r="U68" s="54"/>
      <c r="V68" s="54">
        <f t="shared" si="17"/>
        <v>0</v>
      </c>
      <c r="W68" s="54"/>
      <c r="X68" s="54"/>
      <c r="Y68" s="54">
        <f t="shared" si="18"/>
        <v>0</v>
      </c>
    </row>
    <row r="69" spans="2:25" x14ac:dyDescent="0.35">
      <c r="B69" s="54" t="s">
        <v>432</v>
      </c>
      <c r="C69" s="54">
        <v>1.1299999999999999</v>
      </c>
      <c r="D69" s="54">
        <v>1.05</v>
      </c>
      <c r="E69" s="54">
        <f t="shared" si="13"/>
        <v>1.1864999999999999</v>
      </c>
      <c r="F69" s="54"/>
      <c r="G69" s="54"/>
      <c r="H69" s="54"/>
      <c r="I69" s="54">
        <f t="shared" si="14"/>
        <v>0</v>
      </c>
      <c r="J69" s="54"/>
      <c r="K69" s="54"/>
      <c r="L69" s="54">
        <f t="shared" si="15"/>
        <v>0</v>
      </c>
      <c r="O69" s="54"/>
      <c r="P69" s="54"/>
      <c r="Q69" s="54"/>
      <c r="R69" s="54">
        <f t="shared" si="16"/>
        <v>0</v>
      </c>
      <c r="S69" s="54"/>
      <c r="T69" s="54"/>
      <c r="U69" s="54"/>
      <c r="V69" s="54">
        <f t="shared" si="17"/>
        <v>0</v>
      </c>
      <c r="W69" s="54"/>
      <c r="X69" s="54"/>
      <c r="Y69" s="54">
        <f t="shared" si="18"/>
        <v>0</v>
      </c>
    </row>
    <row r="70" spans="2:25" x14ac:dyDescent="0.35">
      <c r="B70" s="54"/>
      <c r="C70" s="54"/>
      <c r="D70" s="54"/>
      <c r="E70" s="54">
        <f t="shared" si="13"/>
        <v>0</v>
      </c>
      <c r="F70" s="54" t="s">
        <v>307</v>
      </c>
      <c r="G70" s="54"/>
      <c r="H70" s="54"/>
      <c r="I70" s="54">
        <f t="shared" si="14"/>
        <v>0</v>
      </c>
      <c r="J70" s="54"/>
      <c r="K70" s="54"/>
      <c r="L70" s="54">
        <f t="shared" si="15"/>
        <v>0</v>
      </c>
      <c r="O70" s="54" t="s">
        <v>432</v>
      </c>
      <c r="P70" s="54">
        <v>3.63</v>
      </c>
      <c r="Q70" s="54">
        <v>1.05</v>
      </c>
      <c r="R70" s="54">
        <f t="shared" si="16"/>
        <v>3.8115000000000001</v>
      </c>
      <c r="S70" s="54" t="s">
        <v>307</v>
      </c>
      <c r="T70" s="54"/>
      <c r="U70" s="54"/>
      <c r="V70" s="54">
        <f t="shared" si="17"/>
        <v>0</v>
      </c>
      <c r="W70" s="54"/>
      <c r="X70" s="54"/>
      <c r="Y70" s="54">
        <f t="shared" si="18"/>
        <v>0</v>
      </c>
    </row>
    <row r="71" spans="2:25" x14ac:dyDescent="0.35">
      <c r="B71" s="54"/>
      <c r="C71" s="54"/>
      <c r="D71" s="54"/>
      <c r="E71" s="54">
        <f>C71*D71</f>
        <v>0</v>
      </c>
      <c r="F71" s="54" t="s">
        <v>307</v>
      </c>
      <c r="G71" s="54"/>
      <c r="H71" s="54"/>
      <c r="I71" s="54">
        <f>G71*H71</f>
        <v>0</v>
      </c>
      <c r="J71" s="54"/>
      <c r="K71" s="54"/>
      <c r="L71" s="54">
        <f>J71*K71</f>
        <v>0</v>
      </c>
      <c r="O71" s="54"/>
      <c r="P71" s="54"/>
      <c r="Q71" s="54"/>
      <c r="R71" s="54">
        <f>P71*Q71</f>
        <v>0</v>
      </c>
      <c r="S71" s="54" t="s">
        <v>307</v>
      </c>
      <c r="T71" s="54"/>
      <c r="U71" s="54"/>
      <c r="V71" s="54">
        <f>T71*U71</f>
        <v>0</v>
      </c>
      <c r="W71" s="54"/>
      <c r="X71" s="54"/>
      <c r="Y71" s="54">
        <f>W71*X71</f>
        <v>0</v>
      </c>
    </row>
    <row r="72" spans="2:25" x14ac:dyDescent="0.35">
      <c r="B72" s="54"/>
      <c r="C72" s="54"/>
      <c r="D72" s="54"/>
      <c r="E72" s="54">
        <f>C72*D72</f>
        <v>0</v>
      </c>
      <c r="F72" s="54" t="s">
        <v>307</v>
      </c>
      <c r="G72" s="54"/>
      <c r="H72" s="54"/>
      <c r="I72" s="54">
        <f>G72*H72</f>
        <v>0</v>
      </c>
      <c r="J72" s="54"/>
      <c r="K72" s="54"/>
      <c r="L72" s="54">
        <f>J72*K72</f>
        <v>0</v>
      </c>
      <c r="O72" s="54"/>
      <c r="P72" s="54"/>
      <c r="Q72" s="54"/>
      <c r="R72" s="54">
        <f>P72*Q72</f>
        <v>0</v>
      </c>
      <c r="S72" s="54" t="s">
        <v>307</v>
      </c>
      <c r="T72" s="54"/>
      <c r="U72" s="54"/>
      <c r="V72" s="54">
        <f>T72*U72</f>
        <v>0</v>
      </c>
      <c r="W72" s="54"/>
      <c r="X72" s="54"/>
      <c r="Y72" s="54">
        <f>W72*X72</f>
        <v>0</v>
      </c>
    </row>
    <row r="73" spans="2:25" x14ac:dyDescent="0.35">
      <c r="B73" s="54"/>
      <c r="C73" s="54"/>
      <c r="D73" s="54"/>
      <c r="E73" s="54">
        <f>C73*D73</f>
        <v>0</v>
      </c>
      <c r="F73" s="54" t="s">
        <v>307</v>
      </c>
      <c r="G73" s="54"/>
      <c r="H73" s="54"/>
      <c r="I73" s="54">
        <f>G73*H73</f>
        <v>0</v>
      </c>
      <c r="J73" s="54"/>
      <c r="K73" s="54"/>
      <c r="L73" s="54">
        <f>J73*K73</f>
        <v>0</v>
      </c>
      <c r="O73" s="54"/>
      <c r="P73" s="54"/>
      <c r="Q73" s="54"/>
      <c r="R73" s="54">
        <f>P73*Q73</f>
        <v>0</v>
      </c>
      <c r="S73" s="54" t="s">
        <v>307</v>
      </c>
      <c r="T73" s="54"/>
      <c r="U73" s="54"/>
      <c r="V73" s="54">
        <f>T73*U73</f>
        <v>0</v>
      </c>
      <c r="W73" s="54"/>
      <c r="X73" s="54"/>
      <c r="Y73" s="54">
        <f>W73*X73</f>
        <v>0</v>
      </c>
    </row>
    <row r="74" spans="2:25" x14ac:dyDescent="0.35">
      <c r="B74" s="54"/>
      <c r="C74" s="54"/>
      <c r="D74" s="54"/>
      <c r="E74" s="54">
        <f t="shared" ref="E74:E76" si="19">C74*D74</f>
        <v>0</v>
      </c>
      <c r="F74" s="54" t="s">
        <v>307</v>
      </c>
      <c r="G74" s="54"/>
      <c r="H74" s="54"/>
      <c r="I74" s="54">
        <f t="shared" ref="I74:I76" si="20">G74*H74</f>
        <v>0</v>
      </c>
      <c r="J74" s="54"/>
      <c r="K74" s="54"/>
      <c r="L74" s="54">
        <f t="shared" ref="L74:L76" si="21">J74*K74</f>
        <v>0</v>
      </c>
      <c r="O74" s="54"/>
      <c r="P74" s="54"/>
      <c r="Q74" s="54"/>
      <c r="R74" s="54">
        <f t="shared" ref="R74:R76" si="22">P74*Q74</f>
        <v>0</v>
      </c>
      <c r="S74" s="54" t="s">
        <v>307</v>
      </c>
      <c r="T74" s="54"/>
      <c r="U74" s="54"/>
      <c r="V74" s="54">
        <f t="shared" ref="V74:V76" si="23">T74*U74</f>
        <v>0</v>
      </c>
      <c r="W74" s="54"/>
      <c r="X74" s="54"/>
      <c r="Y74" s="54">
        <f t="shared" ref="Y74:Y76" si="24">W74*X74</f>
        <v>0</v>
      </c>
    </row>
    <row r="75" spans="2:25" x14ac:dyDescent="0.35">
      <c r="B75" s="54"/>
      <c r="C75" s="54"/>
      <c r="D75" s="54"/>
      <c r="E75" s="54">
        <f t="shared" si="19"/>
        <v>0</v>
      </c>
      <c r="F75" s="54" t="s">
        <v>307</v>
      </c>
      <c r="G75" s="54"/>
      <c r="H75" s="54"/>
      <c r="I75" s="54">
        <f t="shared" si="20"/>
        <v>0</v>
      </c>
      <c r="J75" s="54"/>
      <c r="K75" s="54"/>
      <c r="L75" s="54">
        <f t="shared" si="21"/>
        <v>0</v>
      </c>
      <c r="O75" s="54"/>
      <c r="P75" s="54"/>
      <c r="Q75" s="54"/>
      <c r="R75" s="54">
        <f t="shared" si="22"/>
        <v>0</v>
      </c>
      <c r="S75" s="54" t="s">
        <v>307</v>
      </c>
      <c r="T75" s="54"/>
      <c r="U75" s="54"/>
      <c r="V75" s="54">
        <f t="shared" si="23"/>
        <v>0</v>
      </c>
      <c r="W75" s="54"/>
      <c r="X75" s="54"/>
      <c r="Y75" s="54">
        <f t="shared" si="24"/>
        <v>0</v>
      </c>
    </row>
    <row r="76" spans="2:25" x14ac:dyDescent="0.35">
      <c r="B76" s="54"/>
      <c r="C76" s="54"/>
      <c r="D76" s="54"/>
      <c r="E76" s="54">
        <f t="shared" si="19"/>
        <v>0</v>
      </c>
      <c r="F76" s="54"/>
      <c r="G76" s="54"/>
      <c r="H76" s="54"/>
      <c r="I76" s="54">
        <f t="shared" si="20"/>
        <v>0</v>
      </c>
      <c r="J76" s="54"/>
      <c r="K76" s="54"/>
      <c r="L76" s="54">
        <f t="shared" si="21"/>
        <v>0</v>
      </c>
      <c r="O76" s="54"/>
      <c r="P76" s="54"/>
      <c r="Q76" s="54"/>
      <c r="R76" s="54">
        <f t="shared" si="22"/>
        <v>0</v>
      </c>
      <c r="S76" s="54"/>
      <c r="T76" s="54"/>
      <c r="U76" s="54"/>
      <c r="V76" s="54">
        <f t="shared" si="23"/>
        <v>0</v>
      </c>
      <c r="W76" s="54"/>
      <c r="X76" s="54"/>
      <c r="Y76" s="54">
        <f t="shared" si="24"/>
        <v>0</v>
      </c>
    </row>
    <row r="77" spans="2:25" x14ac:dyDescent="0.35">
      <c r="B77" s="54"/>
      <c r="C77" s="54"/>
      <c r="D77" s="54"/>
      <c r="E77" s="54">
        <f>C77*D77</f>
        <v>0</v>
      </c>
      <c r="F77" s="54"/>
      <c r="G77" s="54"/>
      <c r="H77" s="54"/>
      <c r="I77" s="54">
        <f>G77*H77</f>
        <v>0</v>
      </c>
      <c r="J77" s="54"/>
      <c r="K77" s="54"/>
      <c r="L77" s="54">
        <f>J77*K77</f>
        <v>0</v>
      </c>
      <c r="O77" s="54"/>
      <c r="P77" s="54"/>
      <c r="Q77" s="54"/>
      <c r="R77" s="54">
        <f>P77*Q77</f>
        <v>0</v>
      </c>
      <c r="S77" s="54"/>
      <c r="T77" s="54"/>
      <c r="U77" s="54"/>
      <c r="V77" s="54">
        <f>T77*U77</f>
        <v>0</v>
      </c>
      <c r="W77" s="54"/>
      <c r="X77" s="54"/>
      <c r="Y77" s="54">
        <f>W77*X77</f>
        <v>0</v>
      </c>
    </row>
    <row r="78" spans="2:25" x14ac:dyDescent="0.35">
      <c r="B78" s="54"/>
      <c r="C78" s="54"/>
      <c r="D78" s="54"/>
      <c r="E78" s="54">
        <f>C78*D78</f>
        <v>0</v>
      </c>
      <c r="F78" s="54"/>
      <c r="G78" s="54"/>
      <c r="H78" s="54"/>
      <c r="I78" s="54">
        <f>G78*H78</f>
        <v>0</v>
      </c>
      <c r="J78" s="54"/>
      <c r="K78" s="54"/>
      <c r="L78" s="54">
        <f>J78*K78</f>
        <v>0</v>
      </c>
      <c r="O78" s="54"/>
      <c r="P78" s="54"/>
      <c r="Q78" s="54"/>
      <c r="R78" s="54">
        <f>P78*Q78</f>
        <v>0</v>
      </c>
      <c r="S78" s="54"/>
      <c r="T78" s="54"/>
      <c r="U78" s="54"/>
      <c r="V78" s="54">
        <f>T78*U78</f>
        <v>0</v>
      </c>
      <c r="W78" s="54"/>
      <c r="X78" s="54"/>
      <c r="Y78" s="54">
        <f>W78*X78</f>
        <v>0</v>
      </c>
    </row>
    <row r="79" spans="2:25" x14ac:dyDescent="0.35">
      <c r="B79" s="54"/>
      <c r="C79" s="54"/>
      <c r="D79" s="54"/>
      <c r="E79" s="54">
        <f t="shared" ref="E79:E82" si="25">C79*D79</f>
        <v>0</v>
      </c>
      <c r="F79" s="54"/>
      <c r="G79" s="54"/>
      <c r="H79" s="54"/>
      <c r="I79" s="54">
        <f t="shared" ref="I79:I87" si="26">G79*H79</f>
        <v>0</v>
      </c>
      <c r="J79" s="54"/>
      <c r="K79" s="54"/>
      <c r="L79" s="54">
        <f t="shared" ref="L79:L87" si="27">J79*K79</f>
        <v>0</v>
      </c>
      <c r="O79" s="54"/>
      <c r="P79" s="54"/>
      <c r="Q79" s="54"/>
      <c r="R79" s="54">
        <f t="shared" ref="R79:R82" si="28">P79*Q79</f>
        <v>0</v>
      </c>
      <c r="S79" s="54"/>
      <c r="T79" s="54"/>
      <c r="U79" s="54"/>
      <c r="V79" s="54">
        <f t="shared" ref="V79:V87" si="29">T79*U79</f>
        <v>0</v>
      </c>
      <c r="W79" s="54"/>
      <c r="X79" s="54"/>
      <c r="Y79" s="54">
        <f t="shared" ref="Y79:Y87" si="30">W79*X79</f>
        <v>0</v>
      </c>
    </row>
    <row r="80" spans="2:25" x14ac:dyDescent="0.35">
      <c r="B80" s="54"/>
      <c r="C80" s="54"/>
      <c r="D80" s="54"/>
      <c r="E80" s="54">
        <f t="shared" si="25"/>
        <v>0</v>
      </c>
      <c r="F80" s="54"/>
      <c r="G80" s="54"/>
      <c r="H80" s="54"/>
      <c r="I80" s="54">
        <f t="shared" si="26"/>
        <v>0</v>
      </c>
      <c r="J80" s="54"/>
      <c r="K80" s="54"/>
      <c r="L80" s="54">
        <f t="shared" si="27"/>
        <v>0</v>
      </c>
      <c r="O80" s="54"/>
      <c r="P80" s="54"/>
      <c r="Q80" s="54"/>
      <c r="R80" s="54">
        <f t="shared" si="28"/>
        <v>0</v>
      </c>
      <c r="S80" s="54"/>
      <c r="T80" s="54"/>
      <c r="U80" s="54"/>
      <c r="V80" s="54">
        <f t="shared" si="29"/>
        <v>0</v>
      </c>
      <c r="W80" s="54"/>
      <c r="X80" s="54"/>
      <c r="Y80" s="54">
        <f t="shared" si="30"/>
        <v>0</v>
      </c>
    </row>
    <row r="81" spans="1:25" x14ac:dyDescent="0.35">
      <c r="B81" s="54"/>
      <c r="C81" s="54"/>
      <c r="D81" s="54"/>
      <c r="E81" s="54">
        <f t="shared" si="25"/>
        <v>0</v>
      </c>
      <c r="F81" s="54"/>
      <c r="G81" s="54"/>
      <c r="H81" s="54"/>
      <c r="I81" s="54">
        <f t="shared" si="26"/>
        <v>0</v>
      </c>
      <c r="J81" s="54"/>
      <c r="K81" s="54"/>
      <c r="L81" s="54">
        <f t="shared" si="27"/>
        <v>0</v>
      </c>
      <c r="O81" s="54"/>
      <c r="P81" s="54"/>
      <c r="Q81" s="54"/>
      <c r="R81" s="54">
        <f t="shared" si="28"/>
        <v>0</v>
      </c>
      <c r="S81" s="54"/>
      <c r="T81" s="54"/>
      <c r="U81" s="54"/>
      <c r="V81" s="54">
        <f t="shared" si="29"/>
        <v>0</v>
      </c>
      <c r="W81" s="54"/>
      <c r="X81" s="54"/>
      <c r="Y81" s="54">
        <f t="shared" si="30"/>
        <v>0</v>
      </c>
    </row>
    <row r="82" spans="1:25" x14ac:dyDescent="0.35">
      <c r="B82" s="54"/>
      <c r="C82" s="54"/>
      <c r="D82" s="54"/>
      <c r="E82" s="54">
        <f t="shared" si="25"/>
        <v>0</v>
      </c>
      <c r="F82" s="54"/>
      <c r="G82" s="54"/>
      <c r="H82" s="54"/>
      <c r="I82" s="54">
        <f t="shared" si="26"/>
        <v>0</v>
      </c>
      <c r="J82" s="54"/>
      <c r="K82" s="54"/>
      <c r="L82" s="54">
        <f t="shared" si="27"/>
        <v>0</v>
      </c>
      <c r="O82" s="54"/>
      <c r="P82" s="54"/>
      <c r="Q82" s="54"/>
      <c r="R82" s="54">
        <f t="shared" si="28"/>
        <v>0</v>
      </c>
      <c r="S82" s="54"/>
      <c r="T82" s="54"/>
      <c r="U82" s="54"/>
      <c r="V82" s="54">
        <f t="shared" si="29"/>
        <v>0</v>
      </c>
      <c r="W82" s="54"/>
      <c r="X82" s="54"/>
      <c r="Y82" s="54">
        <f t="shared" si="30"/>
        <v>0</v>
      </c>
    </row>
    <row r="83" spans="1:25" x14ac:dyDescent="0.35">
      <c r="B83" s="54"/>
      <c r="C83" s="54"/>
      <c r="D83" s="54"/>
      <c r="E83" s="54">
        <f>C83*D83</f>
        <v>0</v>
      </c>
      <c r="F83" s="54"/>
      <c r="G83" s="54"/>
      <c r="H83" s="54"/>
      <c r="I83" s="54">
        <f t="shared" si="26"/>
        <v>0</v>
      </c>
      <c r="J83" s="54"/>
      <c r="K83" s="54"/>
      <c r="L83" s="54">
        <f t="shared" si="27"/>
        <v>0</v>
      </c>
      <c r="O83" s="54"/>
      <c r="P83" s="54"/>
      <c r="Q83" s="54"/>
      <c r="R83" s="54">
        <f>P83*Q83</f>
        <v>0</v>
      </c>
      <c r="S83" s="54"/>
      <c r="T83" s="54"/>
      <c r="U83" s="54"/>
      <c r="V83" s="54">
        <f t="shared" si="29"/>
        <v>0</v>
      </c>
      <c r="W83" s="54"/>
      <c r="X83" s="54"/>
      <c r="Y83" s="54">
        <f t="shared" si="30"/>
        <v>0</v>
      </c>
    </row>
    <row r="84" spans="1:25" x14ac:dyDescent="0.35">
      <c r="B84" s="54"/>
      <c r="C84" s="54"/>
      <c r="D84" s="54"/>
      <c r="E84" s="54">
        <f>C84*D84</f>
        <v>0</v>
      </c>
      <c r="F84" s="54"/>
      <c r="G84" s="54"/>
      <c r="H84" s="54"/>
      <c r="I84" s="54">
        <f t="shared" si="26"/>
        <v>0</v>
      </c>
      <c r="J84" s="54"/>
      <c r="K84" s="54"/>
      <c r="L84" s="54">
        <f t="shared" si="27"/>
        <v>0</v>
      </c>
      <c r="O84" s="54"/>
      <c r="P84" s="54"/>
      <c r="Q84" s="54"/>
      <c r="R84" s="54">
        <f>P84*Q84</f>
        <v>0</v>
      </c>
      <c r="S84" s="54"/>
      <c r="T84" s="54"/>
      <c r="U84" s="54"/>
      <c r="V84" s="54">
        <f t="shared" si="29"/>
        <v>0</v>
      </c>
      <c r="W84" s="54"/>
      <c r="X84" s="54"/>
      <c r="Y84" s="54">
        <f t="shared" si="30"/>
        <v>0</v>
      </c>
    </row>
    <row r="85" spans="1:25" x14ac:dyDescent="0.35">
      <c r="B85" s="54"/>
      <c r="C85" s="54"/>
      <c r="D85" s="54"/>
      <c r="E85" s="54">
        <f t="shared" ref="E85:E87" si="31">C85*D85</f>
        <v>0</v>
      </c>
      <c r="F85" s="54"/>
      <c r="G85" s="54"/>
      <c r="H85" s="54"/>
      <c r="I85" s="54">
        <f t="shared" si="26"/>
        <v>0</v>
      </c>
      <c r="J85" s="54"/>
      <c r="K85" s="54"/>
      <c r="L85" s="54">
        <f t="shared" si="27"/>
        <v>0</v>
      </c>
      <c r="O85" s="54"/>
      <c r="P85" s="54"/>
      <c r="Q85" s="54"/>
      <c r="R85" s="54">
        <f t="shared" ref="R85:R87" si="32">P85*Q85</f>
        <v>0</v>
      </c>
      <c r="S85" s="54"/>
      <c r="T85" s="54"/>
      <c r="U85" s="54"/>
      <c r="V85" s="54">
        <f t="shared" si="29"/>
        <v>0</v>
      </c>
      <c r="W85" s="54"/>
      <c r="X85" s="54"/>
      <c r="Y85" s="54">
        <f t="shared" si="30"/>
        <v>0</v>
      </c>
    </row>
    <row r="86" spans="1:25" x14ac:dyDescent="0.35">
      <c r="B86" s="54"/>
      <c r="C86" s="54"/>
      <c r="D86" s="54"/>
      <c r="E86" s="54">
        <f t="shared" si="31"/>
        <v>0</v>
      </c>
      <c r="F86" s="54"/>
      <c r="G86" s="54"/>
      <c r="H86" s="54"/>
      <c r="I86" s="54">
        <f t="shared" si="26"/>
        <v>0</v>
      </c>
      <c r="J86" s="54"/>
      <c r="K86" s="54"/>
      <c r="L86" s="54">
        <f t="shared" si="27"/>
        <v>0</v>
      </c>
      <c r="O86" s="54"/>
      <c r="P86" s="54"/>
      <c r="Q86" s="54"/>
      <c r="R86" s="54">
        <f t="shared" si="32"/>
        <v>0</v>
      </c>
      <c r="S86" s="54"/>
      <c r="T86" s="54"/>
      <c r="U86" s="54"/>
      <c r="V86" s="54">
        <f t="shared" si="29"/>
        <v>0</v>
      </c>
      <c r="W86" s="54"/>
      <c r="X86" s="54"/>
      <c r="Y86" s="54">
        <f t="shared" si="30"/>
        <v>0</v>
      </c>
    </row>
    <row r="87" spans="1:25" x14ac:dyDescent="0.35">
      <c r="B87" s="54"/>
      <c r="C87" s="54"/>
      <c r="D87" s="54"/>
      <c r="E87" s="54">
        <f t="shared" si="31"/>
        <v>0</v>
      </c>
      <c r="F87" s="54"/>
      <c r="G87" s="54"/>
      <c r="H87" s="54"/>
      <c r="I87" s="54">
        <f t="shared" si="26"/>
        <v>0</v>
      </c>
      <c r="J87" s="54"/>
      <c r="K87" s="54"/>
      <c r="L87" s="54">
        <f t="shared" si="27"/>
        <v>0</v>
      </c>
      <c r="O87" s="54"/>
      <c r="P87" s="54"/>
      <c r="Q87" s="54"/>
      <c r="R87" s="54">
        <f t="shared" si="32"/>
        <v>0</v>
      </c>
      <c r="S87" s="54"/>
      <c r="T87" s="54"/>
      <c r="U87" s="54"/>
      <c r="V87" s="54">
        <f t="shared" si="29"/>
        <v>0</v>
      </c>
      <c r="W87" s="54"/>
      <c r="X87" s="54"/>
      <c r="Y87" s="54">
        <f t="shared" si="30"/>
        <v>0</v>
      </c>
    </row>
    <row r="88" spans="1:25" x14ac:dyDescent="0.35">
      <c r="B88" s="54" t="s">
        <v>143</v>
      </c>
      <c r="C88" s="54"/>
      <c r="D88" s="54">
        <f>E88*10.764</f>
        <v>779.13168839999992</v>
      </c>
      <c r="E88" s="71">
        <f>SUM(E52:E87)</f>
        <v>72.383099999999999</v>
      </c>
      <c r="F88" s="54"/>
      <c r="G88" s="54"/>
      <c r="H88" s="54">
        <f>I88*10.764</f>
        <v>0</v>
      </c>
      <c r="I88" s="70">
        <f>SUM(I52:I87)</f>
        <v>0</v>
      </c>
      <c r="J88" s="54"/>
      <c r="K88" s="54">
        <f>L88*10.764</f>
        <v>0</v>
      </c>
      <c r="L88" s="69">
        <f>SUM(L52:L87)</f>
        <v>0</v>
      </c>
      <c r="O88" s="54" t="s">
        <v>143</v>
      </c>
      <c r="P88" s="54"/>
      <c r="Q88" s="54">
        <f>R88*10.764</f>
        <v>952.58170799999959</v>
      </c>
      <c r="R88" s="71">
        <f>SUM(R52:R87)</f>
        <v>88.496999999999971</v>
      </c>
      <c r="S88" s="54"/>
      <c r="T88" s="54"/>
      <c r="U88" s="54">
        <f>V88*10.764</f>
        <v>0</v>
      </c>
      <c r="V88" s="70">
        <f>SUM(V52:V87)</f>
        <v>0</v>
      </c>
      <c r="W88" s="54"/>
      <c r="X88" s="54">
        <f>Y88*10.764</f>
        <v>0</v>
      </c>
      <c r="Y88" s="69">
        <f>SUM(Y52:Y87)</f>
        <v>0</v>
      </c>
    </row>
    <row r="90" spans="1:25" x14ac:dyDescent="0.35">
      <c r="D90" s="53">
        <f>D88+H88</f>
        <v>779.13168839999992</v>
      </c>
      <c r="E90" s="53">
        <f>E88+I88</f>
        <v>72.383099999999999</v>
      </c>
      <c r="Q90" s="53">
        <f>Q88+U88</f>
        <v>952.58170799999959</v>
      </c>
      <c r="R90" s="53">
        <f>R88+V88</f>
        <v>88.496999999999971</v>
      </c>
    </row>
    <row r="94" spans="1:25" x14ac:dyDescent="0.35">
      <c r="B94" s="66" t="s">
        <v>292</v>
      </c>
      <c r="C94" s="270" t="s">
        <v>444</v>
      </c>
      <c r="D94" s="270"/>
    </row>
    <row r="95" spans="1:25" x14ac:dyDescent="0.35">
      <c r="D95" s="67"/>
      <c r="E95" s="67"/>
      <c r="F95" s="67"/>
      <c r="G95" s="67"/>
      <c r="H95" s="67"/>
      <c r="I95" s="67"/>
    </row>
    <row r="96" spans="1:25" x14ac:dyDescent="0.35">
      <c r="A96" s="66" t="s">
        <v>65</v>
      </c>
      <c r="B96" s="68" t="s">
        <v>293</v>
      </c>
      <c r="C96" s="271" t="s">
        <v>294</v>
      </c>
      <c r="D96" s="271"/>
      <c r="E96" s="271"/>
      <c r="F96" s="68"/>
      <c r="G96" s="272" t="s">
        <v>295</v>
      </c>
      <c r="H96" s="272"/>
      <c r="I96" s="272"/>
      <c r="J96" s="273" t="s">
        <v>296</v>
      </c>
      <c r="K96" s="273"/>
      <c r="L96" s="273"/>
    </row>
    <row r="97" spans="1:12" x14ac:dyDescent="0.35">
      <c r="A97" s="66">
        <v>1</v>
      </c>
      <c r="B97" s="68"/>
      <c r="C97" s="68" t="s">
        <v>297</v>
      </c>
      <c r="D97" s="68" t="s">
        <v>298</v>
      </c>
      <c r="E97" s="68" t="s">
        <v>299</v>
      </c>
      <c r="F97" s="68"/>
      <c r="G97" s="68" t="s">
        <v>297</v>
      </c>
      <c r="H97" s="68" t="s">
        <v>298</v>
      </c>
      <c r="I97" s="68" t="s">
        <v>299</v>
      </c>
      <c r="J97" s="68" t="s">
        <v>297</v>
      </c>
      <c r="K97" s="68" t="s">
        <v>298</v>
      </c>
      <c r="L97" s="68" t="s">
        <v>299</v>
      </c>
    </row>
    <row r="98" spans="1:12" x14ac:dyDescent="0.35">
      <c r="B98" s="54" t="s">
        <v>300</v>
      </c>
      <c r="C98" s="54">
        <v>1.53</v>
      </c>
      <c r="D98" s="54">
        <v>2.35</v>
      </c>
      <c r="E98" s="54">
        <f>C98*D98</f>
        <v>3.5955000000000004</v>
      </c>
      <c r="F98" s="54" t="s">
        <v>433</v>
      </c>
      <c r="G98" s="54">
        <v>6.6</v>
      </c>
      <c r="H98" s="54">
        <v>1.82</v>
      </c>
      <c r="I98" s="54">
        <f>G98*H98</f>
        <v>12.012</v>
      </c>
      <c r="J98" s="54"/>
      <c r="K98" s="54"/>
      <c r="L98" s="54">
        <f>J98*K98</f>
        <v>0</v>
      </c>
    </row>
    <row r="99" spans="1:12" x14ac:dyDescent="0.35">
      <c r="B99" s="54"/>
      <c r="C99" s="54">
        <v>3.35</v>
      </c>
      <c r="D99" s="54">
        <v>7.43</v>
      </c>
      <c r="E99" s="54">
        <f t="shared" ref="E99:E117" si="33">C99*D99</f>
        <v>24.890499999999999</v>
      </c>
      <c r="F99" s="54" t="s">
        <v>311</v>
      </c>
      <c r="G99" s="54"/>
      <c r="H99" s="54"/>
      <c r="I99" s="54">
        <f t="shared" ref="I99:I117" si="34">G99*H99</f>
        <v>0</v>
      </c>
      <c r="J99" s="54"/>
      <c r="K99" s="54"/>
      <c r="L99" s="54">
        <f t="shared" ref="L99:L117" si="35">J99*K99</f>
        <v>0</v>
      </c>
    </row>
    <row r="100" spans="1:12" x14ac:dyDescent="0.35">
      <c r="B100" s="54"/>
      <c r="C100" s="54">
        <v>3.03</v>
      </c>
      <c r="D100" s="54">
        <v>0.1</v>
      </c>
      <c r="E100" s="54">
        <f t="shared" si="33"/>
        <v>0.30299999999999999</v>
      </c>
      <c r="F100" s="54"/>
      <c r="G100" s="54"/>
      <c r="H100" s="54"/>
      <c r="I100" s="54">
        <f t="shared" si="34"/>
        <v>0</v>
      </c>
      <c r="J100" s="54"/>
      <c r="K100" s="54"/>
      <c r="L100" s="54">
        <f t="shared" si="35"/>
        <v>0</v>
      </c>
    </row>
    <row r="101" spans="1:12" x14ac:dyDescent="0.35">
      <c r="B101" s="54"/>
      <c r="C101" s="54">
        <v>1.23</v>
      </c>
      <c r="D101" s="54">
        <v>3.55</v>
      </c>
      <c r="E101" s="54">
        <f t="shared" si="33"/>
        <v>4.3664999999999994</v>
      </c>
      <c r="F101" s="54" t="s">
        <v>301</v>
      </c>
      <c r="G101" s="54"/>
      <c r="H101" s="54"/>
      <c r="I101" s="54">
        <f t="shared" si="34"/>
        <v>0</v>
      </c>
      <c r="J101" s="54"/>
      <c r="K101" s="54"/>
      <c r="L101" s="54">
        <f t="shared" si="35"/>
        <v>0</v>
      </c>
    </row>
    <row r="102" spans="1:12" x14ac:dyDescent="0.35">
      <c r="B102" s="54" t="s">
        <v>435</v>
      </c>
      <c r="C102" s="54">
        <v>3.65</v>
      </c>
      <c r="D102" s="54">
        <v>2.4500000000000002</v>
      </c>
      <c r="E102" s="54">
        <f t="shared" si="33"/>
        <v>8.9425000000000008</v>
      </c>
      <c r="F102" s="54" t="s">
        <v>301</v>
      </c>
      <c r="G102" s="54"/>
      <c r="H102" s="54"/>
      <c r="I102" s="54">
        <f t="shared" si="34"/>
        <v>0</v>
      </c>
      <c r="J102" s="54"/>
      <c r="K102" s="54"/>
      <c r="L102" s="54">
        <f t="shared" si="35"/>
        <v>0</v>
      </c>
    </row>
    <row r="103" spans="1:12" x14ac:dyDescent="0.35">
      <c r="B103" s="54" t="s">
        <v>436</v>
      </c>
      <c r="C103" s="54">
        <v>1.18</v>
      </c>
      <c r="D103" s="54">
        <v>0.35</v>
      </c>
      <c r="E103" s="54">
        <f t="shared" si="33"/>
        <v>0.41299999999999998</v>
      </c>
      <c r="F103" s="54" t="s">
        <v>302</v>
      </c>
      <c r="G103" s="54"/>
      <c r="H103" s="54"/>
      <c r="I103" s="54">
        <f t="shared" si="34"/>
        <v>0</v>
      </c>
      <c r="J103" s="54"/>
      <c r="K103" s="54"/>
      <c r="L103" s="54">
        <f t="shared" si="35"/>
        <v>0</v>
      </c>
    </row>
    <row r="104" spans="1:12" x14ac:dyDescent="0.35">
      <c r="B104" s="54"/>
      <c r="C104" s="54">
        <v>1.78</v>
      </c>
      <c r="D104" s="54">
        <v>1.5</v>
      </c>
      <c r="E104" s="54">
        <f t="shared" si="33"/>
        <v>2.67</v>
      </c>
      <c r="F104" s="54"/>
      <c r="G104" s="54"/>
      <c r="H104" s="54"/>
      <c r="I104" s="54">
        <f t="shared" si="34"/>
        <v>0</v>
      </c>
      <c r="J104" s="54"/>
      <c r="K104" s="54"/>
      <c r="L104" s="54">
        <f t="shared" si="35"/>
        <v>0</v>
      </c>
    </row>
    <row r="105" spans="1:12" x14ac:dyDescent="0.35">
      <c r="B105" s="54" t="s">
        <v>303</v>
      </c>
      <c r="C105" s="54">
        <v>3.8</v>
      </c>
      <c r="D105" s="54">
        <v>1.5</v>
      </c>
      <c r="E105" s="54">
        <f t="shared" si="33"/>
        <v>5.6999999999999993</v>
      </c>
      <c r="F105" s="54"/>
      <c r="G105" s="54"/>
      <c r="H105" s="54"/>
      <c r="I105" s="54">
        <f t="shared" si="34"/>
        <v>0</v>
      </c>
      <c r="J105" s="54"/>
      <c r="K105" s="54"/>
      <c r="L105" s="54">
        <f t="shared" si="35"/>
        <v>0</v>
      </c>
    </row>
    <row r="106" spans="1:12" x14ac:dyDescent="0.35">
      <c r="B106" s="54"/>
      <c r="C106" s="54">
        <v>3.2</v>
      </c>
      <c r="D106" s="54">
        <v>5.18</v>
      </c>
      <c r="E106" s="54">
        <f t="shared" si="33"/>
        <v>16.576000000000001</v>
      </c>
      <c r="F106" s="54" t="s">
        <v>301</v>
      </c>
      <c r="G106" s="54"/>
      <c r="H106" s="54"/>
      <c r="I106" s="54">
        <f t="shared" si="34"/>
        <v>0</v>
      </c>
      <c r="J106" s="54"/>
      <c r="K106" s="54"/>
      <c r="L106" s="54">
        <f t="shared" si="35"/>
        <v>0</v>
      </c>
    </row>
    <row r="107" spans="1:12" x14ac:dyDescent="0.35">
      <c r="B107" s="54"/>
      <c r="C107" s="54">
        <v>3.05</v>
      </c>
      <c r="D107" s="54">
        <v>0.65</v>
      </c>
      <c r="E107" s="54">
        <f t="shared" si="33"/>
        <v>1.9824999999999999</v>
      </c>
      <c r="F107" s="54" t="s">
        <v>302</v>
      </c>
      <c r="G107" s="54"/>
      <c r="H107" s="54"/>
      <c r="I107" s="54">
        <f t="shared" si="34"/>
        <v>0</v>
      </c>
      <c r="J107" s="54"/>
      <c r="K107" s="54"/>
      <c r="L107" s="54">
        <f t="shared" si="35"/>
        <v>0</v>
      </c>
    </row>
    <row r="108" spans="1:12" x14ac:dyDescent="0.35">
      <c r="B108" s="54" t="s">
        <v>304</v>
      </c>
      <c r="C108" s="54">
        <v>6.5</v>
      </c>
      <c r="D108" s="54">
        <v>4.7</v>
      </c>
      <c r="E108" s="54">
        <f t="shared" si="33"/>
        <v>30.55</v>
      </c>
      <c r="F108" s="54"/>
      <c r="G108" s="54"/>
      <c r="H108" s="54"/>
      <c r="I108" s="54">
        <f t="shared" si="34"/>
        <v>0</v>
      </c>
      <c r="J108" s="54"/>
      <c r="K108" s="54"/>
      <c r="L108" s="54">
        <f t="shared" si="35"/>
        <v>0</v>
      </c>
    </row>
    <row r="109" spans="1:12" x14ac:dyDescent="0.35">
      <c r="B109" s="54"/>
      <c r="C109" s="54">
        <v>5.35</v>
      </c>
      <c r="D109" s="54">
        <v>0.1</v>
      </c>
      <c r="E109" s="54">
        <f t="shared" si="33"/>
        <v>0.53500000000000003</v>
      </c>
      <c r="F109" s="54"/>
      <c r="G109" s="54"/>
      <c r="H109" s="54"/>
      <c r="I109" s="54">
        <f t="shared" si="34"/>
        <v>0</v>
      </c>
      <c r="J109" s="54"/>
      <c r="K109" s="54"/>
      <c r="L109" s="54">
        <f t="shared" si="35"/>
        <v>0</v>
      </c>
    </row>
    <row r="110" spans="1:12" x14ac:dyDescent="0.35">
      <c r="B110" s="54"/>
      <c r="C110" s="54">
        <v>1.48</v>
      </c>
      <c r="D110" s="54">
        <v>0.6</v>
      </c>
      <c r="E110" s="54">
        <f t="shared" si="33"/>
        <v>0.88800000000000001</v>
      </c>
      <c r="F110" s="54" t="s">
        <v>301</v>
      </c>
      <c r="G110" s="54"/>
      <c r="H110" s="54"/>
      <c r="I110" s="54">
        <f t="shared" si="34"/>
        <v>0</v>
      </c>
      <c r="J110" s="54"/>
      <c r="K110" s="54"/>
      <c r="L110" s="54">
        <f t="shared" si="35"/>
        <v>0</v>
      </c>
    </row>
    <row r="111" spans="1:12" x14ac:dyDescent="0.35">
      <c r="B111" s="54"/>
      <c r="C111" s="54">
        <v>2.0499999999999998</v>
      </c>
      <c r="D111" s="54">
        <v>0.6</v>
      </c>
      <c r="E111" s="54">
        <f t="shared" si="33"/>
        <v>1.2299999999999998</v>
      </c>
      <c r="F111" s="54" t="s">
        <v>302</v>
      </c>
      <c r="G111" s="54"/>
      <c r="H111" s="54"/>
      <c r="I111" s="54">
        <f t="shared" si="34"/>
        <v>0</v>
      </c>
      <c r="J111" s="54"/>
      <c r="K111" s="54"/>
      <c r="L111" s="54">
        <f t="shared" si="35"/>
        <v>0</v>
      </c>
    </row>
    <row r="112" spans="1:12" x14ac:dyDescent="0.35">
      <c r="B112" s="54"/>
      <c r="C112" s="54">
        <v>1.5</v>
      </c>
      <c r="D112" s="54">
        <v>1.05</v>
      </c>
      <c r="E112" s="54">
        <f t="shared" ref="E112" si="36">C112*D112</f>
        <v>1.5750000000000002</v>
      </c>
      <c r="F112" s="54" t="s">
        <v>302</v>
      </c>
      <c r="G112" s="54"/>
      <c r="H112" s="54"/>
      <c r="I112" s="54">
        <f t="shared" ref="I112" si="37">G112*H112</f>
        <v>0</v>
      </c>
      <c r="J112" s="54"/>
      <c r="K112" s="54"/>
      <c r="L112" s="54">
        <f t="shared" ref="L112" si="38">J112*K112</f>
        <v>0</v>
      </c>
    </row>
    <row r="113" spans="2:12" x14ac:dyDescent="0.35">
      <c r="B113" s="54" t="s">
        <v>305</v>
      </c>
      <c r="C113" s="54">
        <v>3.1</v>
      </c>
      <c r="D113" s="54">
        <v>2.1800000000000002</v>
      </c>
      <c r="E113" s="54">
        <f t="shared" si="33"/>
        <v>6.7580000000000009</v>
      </c>
      <c r="F113" s="54"/>
      <c r="G113" s="54"/>
      <c r="H113" s="54"/>
      <c r="I113" s="54">
        <f t="shared" si="34"/>
        <v>0</v>
      </c>
      <c r="J113" s="54"/>
      <c r="K113" s="54"/>
      <c r="L113" s="54">
        <f t="shared" si="35"/>
        <v>0</v>
      </c>
    </row>
    <row r="114" spans="2:12" x14ac:dyDescent="0.35">
      <c r="B114" s="54"/>
      <c r="C114" s="54">
        <v>3.25</v>
      </c>
      <c r="D114" s="54">
        <v>2.4</v>
      </c>
      <c r="E114" s="54">
        <f t="shared" si="33"/>
        <v>7.8</v>
      </c>
      <c r="F114" s="54" t="s">
        <v>301</v>
      </c>
      <c r="G114" s="54"/>
      <c r="H114" s="54"/>
      <c r="I114" s="54">
        <f t="shared" si="34"/>
        <v>0</v>
      </c>
      <c r="J114" s="54"/>
      <c r="K114" s="54"/>
      <c r="L114" s="54">
        <f t="shared" si="35"/>
        <v>0</v>
      </c>
    </row>
    <row r="115" spans="2:12" x14ac:dyDescent="0.35">
      <c r="B115" s="54"/>
      <c r="C115" s="54">
        <v>1.1299999999999999</v>
      </c>
      <c r="D115" s="54">
        <v>0.6</v>
      </c>
      <c r="E115" s="54">
        <f t="shared" si="33"/>
        <v>0.67799999999999994</v>
      </c>
      <c r="F115" s="54" t="s">
        <v>302</v>
      </c>
      <c r="G115" s="54"/>
      <c r="H115" s="54"/>
      <c r="I115" s="54">
        <f t="shared" si="34"/>
        <v>0</v>
      </c>
      <c r="J115" s="54"/>
      <c r="K115" s="54"/>
      <c r="L115" s="54">
        <f t="shared" si="35"/>
        <v>0</v>
      </c>
    </row>
    <row r="116" spans="2:12" x14ac:dyDescent="0.35">
      <c r="B116" s="54" t="s">
        <v>306</v>
      </c>
      <c r="C116" s="54">
        <v>3.1</v>
      </c>
      <c r="D116" s="54">
        <v>2.4</v>
      </c>
      <c r="E116" s="54">
        <f t="shared" si="33"/>
        <v>7.4399999999999995</v>
      </c>
      <c r="F116" s="54"/>
      <c r="G116" s="54"/>
      <c r="H116" s="54"/>
      <c r="I116" s="54">
        <f t="shared" si="34"/>
        <v>0</v>
      </c>
      <c r="J116" s="54"/>
      <c r="K116" s="54"/>
      <c r="L116" s="54">
        <f t="shared" si="35"/>
        <v>0</v>
      </c>
    </row>
    <row r="117" spans="2:12" x14ac:dyDescent="0.35">
      <c r="B117" s="54"/>
      <c r="C117" s="54">
        <v>2.7</v>
      </c>
      <c r="D117" s="54">
        <v>0.1</v>
      </c>
      <c r="E117" s="54">
        <f t="shared" si="33"/>
        <v>0.27</v>
      </c>
      <c r="F117" s="54" t="s">
        <v>307</v>
      </c>
      <c r="G117" s="54"/>
      <c r="H117" s="54"/>
      <c r="I117" s="54">
        <f t="shared" si="34"/>
        <v>0</v>
      </c>
      <c r="J117" s="54"/>
      <c r="K117" s="54"/>
      <c r="L117" s="54">
        <f t="shared" si="35"/>
        <v>0</v>
      </c>
    </row>
    <row r="118" spans="2:12" x14ac:dyDescent="0.35">
      <c r="B118" s="54"/>
      <c r="C118" s="54">
        <v>3.2</v>
      </c>
      <c r="D118" s="54">
        <v>1.1499999999999999</v>
      </c>
      <c r="E118" s="54">
        <f>C118*D118</f>
        <v>3.6799999999999997</v>
      </c>
      <c r="F118" s="54" t="s">
        <v>307</v>
      </c>
      <c r="G118" s="54"/>
      <c r="H118" s="54"/>
      <c r="I118" s="54">
        <f>G118*H118</f>
        <v>0</v>
      </c>
      <c r="J118" s="54"/>
      <c r="K118" s="54"/>
      <c r="L118" s="54">
        <f>J118*K118</f>
        <v>0</v>
      </c>
    </row>
    <row r="119" spans="2:12" x14ac:dyDescent="0.35">
      <c r="B119" s="54" t="s">
        <v>431</v>
      </c>
      <c r="C119" s="54">
        <v>1.53</v>
      </c>
      <c r="D119" s="54">
        <v>2.4300000000000002</v>
      </c>
      <c r="E119" s="54">
        <f>C119*D119</f>
        <v>3.7179000000000002</v>
      </c>
      <c r="F119" s="54" t="s">
        <v>307</v>
      </c>
      <c r="G119" s="54"/>
      <c r="H119" s="54"/>
      <c r="I119" s="54">
        <f>G119*H119</f>
        <v>0</v>
      </c>
      <c r="J119" s="54"/>
      <c r="K119" s="54"/>
      <c r="L119" s="54">
        <f>J119*K119</f>
        <v>0</v>
      </c>
    </row>
    <row r="120" spans="2:12" x14ac:dyDescent="0.35">
      <c r="B120" s="54" t="s">
        <v>308</v>
      </c>
      <c r="C120" s="54">
        <v>1.53</v>
      </c>
      <c r="D120" s="54">
        <v>2.4300000000000002</v>
      </c>
      <c r="E120" s="54">
        <f>C120*D120</f>
        <v>3.7179000000000002</v>
      </c>
      <c r="F120" s="54" t="s">
        <v>307</v>
      </c>
      <c r="G120" s="54"/>
      <c r="H120" s="54"/>
      <c r="I120" s="54">
        <f>G120*H120</f>
        <v>0</v>
      </c>
      <c r="J120" s="54"/>
      <c r="K120" s="54"/>
      <c r="L120" s="54">
        <f>J120*K120</f>
        <v>0</v>
      </c>
    </row>
    <row r="121" spans="2:12" x14ac:dyDescent="0.35">
      <c r="B121" s="54" t="s">
        <v>309</v>
      </c>
      <c r="C121" s="54">
        <v>1.53</v>
      </c>
      <c r="D121" s="54">
        <v>1.98</v>
      </c>
      <c r="E121" s="54">
        <f t="shared" ref="E121:E123" si="39">C121*D121</f>
        <v>3.0293999999999999</v>
      </c>
      <c r="F121" s="54" t="s">
        <v>307</v>
      </c>
      <c r="G121" s="54"/>
      <c r="H121" s="54"/>
      <c r="I121" s="54">
        <f t="shared" ref="I121:I123" si="40">G121*H121</f>
        <v>0</v>
      </c>
      <c r="J121" s="54"/>
      <c r="K121" s="54"/>
      <c r="L121" s="54">
        <f t="shared" ref="L121:L123" si="41">J121*K121</f>
        <v>0</v>
      </c>
    </row>
    <row r="122" spans="2:12" x14ac:dyDescent="0.35">
      <c r="B122" s="54"/>
      <c r="C122" s="54">
        <v>1.48</v>
      </c>
      <c r="D122" s="54">
        <v>0.45</v>
      </c>
      <c r="E122" s="54">
        <f t="shared" si="39"/>
        <v>0.66600000000000004</v>
      </c>
      <c r="F122" s="54" t="s">
        <v>307</v>
      </c>
      <c r="G122" s="54"/>
      <c r="H122" s="54"/>
      <c r="I122" s="54">
        <f t="shared" si="40"/>
        <v>0</v>
      </c>
      <c r="J122" s="54"/>
      <c r="K122" s="54"/>
      <c r="L122" s="54">
        <f t="shared" si="41"/>
        <v>0</v>
      </c>
    </row>
    <row r="123" spans="2:12" x14ac:dyDescent="0.35">
      <c r="B123" s="54" t="s">
        <v>310</v>
      </c>
      <c r="C123" s="54">
        <v>2.4300000000000002</v>
      </c>
      <c r="D123" s="54">
        <v>1.53</v>
      </c>
      <c r="E123" s="54">
        <f t="shared" si="39"/>
        <v>3.7179000000000002</v>
      </c>
      <c r="F123" s="54"/>
      <c r="G123" s="54"/>
      <c r="H123" s="54"/>
      <c r="I123" s="54">
        <f t="shared" si="40"/>
        <v>0</v>
      </c>
      <c r="J123" s="54"/>
      <c r="K123" s="54"/>
      <c r="L123" s="54">
        <f t="shared" si="41"/>
        <v>0</v>
      </c>
    </row>
    <row r="124" spans="2:12" x14ac:dyDescent="0.35">
      <c r="B124" s="54" t="s">
        <v>437</v>
      </c>
      <c r="C124" s="54">
        <v>1.78</v>
      </c>
      <c r="D124" s="54">
        <v>1.9</v>
      </c>
      <c r="E124" s="54">
        <f>C124*D124</f>
        <v>3.3819999999999997</v>
      </c>
      <c r="F124" s="54"/>
      <c r="G124" s="54"/>
      <c r="H124" s="54"/>
      <c r="I124" s="54">
        <f>G124*H124</f>
        <v>0</v>
      </c>
      <c r="J124" s="54"/>
      <c r="K124" s="54"/>
      <c r="L124" s="54">
        <f>J124*K124</f>
        <v>0</v>
      </c>
    </row>
    <row r="125" spans="2:12" x14ac:dyDescent="0.35">
      <c r="B125" s="54"/>
      <c r="C125" s="54">
        <v>2.4300000000000002</v>
      </c>
      <c r="D125" s="54">
        <v>1.2</v>
      </c>
      <c r="E125" s="54">
        <f>C125*D125</f>
        <v>2.9159999999999999</v>
      </c>
      <c r="F125" s="54"/>
      <c r="G125" s="54"/>
      <c r="H125" s="54"/>
      <c r="I125" s="54">
        <f>G125*H125</f>
        <v>0</v>
      </c>
      <c r="J125" s="54"/>
      <c r="K125" s="54"/>
      <c r="L125" s="54">
        <f>J125*K125</f>
        <v>0</v>
      </c>
    </row>
    <row r="126" spans="2:12" x14ac:dyDescent="0.35">
      <c r="B126" s="54" t="s">
        <v>432</v>
      </c>
      <c r="C126" s="54">
        <v>1.8</v>
      </c>
      <c r="D126" s="54">
        <v>1.05</v>
      </c>
      <c r="E126" s="54">
        <f t="shared" ref="E126:E129" si="42">C126*D126</f>
        <v>1.8900000000000001</v>
      </c>
      <c r="F126" s="54"/>
      <c r="G126" s="54"/>
      <c r="H126" s="54"/>
      <c r="I126" s="54">
        <f t="shared" ref="I126:I134" si="43">G126*H126</f>
        <v>0</v>
      </c>
      <c r="J126" s="54"/>
      <c r="K126" s="54"/>
      <c r="L126" s="54">
        <f t="shared" ref="L126:L134" si="44">J126*K126</f>
        <v>0</v>
      </c>
    </row>
    <row r="127" spans="2:12" x14ac:dyDescent="0.35">
      <c r="B127" s="54"/>
      <c r="C127" s="54"/>
      <c r="D127" s="54"/>
      <c r="E127" s="54">
        <f t="shared" si="42"/>
        <v>0</v>
      </c>
      <c r="F127" s="54"/>
      <c r="G127" s="54"/>
      <c r="H127" s="54"/>
      <c r="I127" s="54">
        <f t="shared" si="43"/>
        <v>0</v>
      </c>
      <c r="J127" s="54"/>
      <c r="K127" s="54"/>
      <c r="L127" s="54">
        <f t="shared" si="44"/>
        <v>0</v>
      </c>
    </row>
    <row r="128" spans="2:12" x14ac:dyDescent="0.35">
      <c r="B128" s="54"/>
      <c r="C128" s="54"/>
      <c r="D128" s="54"/>
      <c r="E128" s="54">
        <f t="shared" si="42"/>
        <v>0</v>
      </c>
      <c r="F128" s="54"/>
      <c r="G128" s="54"/>
      <c r="H128" s="54"/>
      <c r="I128" s="54">
        <f t="shared" si="43"/>
        <v>0</v>
      </c>
      <c r="J128" s="54"/>
      <c r="K128" s="54"/>
      <c r="L128" s="54">
        <f t="shared" si="44"/>
        <v>0</v>
      </c>
    </row>
    <row r="129" spans="2:12" x14ac:dyDescent="0.35">
      <c r="B129" s="54"/>
      <c r="C129" s="54"/>
      <c r="D129" s="54"/>
      <c r="E129" s="54">
        <f t="shared" si="42"/>
        <v>0</v>
      </c>
      <c r="F129" s="54"/>
      <c r="G129" s="54"/>
      <c r="H129" s="54"/>
      <c r="I129" s="54">
        <f t="shared" si="43"/>
        <v>0</v>
      </c>
      <c r="J129" s="54"/>
      <c r="K129" s="54"/>
      <c r="L129" s="54">
        <f t="shared" si="44"/>
        <v>0</v>
      </c>
    </row>
    <row r="130" spans="2:12" x14ac:dyDescent="0.35">
      <c r="B130" s="54"/>
      <c r="C130" s="54"/>
      <c r="D130" s="54"/>
      <c r="E130" s="54">
        <f>C130*D130</f>
        <v>0</v>
      </c>
      <c r="F130" s="54"/>
      <c r="G130" s="54"/>
      <c r="H130" s="54"/>
      <c r="I130" s="54">
        <f t="shared" si="43"/>
        <v>0</v>
      </c>
      <c r="J130" s="54"/>
      <c r="K130" s="54"/>
      <c r="L130" s="54">
        <f t="shared" si="44"/>
        <v>0</v>
      </c>
    </row>
    <row r="131" spans="2:12" x14ac:dyDescent="0.35">
      <c r="B131" s="54"/>
      <c r="C131" s="54"/>
      <c r="D131" s="54"/>
      <c r="E131" s="54">
        <f>C131*D131</f>
        <v>0</v>
      </c>
      <c r="F131" s="54"/>
      <c r="G131" s="54"/>
      <c r="H131" s="54"/>
      <c r="I131" s="54">
        <f t="shared" si="43"/>
        <v>0</v>
      </c>
      <c r="J131" s="54"/>
      <c r="K131" s="54"/>
      <c r="L131" s="54">
        <f t="shared" si="44"/>
        <v>0</v>
      </c>
    </row>
    <row r="132" spans="2:12" x14ac:dyDescent="0.35">
      <c r="B132" s="54"/>
      <c r="C132" s="54"/>
      <c r="D132" s="54"/>
      <c r="E132" s="54">
        <f t="shared" ref="E132:E134" si="45">C132*D132</f>
        <v>0</v>
      </c>
      <c r="F132" s="54"/>
      <c r="G132" s="54"/>
      <c r="H132" s="54"/>
      <c r="I132" s="54">
        <f t="shared" si="43"/>
        <v>0</v>
      </c>
      <c r="J132" s="54"/>
      <c r="K132" s="54"/>
      <c r="L132" s="54">
        <f t="shared" si="44"/>
        <v>0</v>
      </c>
    </row>
    <row r="133" spans="2:12" x14ac:dyDescent="0.35">
      <c r="B133" s="54"/>
      <c r="C133" s="54"/>
      <c r="D133" s="54"/>
      <c r="E133" s="54">
        <f t="shared" si="45"/>
        <v>0</v>
      </c>
      <c r="F133" s="54"/>
      <c r="G133" s="54"/>
      <c r="H133" s="54"/>
      <c r="I133" s="54">
        <f t="shared" si="43"/>
        <v>0</v>
      </c>
      <c r="J133" s="54"/>
      <c r="K133" s="54"/>
      <c r="L133" s="54">
        <f t="shared" si="44"/>
        <v>0</v>
      </c>
    </row>
    <row r="134" spans="2:12" x14ac:dyDescent="0.35">
      <c r="B134" s="54"/>
      <c r="C134" s="54"/>
      <c r="D134" s="54"/>
      <c r="E134" s="54">
        <f t="shared" si="45"/>
        <v>0</v>
      </c>
      <c r="F134" s="54"/>
      <c r="G134" s="54"/>
      <c r="H134" s="54"/>
      <c r="I134" s="54">
        <f t="shared" si="43"/>
        <v>0</v>
      </c>
      <c r="J134" s="54"/>
      <c r="K134" s="54"/>
      <c r="L134" s="54">
        <f t="shared" si="44"/>
        <v>0</v>
      </c>
    </row>
    <row r="135" spans="2:12" x14ac:dyDescent="0.35">
      <c r="B135" s="54" t="s">
        <v>143</v>
      </c>
      <c r="C135" s="54"/>
      <c r="D135" s="54">
        <f>E135*10.764</f>
        <v>1656.3707783999994</v>
      </c>
      <c r="E135" s="71">
        <f>SUM(E98:E134)</f>
        <v>153.88059999999996</v>
      </c>
      <c r="F135" s="54"/>
      <c r="G135" s="54"/>
      <c r="H135" s="54">
        <f>I135*10.764</f>
        <v>129.297168</v>
      </c>
      <c r="I135" s="70">
        <f>SUM(I98:I134)</f>
        <v>12.012</v>
      </c>
      <c r="J135" s="54"/>
      <c r="K135" s="54">
        <f>L135*10.764</f>
        <v>0</v>
      </c>
      <c r="L135" s="69">
        <f>SUM(L98:L134)</f>
        <v>0</v>
      </c>
    </row>
    <row r="137" spans="2:12" x14ac:dyDescent="0.35">
      <c r="D137" s="53">
        <f>D135+H135</f>
        <v>1785.6679463999994</v>
      </c>
      <c r="E137" s="53">
        <f>E135+I135</f>
        <v>165.89259999999996</v>
      </c>
    </row>
  </sheetData>
  <mergeCells count="20">
    <mergeCell ref="C94:D94"/>
    <mergeCell ref="C96:E96"/>
    <mergeCell ref="G96:I96"/>
    <mergeCell ref="J96:L96"/>
    <mergeCell ref="T4:V4"/>
    <mergeCell ref="W4:Y4"/>
    <mergeCell ref="C48:D48"/>
    <mergeCell ref="C50:E50"/>
    <mergeCell ref="G50:I50"/>
    <mergeCell ref="J50:L50"/>
    <mergeCell ref="P48:Q48"/>
    <mergeCell ref="P50:R50"/>
    <mergeCell ref="T50:V50"/>
    <mergeCell ref="W50:Y50"/>
    <mergeCell ref="C2:D2"/>
    <mergeCell ref="C4:E4"/>
    <mergeCell ref="G4:I4"/>
    <mergeCell ref="J4:L4"/>
    <mergeCell ref="P2:Q2"/>
    <mergeCell ref="P4:R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5"/>
  <sheetViews>
    <sheetView topLeftCell="A76" workbookViewId="0">
      <selection activeCell="J47" sqref="J47"/>
    </sheetView>
  </sheetViews>
  <sheetFormatPr defaultColWidth="9.1796875" defaultRowHeight="14.5" x14ac:dyDescent="0.35"/>
  <cols>
    <col min="1" max="16384" width="9.1796875" style="53"/>
  </cols>
  <sheetData>
    <row r="1" spans="1:25" ht="14.5" customHeight="1" x14ac:dyDescent="0.35"/>
    <row r="2" spans="1:25" ht="186" customHeight="1" x14ac:dyDescent="0.35">
      <c r="B2" s="66" t="s">
        <v>292</v>
      </c>
      <c r="C2" s="270" t="s">
        <v>443</v>
      </c>
      <c r="D2" s="270"/>
      <c r="O2" s="66" t="s">
        <v>292</v>
      </c>
      <c r="P2" s="270" t="s">
        <v>442</v>
      </c>
      <c r="Q2" s="270"/>
    </row>
    <row r="3" spans="1:25" x14ac:dyDescent="0.35">
      <c r="D3" s="67"/>
      <c r="E3" s="67"/>
      <c r="F3" s="67"/>
      <c r="G3" s="67"/>
      <c r="H3" s="67"/>
      <c r="I3" s="67"/>
      <c r="Q3" s="67"/>
      <c r="R3" s="67"/>
      <c r="S3" s="67"/>
      <c r="T3" s="67"/>
      <c r="U3" s="67"/>
      <c r="V3" s="67"/>
    </row>
    <row r="4" spans="1:25" x14ac:dyDescent="0.35">
      <c r="A4" s="66" t="s">
        <v>65</v>
      </c>
      <c r="B4" s="68" t="s">
        <v>293</v>
      </c>
      <c r="C4" s="271" t="s">
        <v>294</v>
      </c>
      <c r="D4" s="271"/>
      <c r="E4" s="271"/>
      <c r="F4" s="68"/>
      <c r="G4" s="272" t="s">
        <v>295</v>
      </c>
      <c r="H4" s="272"/>
      <c r="I4" s="272"/>
      <c r="J4" s="273" t="s">
        <v>296</v>
      </c>
      <c r="K4" s="273"/>
      <c r="L4" s="273"/>
      <c r="N4" s="66" t="s">
        <v>65</v>
      </c>
      <c r="O4" s="68" t="s">
        <v>293</v>
      </c>
      <c r="P4" s="271" t="s">
        <v>294</v>
      </c>
      <c r="Q4" s="271"/>
      <c r="R4" s="271"/>
      <c r="S4" s="68"/>
      <c r="T4" s="272" t="s">
        <v>295</v>
      </c>
      <c r="U4" s="272"/>
      <c r="V4" s="272"/>
      <c r="W4" s="273" t="s">
        <v>296</v>
      </c>
      <c r="X4" s="273"/>
      <c r="Y4" s="273"/>
    </row>
    <row r="5" spans="1:25" x14ac:dyDescent="0.35">
      <c r="A5" s="66">
        <v>1</v>
      </c>
      <c r="B5" s="68"/>
      <c r="C5" s="68" t="s">
        <v>297</v>
      </c>
      <c r="D5" s="68" t="s">
        <v>298</v>
      </c>
      <c r="E5" s="68" t="s">
        <v>299</v>
      </c>
      <c r="F5" s="68"/>
      <c r="G5" s="68" t="s">
        <v>297</v>
      </c>
      <c r="H5" s="68" t="s">
        <v>298</v>
      </c>
      <c r="I5" s="68" t="s">
        <v>299</v>
      </c>
      <c r="J5" s="68" t="s">
        <v>297</v>
      </c>
      <c r="K5" s="68" t="s">
        <v>298</v>
      </c>
      <c r="L5" s="68" t="s">
        <v>299</v>
      </c>
      <c r="N5" s="66">
        <v>2</v>
      </c>
      <c r="O5" s="68"/>
      <c r="P5" s="68" t="s">
        <v>297</v>
      </c>
      <c r="Q5" s="68" t="s">
        <v>298</v>
      </c>
      <c r="R5" s="68" t="s">
        <v>299</v>
      </c>
      <c r="S5" s="68"/>
      <c r="T5" s="68" t="s">
        <v>297</v>
      </c>
      <c r="U5" s="68" t="s">
        <v>298</v>
      </c>
      <c r="V5" s="68" t="s">
        <v>299</v>
      </c>
      <c r="W5" s="68" t="s">
        <v>297</v>
      </c>
      <c r="X5" s="68" t="s">
        <v>298</v>
      </c>
      <c r="Y5" s="68" t="s">
        <v>299</v>
      </c>
    </row>
    <row r="6" spans="1:25" x14ac:dyDescent="0.35">
      <c r="B6" s="54" t="s">
        <v>300</v>
      </c>
      <c r="C6" s="54">
        <v>1.48</v>
      </c>
      <c r="D6" s="54">
        <v>3.6</v>
      </c>
      <c r="E6" s="54">
        <f>C6*D6</f>
        <v>5.3280000000000003</v>
      </c>
      <c r="F6" s="54" t="s">
        <v>433</v>
      </c>
      <c r="G6" s="54">
        <v>3.5</v>
      </c>
      <c r="H6" s="54">
        <v>1.82</v>
      </c>
      <c r="I6" s="54">
        <f>G6*H6</f>
        <v>6.37</v>
      </c>
      <c r="J6" s="54"/>
      <c r="K6" s="54"/>
      <c r="L6" s="54">
        <f>J6*K6</f>
        <v>0</v>
      </c>
      <c r="O6" s="54" t="s">
        <v>300</v>
      </c>
      <c r="P6" s="54">
        <v>1.53</v>
      </c>
      <c r="Q6" s="54">
        <v>2.35</v>
      </c>
      <c r="R6" s="54">
        <f>P6*Q6</f>
        <v>3.5955000000000004</v>
      </c>
      <c r="S6" s="54" t="s">
        <v>433</v>
      </c>
      <c r="T6" s="54">
        <v>6.6</v>
      </c>
      <c r="U6" s="54">
        <v>1.82</v>
      </c>
      <c r="V6" s="54">
        <f>T6*U6</f>
        <v>12.012</v>
      </c>
      <c r="W6" s="54"/>
      <c r="X6" s="54"/>
      <c r="Y6" s="54">
        <f>W6*X6</f>
        <v>0</v>
      </c>
    </row>
    <row r="7" spans="1:25" x14ac:dyDescent="0.35">
      <c r="B7" s="54"/>
      <c r="C7" s="54">
        <v>0.53</v>
      </c>
      <c r="D7" s="54">
        <v>0.85</v>
      </c>
      <c r="E7" s="54">
        <f t="shared" ref="E7:E24" si="0">C7*D7</f>
        <v>0.45050000000000001</v>
      </c>
      <c r="F7" s="54" t="s">
        <v>311</v>
      </c>
      <c r="G7" s="54"/>
      <c r="H7" s="54"/>
      <c r="I7" s="54">
        <f t="shared" ref="I7:I24" si="1">G7*H7</f>
        <v>0</v>
      </c>
      <c r="J7" s="54"/>
      <c r="K7" s="54"/>
      <c r="L7" s="54">
        <f t="shared" ref="L7:L24" si="2">J7*K7</f>
        <v>0</v>
      </c>
      <c r="O7" s="54"/>
      <c r="P7" s="54">
        <v>3.35</v>
      </c>
      <c r="Q7" s="54">
        <v>7.43</v>
      </c>
      <c r="R7" s="54">
        <f t="shared" ref="R7:R41" si="3">P7*Q7</f>
        <v>24.890499999999999</v>
      </c>
      <c r="S7" s="54" t="s">
        <v>311</v>
      </c>
      <c r="T7" s="54"/>
      <c r="U7" s="54"/>
      <c r="V7" s="54">
        <f t="shared" ref="V7:V41" si="4">T7*U7</f>
        <v>0</v>
      </c>
      <c r="W7" s="54"/>
      <c r="X7" s="54"/>
      <c r="Y7" s="54">
        <f t="shared" ref="Y7:Y41" si="5">W7*X7</f>
        <v>0</v>
      </c>
    </row>
    <row r="8" spans="1:25" x14ac:dyDescent="0.35">
      <c r="B8" s="54"/>
      <c r="C8" s="54">
        <v>3.35</v>
      </c>
      <c r="D8" s="54">
        <v>6.18</v>
      </c>
      <c r="E8" s="54">
        <f t="shared" si="0"/>
        <v>20.702999999999999</v>
      </c>
      <c r="F8" s="54"/>
      <c r="G8" s="54"/>
      <c r="H8" s="54"/>
      <c r="I8" s="54">
        <f t="shared" si="1"/>
        <v>0</v>
      </c>
      <c r="J8" s="54"/>
      <c r="K8" s="54"/>
      <c r="L8" s="54">
        <f t="shared" si="2"/>
        <v>0</v>
      </c>
      <c r="O8" s="54"/>
      <c r="P8" s="54">
        <v>3.03</v>
      </c>
      <c r="Q8" s="54">
        <v>0.1</v>
      </c>
      <c r="R8" s="54">
        <f t="shared" si="3"/>
        <v>0.30299999999999999</v>
      </c>
      <c r="S8" s="54"/>
      <c r="T8" s="54"/>
      <c r="U8" s="54"/>
      <c r="V8" s="54">
        <f t="shared" si="4"/>
        <v>0</v>
      </c>
      <c r="W8" s="54"/>
      <c r="X8" s="54"/>
      <c r="Y8" s="54">
        <f t="shared" si="5"/>
        <v>0</v>
      </c>
    </row>
    <row r="9" spans="1:25" x14ac:dyDescent="0.35">
      <c r="B9" s="54"/>
      <c r="C9" s="54">
        <v>3.05</v>
      </c>
      <c r="D9" s="54">
        <v>0.1</v>
      </c>
      <c r="E9" s="54">
        <f t="shared" si="0"/>
        <v>0.30499999999999999</v>
      </c>
      <c r="F9" s="54" t="s">
        <v>301</v>
      </c>
      <c r="G9" s="54"/>
      <c r="H9" s="54"/>
      <c r="I9" s="54">
        <f t="shared" si="1"/>
        <v>0</v>
      </c>
      <c r="J9" s="54"/>
      <c r="K9" s="54"/>
      <c r="L9" s="54">
        <f t="shared" si="2"/>
        <v>0</v>
      </c>
      <c r="O9" s="54"/>
      <c r="P9" s="54">
        <v>1.23</v>
      </c>
      <c r="Q9" s="54">
        <v>3.55</v>
      </c>
      <c r="R9" s="54">
        <f t="shared" si="3"/>
        <v>4.3664999999999994</v>
      </c>
      <c r="S9" s="54" t="s">
        <v>301</v>
      </c>
      <c r="T9" s="54"/>
      <c r="U9" s="54"/>
      <c r="V9" s="54">
        <f t="shared" si="4"/>
        <v>0</v>
      </c>
      <c r="W9" s="54"/>
      <c r="X9" s="54"/>
      <c r="Y9" s="54">
        <f t="shared" si="5"/>
        <v>0</v>
      </c>
    </row>
    <row r="10" spans="1:25" x14ac:dyDescent="0.35">
      <c r="B10" s="54"/>
      <c r="C10" s="54">
        <v>1.27</v>
      </c>
      <c r="D10" s="54">
        <v>3.58</v>
      </c>
      <c r="E10" s="54">
        <f t="shared" si="0"/>
        <v>4.5465999999999998</v>
      </c>
      <c r="F10" s="54" t="s">
        <v>301</v>
      </c>
      <c r="G10" s="54"/>
      <c r="H10" s="54"/>
      <c r="I10" s="54">
        <f t="shared" si="1"/>
        <v>0</v>
      </c>
      <c r="J10" s="54"/>
      <c r="K10" s="54"/>
      <c r="L10" s="54">
        <f t="shared" si="2"/>
        <v>0</v>
      </c>
      <c r="O10" s="54" t="s">
        <v>435</v>
      </c>
      <c r="P10" s="54">
        <v>3.65</v>
      </c>
      <c r="Q10" s="54">
        <v>2.4500000000000002</v>
      </c>
      <c r="R10" s="54">
        <f t="shared" si="3"/>
        <v>8.9425000000000008</v>
      </c>
      <c r="S10" s="54" t="s">
        <v>301</v>
      </c>
      <c r="T10" s="54"/>
      <c r="U10" s="54"/>
      <c r="V10" s="54">
        <f t="shared" si="4"/>
        <v>0</v>
      </c>
      <c r="W10" s="54"/>
      <c r="X10" s="54"/>
      <c r="Y10" s="54">
        <f t="shared" si="5"/>
        <v>0</v>
      </c>
    </row>
    <row r="11" spans="1:25" x14ac:dyDescent="0.35">
      <c r="B11" s="54" t="s">
        <v>435</v>
      </c>
      <c r="C11" s="54">
        <v>2.5</v>
      </c>
      <c r="D11" s="54">
        <v>2.4500000000000002</v>
      </c>
      <c r="E11" s="54">
        <f t="shared" si="0"/>
        <v>6.125</v>
      </c>
      <c r="F11" s="54" t="s">
        <v>302</v>
      </c>
      <c r="G11" s="54"/>
      <c r="H11" s="54"/>
      <c r="I11" s="54">
        <f t="shared" si="1"/>
        <v>0</v>
      </c>
      <c r="J11" s="54"/>
      <c r="K11" s="54"/>
      <c r="L11" s="54">
        <f t="shared" si="2"/>
        <v>0</v>
      </c>
      <c r="O11" s="54" t="s">
        <v>436</v>
      </c>
      <c r="P11" s="54">
        <v>1.18</v>
      </c>
      <c r="Q11" s="54">
        <v>0.35</v>
      </c>
      <c r="R11" s="54">
        <f t="shared" si="3"/>
        <v>0.41299999999999998</v>
      </c>
      <c r="S11" s="54" t="s">
        <v>302</v>
      </c>
      <c r="T11" s="54"/>
      <c r="U11" s="54"/>
      <c r="V11" s="54">
        <f t="shared" si="4"/>
        <v>0</v>
      </c>
      <c r="W11" s="54"/>
      <c r="X11" s="54"/>
      <c r="Y11" s="54">
        <f t="shared" si="5"/>
        <v>0</v>
      </c>
    </row>
    <row r="12" spans="1:25" x14ac:dyDescent="0.35">
      <c r="B12" s="54"/>
      <c r="C12" s="54">
        <v>1.05</v>
      </c>
      <c r="D12" s="54">
        <v>2.5499999999999998</v>
      </c>
      <c r="E12" s="54">
        <f t="shared" si="0"/>
        <v>2.6774999999999998</v>
      </c>
      <c r="F12" s="54"/>
      <c r="G12" s="54"/>
      <c r="H12" s="54"/>
      <c r="I12" s="54">
        <f t="shared" si="1"/>
        <v>0</v>
      </c>
      <c r="J12" s="54"/>
      <c r="K12" s="54"/>
      <c r="L12" s="54">
        <f t="shared" si="2"/>
        <v>0</v>
      </c>
      <c r="O12" s="54"/>
      <c r="P12" s="54">
        <v>1.78</v>
      </c>
      <c r="Q12" s="54">
        <v>1.5</v>
      </c>
      <c r="R12" s="54">
        <f t="shared" si="3"/>
        <v>2.67</v>
      </c>
      <c r="S12" s="54"/>
      <c r="T12" s="54"/>
      <c r="U12" s="54"/>
      <c r="V12" s="54">
        <f t="shared" si="4"/>
        <v>0</v>
      </c>
      <c r="W12" s="54"/>
      <c r="X12" s="54"/>
      <c r="Y12" s="54">
        <f t="shared" si="5"/>
        <v>0</v>
      </c>
    </row>
    <row r="13" spans="1:25" x14ac:dyDescent="0.35">
      <c r="B13" s="54"/>
      <c r="C13" s="54">
        <v>1.73</v>
      </c>
      <c r="D13" s="54">
        <v>0.1</v>
      </c>
      <c r="E13" s="54">
        <f t="shared" si="0"/>
        <v>0.17300000000000001</v>
      </c>
      <c r="F13" s="54"/>
      <c r="G13" s="54"/>
      <c r="H13" s="54"/>
      <c r="I13" s="54">
        <f t="shared" si="1"/>
        <v>0</v>
      </c>
      <c r="J13" s="54"/>
      <c r="K13" s="54"/>
      <c r="L13" s="54">
        <f t="shared" si="2"/>
        <v>0</v>
      </c>
      <c r="O13" s="54" t="s">
        <v>303</v>
      </c>
      <c r="P13" s="54">
        <v>3.8</v>
      </c>
      <c r="Q13" s="54">
        <v>1.5</v>
      </c>
      <c r="R13" s="54">
        <f t="shared" si="3"/>
        <v>5.6999999999999993</v>
      </c>
      <c r="S13" s="54"/>
      <c r="T13" s="54"/>
      <c r="U13" s="54"/>
      <c r="V13" s="54">
        <f t="shared" si="4"/>
        <v>0</v>
      </c>
      <c r="W13" s="54"/>
      <c r="X13" s="54"/>
      <c r="Y13" s="54">
        <f t="shared" si="5"/>
        <v>0</v>
      </c>
    </row>
    <row r="14" spans="1:25" x14ac:dyDescent="0.35">
      <c r="B14" s="54" t="s">
        <v>436</v>
      </c>
      <c r="C14" s="54">
        <v>0.5</v>
      </c>
      <c r="D14" s="54">
        <v>2.2000000000000002</v>
      </c>
      <c r="E14" s="54">
        <f t="shared" si="0"/>
        <v>1.1000000000000001</v>
      </c>
      <c r="F14" s="54" t="s">
        <v>301</v>
      </c>
      <c r="G14" s="54"/>
      <c r="H14" s="54"/>
      <c r="I14" s="54">
        <f t="shared" si="1"/>
        <v>0</v>
      </c>
      <c r="J14" s="54"/>
      <c r="K14" s="54"/>
      <c r="L14" s="54">
        <f t="shared" si="2"/>
        <v>0</v>
      </c>
      <c r="O14" s="54"/>
      <c r="P14" s="54">
        <v>3.2</v>
      </c>
      <c r="Q14" s="54">
        <v>5.18</v>
      </c>
      <c r="R14" s="54">
        <f t="shared" si="3"/>
        <v>16.576000000000001</v>
      </c>
      <c r="S14" s="54" t="s">
        <v>301</v>
      </c>
      <c r="T14" s="54"/>
      <c r="U14" s="54"/>
      <c r="V14" s="54">
        <f t="shared" si="4"/>
        <v>0</v>
      </c>
      <c r="W14" s="54"/>
      <c r="X14" s="54"/>
      <c r="Y14" s="54">
        <f t="shared" si="5"/>
        <v>0</v>
      </c>
    </row>
    <row r="15" spans="1:25" x14ac:dyDescent="0.35">
      <c r="B15" s="54"/>
      <c r="C15" s="54">
        <v>0.67</v>
      </c>
      <c r="D15" s="54">
        <v>2.4500000000000002</v>
      </c>
      <c r="E15" s="54">
        <f t="shared" si="0"/>
        <v>1.6415000000000002</v>
      </c>
      <c r="F15" s="54" t="s">
        <v>302</v>
      </c>
      <c r="G15" s="54"/>
      <c r="H15" s="54"/>
      <c r="I15" s="54">
        <f t="shared" si="1"/>
        <v>0</v>
      </c>
      <c r="J15" s="54"/>
      <c r="K15" s="54"/>
      <c r="L15" s="54">
        <f t="shared" si="2"/>
        <v>0</v>
      </c>
      <c r="O15" s="54"/>
      <c r="P15" s="54">
        <v>3.05</v>
      </c>
      <c r="Q15" s="54">
        <v>0.65</v>
      </c>
      <c r="R15" s="54">
        <f t="shared" si="3"/>
        <v>1.9824999999999999</v>
      </c>
      <c r="S15" s="54" t="s">
        <v>302</v>
      </c>
      <c r="T15" s="54"/>
      <c r="U15" s="54"/>
      <c r="V15" s="54">
        <f t="shared" si="4"/>
        <v>0</v>
      </c>
      <c r="W15" s="54"/>
      <c r="X15" s="54"/>
      <c r="Y15" s="54">
        <f t="shared" si="5"/>
        <v>0</v>
      </c>
    </row>
    <row r="16" spans="1:25" x14ac:dyDescent="0.35">
      <c r="B16" s="54" t="s">
        <v>303</v>
      </c>
      <c r="C16" s="54">
        <v>3.2</v>
      </c>
      <c r="D16" s="54">
        <v>4.45</v>
      </c>
      <c r="E16" s="54">
        <f t="shared" si="0"/>
        <v>14.240000000000002</v>
      </c>
      <c r="F16" s="54"/>
      <c r="G16" s="54"/>
      <c r="H16" s="54"/>
      <c r="I16" s="54">
        <f t="shared" si="1"/>
        <v>0</v>
      </c>
      <c r="J16" s="54"/>
      <c r="K16" s="54"/>
      <c r="L16" s="54">
        <f t="shared" si="2"/>
        <v>0</v>
      </c>
      <c r="O16" s="54" t="s">
        <v>304</v>
      </c>
      <c r="P16" s="54">
        <v>3.2</v>
      </c>
      <c r="Q16" s="54">
        <v>4.7</v>
      </c>
      <c r="R16" s="54">
        <f t="shared" si="3"/>
        <v>15.040000000000001</v>
      </c>
      <c r="S16" s="54"/>
      <c r="T16" s="54"/>
      <c r="U16" s="54"/>
      <c r="V16" s="54">
        <f t="shared" si="4"/>
        <v>0</v>
      </c>
      <c r="W16" s="54"/>
      <c r="X16" s="54"/>
      <c r="Y16" s="54">
        <f t="shared" si="5"/>
        <v>0</v>
      </c>
    </row>
    <row r="17" spans="2:25" x14ac:dyDescent="0.35">
      <c r="B17" s="54"/>
      <c r="C17" s="54">
        <v>3</v>
      </c>
      <c r="D17" s="54">
        <v>0.6</v>
      </c>
      <c r="E17" s="54">
        <f t="shared" si="0"/>
        <v>1.7999999999999998</v>
      </c>
      <c r="F17" s="54"/>
      <c r="G17" s="54"/>
      <c r="H17" s="54"/>
      <c r="I17" s="54">
        <f t="shared" si="1"/>
        <v>0</v>
      </c>
      <c r="J17" s="54"/>
      <c r="K17" s="54"/>
      <c r="L17" s="54">
        <f t="shared" si="2"/>
        <v>0</v>
      </c>
      <c r="O17" s="54"/>
      <c r="P17" s="54">
        <v>2.8</v>
      </c>
      <c r="Q17" s="54">
        <v>0.1</v>
      </c>
      <c r="R17" s="54">
        <f t="shared" si="3"/>
        <v>0.27999999999999997</v>
      </c>
      <c r="S17" s="54"/>
      <c r="T17" s="54"/>
      <c r="U17" s="54"/>
      <c r="V17" s="54">
        <f t="shared" si="4"/>
        <v>0</v>
      </c>
      <c r="W17" s="54"/>
      <c r="X17" s="54"/>
      <c r="Y17" s="54">
        <f t="shared" si="5"/>
        <v>0</v>
      </c>
    </row>
    <row r="18" spans="2:25" x14ac:dyDescent="0.35">
      <c r="B18" s="54"/>
      <c r="C18" s="54">
        <v>1.68</v>
      </c>
      <c r="D18" s="54">
        <v>1.05</v>
      </c>
      <c r="E18" s="54">
        <f t="shared" si="0"/>
        <v>1.764</v>
      </c>
      <c r="F18" s="54" t="s">
        <v>301</v>
      </c>
      <c r="G18" s="54"/>
      <c r="H18" s="54"/>
      <c r="I18" s="54">
        <f t="shared" si="1"/>
        <v>0</v>
      </c>
      <c r="J18" s="54"/>
      <c r="K18" s="54"/>
      <c r="L18" s="54">
        <f t="shared" si="2"/>
        <v>0</v>
      </c>
      <c r="O18" s="54"/>
      <c r="P18" s="54">
        <v>2.0499999999999998</v>
      </c>
      <c r="Q18" s="54">
        <v>0.6</v>
      </c>
      <c r="R18" s="54">
        <f t="shared" si="3"/>
        <v>1.2299999999999998</v>
      </c>
      <c r="S18" s="54" t="s">
        <v>301</v>
      </c>
      <c r="T18" s="54"/>
      <c r="U18" s="54"/>
      <c r="V18" s="54">
        <f t="shared" si="4"/>
        <v>0</v>
      </c>
      <c r="W18" s="54"/>
      <c r="X18" s="54"/>
      <c r="Y18" s="54">
        <f t="shared" si="5"/>
        <v>0</v>
      </c>
    </row>
    <row r="19" spans="2:25" x14ac:dyDescent="0.35">
      <c r="B19" s="54" t="s">
        <v>304</v>
      </c>
      <c r="C19" s="54">
        <v>3.25</v>
      </c>
      <c r="D19" s="54">
        <v>2.2999999999999998</v>
      </c>
      <c r="E19" s="54">
        <f t="shared" si="0"/>
        <v>7.4749999999999996</v>
      </c>
      <c r="F19" s="54" t="s">
        <v>302</v>
      </c>
      <c r="G19" s="54"/>
      <c r="H19" s="54"/>
      <c r="I19" s="54">
        <f t="shared" si="1"/>
        <v>0</v>
      </c>
      <c r="J19" s="54"/>
      <c r="K19" s="54"/>
      <c r="L19" s="54">
        <f t="shared" si="2"/>
        <v>0</v>
      </c>
      <c r="O19" s="54"/>
      <c r="P19" s="54">
        <v>1.5</v>
      </c>
      <c r="Q19" s="54">
        <v>1.05</v>
      </c>
      <c r="R19" s="54">
        <f t="shared" si="3"/>
        <v>1.5750000000000002</v>
      </c>
      <c r="S19" s="54" t="s">
        <v>302</v>
      </c>
      <c r="T19" s="54"/>
      <c r="U19" s="54"/>
      <c r="V19" s="54">
        <f t="shared" si="4"/>
        <v>0</v>
      </c>
      <c r="W19" s="54"/>
      <c r="X19" s="54"/>
      <c r="Y19" s="54">
        <f t="shared" si="5"/>
        <v>0</v>
      </c>
    </row>
    <row r="20" spans="2:25" x14ac:dyDescent="0.35">
      <c r="B20" s="54"/>
      <c r="C20" s="54">
        <v>3.15</v>
      </c>
      <c r="D20" s="54">
        <v>2.4</v>
      </c>
      <c r="E20" s="54">
        <f t="shared" si="0"/>
        <v>7.56</v>
      </c>
      <c r="F20" s="54"/>
      <c r="G20" s="54"/>
      <c r="H20" s="54"/>
      <c r="I20" s="54">
        <f t="shared" si="1"/>
        <v>0</v>
      </c>
      <c r="J20" s="54"/>
      <c r="K20" s="54"/>
      <c r="L20" s="54">
        <f t="shared" si="2"/>
        <v>0</v>
      </c>
      <c r="O20" s="54" t="s">
        <v>305</v>
      </c>
      <c r="P20" s="54">
        <v>3.1</v>
      </c>
      <c r="Q20" s="54">
        <v>2.1800000000000002</v>
      </c>
      <c r="R20" s="54">
        <f t="shared" si="3"/>
        <v>6.7580000000000009</v>
      </c>
      <c r="S20" s="54"/>
      <c r="T20" s="54"/>
      <c r="U20" s="54"/>
      <c r="V20" s="54">
        <f t="shared" si="4"/>
        <v>0</v>
      </c>
      <c r="W20" s="54"/>
      <c r="X20" s="54"/>
      <c r="Y20" s="54">
        <f t="shared" si="5"/>
        <v>0</v>
      </c>
    </row>
    <row r="21" spans="2:25" x14ac:dyDescent="0.35">
      <c r="B21" s="54"/>
      <c r="C21" s="54">
        <v>2.4</v>
      </c>
      <c r="D21" s="54">
        <v>0.1</v>
      </c>
      <c r="E21" s="54">
        <f t="shared" si="0"/>
        <v>0.24</v>
      </c>
      <c r="F21" s="54" t="s">
        <v>301</v>
      </c>
      <c r="G21" s="54"/>
      <c r="H21" s="54"/>
      <c r="I21" s="54">
        <f t="shared" si="1"/>
        <v>0</v>
      </c>
      <c r="J21" s="54"/>
      <c r="K21" s="54"/>
      <c r="L21" s="54">
        <f t="shared" si="2"/>
        <v>0</v>
      </c>
      <c r="O21" s="54"/>
      <c r="P21" s="54">
        <v>3.25</v>
      </c>
      <c r="Q21" s="54">
        <v>2.4</v>
      </c>
      <c r="R21" s="54">
        <f t="shared" si="3"/>
        <v>7.8</v>
      </c>
      <c r="S21" s="54" t="s">
        <v>301</v>
      </c>
      <c r="T21" s="54"/>
      <c r="U21" s="54"/>
      <c r="V21" s="54">
        <f t="shared" si="4"/>
        <v>0</v>
      </c>
      <c r="W21" s="54"/>
      <c r="X21" s="54"/>
      <c r="Y21" s="54">
        <f t="shared" si="5"/>
        <v>0</v>
      </c>
    </row>
    <row r="22" spans="2:25" x14ac:dyDescent="0.35">
      <c r="B22" s="54"/>
      <c r="C22" s="54">
        <v>1.48</v>
      </c>
      <c r="D22" s="54">
        <v>0.6</v>
      </c>
      <c r="E22" s="54">
        <f t="shared" si="0"/>
        <v>0.88800000000000001</v>
      </c>
      <c r="F22" s="54" t="s">
        <v>302</v>
      </c>
      <c r="G22" s="54"/>
      <c r="H22" s="54"/>
      <c r="I22" s="54">
        <f t="shared" si="1"/>
        <v>0</v>
      </c>
      <c r="J22" s="54"/>
      <c r="K22" s="54"/>
      <c r="L22" s="54">
        <f t="shared" si="2"/>
        <v>0</v>
      </c>
      <c r="O22" s="54"/>
      <c r="P22" s="54">
        <v>1.1299999999999999</v>
      </c>
      <c r="Q22" s="54">
        <v>0.6</v>
      </c>
      <c r="R22" s="54">
        <f t="shared" si="3"/>
        <v>0.67799999999999994</v>
      </c>
      <c r="S22" s="54" t="s">
        <v>302</v>
      </c>
      <c r="T22" s="54"/>
      <c r="U22" s="54"/>
      <c r="V22" s="54">
        <f t="shared" si="4"/>
        <v>0</v>
      </c>
      <c r="W22" s="54"/>
      <c r="X22" s="54"/>
      <c r="Y22" s="54">
        <f t="shared" si="5"/>
        <v>0</v>
      </c>
    </row>
    <row r="23" spans="2:25" x14ac:dyDescent="0.35">
      <c r="B23" s="54" t="s">
        <v>305</v>
      </c>
      <c r="C23" s="54">
        <v>3.15</v>
      </c>
      <c r="D23" s="54">
        <v>2.0299999999999998</v>
      </c>
      <c r="E23" s="54">
        <f t="shared" si="0"/>
        <v>6.394499999999999</v>
      </c>
      <c r="F23" s="54"/>
      <c r="G23" s="54"/>
      <c r="H23" s="54"/>
      <c r="I23" s="54">
        <f t="shared" si="1"/>
        <v>0</v>
      </c>
      <c r="J23" s="54"/>
      <c r="K23" s="54"/>
      <c r="L23" s="54">
        <f t="shared" si="2"/>
        <v>0</v>
      </c>
      <c r="O23" s="54" t="s">
        <v>306</v>
      </c>
      <c r="P23" s="54">
        <v>3.1</v>
      </c>
      <c r="Q23" s="54">
        <v>2.4</v>
      </c>
      <c r="R23" s="54">
        <f t="shared" si="3"/>
        <v>7.4399999999999995</v>
      </c>
      <c r="S23" s="54"/>
      <c r="T23" s="54"/>
      <c r="U23" s="54"/>
      <c r="V23" s="54">
        <f t="shared" si="4"/>
        <v>0</v>
      </c>
      <c r="W23" s="54"/>
      <c r="X23" s="54"/>
      <c r="Y23" s="54">
        <f t="shared" si="5"/>
        <v>0</v>
      </c>
    </row>
    <row r="24" spans="2:25" x14ac:dyDescent="0.35">
      <c r="B24" s="54"/>
      <c r="C24" s="54">
        <v>3.25</v>
      </c>
      <c r="D24" s="54">
        <v>1.78</v>
      </c>
      <c r="E24" s="54">
        <f t="shared" si="0"/>
        <v>5.7850000000000001</v>
      </c>
      <c r="F24" s="54" t="s">
        <v>307</v>
      </c>
      <c r="G24" s="54"/>
      <c r="H24" s="54"/>
      <c r="I24" s="54">
        <f t="shared" si="1"/>
        <v>0</v>
      </c>
      <c r="J24" s="54"/>
      <c r="K24" s="54"/>
      <c r="L24" s="54">
        <f t="shared" si="2"/>
        <v>0</v>
      </c>
      <c r="O24" s="54"/>
      <c r="P24" s="54">
        <v>2.7</v>
      </c>
      <c r="Q24" s="54">
        <v>0.1</v>
      </c>
      <c r="R24" s="54">
        <f t="shared" si="3"/>
        <v>0.27</v>
      </c>
      <c r="S24" s="54" t="s">
        <v>307</v>
      </c>
      <c r="T24" s="54"/>
      <c r="U24" s="54"/>
      <c r="V24" s="54">
        <f t="shared" si="4"/>
        <v>0</v>
      </c>
      <c r="W24" s="54"/>
      <c r="X24" s="54"/>
      <c r="Y24" s="54">
        <f t="shared" si="5"/>
        <v>0</v>
      </c>
    </row>
    <row r="25" spans="2:25" x14ac:dyDescent="0.35">
      <c r="B25" s="54" t="s">
        <v>430</v>
      </c>
      <c r="C25" s="54">
        <v>2.13</v>
      </c>
      <c r="D25" s="54">
        <v>1.78</v>
      </c>
      <c r="E25" s="54">
        <f>C25*D25</f>
        <v>3.7913999999999999</v>
      </c>
      <c r="F25" s="54" t="s">
        <v>307</v>
      </c>
      <c r="G25" s="54"/>
      <c r="H25" s="54"/>
      <c r="I25" s="54">
        <f>G25*H25</f>
        <v>0</v>
      </c>
      <c r="J25" s="54"/>
      <c r="K25" s="54"/>
      <c r="L25" s="54">
        <f>J25*K25</f>
        <v>0</v>
      </c>
      <c r="O25" s="54"/>
      <c r="P25" s="54">
        <v>3.2</v>
      </c>
      <c r="Q25" s="54">
        <v>1.1499999999999999</v>
      </c>
      <c r="R25" s="54">
        <f>P25*Q25</f>
        <v>3.6799999999999997</v>
      </c>
      <c r="S25" s="54" t="s">
        <v>307</v>
      </c>
      <c r="T25" s="54"/>
      <c r="U25" s="54"/>
      <c r="V25" s="54">
        <f>T25*U25</f>
        <v>0</v>
      </c>
      <c r="W25" s="54"/>
      <c r="X25" s="54"/>
      <c r="Y25" s="54">
        <f>W25*X25</f>
        <v>0</v>
      </c>
    </row>
    <row r="26" spans="2:25" x14ac:dyDescent="0.35">
      <c r="B26" s="54"/>
      <c r="C26" s="54">
        <v>1.7</v>
      </c>
      <c r="D26" s="54">
        <v>0.2</v>
      </c>
      <c r="E26" s="54">
        <f>C26*D26</f>
        <v>0.34</v>
      </c>
      <c r="F26" s="54" t="s">
        <v>307</v>
      </c>
      <c r="G26" s="54"/>
      <c r="H26" s="54"/>
      <c r="I26" s="54">
        <f>G26*H26</f>
        <v>0</v>
      </c>
      <c r="J26" s="54"/>
      <c r="K26" s="54"/>
      <c r="L26" s="54">
        <f>J26*K26</f>
        <v>0</v>
      </c>
      <c r="O26" s="54" t="s">
        <v>431</v>
      </c>
      <c r="P26" s="54">
        <v>1.53</v>
      </c>
      <c r="Q26" s="54">
        <v>2.4300000000000002</v>
      </c>
      <c r="R26" s="54">
        <f>P26*Q26</f>
        <v>3.7179000000000002</v>
      </c>
      <c r="S26" s="54" t="s">
        <v>307</v>
      </c>
      <c r="T26" s="54"/>
      <c r="U26" s="54"/>
      <c r="V26" s="54">
        <f>T26*U26</f>
        <v>0</v>
      </c>
      <c r="W26" s="54"/>
      <c r="X26" s="54"/>
      <c r="Y26" s="54">
        <f>W26*X26</f>
        <v>0</v>
      </c>
    </row>
    <row r="27" spans="2:25" x14ac:dyDescent="0.35">
      <c r="B27" s="54"/>
      <c r="C27" s="54">
        <v>2.0299999999999998</v>
      </c>
      <c r="D27" s="54">
        <v>0.73</v>
      </c>
      <c r="E27" s="54">
        <f>C27*D27</f>
        <v>1.4818999999999998</v>
      </c>
      <c r="F27" s="54" t="s">
        <v>307</v>
      </c>
      <c r="G27" s="54"/>
      <c r="H27" s="54"/>
      <c r="I27" s="54">
        <f>G27*H27</f>
        <v>0</v>
      </c>
      <c r="J27" s="54"/>
      <c r="K27" s="54"/>
      <c r="L27" s="54">
        <f>J27*K27</f>
        <v>0</v>
      </c>
      <c r="O27" s="54" t="s">
        <v>308</v>
      </c>
      <c r="P27" s="54">
        <v>1.53</v>
      </c>
      <c r="Q27" s="54">
        <v>2.4300000000000002</v>
      </c>
      <c r="R27" s="54">
        <f>P27*Q27</f>
        <v>3.7179000000000002</v>
      </c>
      <c r="S27" s="54" t="s">
        <v>307</v>
      </c>
      <c r="T27" s="54"/>
      <c r="U27" s="54"/>
      <c r="V27" s="54">
        <f>T27*U27</f>
        <v>0</v>
      </c>
      <c r="W27" s="54"/>
      <c r="X27" s="54"/>
      <c r="Y27" s="54">
        <f>W27*X27</f>
        <v>0</v>
      </c>
    </row>
    <row r="28" spans="2:25" x14ac:dyDescent="0.35">
      <c r="B28" s="54"/>
      <c r="C28" s="54">
        <v>1.83</v>
      </c>
      <c r="D28" s="54">
        <v>0.1</v>
      </c>
      <c r="E28" s="54">
        <f t="shared" ref="E28:E30" si="6">C28*D28</f>
        <v>0.18300000000000002</v>
      </c>
      <c r="F28" s="54" t="s">
        <v>307</v>
      </c>
      <c r="G28" s="54"/>
      <c r="H28" s="54"/>
      <c r="I28" s="54">
        <f t="shared" ref="I28:I30" si="7">G28*H28</f>
        <v>0</v>
      </c>
      <c r="J28" s="54"/>
      <c r="K28" s="54"/>
      <c r="L28" s="54">
        <f t="shared" ref="L28:L30" si="8">J28*K28</f>
        <v>0</v>
      </c>
      <c r="O28" s="54" t="s">
        <v>309</v>
      </c>
      <c r="P28" s="54">
        <v>1.53</v>
      </c>
      <c r="Q28" s="54">
        <v>1.98</v>
      </c>
      <c r="R28" s="54">
        <f t="shared" si="3"/>
        <v>3.0293999999999999</v>
      </c>
      <c r="S28" s="54" t="s">
        <v>307</v>
      </c>
      <c r="T28" s="54"/>
      <c r="U28" s="54"/>
      <c r="V28" s="54">
        <f t="shared" si="4"/>
        <v>0</v>
      </c>
      <c r="W28" s="54"/>
      <c r="X28" s="54"/>
      <c r="Y28" s="54">
        <f t="shared" si="5"/>
        <v>0</v>
      </c>
    </row>
    <row r="29" spans="2:25" x14ac:dyDescent="0.35">
      <c r="B29" s="54" t="s">
        <v>431</v>
      </c>
      <c r="C29" s="54">
        <v>1.53</v>
      </c>
      <c r="D29" s="54">
        <v>2.4300000000000002</v>
      </c>
      <c r="E29" s="54">
        <f t="shared" si="6"/>
        <v>3.7179000000000002</v>
      </c>
      <c r="F29" s="54" t="s">
        <v>307</v>
      </c>
      <c r="G29" s="54"/>
      <c r="H29" s="54"/>
      <c r="I29" s="54">
        <f t="shared" si="7"/>
        <v>0</v>
      </c>
      <c r="J29" s="54"/>
      <c r="K29" s="54"/>
      <c r="L29" s="54">
        <f t="shared" si="8"/>
        <v>0</v>
      </c>
      <c r="O29" s="54"/>
      <c r="P29" s="54">
        <v>1.48</v>
      </c>
      <c r="Q29" s="54">
        <v>0.45</v>
      </c>
      <c r="R29" s="54">
        <f t="shared" si="3"/>
        <v>0.66600000000000004</v>
      </c>
      <c r="S29" s="54" t="s">
        <v>307</v>
      </c>
      <c r="T29" s="54"/>
      <c r="U29" s="54"/>
      <c r="V29" s="54">
        <f t="shared" si="4"/>
        <v>0</v>
      </c>
      <c r="W29" s="54"/>
      <c r="X29" s="54"/>
      <c r="Y29" s="54">
        <f t="shared" si="5"/>
        <v>0</v>
      </c>
    </row>
    <row r="30" spans="2:25" x14ac:dyDescent="0.35">
      <c r="B30" s="54" t="s">
        <v>308</v>
      </c>
      <c r="C30" s="54">
        <v>1.53</v>
      </c>
      <c r="D30" s="54">
        <v>2.4300000000000002</v>
      </c>
      <c r="E30" s="54">
        <f t="shared" si="6"/>
        <v>3.7179000000000002</v>
      </c>
      <c r="F30" s="54"/>
      <c r="G30" s="54"/>
      <c r="H30" s="54"/>
      <c r="I30" s="54">
        <f t="shared" si="7"/>
        <v>0</v>
      </c>
      <c r="J30" s="54"/>
      <c r="K30" s="54"/>
      <c r="L30" s="54">
        <f t="shared" si="8"/>
        <v>0</v>
      </c>
      <c r="O30" s="54" t="s">
        <v>310</v>
      </c>
      <c r="P30" s="54">
        <v>2.4300000000000002</v>
      </c>
      <c r="Q30" s="54">
        <v>1.53</v>
      </c>
      <c r="R30" s="54">
        <f t="shared" si="3"/>
        <v>3.7179000000000002</v>
      </c>
      <c r="S30" s="54"/>
      <c r="T30" s="54"/>
      <c r="U30" s="54"/>
      <c r="V30" s="54">
        <f t="shared" si="4"/>
        <v>0</v>
      </c>
      <c r="W30" s="54"/>
      <c r="X30" s="54"/>
      <c r="Y30" s="54">
        <f t="shared" si="5"/>
        <v>0</v>
      </c>
    </row>
    <row r="31" spans="2:25" x14ac:dyDescent="0.35">
      <c r="B31" s="54" t="s">
        <v>309</v>
      </c>
      <c r="C31" s="54">
        <v>1.53</v>
      </c>
      <c r="D31" s="54">
        <v>2.4300000000000002</v>
      </c>
      <c r="E31" s="54">
        <f>C31*D31</f>
        <v>3.7179000000000002</v>
      </c>
      <c r="F31" s="54"/>
      <c r="G31" s="54"/>
      <c r="H31" s="54"/>
      <c r="I31" s="54">
        <f>G31*H31</f>
        <v>0</v>
      </c>
      <c r="J31" s="54"/>
      <c r="K31" s="54"/>
      <c r="L31" s="54">
        <f>J31*K31</f>
        <v>0</v>
      </c>
      <c r="O31" s="54" t="s">
        <v>437</v>
      </c>
      <c r="P31" s="54">
        <v>1.78</v>
      </c>
      <c r="Q31" s="54">
        <v>1.9</v>
      </c>
      <c r="R31" s="54">
        <f>P31*Q31</f>
        <v>3.3819999999999997</v>
      </c>
      <c r="S31" s="54"/>
      <c r="T31" s="54"/>
      <c r="U31" s="54"/>
      <c r="V31" s="54">
        <f>T31*U31</f>
        <v>0</v>
      </c>
      <c r="W31" s="54"/>
      <c r="X31" s="54"/>
      <c r="Y31" s="54">
        <f>W31*X31</f>
        <v>0</v>
      </c>
    </row>
    <row r="32" spans="2:25" x14ac:dyDescent="0.35">
      <c r="B32" s="54"/>
      <c r="C32" s="54"/>
      <c r="D32" s="54"/>
      <c r="E32" s="54">
        <f>C32*D32</f>
        <v>0</v>
      </c>
      <c r="F32" s="54"/>
      <c r="G32" s="54"/>
      <c r="H32" s="54"/>
      <c r="I32" s="54">
        <f>G32*H32</f>
        <v>0</v>
      </c>
      <c r="J32" s="54"/>
      <c r="K32" s="54"/>
      <c r="L32" s="54">
        <f>J32*K32</f>
        <v>0</v>
      </c>
      <c r="O32" s="54"/>
      <c r="P32" s="54">
        <v>2.4300000000000002</v>
      </c>
      <c r="Q32" s="54">
        <v>1.2</v>
      </c>
      <c r="R32" s="54">
        <f>P32*Q32</f>
        <v>2.9159999999999999</v>
      </c>
      <c r="S32" s="54"/>
      <c r="T32" s="54"/>
      <c r="U32" s="54"/>
      <c r="V32" s="54">
        <f>T32*U32</f>
        <v>0</v>
      </c>
      <c r="W32" s="54"/>
      <c r="X32" s="54"/>
      <c r="Y32" s="54">
        <f>W32*X32</f>
        <v>0</v>
      </c>
    </row>
    <row r="33" spans="2:25" x14ac:dyDescent="0.35">
      <c r="B33" s="54" t="s">
        <v>432</v>
      </c>
      <c r="C33" s="54">
        <v>2.83</v>
      </c>
      <c r="D33" s="54">
        <v>1.05</v>
      </c>
      <c r="E33" s="54">
        <f t="shared" ref="E33:E36" si="9">C33*D33</f>
        <v>2.9715000000000003</v>
      </c>
      <c r="F33" s="54"/>
      <c r="G33" s="54"/>
      <c r="H33" s="54"/>
      <c r="I33" s="54">
        <f t="shared" ref="I33:I41" si="10">G33*H33</f>
        <v>0</v>
      </c>
      <c r="J33" s="54"/>
      <c r="K33" s="54"/>
      <c r="L33" s="54">
        <f t="shared" ref="L33:L41" si="11">J33*K33</f>
        <v>0</v>
      </c>
      <c r="O33" s="54" t="s">
        <v>432</v>
      </c>
      <c r="P33" s="54">
        <v>1.8</v>
      </c>
      <c r="Q33" s="54">
        <v>1.05</v>
      </c>
      <c r="R33" s="54">
        <f t="shared" si="3"/>
        <v>1.8900000000000001</v>
      </c>
      <c r="S33" s="54"/>
      <c r="T33" s="54"/>
      <c r="U33" s="54"/>
      <c r="V33" s="54">
        <f t="shared" si="4"/>
        <v>0</v>
      </c>
      <c r="W33" s="54"/>
      <c r="X33" s="54"/>
      <c r="Y33" s="54">
        <f t="shared" si="5"/>
        <v>0</v>
      </c>
    </row>
    <row r="34" spans="2:25" x14ac:dyDescent="0.35">
      <c r="B34" s="54"/>
      <c r="C34" s="54"/>
      <c r="D34" s="54"/>
      <c r="E34" s="54">
        <f t="shared" si="9"/>
        <v>0</v>
      </c>
      <c r="F34" s="54"/>
      <c r="G34" s="54"/>
      <c r="H34" s="54"/>
      <c r="I34" s="54">
        <f t="shared" si="10"/>
        <v>0</v>
      </c>
      <c r="J34" s="54"/>
      <c r="K34" s="54"/>
      <c r="L34" s="54">
        <f t="shared" si="11"/>
        <v>0</v>
      </c>
      <c r="O34" s="54"/>
      <c r="P34" s="54"/>
      <c r="Q34" s="54"/>
      <c r="R34" s="54">
        <f t="shared" si="3"/>
        <v>0</v>
      </c>
      <c r="S34" s="54"/>
      <c r="T34" s="54"/>
      <c r="U34" s="54"/>
      <c r="V34" s="54">
        <f t="shared" si="4"/>
        <v>0</v>
      </c>
      <c r="W34" s="54"/>
      <c r="X34" s="54"/>
      <c r="Y34" s="54">
        <f t="shared" si="5"/>
        <v>0</v>
      </c>
    </row>
    <row r="35" spans="2:25" x14ac:dyDescent="0.35">
      <c r="B35" s="54"/>
      <c r="C35" s="54"/>
      <c r="D35" s="54"/>
      <c r="E35" s="54">
        <f t="shared" si="9"/>
        <v>0</v>
      </c>
      <c r="F35" s="54"/>
      <c r="G35" s="54"/>
      <c r="H35" s="54"/>
      <c r="I35" s="54">
        <f t="shared" si="10"/>
        <v>0</v>
      </c>
      <c r="J35" s="54"/>
      <c r="K35" s="54"/>
      <c r="L35" s="54">
        <f t="shared" si="11"/>
        <v>0</v>
      </c>
      <c r="O35" s="54"/>
      <c r="P35" s="54"/>
      <c r="Q35" s="54"/>
      <c r="R35" s="54">
        <f t="shared" si="3"/>
        <v>0</v>
      </c>
      <c r="S35" s="54"/>
      <c r="T35" s="54"/>
      <c r="U35" s="54"/>
      <c r="V35" s="54">
        <f t="shared" si="4"/>
        <v>0</v>
      </c>
      <c r="W35" s="54"/>
      <c r="X35" s="54"/>
      <c r="Y35" s="54">
        <f t="shared" si="5"/>
        <v>0</v>
      </c>
    </row>
    <row r="36" spans="2:25" x14ac:dyDescent="0.35">
      <c r="B36" s="54"/>
      <c r="C36" s="54"/>
      <c r="D36" s="54"/>
      <c r="E36" s="54">
        <f t="shared" si="9"/>
        <v>0</v>
      </c>
      <c r="F36" s="54"/>
      <c r="G36" s="54"/>
      <c r="H36" s="54"/>
      <c r="I36" s="54">
        <f t="shared" si="10"/>
        <v>0</v>
      </c>
      <c r="J36" s="54"/>
      <c r="K36" s="54"/>
      <c r="L36" s="54">
        <f t="shared" si="11"/>
        <v>0</v>
      </c>
      <c r="O36" s="54"/>
      <c r="P36" s="54"/>
      <c r="Q36" s="54"/>
      <c r="R36" s="54">
        <f t="shared" si="3"/>
        <v>0</v>
      </c>
      <c r="S36" s="54"/>
      <c r="T36" s="54"/>
      <c r="U36" s="54"/>
      <c r="V36" s="54">
        <f t="shared" si="4"/>
        <v>0</v>
      </c>
      <c r="W36" s="54"/>
      <c r="X36" s="54"/>
      <c r="Y36" s="54">
        <f t="shared" si="5"/>
        <v>0</v>
      </c>
    </row>
    <row r="37" spans="2:25" x14ac:dyDescent="0.35">
      <c r="B37" s="54"/>
      <c r="C37" s="54"/>
      <c r="D37" s="54"/>
      <c r="E37" s="54">
        <f>C37*D37</f>
        <v>0</v>
      </c>
      <c r="F37" s="54"/>
      <c r="G37" s="54"/>
      <c r="H37" s="54"/>
      <c r="I37" s="54">
        <f t="shared" si="10"/>
        <v>0</v>
      </c>
      <c r="J37" s="54"/>
      <c r="K37" s="54"/>
      <c r="L37" s="54">
        <f t="shared" si="11"/>
        <v>0</v>
      </c>
      <c r="O37" s="54"/>
      <c r="P37" s="54"/>
      <c r="Q37" s="54"/>
      <c r="R37" s="54">
        <f>P37*Q37</f>
        <v>0</v>
      </c>
      <c r="S37" s="54"/>
      <c r="T37" s="54"/>
      <c r="U37" s="54"/>
      <c r="V37" s="54">
        <f t="shared" si="4"/>
        <v>0</v>
      </c>
      <c r="W37" s="54"/>
      <c r="X37" s="54"/>
      <c r="Y37" s="54">
        <f t="shared" si="5"/>
        <v>0</v>
      </c>
    </row>
    <row r="38" spans="2:25" x14ac:dyDescent="0.35">
      <c r="B38" s="54"/>
      <c r="C38" s="54"/>
      <c r="D38" s="54"/>
      <c r="E38" s="54">
        <f>C38*D38</f>
        <v>0</v>
      </c>
      <c r="F38" s="54"/>
      <c r="G38" s="54"/>
      <c r="H38" s="54"/>
      <c r="I38" s="54">
        <f t="shared" si="10"/>
        <v>0</v>
      </c>
      <c r="J38" s="54"/>
      <c r="K38" s="54"/>
      <c r="L38" s="54">
        <f t="shared" si="11"/>
        <v>0</v>
      </c>
      <c r="O38" s="54"/>
      <c r="P38" s="54"/>
      <c r="Q38" s="54"/>
      <c r="R38" s="54">
        <f>P38*Q38</f>
        <v>0</v>
      </c>
      <c r="S38" s="54"/>
      <c r="T38" s="54"/>
      <c r="U38" s="54"/>
      <c r="V38" s="54">
        <f t="shared" si="4"/>
        <v>0</v>
      </c>
      <c r="W38" s="54"/>
      <c r="X38" s="54"/>
      <c r="Y38" s="54">
        <f t="shared" si="5"/>
        <v>0</v>
      </c>
    </row>
    <row r="39" spans="2:25" x14ac:dyDescent="0.35">
      <c r="B39" s="54"/>
      <c r="C39" s="54"/>
      <c r="D39" s="54"/>
      <c r="E39" s="54">
        <f t="shared" ref="E39:E41" si="12">C39*D39</f>
        <v>0</v>
      </c>
      <c r="F39" s="54"/>
      <c r="G39" s="54"/>
      <c r="H39" s="54"/>
      <c r="I39" s="54">
        <f t="shared" si="10"/>
        <v>0</v>
      </c>
      <c r="J39" s="54"/>
      <c r="K39" s="54"/>
      <c r="L39" s="54">
        <f t="shared" si="11"/>
        <v>0</v>
      </c>
      <c r="O39" s="54"/>
      <c r="P39" s="54"/>
      <c r="Q39" s="54"/>
      <c r="R39" s="54">
        <f t="shared" si="3"/>
        <v>0</v>
      </c>
      <c r="S39" s="54"/>
      <c r="T39" s="54"/>
      <c r="U39" s="54"/>
      <c r="V39" s="54">
        <f t="shared" si="4"/>
        <v>0</v>
      </c>
      <c r="W39" s="54"/>
      <c r="X39" s="54"/>
      <c r="Y39" s="54">
        <f t="shared" si="5"/>
        <v>0</v>
      </c>
    </row>
    <row r="40" spans="2:25" x14ac:dyDescent="0.35">
      <c r="B40" s="54"/>
      <c r="C40" s="54"/>
      <c r="D40" s="54"/>
      <c r="E40" s="54">
        <f t="shared" si="12"/>
        <v>0</v>
      </c>
      <c r="F40" s="54"/>
      <c r="G40" s="54"/>
      <c r="H40" s="54"/>
      <c r="I40" s="54">
        <f t="shared" si="10"/>
        <v>0</v>
      </c>
      <c r="J40" s="54"/>
      <c r="K40" s="54"/>
      <c r="L40" s="54">
        <f t="shared" si="11"/>
        <v>0</v>
      </c>
      <c r="O40" s="54"/>
      <c r="P40" s="54"/>
      <c r="Q40" s="54"/>
      <c r="R40" s="54">
        <f t="shared" si="3"/>
        <v>0</v>
      </c>
      <c r="S40" s="54"/>
      <c r="T40" s="54"/>
      <c r="U40" s="54"/>
      <c r="V40" s="54">
        <f t="shared" si="4"/>
        <v>0</v>
      </c>
      <c r="W40" s="54"/>
      <c r="X40" s="54"/>
      <c r="Y40" s="54">
        <f t="shared" si="5"/>
        <v>0</v>
      </c>
    </row>
    <row r="41" spans="2:25" x14ac:dyDescent="0.35">
      <c r="B41" s="54"/>
      <c r="C41" s="54"/>
      <c r="D41" s="54"/>
      <c r="E41" s="54">
        <f t="shared" si="12"/>
        <v>0</v>
      </c>
      <c r="F41" s="54"/>
      <c r="G41" s="54"/>
      <c r="H41" s="54"/>
      <c r="I41" s="54">
        <f t="shared" si="10"/>
        <v>0</v>
      </c>
      <c r="J41" s="54"/>
      <c r="K41" s="54"/>
      <c r="L41" s="54">
        <f t="shared" si="11"/>
        <v>0</v>
      </c>
      <c r="O41" s="54"/>
      <c r="P41" s="54"/>
      <c r="Q41" s="54"/>
      <c r="R41" s="54">
        <f t="shared" si="3"/>
        <v>0</v>
      </c>
      <c r="S41" s="54"/>
      <c r="T41" s="54"/>
      <c r="U41" s="54"/>
      <c r="V41" s="54">
        <f t="shared" si="4"/>
        <v>0</v>
      </c>
      <c r="W41" s="54"/>
      <c r="X41" s="54"/>
      <c r="Y41" s="54">
        <f t="shared" si="5"/>
        <v>0</v>
      </c>
    </row>
    <row r="42" spans="2:25" x14ac:dyDescent="0.35">
      <c r="B42" s="54" t="s">
        <v>143</v>
      </c>
      <c r="C42" s="54"/>
      <c r="D42" s="54">
        <f>E42*10.764</f>
        <v>1174.5472284</v>
      </c>
      <c r="E42" s="71">
        <f>SUM(E6:E41)</f>
        <v>109.11810000000001</v>
      </c>
      <c r="F42" s="54"/>
      <c r="G42" s="54"/>
      <c r="H42" s="54">
        <f>I42*10.764</f>
        <v>68.566679999999991</v>
      </c>
      <c r="I42" s="70">
        <f>SUM(I6:I41)</f>
        <v>6.37</v>
      </c>
      <c r="J42" s="54"/>
      <c r="K42" s="54">
        <f>L42*10.764</f>
        <v>0</v>
      </c>
      <c r="L42" s="69">
        <f>SUM(L6:L41)</f>
        <v>0</v>
      </c>
      <c r="O42" s="54" t="s">
        <v>143</v>
      </c>
      <c r="P42" s="54"/>
      <c r="Q42" s="54">
        <f>R42*10.764</f>
        <v>1477.1178863999996</v>
      </c>
      <c r="R42" s="71">
        <f>SUM(R6:R41)</f>
        <v>137.22759999999997</v>
      </c>
      <c r="S42" s="54"/>
      <c r="T42" s="54"/>
      <c r="U42" s="54">
        <f>V42*10.764</f>
        <v>129.297168</v>
      </c>
      <c r="V42" s="70">
        <f>SUM(V6:V41)</f>
        <v>12.012</v>
      </c>
      <c r="W42" s="54"/>
      <c r="X42" s="54">
        <f>Y42*10.764</f>
        <v>0</v>
      </c>
      <c r="Y42" s="69">
        <f>SUM(Y6:Y41)</f>
        <v>0</v>
      </c>
    </row>
    <row r="44" spans="2:25" x14ac:dyDescent="0.35">
      <c r="D44" s="53">
        <f>D42+H42</f>
        <v>1243.1139083999999</v>
      </c>
      <c r="E44" s="53">
        <f>E42+I42</f>
        <v>115.48810000000002</v>
      </c>
      <c r="Q44" s="53">
        <f>Q42+U42</f>
        <v>1606.4150543999997</v>
      </c>
      <c r="R44" s="53">
        <f>R42+V42</f>
        <v>149.23959999999997</v>
      </c>
    </row>
    <row r="47" spans="2:25" ht="198" customHeight="1" x14ac:dyDescent="0.35">
      <c r="B47" s="66" t="s">
        <v>292</v>
      </c>
      <c r="C47" s="270" t="s">
        <v>441</v>
      </c>
      <c r="D47" s="270"/>
      <c r="O47" s="66" t="s">
        <v>292</v>
      </c>
      <c r="P47" s="270" t="s">
        <v>441</v>
      </c>
      <c r="Q47" s="270"/>
    </row>
    <row r="48" spans="2:25" x14ac:dyDescent="0.35">
      <c r="D48" s="67"/>
      <c r="E48" s="67"/>
      <c r="F48" s="67"/>
      <c r="G48" s="67"/>
      <c r="H48" s="67"/>
      <c r="I48" s="67"/>
      <c r="Q48" s="67"/>
      <c r="R48" s="67"/>
      <c r="S48" s="67"/>
      <c r="T48" s="67"/>
      <c r="U48" s="67"/>
      <c r="V48" s="67"/>
    </row>
    <row r="49" spans="1:25" x14ac:dyDescent="0.35">
      <c r="A49" s="66" t="s">
        <v>65</v>
      </c>
      <c r="B49" s="68" t="s">
        <v>293</v>
      </c>
      <c r="C49" s="271" t="s">
        <v>294</v>
      </c>
      <c r="D49" s="271"/>
      <c r="E49" s="271"/>
      <c r="F49" s="68"/>
      <c r="G49" s="272" t="s">
        <v>295</v>
      </c>
      <c r="H49" s="272"/>
      <c r="I49" s="272"/>
      <c r="J49" s="273" t="s">
        <v>296</v>
      </c>
      <c r="K49" s="273"/>
      <c r="L49" s="273"/>
      <c r="N49" s="66" t="s">
        <v>65</v>
      </c>
      <c r="O49" s="68" t="s">
        <v>293</v>
      </c>
      <c r="P49" s="271" t="s">
        <v>294</v>
      </c>
      <c r="Q49" s="271"/>
      <c r="R49" s="271"/>
      <c r="S49" s="68"/>
      <c r="T49" s="272" t="s">
        <v>295</v>
      </c>
      <c r="U49" s="272"/>
      <c r="V49" s="272"/>
      <c r="W49" s="273" t="s">
        <v>296</v>
      </c>
      <c r="X49" s="273"/>
      <c r="Y49" s="273"/>
    </row>
    <row r="50" spans="1:25" x14ac:dyDescent="0.35">
      <c r="A50" s="66">
        <v>4</v>
      </c>
      <c r="B50" s="68"/>
      <c r="C50" s="68" t="s">
        <v>297</v>
      </c>
      <c r="D50" s="68" t="s">
        <v>298</v>
      </c>
      <c r="E50" s="68" t="s">
        <v>299</v>
      </c>
      <c r="F50" s="68"/>
      <c r="G50" s="68" t="s">
        <v>297</v>
      </c>
      <c r="H50" s="68" t="s">
        <v>298</v>
      </c>
      <c r="I50" s="68" t="s">
        <v>299</v>
      </c>
      <c r="J50" s="68" t="s">
        <v>297</v>
      </c>
      <c r="K50" s="68" t="s">
        <v>298</v>
      </c>
      <c r="L50" s="68" t="s">
        <v>299</v>
      </c>
      <c r="N50" s="66">
        <v>3</v>
      </c>
      <c r="O50" s="68"/>
      <c r="P50" s="68" t="s">
        <v>297</v>
      </c>
      <c r="Q50" s="68" t="s">
        <v>298</v>
      </c>
      <c r="R50" s="68" t="s">
        <v>299</v>
      </c>
      <c r="S50" s="68"/>
      <c r="T50" s="68" t="s">
        <v>297</v>
      </c>
      <c r="U50" s="68" t="s">
        <v>298</v>
      </c>
      <c r="V50" s="68" t="s">
        <v>299</v>
      </c>
      <c r="W50" s="68" t="s">
        <v>297</v>
      </c>
      <c r="X50" s="68" t="s">
        <v>298</v>
      </c>
      <c r="Y50" s="68" t="s">
        <v>299</v>
      </c>
    </row>
    <row r="51" spans="1:25" x14ac:dyDescent="0.35">
      <c r="B51" s="54" t="s">
        <v>300</v>
      </c>
      <c r="C51" s="54">
        <v>3.2</v>
      </c>
      <c r="D51" s="54">
        <v>6.18</v>
      </c>
      <c r="E51" s="54">
        <f>C51*D51</f>
        <v>19.776</v>
      </c>
      <c r="F51" s="54" t="s">
        <v>433</v>
      </c>
      <c r="G51" s="54"/>
      <c r="H51" s="54"/>
      <c r="I51" s="54">
        <f>G51*H51</f>
        <v>0</v>
      </c>
      <c r="J51" s="54"/>
      <c r="K51" s="54"/>
      <c r="L51" s="54">
        <f>J51*K51</f>
        <v>0</v>
      </c>
      <c r="O51" s="54" t="s">
        <v>300</v>
      </c>
      <c r="P51" s="54">
        <v>3.35</v>
      </c>
      <c r="Q51" s="54">
        <v>6.18</v>
      </c>
      <c r="R51" s="54">
        <f>P51*Q51</f>
        <v>20.702999999999999</v>
      </c>
      <c r="S51" s="54" t="s">
        <v>433</v>
      </c>
      <c r="T51" s="54"/>
      <c r="U51" s="54"/>
      <c r="V51" s="54">
        <f>T51*U51</f>
        <v>0</v>
      </c>
      <c r="W51" s="54"/>
      <c r="X51" s="54"/>
      <c r="Y51" s="54">
        <f>W51*X51</f>
        <v>0</v>
      </c>
    </row>
    <row r="52" spans="1:25" x14ac:dyDescent="0.35">
      <c r="B52" s="54"/>
      <c r="C52" s="54">
        <v>0.93</v>
      </c>
      <c r="D52" s="54">
        <v>3.58</v>
      </c>
      <c r="E52" s="54">
        <f t="shared" ref="E52:E69" si="13">C52*D52</f>
        <v>3.3294000000000001</v>
      </c>
      <c r="F52" s="54" t="s">
        <v>311</v>
      </c>
      <c r="G52" s="54"/>
      <c r="H52" s="54"/>
      <c r="I52" s="54">
        <f t="shared" ref="I52:I69" si="14">G52*H52</f>
        <v>0</v>
      </c>
      <c r="J52" s="54"/>
      <c r="K52" s="54"/>
      <c r="L52" s="54">
        <f t="shared" ref="L52:L69" si="15">J52*K52</f>
        <v>0</v>
      </c>
      <c r="O52" s="54"/>
      <c r="P52" s="54">
        <v>0.93</v>
      </c>
      <c r="Q52" s="54">
        <v>3.58</v>
      </c>
      <c r="R52" s="54">
        <f t="shared" ref="R52:R69" si="16">P52*Q52</f>
        <v>3.3294000000000001</v>
      </c>
      <c r="S52" s="54" t="s">
        <v>311</v>
      </c>
      <c r="T52" s="54"/>
      <c r="U52" s="54"/>
      <c r="V52" s="54">
        <f t="shared" ref="V52:V69" si="17">T52*U52</f>
        <v>0</v>
      </c>
      <c r="W52" s="54"/>
      <c r="X52" s="54"/>
      <c r="Y52" s="54">
        <f t="shared" ref="Y52:Y69" si="18">W52*X52</f>
        <v>0</v>
      </c>
    </row>
    <row r="53" spans="1:25" x14ac:dyDescent="0.35">
      <c r="B53" s="54" t="s">
        <v>435</v>
      </c>
      <c r="C53" s="54">
        <v>3.05</v>
      </c>
      <c r="D53" s="54">
        <v>2.4300000000000002</v>
      </c>
      <c r="E53" s="54">
        <f t="shared" si="13"/>
        <v>7.4115000000000002</v>
      </c>
      <c r="F53" s="54"/>
      <c r="G53" s="54"/>
      <c r="H53" s="54"/>
      <c r="I53" s="54">
        <f t="shared" si="14"/>
        <v>0</v>
      </c>
      <c r="J53" s="54"/>
      <c r="K53" s="54"/>
      <c r="L53" s="54">
        <f t="shared" si="15"/>
        <v>0</v>
      </c>
      <c r="O53" s="54" t="s">
        <v>435</v>
      </c>
      <c r="P53" s="54">
        <v>2.38</v>
      </c>
      <c r="Q53" s="54">
        <v>2.4300000000000002</v>
      </c>
      <c r="R53" s="54">
        <f t="shared" si="16"/>
        <v>5.7834000000000003</v>
      </c>
      <c r="S53" s="54"/>
      <c r="T53" s="54"/>
      <c r="U53" s="54"/>
      <c r="V53" s="54">
        <f t="shared" si="17"/>
        <v>0</v>
      </c>
      <c r="W53" s="54"/>
      <c r="X53" s="54"/>
      <c r="Y53" s="54">
        <f t="shared" si="18"/>
        <v>0</v>
      </c>
    </row>
    <row r="54" spans="1:25" x14ac:dyDescent="0.35">
      <c r="B54" s="54" t="s">
        <v>436</v>
      </c>
      <c r="C54" s="54">
        <v>1.23</v>
      </c>
      <c r="D54" s="54">
        <v>1.38</v>
      </c>
      <c r="E54" s="54">
        <f t="shared" si="13"/>
        <v>1.6973999999999998</v>
      </c>
      <c r="F54" s="54" t="s">
        <v>301</v>
      </c>
      <c r="G54" s="54"/>
      <c r="H54" s="54"/>
      <c r="I54" s="54">
        <f t="shared" si="14"/>
        <v>0</v>
      </c>
      <c r="J54" s="54"/>
      <c r="K54" s="54"/>
      <c r="L54" s="54">
        <f t="shared" si="15"/>
        <v>0</v>
      </c>
      <c r="O54" s="54"/>
      <c r="P54" s="54">
        <v>0.68</v>
      </c>
      <c r="Q54" s="54">
        <v>2.33</v>
      </c>
      <c r="R54" s="54">
        <f t="shared" si="16"/>
        <v>1.5844000000000003</v>
      </c>
      <c r="S54" s="54" t="s">
        <v>301</v>
      </c>
      <c r="T54" s="54"/>
      <c r="U54" s="54"/>
      <c r="V54" s="54">
        <f t="shared" si="17"/>
        <v>0</v>
      </c>
      <c r="W54" s="54"/>
      <c r="X54" s="54"/>
      <c r="Y54" s="54">
        <f t="shared" si="18"/>
        <v>0</v>
      </c>
    </row>
    <row r="55" spans="1:25" x14ac:dyDescent="0.35">
      <c r="B55" s="54"/>
      <c r="C55" s="54"/>
      <c r="D55" s="54"/>
      <c r="E55" s="54">
        <f t="shared" si="13"/>
        <v>0</v>
      </c>
      <c r="F55" s="54" t="s">
        <v>301</v>
      </c>
      <c r="G55" s="54"/>
      <c r="H55" s="54"/>
      <c r="I55" s="54">
        <f t="shared" si="14"/>
        <v>0</v>
      </c>
      <c r="J55" s="54"/>
      <c r="K55" s="54"/>
      <c r="L55" s="54">
        <f t="shared" si="15"/>
        <v>0</v>
      </c>
      <c r="O55" s="54" t="s">
        <v>436</v>
      </c>
      <c r="P55" s="54">
        <v>1.28</v>
      </c>
      <c r="Q55" s="54">
        <v>1.98</v>
      </c>
      <c r="R55" s="54">
        <f t="shared" si="16"/>
        <v>2.5344000000000002</v>
      </c>
      <c r="S55" s="54" t="s">
        <v>301</v>
      </c>
      <c r="T55" s="54"/>
      <c r="U55" s="54"/>
      <c r="V55" s="54">
        <f t="shared" si="17"/>
        <v>0</v>
      </c>
      <c r="W55" s="54"/>
      <c r="X55" s="54"/>
      <c r="Y55" s="54">
        <f t="shared" si="18"/>
        <v>0</v>
      </c>
    </row>
    <row r="56" spans="1:25" x14ac:dyDescent="0.35">
      <c r="B56" s="54" t="s">
        <v>303</v>
      </c>
      <c r="C56" s="54">
        <v>0.8</v>
      </c>
      <c r="D56" s="54">
        <v>1.05</v>
      </c>
      <c r="E56" s="54">
        <f t="shared" si="13"/>
        <v>0.84000000000000008</v>
      </c>
      <c r="F56" s="54" t="s">
        <v>302</v>
      </c>
      <c r="G56" s="54"/>
      <c r="H56" s="54"/>
      <c r="I56" s="54">
        <f t="shared" si="14"/>
        <v>0</v>
      </c>
      <c r="J56" s="54"/>
      <c r="K56" s="54"/>
      <c r="L56" s="54">
        <f t="shared" si="15"/>
        <v>0</v>
      </c>
      <c r="O56" s="54"/>
      <c r="P56" s="54"/>
      <c r="Q56" s="54"/>
      <c r="R56" s="54">
        <f t="shared" si="16"/>
        <v>0</v>
      </c>
      <c r="S56" s="54" t="s">
        <v>302</v>
      </c>
      <c r="T56" s="54"/>
      <c r="U56" s="54"/>
      <c r="V56" s="54">
        <f t="shared" si="17"/>
        <v>0</v>
      </c>
      <c r="W56" s="54"/>
      <c r="X56" s="54"/>
      <c r="Y56" s="54">
        <f t="shared" si="18"/>
        <v>0</v>
      </c>
    </row>
    <row r="57" spans="1:25" x14ac:dyDescent="0.35">
      <c r="B57" s="54"/>
      <c r="C57" s="54">
        <v>3</v>
      </c>
      <c r="D57" s="54">
        <v>3.65</v>
      </c>
      <c r="E57" s="54">
        <f t="shared" si="13"/>
        <v>10.95</v>
      </c>
      <c r="F57" s="54"/>
      <c r="G57" s="54"/>
      <c r="H57" s="54"/>
      <c r="I57" s="54">
        <f t="shared" si="14"/>
        <v>0</v>
      </c>
      <c r="J57" s="54"/>
      <c r="K57" s="54"/>
      <c r="L57" s="54">
        <f t="shared" si="15"/>
        <v>0</v>
      </c>
      <c r="O57" s="54" t="s">
        <v>303</v>
      </c>
      <c r="P57" s="54">
        <v>0.68</v>
      </c>
      <c r="Q57" s="54">
        <v>1.05</v>
      </c>
      <c r="R57" s="54">
        <f t="shared" si="16"/>
        <v>0.71400000000000008</v>
      </c>
      <c r="S57" s="54"/>
      <c r="T57" s="54"/>
      <c r="U57" s="54"/>
      <c r="V57" s="54">
        <f t="shared" si="17"/>
        <v>0</v>
      </c>
      <c r="W57" s="54"/>
      <c r="X57" s="54"/>
      <c r="Y57" s="54">
        <f t="shared" si="18"/>
        <v>0</v>
      </c>
    </row>
    <row r="58" spans="1:25" x14ac:dyDescent="0.35">
      <c r="B58" s="54"/>
      <c r="C58" s="54">
        <v>1.77</v>
      </c>
      <c r="D58" s="54">
        <v>0.2</v>
      </c>
      <c r="E58" s="54">
        <f t="shared" si="13"/>
        <v>0.35400000000000004</v>
      </c>
      <c r="F58" s="54"/>
      <c r="G58" s="54"/>
      <c r="H58" s="54"/>
      <c r="I58" s="54">
        <f t="shared" si="14"/>
        <v>0</v>
      </c>
      <c r="J58" s="54"/>
      <c r="K58" s="54"/>
      <c r="L58" s="54">
        <f t="shared" si="15"/>
        <v>0</v>
      </c>
      <c r="O58" s="54"/>
      <c r="P58" s="54">
        <v>3.2</v>
      </c>
      <c r="Q58" s="54">
        <v>4.22</v>
      </c>
      <c r="R58" s="54">
        <f t="shared" si="16"/>
        <v>13.504</v>
      </c>
      <c r="S58" s="54"/>
      <c r="T58" s="54"/>
      <c r="U58" s="54"/>
      <c r="V58" s="54">
        <f t="shared" si="17"/>
        <v>0</v>
      </c>
      <c r="W58" s="54"/>
      <c r="X58" s="54"/>
      <c r="Y58" s="54">
        <f t="shared" si="18"/>
        <v>0</v>
      </c>
    </row>
    <row r="59" spans="1:25" x14ac:dyDescent="0.35">
      <c r="B59" s="54"/>
      <c r="C59" s="54">
        <v>1.77</v>
      </c>
      <c r="D59" s="54">
        <v>0.6</v>
      </c>
      <c r="E59" s="54">
        <f t="shared" si="13"/>
        <v>1.0620000000000001</v>
      </c>
      <c r="F59" s="54" t="s">
        <v>301</v>
      </c>
      <c r="G59" s="54"/>
      <c r="H59" s="54"/>
      <c r="I59" s="54">
        <f t="shared" si="14"/>
        <v>0</v>
      </c>
      <c r="J59" s="54"/>
      <c r="K59" s="54"/>
      <c r="L59" s="54">
        <f t="shared" si="15"/>
        <v>0</v>
      </c>
      <c r="O59" s="54"/>
      <c r="P59" s="54">
        <v>2.73</v>
      </c>
      <c r="Q59" s="54">
        <v>0.6</v>
      </c>
      <c r="R59" s="54">
        <f t="shared" si="16"/>
        <v>1.6379999999999999</v>
      </c>
      <c r="S59" s="54" t="s">
        <v>301</v>
      </c>
      <c r="T59" s="54"/>
      <c r="U59" s="54"/>
      <c r="V59" s="54">
        <f t="shared" si="17"/>
        <v>0</v>
      </c>
      <c r="W59" s="54"/>
      <c r="X59" s="54"/>
      <c r="Y59" s="54">
        <f t="shared" si="18"/>
        <v>0</v>
      </c>
    </row>
    <row r="60" spans="1:25" x14ac:dyDescent="0.35">
      <c r="B60" s="54" t="s">
        <v>304</v>
      </c>
      <c r="C60" s="54">
        <v>3.3</v>
      </c>
      <c r="D60" s="54">
        <v>1.6</v>
      </c>
      <c r="E60" s="54">
        <f t="shared" si="13"/>
        <v>5.28</v>
      </c>
      <c r="F60" s="54" t="s">
        <v>302</v>
      </c>
      <c r="G60" s="54"/>
      <c r="H60" s="54"/>
      <c r="I60" s="54">
        <f t="shared" si="14"/>
        <v>0</v>
      </c>
      <c r="J60" s="54"/>
      <c r="K60" s="54"/>
      <c r="L60" s="54">
        <f t="shared" si="15"/>
        <v>0</v>
      </c>
      <c r="O60" s="54" t="s">
        <v>304</v>
      </c>
      <c r="P60" s="54">
        <v>3.25</v>
      </c>
      <c r="Q60" s="54">
        <v>3.65</v>
      </c>
      <c r="R60" s="54">
        <f t="shared" si="16"/>
        <v>11.862499999999999</v>
      </c>
      <c r="S60" s="54" t="s">
        <v>302</v>
      </c>
      <c r="T60" s="54"/>
      <c r="U60" s="54"/>
      <c r="V60" s="54">
        <f t="shared" si="17"/>
        <v>0</v>
      </c>
      <c r="W60" s="54"/>
      <c r="X60" s="54"/>
      <c r="Y60" s="54">
        <f t="shared" si="18"/>
        <v>0</v>
      </c>
    </row>
    <row r="61" spans="1:25" x14ac:dyDescent="0.35">
      <c r="B61" s="54"/>
      <c r="C61" s="54">
        <v>3.2</v>
      </c>
      <c r="D61" s="54">
        <v>1.45</v>
      </c>
      <c r="E61" s="54">
        <f t="shared" si="13"/>
        <v>4.6399999999999997</v>
      </c>
      <c r="F61" s="54"/>
      <c r="G61" s="54"/>
      <c r="H61" s="54"/>
      <c r="I61" s="54">
        <f t="shared" si="14"/>
        <v>0</v>
      </c>
      <c r="J61" s="54"/>
      <c r="K61" s="54"/>
      <c r="L61" s="54">
        <f t="shared" si="15"/>
        <v>0</v>
      </c>
      <c r="O61" s="54"/>
      <c r="P61" s="54">
        <v>1.58</v>
      </c>
      <c r="Q61" s="54">
        <v>0.6</v>
      </c>
      <c r="R61" s="54">
        <f t="shared" si="16"/>
        <v>0.94799999999999995</v>
      </c>
      <c r="S61" s="54"/>
      <c r="T61" s="54"/>
      <c r="U61" s="54"/>
      <c r="V61" s="54">
        <f t="shared" si="17"/>
        <v>0</v>
      </c>
      <c r="W61" s="54"/>
      <c r="X61" s="54"/>
      <c r="Y61" s="54">
        <f t="shared" si="18"/>
        <v>0</v>
      </c>
    </row>
    <row r="62" spans="1:25" x14ac:dyDescent="0.35">
      <c r="B62" s="54"/>
      <c r="C62" s="54">
        <v>1.58</v>
      </c>
      <c r="D62" s="54">
        <v>0.6</v>
      </c>
      <c r="E62" s="54">
        <f t="shared" si="13"/>
        <v>0.94799999999999995</v>
      </c>
      <c r="F62" s="54"/>
      <c r="G62" s="54"/>
      <c r="H62" s="54"/>
      <c r="I62" s="54">
        <f t="shared" si="14"/>
        <v>0</v>
      </c>
      <c r="J62" s="54"/>
      <c r="K62" s="54"/>
      <c r="L62" s="54">
        <f t="shared" si="15"/>
        <v>0</v>
      </c>
      <c r="O62" s="54" t="s">
        <v>305</v>
      </c>
      <c r="P62" s="54">
        <v>3.2</v>
      </c>
      <c r="Q62" s="54">
        <v>3.55</v>
      </c>
      <c r="R62" s="54">
        <f t="shared" si="16"/>
        <v>11.36</v>
      </c>
      <c r="S62" s="54"/>
      <c r="T62" s="54"/>
      <c r="U62" s="54"/>
      <c r="V62" s="54">
        <f t="shared" si="17"/>
        <v>0</v>
      </c>
      <c r="W62" s="54"/>
      <c r="X62" s="54"/>
      <c r="Y62" s="54">
        <f t="shared" si="18"/>
        <v>0</v>
      </c>
    </row>
    <row r="63" spans="1:25" x14ac:dyDescent="0.35">
      <c r="B63" s="54" t="s">
        <v>305</v>
      </c>
      <c r="C63" s="54">
        <v>2.4500000000000002</v>
      </c>
      <c r="D63" s="54">
        <v>3.05</v>
      </c>
      <c r="E63" s="54">
        <f t="shared" si="13"/>
        <v>7.4725000000000001</v>
      </c>
      <c r="F63" s="54" t="s">
        <v>301</v>
      </c>
      <c r="G63" s="54"/>
      <c r="H63" s="54"/>
      <c r="I63" s="54">
        <f t="shared" si="14"/>
        <v>0</v>
      </c>
      <c r="J63" s="54"/>
      <c r="K63" s="54"/>
      <c r="L63" s="54">
        <f t="shared" si="15"/>
        <v>0</v>
      </c>
      <c r="O63" s="54"/>
      <c r="P63" s="54">
        <v>1</v>
      </c>
      <c r="Q63" s="54">
        <v>0.1</v>
      </c>
      <c r="R63" s="54">
        <f t="shared" si="16"/>
        <v>0.1</v>
      </c>
      <c r="S63" s="54" t="s">
        <v>301</v>
      </c>
      <c r="T63" s="54"/>
      <c r="U63" s="54"/>
      <c r="V63" s="54">
        <f t="shared" si="17"/>
        <v>0</v>
      </c>
      <c r="W63" s="54"/>
      <c r="X63" s="54"/>
      <c r="Y63" s="54">
        <f t="shared" si="18"/>
        <v>0</v>
      </c>
    </row>
    <row r="64" spans="1:25" x14ac:dyDescent="0.35">
      <c r="B64" s="54"/>
      <c r="C64" s="54"/>
      <c r="D64" s="54"/>
      <c r="E64" s="54">
        <f t="shared" si="13"/>
        <v>0</v>
      </c>
      <c r="F64" s="54" t="s">
        <v>302</v>
      </c>
      <c r="G64" s="54"/>
      <c r="H64" s="54"/>
      <c r="I64" s="54">
        <f t="shared" si="14"/>
        <v>0</v>
      </c>
      <c r="J64" s="54"/>
      <c r="K64" s="54"/>
      <c r="L64" s="54">
        <f t="shared" si="15"/>
        <v>0</v>
      </c>
      <c r="O64" s="54" t="s">
        <v>431</v>
      </c>
      <c r="P64" s="54">
        <v>1.53</v>
      </c>
      <c r="Q64" s="54">
        <v>2.4300000000000002</v>
      </c>
      <c r="R64" s="54">
        <f t="shared" si="16"/>
        <v>3.7179000000000002</v>
      </c>
      <c r="S64" s="54" t="s">
        <v>302</v>
      </c>
      <c r="T64" s="54"/>
      <c r="U64" s="54"/>
      <c r="V64" s="54">
        <f t="shared" si="17"/>
        <v>0</v>
      </c>
      <c r="W64" s="54"/>
      <c r="X64" s="54"/>
      <c r="Y64" s="54">
        <f t="shared" si="18"/>
        <v>0</v>
      </c>
    </row>
    <row r="65" spans="2:25" x14ac:dyDescent="0.35">
      <c r="B65" s="54" t="s">
        <v>431</v>
      </c>
      <c r="C65" s="54">
        <v>1.53</v>
      </c>
      <c r="D65" s="54">
        <v>2.4300000000000002</v>
      </c>
      <c r="E65" s="54">
        <f t="shared" si="13"/>
        <v>3.7179000000000002</v>
      </c>
      <c r="F65" s="54"/>
      <c r="G65" s="54"/>
      <c r="H65" s="54"/>
      <c r="I65" s="54">
        <f t="shared" si="14"/>
        <v>0</v>
      </c>
      <c r="J65" s="54"/>
      <c r="K65" s="54"/>
      <c r="L65" s="54">
        <f t="shared" si="15"/>
        <v>0</v>
      </c>
      <c r="O65" s="54" t="s">
        <v>308</v>
      </c>
      <c r="P65" s="54">
        <v>1.53</v>
      </c>
      <c r="Q65" s="54">
        <v>2.02</v>
      </c>
      <c r="R65" s="54">
        <f t="shared" si="16"/>
        <v>3.0906000000000002</v>
      </c>
      <c r="S65" s="54"/>
      <c r="T65" s="54"/>
      <c r="U65" s="54"/>
      <c r="V65" s="54">
        <f t="shared" si="17"/>
        <v>0</v>
      </c>
      <c r="W65" s="54"/>
      <c r="X65" s="54"/>
      <c r="Y65" s="54">
        <f t="shared" si="18"/>
        <v>0</v>
      </c>
    </row>
    <row r="66" spans="2:25" x14ac:dyDescent="0.35">
      <c r="B66" s="54" t="s">
        <v>308</v>
      </c>
      <c r="C66" s="54">
        <v>1.53</v>
      </c>
      <c r="D66" s="54">
        <v>2.4300000000000002</v>
      </c>
      <c r="E66" s="54">
        <f t="shared" si="13"/>
        <v>3.7179000000000002</v>
      </c>
      <c r="F66" s="54" t="s">
        <v>301</v>
      </c>
      <c r="G66" s="54"/>
      <c r="H66" s="54"/>
      <c r="I66" s="54">
        <f t="shared" si="14"/>
        <v>0</v>
      </c>
      <c r="J66" s="54"/>
      <c r="K66" s="54"/>
      <c r="L66" s="54">
        <f t="shared" si="15"/>
        <v>0</v>
      </c>
      <c r="O66" s="54" t="s">
        <v>309</v>
      </c>
      <c r="P66" s="54">
        <v>1.53</v>
      </c>
      <c r="Q66" s="54">
        <v>1.45</v>
      </c>
      <c r="R66" s="54">
        <f t="shared" si="16"/>
        <v>2.2185000000000001</v>
      </c>
      <c r="S66" s="54" t="s">
        <v>301</v>
      </c>
      <c r="T66" s="54"/>
      <c r="U66" s="54"/>
      <c r="V66" s="54">
        <f t="shared" si="17"/>
        <v>0</v>
      </c>
      <c r="W66" s="54"/>
      <c r="X66" s="54"/>
      <c r="Y66" s="54">
        <f t="shared" si="18"/>
        <v>0</v>
      </c>
    </row>
    <row r="67" spans="2:25" x14ac:dyDescent="0.35">
      <c r="B67" s="54"/>
      <c r="C67" s="54"/>
      <c r="D67" s="54"/>
      <c r="E67" s="54">
        <f t="shared" si="13"/>
        <v>0</v>
      </c>
      <c r="F67" s="54" t="s">
        <v>302</v>
      </c>
      <c r="G67" s="54"/>
      <c r="H67" s="54"/>
      <c r="I67" s="54">
        <f t="shared" si="14"/>
        <v>0</v>
      </c>
      <c r="J67" s="54"/>
      <c r="K67" s="54"/>
      <c r="L67" s="54">
        <f t="shared" si="15"/>
        <v>0</v>
      </c>
      <c r="O67" s="54"/>
      <c r="P67" s="54">
        <v>1.63</v>
      </c>
      <c r="Q67" s="54">
        <v>0.98</v>
      </c>
      <c r="R67" s="54">
        <f t="shared" si="16"/>
        <v>1.5973999999999999</v>
      </c>
      <c r="S67" s="54" t="s">
        <v>302</v>
      </c>
      <c r="T67" s="54"/>
      <c r="U67" s="54"/>
      <c r="V67" s="54">
        <f t="shared" si="17"/>
        <v>0</v>
      </c>
      <c r="W67" s="54"/>
      <c r="X67" s="54"/>
      <c r="Y67" s="54">
        <f t="shared" si="18"/>
        <v>0</v>
      </c>
    </row>
    <row r="68" spans="2:25" x14ac:dyDescent="0.35">
      <c r="B68" s="54" t="s">
        <v>432</v>
      </c>
      <c r="C68" s="54">
        <v>1.1299999999999999</v>
      </c>
      <c r="D68" s="54">
        <v>1.05</v>
      </c>
      <c r="E68" s="54">
        <f t="shared" si="13"/>
        <v>1.1864999999999999</v>
      </c>
      <c r="F68" s="54"/>
      <c r="G68" s="54"/>
      <c r="H68" s="54"/>
      <c r="I68" s="54">
        <f t="shared" si="14"/>
        <v>0</v>
      </c>
      <c r="J68" s="54"/>
      <c r="K68" s="54"/>
      <c r="L68" s="54">
        <f t="shared" si="15"/>
        <v>0</v>
      </c>
      <c r="O68" s="54"/>
      <c r="P68" s="54"/>
      <c r="Q68" s="54"/>
      <c r="R68" s="54">
        <f t="shared" si="16"/>
        <v>0</v>
      </c>
      <c r="S68" s="54"/>
      <c r="T68" s="54"/>
      <c r="U68" s="54"/>
      <c r="V68" s="54">
        <f t="shared" si="17"/>
        <v>0</v>
      </c>
      <c r="W68" s="54"/>
      <c r="X68" s="54"/>
      <c r="Y68" s="54">
        <f t="shared" si="18"/>
        <v>0</v>
      </c>
    </row>
    <row r="69" spans="2:25" x14ac:dyDescent="0.35">
      <c r="B69" s="54"/>
      <c r="C69" s="54"/>
      <c r="D69" s="54"/>
      <c r="E69" s="54">
        <f t="shared" si="13"/>
        <v>0</v>
      </c>
      <c r="F69" s="54" t="s">
        <v>307</v>
      </c>
      <c r="G69" s="54"/>
      <c r="H69" s="54"/>
      <c r="I69" s="54">
        <f t="shared" si="14"/>
        <v>0</v>
      </c>
      <c r="J69" s="54"/>
      <c r="K69" s="54"/>
      <c r="L69" s="54">
        <f t="shared" si="15"/>
        <v>0</v>
      </c>
      <c r="O69" s="54" t="s">
        <v>432</v>
      </c>
      <c r="P69" s="54">
        <v>3.63</v>
      </c>
      <c r="Q69" s="54">
        <v>1.05</v>
      </c>
      <c r="R69" s="54">
        <f t="shared" si="16"/>
        <v>3.8115000000000001</v>
      </c>
      <c r="S69" s="54" t="s">
        <v>307</v>
      </c>
      <c r="T69" s="54"/>
      <c r="U69" s="54"/>
      <c r="V69" s="54">
        <f t="shared" si="17"/>
        <v>0</v>
      </c>
      <c r="W69" s="54"/>
      <c r="X69" s="54"/>
      <c r="Y69" s="54">
        <f t="shared" si="18"/>
        <v>0</v>
      </c>
    </row>
    <row r="70" spans="2:25" x14ac:dyDescent="0.35">
      <c r="B70" s="54"/>
      <c r="C70" s="54"/>
      <c r="D70" s="54"/>
      <c r="E70" s="54">
        <f>C70*D70</f>
        <v>0</v>
      </c>
      <c r="F70" s="54" t="s">
        <v>307</v>
      </c>
      <c r="G70" s="54"/>
      <c r="H70" s="54"/>
      <c r="I70" s="54">
        <f>G70*H70</f>
        <v>0</v>
      </c>
      <c r="J70" s="54"/>
      <c r="K70" s="54"/>
      <c r="L70" s="54">
        <f>J70*K70</f>
        <v>0</v>
      </c>
      <c r="O70" s="54"/>
      <c r="P70" s="54"/>
      <c r="Q70" s="54"/>
      <c r="R70" s="54">
        <f>P70*Q70</f>
        <v>0</v>
      </c>
      <c r="S70" s="54" t="s">
        <v>307</v>
      </c>
      <c r="T70" s="54"/>
      <c r="U70" s="54"/>
      <c r="V70" s="54">
        <f>T70*U70</f>
        <v>0</v>
      </c>
      <c r="W70" s="54"/>
      <c r="X70" s="54"/>
      <c r="Y70" s="54">
        <f>W70*X70</f>
        <v>0</v>
      </c>
    </row>
    <row r="71" spans="2:25" x14ac:dyDescent="0.35">
      <c r="B71" s="54"/>
      <c r="C71" s="54"/>
      <c r="D71" s="54"/>
      <c r="E71" s="54">
        <f>C71*D71</f>
        <v>0</v>
      </c>
      <c r="F71" s="54" t="s">
        <v>307</v>
      </c>
      <c r="G71" s="54"/>
      <c r="H71" s="54"/>
      <c r="I71" s="54">
        <f>G71*H71</f>
        <v>0</v>
      </c>
      <c r="J71" s="54"/>
      <c r="K71" s="54"/>
      <c r="L71" s="54">
        <f>J71*K71</f>
        <v>0</v>
      </c>
      <c r="O71" s="54"/>
      <c r="P71" s="54"/>
      <c r="Q71" s="54"/>
      <c r="R71" s="54">
        <f>P71*Q71</f>
        <v>0</v>
      </c>
      <c r="S71" s="54" t="s">
        <v>307</v>
      </c>
      <c r="T71" s="54"/>
      <c r="U71" s="54"/>
      <c r="V71" s="54">
        <f>T71*U71</f>
        <v>0</v>
      </c>
      <c r="W71" s="54"/>
      <c r="X71" s="54"/>
      <c r="Y71" s="54">
        <f>W71*X71</f>
        <v>0</v>
      </c>
    </row>
    <row r="72" spans="2:25" x14ac:dyDescent="0.35">
      <c r="B72" s="54"/>
      <c r="C72" s="54"/>
      <c r="D72" s="54"/>
      <c r="E72" s="54">
        <f>C72*D72</f>
        <v>0</v>
      </c>
      <c r="F72" s="54" t="s">
        <v>307</v>
      </c>
      <c r="G72" s="54"/>
      <c r="H72" s="54"/>
      <c r="I72" s="54">
        <f>G72*H72</f>
        <v>0</v>
      </c>
      <c r="J72" s="54"/>
      <c r="K72" s="54"/>
      <c r="L72" s="54">
        <f>J72*K72</f>
        <v>0</v>
      </c>
      <c r="O72" s="54"/>
      <c r="P72" s="54"/>
      <c r="Q72" s="54"/>
      <c r="R72" s="54">
        <f>P72*Q72</f>
        <v>0</v>
      </c>
      <c r="S72" s="54" t="s">
        <v>307</v>
      </c>
      <c r="T72" s="54"/>
      <c r="U72" s="54"/>
      <c r="V72" s="54">
        <f>T72*U72</f>
        <v>0</v>
      </c>
      <c r="W72" s="54"/>
      <c r="X72" s="54"/>
      <c r="Y72" s="54">
        <f>W72*X72</f>
        <v>0</v>
      </c>
    </row>
    <row r="73" spans="2:25" x14ac:dyDescent="0.35">
      <c r="B73" s="54"/>
      <c r="C73" s="54"/>
      <c r="D73" s="54"/>
      <c r="E73" s="54">
        <f t="shared" ref="E73:E75" si="19">C73*D73</f>
        <v>0</v>
      </c>
      <c r="F73" s="54" t="s">
        <v>307</v>
      </c>
      <c r="G73" s="54"/>
      <c r="H73" s="54"/>
      <c r="I73" s="54">
        <f t="shared" ref="I73:I75" si="20">G73*H73</f>
        <v>0</v>
      </c>
      <c r="J73" s="54"/>
      <c r="K73" s="54"/>
      <c r="L73" s="54">
        <f t="shared" ref="L73:L75" si="21">J73*K73</f>
        <v>0</v>
      </c>
      <c r="O73" s="54"/>
      <c r="P73" s="54"/>
      <c r="Q73" s="54"/>
      <c r="R73" s="54">
        <f t="shared" ref="R73:R75" si="22">P73*Q73</f>
        <v>0</v>
      </c>
      <c r="S73" s="54" t="s">
        <v>307</v>
      </c>
      <c r="T73" s="54"/>
      <c r="U73" s="54"/>
      <c r="V73" s="54">
        <f t="shared" ref="V73:V75" si="23">T73*U73</f>
        <v>0</v>
      </c>
      <c r="W73" s="54"/>
      <c r="X73" s="54"/>
      <c r="Y73" s="54">
        <f t="shared" ref="Y73:Y75" si="24">W73*X73</f>
        <v>0</v>
      </c>
    </row>
    <row r="74" spans="2:25" x14ac:dyDescent="0.35">
      <c r="B74" s="54"/>
      <c r="C74" s="54"/>
      <c r="D74" s="54"/>
      <c r="E74" s="54">
        <f t="shared" si="19"/>
        <v>0</v>
      </c>
      <c r="F74" s="54" t="s">
        <v>307</v>
      </c>
      <c r="G74" s="54"/>
      <c r="H74" s="54"/>
      <c r="I74" s="54">
        <f t="shared" si="20"/>
        <v>0</v>
      </c>
      <c r="J74" s="54"/>
      <c r="K74" s="54"/>
      <c r="L74" s="54">
        <f t="shared" si="21"/>
        <v>0</v>
      </c>
      <c r="O74" s="54"/>
      <c r="P74" s="54"/>
      <c r="Q74" s="54"/>
      <c r="R74" s="54">
        <f t="shared" si="22"/>
        <v>0</v>
      </c>
      <c r="S74" s="54" t="s">
        <v>307</v>
      </c>
      <c r="T74" s="54"/>
      <c r="U74" s="54"/>
      <c r="V74" s="54">
        <f t="shared" si="23"/>
        <v>0</v>
      </c>
      <c r="W74" s="54"/>
      <c r="X74" s="54"/>
      <c r="Y74" s="54">
        <f t="shared" si="24"/>
        <v>0</v>
      </c>
    </row>
    <row r="75" spans="2:25" x14ac:dyDescent="0.35">
      <c r="B75" s="54"/>
      <c r="C75" s="54"/>
      <c r="D75" s="54"/>
      <c r="E75" s="54">
        <f t="shared" si="19"/>
        <v>0</v>
      </c>
      <c r="F75" s="54"/>
      <c r="G75" s="54"/>
      <c r="H75" s="54"/>
      <c r="I75" s="54">
        <f t="shared" si="20"/>
        <v>0</v>
      </c>
      <c r="J75" s="54"/>
      <c r="K75" s="54"/>
      <c r="L75" s="54">
        <f t="shared" si="21"/>
        <v>0</v>
      </c>
      <c r="O75" s="54"/>
      <c r="P75" s="54"/>
      <c r="Q75" s="54"/>
      <c r="R75" s="54">
        <f t="shared" si="22"/>
        <v>0</v>
      </c>
      <c r="S75" s="54"/>
      <c r="T75" s="54"/>
      <c r="U75" s="54"/>
      <c r="V75" s="54">
        <f t="shared" si="23"/>
        <v>0</v>
      </c>
      <c r="W75" s="54"/>
      <c r="X75" s="54"/>
      <c r="Y75" s="54">
        <f t="shared" si="24"/>
        <v>0</v>
      </c>
    </row>
    <row r="76" spans="2:25" x14ac:dyDescent="0.35">
      <c r="B76" s="54"/>
      <c r="C76" s="54"/>
      <c r="D76" s="54"/>
      <c r="E76" s="54">
        <f>C76*D76</f>
        <v>0</v>
      </c>
      <c r="F76" s="54"/>
      <c r="G76" s="54"/>
      <c r="H76" s="54"/>
      <c r="I76" s="54">
        <f>G76*H76</f>
        <v>0</v>
      </c>
      <c r="J76" s="54"/>
      <c r="K76" s="54"/>
      <c r="L76" s="54">
        <f>J76*K76</f>
        <v>0</v>
      </c>
      <c r="O76" s="54"/>
      <c r="P76" s="54"/>
      <c r="Q76" s="54"/>
      <c r="R76" s="54">
        <f>P76*Q76</f>
        <v>0</v>
      </c>
      <c r="S76" s="54"/>
      <c r="T76" s="54"/>
      <c r="U76" s="54"/>
      <c r="V76" s="54">
        <f>T76*U76</f>
        <v>0</v>
      </c>
      <c r="W76" s="54"/>
      <c r="X76" s="54"/>
      <c r="Y76" s="54">
        <f>W76*X76</f>
        <v>0</v>
      </c>
    </row>
    <row r="77" spans="2:25" x14ac:dyDescent="0.35">
      <c r="B77" s="54"/>
      <c r="C77" s="54"/>
      <c r="D77" s="54"/>
      <c r="E77" s="54">
        <f>C77*D77</f>
        <v>0</v>
      </c>
      <c r="F77" s="54"/>
      <c r="G77" s="54"/>
      <c r="H77" s="54"/>
      <c r="I77" s="54">
        <f>G77*H77</f>
        <v>0</v>
      </c>
      <c r="J77" s="54"/>
      <c r="K77" s="54"/>
      <c r="L77" s="54">
        <f>J77*K77</f>
        <v>0</v>
      </c>
      <c r="O77" s="54"/>
      <c r="P77" s="54"/>
      <c r="Q77" s="54"/>
      <c r="R77" s="54">
        <f>P77*Q77</f>
        <v>0</v>
      </c>
      <c r="S77" s="54"/>
      <c r="T77" s="54"/>
      <c r="U77" s="54"/>
      <c r="V77" s="54">
        <f>T77*U77</f>
        <v>0</v>
      </c>
      <c r="W77" s="54"/>
      <c r="X77" s="54"/>
      <c r="Y77" s="54">
        <f>W77*X77</f>
        <v>0</v>
      </c>
    </row>
    <row r="78" spans="2:25" x14ac:dyDescent="0.35">
      <c r="B78" s="54"/>
      <c r="C78" s="54"/>
      <c r="D78" s="54"/>
      <c r="E78" s="54">
        <f t="shared" ref="E78:E81" si="25">C78*D78</f>
        <v>0</v>
      </c>
      <c r="F78" s="54"/>
      <c r="G78" s="54"/>
      <c r="H78" s="54"/>
      <c r="I78" s="54">
        <f t="shared" ref="I78:I86" si="26">G78*H78</f>
        <v>0</v>
      </c>
      <c r="J78" s="54"/>
      <c r="K78" s="54"/>
      <c r="L78" s="54">
        <f t="shared" ref="L78:L86" si="27">J78*K78</f>
        <v>0</v>
      </c>
      <c r="O78" s="54"/>
      <c r="P78" s="54"/>
      <c r="Q78" s="54"/>
      <c r="R78" s="54">
        <f t="shared" ref="R78:R81" si="28">P78*Q78</f>
        <v>0</v>
      </c>
      <c r="S78" s="54"/>
      <c r="T78" s="54"/>
      <c r="U78" s="54"/>
      <c r="V78" s="54">
        <f t="shared" ref="V78:V86" si="29">T78*U78</f>
        <v>0</v>
      </c>
      <c r="W78" s="54"/>
      <c r="X78" s="54"/>
      <c r="Y78" s="54">
        <f t="shared" ref="Y78:Y86" si="30">W78*X78</f>
        <v>0</v>
      </c>
    </row>
    <row r="79" spans="2:25" x14ac:dyDescent="0.35">
      <c r="B79" s="54"/>
      <c r="C79" s="54"/>
      <c r="D79" s="54"/>
      <c r="E79" s="54">
        <f t="shared" si="25"/>
        <v>0</v>
      </c>
      <c r="F79" s="54"/>
      <c r="G79" s="54"/>
      <c r="H79" s="54"/>
      <c r="I79" s="54">
        <f t="shared" si="26"/>
        <v>0</v>
      </c>
      <c r="J79" s="54"/>
      <c r="K79" s="54"/>
      <c r="L79" s="54">
        <f t="shared" si="27"/>
        <v>0</v>
      </c>
      <c r="O79" s="54"/>
      <c r="P79" s="54"/>
      <c r="Q79" s="54"/>
      <c r="R79" s="54">
        <f t="shared" si="28"/>
        <v>0</v>
      </c>
      <c r="S79" s="54"/>
      <c r="T79" s="54"/>
      <c r="U79" s="54"/>
      <c r="V79" s="54">
        <f t="shared" si="29"/>
        <v>0</v>
      </c>
      <c r="W79" s="54"/>
      <c r="X79" s="54"/>
      <c r="Y79" s="54">
        <f t="shared" si="30"/>
        <v>0</v>
      </c>
    </row>
    <row r="80" spans="2:25" x14ac:dyDescent="0.35">
      <c r="B80" s="54"/>
      <c r="C80" s="54"/>
      <c r="D80" s="54"/>
      <c r="E80" s="54">
        <f t="shared" si="25"/>
        <v>0</v>
      </c>
      <c r="F80" s="54"/>
      <c r="G80" s="54"/>
      <c r="H80" s="54"/>
      <c r="I80" s="54">
        <f t="shared" si="26"/>
        <v>0</v>
      </c>
      <c r="J80" s="54"/>
      <c r="K80" s="54"/>
      <c r="L80" s="54">
        <f t="shared" si="27"/>
        <v>0</v>
      </c>
      <c r="O80" s="54"/>
      <c r="P80" s="54"/>
      <c r="Q80" s="54"/>
      <c r="R80" s="54">
        <f t="shared" si="28"/>
        <v>0</v>
      </c>
      <c r="S80" s="54"/>
      <c r="T80" s="54"/>
      <c r="U80" s="54"/>
      <c r="V80" s="54">
        <f t="shared" si="29"/>
        <v>0</v>
      </c>
      <c r="W80" s="54"/>
      <c r="X80" s="54"/>
      <c r="Y80" s="54">
        <f t="shared" si="30"/>
        <v>0</v>
      </c>
    </row>
    <row r="81" spans="1:25" x14ac:dyDescent="0.35">
      <c r="B81" s="54"/>
      <c r="C81" s="54"/>
      <c r="D81" s="54"/>
      <c r="E81" s="54">
        <f t="shared" si="25"/>
        <v>0</v>
      </c>
      <c r="F81" s="54"/>
      <c r="G81" s="54"/>
      <c r="H81" s="54"/>
      <c r="I81" s="54">
        <f t="shared" si="26"/>
        <v>0</v>
      </c>
      <c r="J81" s="54"/>
      <c r="K81" s="54"/>
      <c r="L81" s="54">
        <f t="shared" si="27"/>
        <v>0</v>
      </c>
      <c r="O81" s="54"/>
      <c r="P81" s="54"/>
      <c r="Q81" s="54"/>
      <c r="R81" s="54">
        <f t="shared" si="28"/>
        <v>0</v>
      </c>
      <c r="S81" s="54"/>
      <c r="T81" s="54"/>
      <c r="U81" s="54"/>
      <c r="V81" s="54">
        <f t="shared" si="29"/>
        <v>0</v>
      </c>
      <c r="W81" s="54"/>
      <c r="X81" s="54"/>
      <c r="Y81" s="54">
        <f t="shared" si="30"/>
        <v>0</v>
      </c>
    </row>
    <row r="82" spans="1:25" x14ac:dyDescent="0.35">
      <c r="B82" s="54"/>
      <c r="C82" s="54"/>
      <c r="D82" s="54"/>
      <c r="E82" s="54">
        <f>C82*D82</f>
        <v>0</v>
      </c>
      <c r="F82" s="54"/>
      <c r="G82" s="54"/>
      <c r="H82" s="54"/>
      <c r="I82" s="54">
        <f t="shared" si="26"/>
        <v>0</v>
      </c>
      <c r="J82" s="54"/>
      <c r="K82" s="54"/>
      <c r="L82" s="54">
        <f t="shared" si="27"/>
        <v>0</v>
      </c>
      <c r="O82" s="54"/>
      <c r="P82" s="54"/>
      <c r="Q82" s="54"/>
      <c r="R82" s="54">
        <f>P82*Q82</f>
        <v>0</v>
      </c>
      <c r="S82" s="54"/>
      <c r="T82" s="54"/>
      <c r="U82" s="54"/>
      <c r="V82" s="54">
        <f t="shared" si="29"/>
        <v>0</v>
      </c>
      <c r="W82" s="54"/>
      <c r="X82" s="54"/>
      <c r="Y82" s="54">
        <f t="shared" si="30"/>
        <v>0</v>
      </c>
    </row>
    <row r="83" spans="1:25" x14ac:dyDescent="0.35">
      <c r="B83" s="54"/>
      <c r="C83" s="54"/>
      <c r="D83" s="54"/>
      <c r="E83" s="54">
        <f>C83*D83</f>
        <v>0</v>
      </c>
      <c r="F83" s="54"/>
      <c r="G83" s="54"/>
      <c r="H83" s="54"/>
      <c r="I83" s="54">
        <f t="shared" si="26"/>
        <v>0</v>
      </c>
      <c r="J83" s="54"/>
      <c r="K83" s="54"/>
      <c r="L83" s="54">
        <f t="shared" si="27"/>
        <v>0</v>
      </c>
      <c r="O83" s="54"/>
      <c r="P83" s="54"/>
      <c r="Q83" s="54"/>
      <c r="R83" s="54">
        <f>P83*Q83</f>
        <v>0</v>
      </c>
      <c r="S83" s="54"/>
      <c r="T83" s="54"/>
      <c r="U83" s="54"/>
      <c r="V83" s="54">
        <f t="shared" si="29"/>
        <v>0</v>
      </c>
      <c r="W83" s="54"/>
      <c r="X83" s="54"/>
      <c r="Y83" s="54">
        <f t="shared" si="30"/>
        <v>0</v>
      </c>
    </row>
    <row r="84" spans="1:25" x14ac:dyDescent="0.35">
      <c r="B84" s="54"/>
      <c r="C84" s="54"/>
      <c r="D84" s="54"/>
      <c r="E84" s="54">
        <f t="shared" ref="E84:E86" si="31">C84*D84</f>
        <v>0</v>
      </c>
      <c r="F84" s="54"/>
      <c r="G84" s="54"/>
      <c r="H84" s="54"/>
      <c r="I84" s="54">
        <f t="shared" si="26"/>
        <v>0</v>
      </c>
      <c r="J84" s="54"/>
      <c r="K84" s="54"/>
      <c r="L84" s="54">
        <f t="shared" si="27"/>
        <v>0</v>
      </c>
      <c r="O84" s="54"/>
      <c r="P84" s="54"/>
      <c r="Q84" s="54"/>
      <c r="R84" s="54">
        <f t="shared" ref="R84:R86" si="32">P84*Q84</f>
        <v>0</v>
      </c>
      <c r="S84" s="54"/>
      <c r="T84" s="54"/>
      <c r="U84" s="54"/>
      <c r="V84" s="54">
        <f t="shared" si="29"/>
        <v>0</v>
      </c>
      <c r="W84" s="54"/>
      <c r="X84" s="54"/>
      <c r="Y84" s="54">
        <f t="shared" si="30"/>
        <v>0</v>
      </c>
    </row>
    <row r="85" spans="1:25" x14ac:dyDescent="0.35">
      <c r="B85" s="54"/>
      <c r="C85" s="54"/>
      <c r="D85" s="54"/>
      <c r="E85" s="54">
        <f t="shared" si="31"/>
        <v>0</v>
      </c>
      <c r="F85" s="54"/>
      <c r="G85" s="54"/>
      <c r="H85" s="54"/>
      <c r="I85" s="54">
        <f t="shared" si="26"/>
        <v>0</v>
      </c>
      <c r="J85" s="54"/>
      <c r="K85" s="54"/>
      <c r="L85" s="54">
        <f t="shared" si="27"/>
        <v>0</v>
      </c>
      <c r="O85" s="54"/>
      <c r="P85" s="54"/>
      <c r="Q85" s="54"/>
      <c r="R85" s="54">
        <f t="shared" si="32"/>
        <v>0</v>
      </c>
      <c r="S85" s="54"/>
      <c r="T85" s="54"/>
      <c r="U85" s="54"/>
      <c r="V85" s="54">
        <f t="shared" si="29"/>
        <v>0</v>
      </c>
      <c r="W85" s="54"/>
      <c r="X85" s="54"/>
      <c r="Y85" s="54">
        <f t="shared" si="30"/>
        <v>0</v>
      </c>
    </row>
    <row r="86" spans="1:25" x14ac:dyDescent="0.35">
      <c r="B86" s="54"/>
      <c r="C86" s="54"/>
      <c r="D86" s="54"/>
      <c r="E86" s="54">
        <f t="shared" si="31"/>
        <v>0</v>
      </c>
      <c r="F86" s="54"/>
      <c r="G86" s="54"/>
      <c r="H86" s="54"/>
      <c r="I86" s="54">
        <f t="shared" si="26"/>
        <v>0</v>
      </c>
      <c r="J86" s="54"/>
      <c r="K86" s="54"/>
      <c r="L86" s="54">
        <f t="shared" si="27"/>
        <v>0</v>
      </c>
      <c r="O86" s="54"/>
      <c r="P86" s="54"/>
      <c r="Q86" s="54"/>
      <c r="R86" s="54">
        <f t="shared" si="32"/>
        <v>0</v>
      </c>
      <c r="S86" s="54"/>
      <c r="T86" s="54"/>
      <c r="U86" s="54"/>
      <c r="V86" s="54">
        <f t="shared" si="29"/>
        <v>0</v>
      </c>
      <c r="W86" s="54"/>
      <c r="X86" s="54"/>
      <c r="Y86" s="54">
        <f t="shared" si="30"/>
        <v>0</v>
      </c>
    </row>
    <row r="87" spans="1:25" x14ac:dyDescent="0.35">
      <c r="B87" s="54" t="s">
        <v>143</v>
      </c>
      <c r="C87" s="54"/>
      <c r="D87" s="54">
        <f>E87*10.764</f>
        <v>779.13168839999992</v>
      </c>
      <c r="E87" s="71">
        <f>SUM(E51:E86)</f>
        <v>72.383099999999999</v>
      </c>
      <c r="F87" s="54"/>
      <c r="G87" s="54"/>
      <c r="H87" s="54">
        <f>I87*10.764</f>
        <v>0</v>
      </c>
      <c r="I87" s="70">
        <f>SUM(I51:I86)</f>
        <v>0</v>
      </c>
      <c r="J87" s="54"/>
      <c r="K87" s="54">
        <f>L87*10.764</f>
        <v>0</v>
      </c>
      <c r="L87" s="69">
        <f>SUM(L51:L86)</f>
        <v>0</v>
      </c>
      <c r="O87" s="54" t="s">
        <v>143</v>
      </c>
      <c r="P87" s="54"/>
      <c r="Q87" s="54">
        <f>R87*10.764</f>
        <v>952.58170799999959</v>
      </c>
      <c r="R87" s="71">
        <f>SUM(R51:R86)</f>
        <v>88.496999999999971</v>
      </c>
      <c r="S87" s="54"/>
      <c r="T87" s="54"/>
      <c r="U87" s="54">
        <f>V87*10.764</f>
        <v>0</v>
      </c>
      <c r="V87" s="70">
        <f>SUM(V51:V86)</f>
        <v>0</v>
      </c>
      <c r="W87" s="54"/>
      <c r="X87" s="54">
        <f>Y87*10.764</f>
        <v>0</v>
      </c>
      <c r="Y87" s="69">
        <f>SUM(Y51:Y86)</f>
        <v>0</v>
      </c>
    </row>
    <row r="89" spans="1:25" x14ac:dyDescent="0.35">
      <c r="D89" s="53">
        <f>D87+H87</f>
        <v>779.13168839999992</v>
      </c>
      <c r="E89" s="53">
        <f>E87+I87</f>
        <v>72.383099999999999</v>
      </c>
      <c r="Q89" s="53">
        <f>Q87+U87</f>
        <v>952.58170799999959</v>
      </c>
      <c r="R89" s="53">
        <f>R87+V87</f>
        <v>88.496999999999971</v>
      </c>
    </row>
    <row r="92" spans="1:25" x14ac:dyDescent="0.35">
      <c r="B92" s="66" t="s">
        <v>292</v>
      </c>
      <c r="C92" s="270" t="s">
        <v>444</v>
      </c>
      <c r="D92" s="270"/>
    </row>
    <row r="93" spans="1:25" x14ac:dyDescent="0.35">
      <c r="D93" s="67"/>
      <c r="E93" s="67"/>
      <c r="F93" s="67"/>
      <c r="G93" s="67"/>
      <c r="H93" s="67"/>
      <c r="I93" s="67"/>
    </row>
    <row r="94" spans="1:25" x14ac:dyDescent="0.35">
      <c r="A94" s="66" t="s">
        <v>65</v>
      </c>
      <c r="B94" s="68" t="s">
        <v>293</v>
      </c>
      <c r="C94" s="271" t="s">
        <v>294</v>
      </c>
      <c r="D94" s="271"/>
      <c r="E94" s="271"/>
      <c r="F94" s="68"/>
      <c r="G94" s="272" t="s">
        <v>295</v>
      </c>
      <c r="H94" s="272"/>
      <c r="I94" s="272"/>
      <c r="J94" s="273" t="s">
        <v>296</v>
      </c>
      <c r="K94" s="273"/>
      <c r="L94" s="273"/>
    </row>
    <row r="95" spans="1:25" x14ac:dyDescent="0.35">
      <c r="A95" s="66">
        <v>2</v>
      </c>
      <c r="B95" s="68"/>
      <c r="C95" s="68" t="s">
        <v>297</v>
      </c>
      <c r="D95" s="68" t="s">
        <v>298</v>
      </c>
      <c r="E95" s="68" t="s">
        <v>299</v>
      </c>
      <c r="F95" s="68"/>
      <c r="G95" s="68" t="s">
        <v>297</v>
      </c>
      <c r="H95" s="68" t="s">
        <v>298</v>
      </c>
      <c r="I95" s="68" t="s">
        <v>299</v>
      </c>
      <c r="J95" s="68" t="s">
        <v>297</v>
      </c>
      <c r="K95" s="68" t="s">
        <v>298</v>
      </c>
      <c r="L95" s="68" t="s">
        <v>299</v>
      </c>
    </row>
    <row r="96" spans="1:25" x14ac:dyDescent="0.35">
      <c r="B96" s="54" t="s">
        <v>300</v>
      </c>
      <c r="C96" s="54">
        <v>1.53</v>
      </c>
      <c r="D96" s="54">
        <v>2.35</v>
      </c>
      <c r="E96" s="54">
        <f>C96*D96</f>
        <v>3.5955000000000004</v>
      </c>
      <c r="F96" s="54" t="s">
        <v>433</v>
      </c>
      <c r="G96" s="54">
        <v>6.6</v>
      </c>
      <c r="H96" s="54">
        <v>1.82</v>
      </c>
      <c r="I96" s="54">
        <f>G96*H96</f>
        <v>12.012</v>
      </c>
      <c r="J96" s="54"/>
      <c r="K96" s="54"/>
      <c r="L96" s="54">
        <f>J96*K96</f>
        <v>0</v>
      </c>
    </row>
    <row r="97" spans="2:12" x14ac:dyDescent="0.35">
      <c r="B97" s="54"/>
      <c r="C97" s="54">
        <v>3.35</v>
      </c>
      <c r="D97" s="54">
        <v>7.43</v>
      </c>
      <c r="E97" s="54">
        <f t="shared" ref="E97:E115" si="33">C97*D97</f>
        <v>24.890499999999999</v>
      </c>
      <c r="F97" s="54" t="s">
        <v>311</v>
      </c>
      <c r="G97" s="54"/>
      <c r="H97" s="54"/>
      <c r="I97" s="54">
        <f t="shared" ref="I97:I115" si="34">G97*H97</f>
        <v>0</v>
      </c>
      <c r="J97" s="54"/>
      <c r="K97" s="54"/>
      <c r="L97" s="54">
        <f t="shared" ref="L97:L115" si="35">J97*K97</f>
        <v>0</v>
      </c>
    </row>
    <row r="98" spans="2:12" x14ac:dyDescent="0.35">
      <c r="B98" s="54"/>
      <c r="C98" s="54">
        <v>3.03</v>
      </c>
      <c r="D98" s="54">
        <v>0.1</v>
      </c>
      <c r="E98" s="54">
        <f t="shared" si="33"/>
        <v>0.30299999999999999</v>
      </c>
      <c r="F98" s="54"/>
      <c r="G98" s="54"/>
      <c r="H98" s="54"/>
      <c r="I98" s="54">
        <f t="shared" si="34"/>
        <v>0</v>
      </c>
      <c r="J98" s="54"/>
      <c r="K98" s="54"/>
      <c r="L98" s="54">
        <f t="shared" si="35"/>
        <v>0</v>
      </c>
    </row>
    <row r="99" spans="2:12" x14ac:dyDescent="0.35">
      <c r="B99" s="54"/>
      <c r="C99" s="54">
        <v>1.23</v>
      </c>
      <c r="D99" s="54">
        <v>3.55</v>
      </c>
      <c r="E99" s="54">
        <f t="shared" si="33"/>
        <v>4.3664999999999994</v>
      </c>
      <c r="F99" s="54" t="s">
        <v>301</v>
      </c>
      <c r="G99" s="54"/>
      <c r="H99" s="54"/>
      <c r="I99" s="54">
        <f t="shared" si="34"/>
        <v>0</v>
      </c>
      <c r="J99" s="54"/>
      <c r="K99" s="54"/>
      <c r="L99" s="54">
        <f t="shared" si="35"/>
        <v>0</v>
      </c>
    </row>
    <row r="100" spans="2:12" x14ac:dyDescent="0.35">
      <c r="B100" s="54" t="s">
        <v>435</v>
      </c>
      <c r="C100" s="54">
        <v>3.65</v>
      </c>
      <c r="D100" s="54">
        <v>2.4500000000000002</v>
      </c>
      <c r="E100" s="54">
        <f t="shared" si="33"/>
        <v>8.9425000000000008</v>
      </c>
      <c r="F100" s="54" t="s">
        <v>301</v>
      </c>
      <c r="G100" s="54"/>
      <c r="H100" s="54"/>
      <c r="I100" s="54">
        <f t="shared" si="34"/>
        <v>0</v>
      </c>
      <c r="J100" s="54"/>
      <c r="K100" s="54"/>
      <c r="L100" s="54">
        <f t="shared" si="35"/>
        <v>0</v>
      </c>
    </row>
    <row r="101" spans="2:12" x14ac:dyDescent="0.35">
      <c r="B101" s="54" t="s">
        <v>436</v>
      </c>
      <c r="C101" s="54">
        <v>1.18</v>
      </c>
      <c r="D101" s="54">
        <v>0.35</v>
      </c>
      <c r="E101" s="54">
        <f t="shared" si="33"/>
        <v>0.41299999999999998</v>
      </c>
      <c r="F101" s="54" t="s">
        <v>302</v>
      </c>
      <c r="G101" s="54"/>
      <c r="H101" s="54"/>
      <c r="I101" s="54">
        <f t="shared" si="34"/>
        <v>0</v>
      </c>
      <c r="J101" s="54"/>
      <c r="K101" s="54"/>
      <c r="L101" s="54">
        <f t="shared" si="35"/>
        <v>0</v>
      </c>
    </row>
    <row r="102" spans="2:12" x14ac:dyDescent="0.35">
      <c r="B102" s="54"/>
      <c r="C102" s="54">
        <v>1.78</v>
      </c>
      <c r="D102" s="54">
        <v>1.5</v>
      </c>
      <c r="E102" s="54">
        <f t="shared" si="33"/>
        <v>2.67</v>
      </c>
      <c r="F102" s="54"/>
      <c r="G102" s="54"/>
      <c r="H102" s="54"/>
      <c r="I102" s="54">
        <f t="shared" si="34"/>
        <v>0</v>
      </c>
      <c r="J102" s="54"/>
      <c r="K102" s="54"/>
      <c r="L102" s="54">
        <f t="shared" si="35"/>
        <v>0</v>
      </c>
    </row>
    <row r="103" spans="2:12" x14ac:dyDescent="0.35">
      <c r="B103" s="54" t="s">
        <v>303</v>
      </c>
      <c r="C103" s="54">
        <v>3.8</v>
      </c>
      <c r="D103" s="54">
        <v>1.5</v>
      </c>
      <c r="E103" s="54">
        <f t="shared" si="33"/>
        <v>5.6999999999999993</v>
      </c>
      <c r="F103" s="54"/>
      <c r="G103" s="54"/>
      <c r="H103" s="54"/>
      <c r="I103" s="54">
        <f t="shared" si="34"/>
        <v>0</v>
      </c>
      <c r="J103" s="54"/>
      <c r="K103" s="54"/>
      <c r="L103" s="54">
        <f t="shared" si="35"/>
        <v>0</v>
      </c>
    </row>
    <row r="104" spans="2:12" x14ac:dyDescent="0.35">
      <c r="B104" s="54"/>
      <c r="C104" s="54">
        <v>3.2</v>
      </c>
      <c r="D104" s="54">
        <v>5.18</v>
      </c>
      <c r="E104" s="54">
        <f t="shared" si="33"/>
        <v>16.576000000000001</v>
      </c>
      <c r="F104" s="54" t="s">
        <v>301</v>
      </c>
      <c r="G104" s="54"/>
      <c r="H104" s="54"/>
      <c r="I104" s="54">
        <f t="shared" si="34"/>
        <v>0</v>
      </c>
      <c r="J104" s="54"/>
      <c r="K104" s="54"/>
      <c r="L104" s="54">
        <f t="shared" si="35"/>
        <v>0</v>
      </c>
    </row>
    <row r="105" spans="2:12" x14ac:dyDescent="0.35">
      <c r="B105" s="54"/>
      <c r="C105" s="54">
        <v>3.05</v>
      </c>
      <c r="D105" s="54">
        <v>0.65</v>
      </c>
      <c r="E105" s="54">
        <f t="shared" si="33"/>
        <v>1.9824999999999999</v>
      </c>
      <c r="F105" s="54" t="s">
        <v>302</v>
      </c>
      <c r="G105" s="54"/>
      <c r="H105" s="54"/>
      <c r="I105" s="54">
        <f t="shared" si="34"/>
        <v>0</v>
      </c>
      <c r="J105" s="54"/>
      <c r="K105" s="54"/>
      <c r="L105" s="54">
        <f t="shared" si="35"/>
        <v>0</v>
      </c>
    </row>
    <row r="106" spans="2:12" x14ac:dyDescent="0.35">
      <c r="B106" s="54" t="s">
        <v>304</v>
      </c>
      <c r="C106" s="54">
        <v>6.5</v>
      </c>
      <c r="D106" s="54">
        <v>4.7</v>
      </c>
      <c r="E106" s="54">
        <f t="shared" si="33"/>
        <v>30.55</v>
      </c>
      <c r="F106" s="54"/>
      <c r="G106" s="54"/>
      <c r="H106" s="54"/>
      <c r="I106" s="54">
        <f t="shared" si="34"/>
        <v>0</v>
      </c>
      <c r="J106" s="54"/>
      <c r="K106" s="54"/>
      <c r="L106" s="54">
        <f t="shared" si="35"/>
        <v>0</v>
      </c>
    </row>
    <row r="107" spans="2:12" x14ac:dyDescent="0.35">
      <c r="B107" s="54"/>
      <c r="C107" s="54">
        <v>5.35</v>
      </c>
      <c r="D107" s="54">
        <v>0.1</v>
      </c>
      <c r="E107" s="54">
        <f t="shared" si="33"/>
        <v>0.53500000000000003</v>
      </c>
      <c r="F107" s="54"/>
      <c r="G107" s="54"/>
      <c r="H107" s="54"/>
      <c r="I107" s="54">
        <f t="shared" si="34"/>
        <v>0</v>
      </c>
      <c r="J107" s="54"/>
      <c r="K107" s="54"/>
      <c r="L107" s="54">
        <f t="shared" si="35"/>
        <v>0</v>
      </c>
    </row>
    <row r="108" spans="2:12" x14ac:dyDescent="0.35">
      <c r="B108" s="54"/>
      <c r="C108" s="54">
        <v>1.48</v>
      </c>
      <c r="D108" s="54">
        <v>0.6</v>
      </c>
      <c r="E108" s="54">
        <f t="shared" si="33"/>
        <v>0.88800000000000001</v>
      </c>
      <c r="F108" s="54" t="s">
        <v>301</v>
      </c>
      <c r="G108" s="54"/>
      <c r="H108" s="54"/>
      <c r="I108" s="54">
        <f t="shared" si="34"/>
        <v>0</v>
      </c>
      <c r="J108" s="54"/>
      <c r="K108" s="54"/>
      <c r="L108" s="54">
        <f t="shared" si="35"/>
        <v>0</v>
      </c>
    </row>
    <row r="109" spans="2:12" x14ac:dyDescent="0.35">
      <c r="B109" s="54"/>
      <c r="C109" s="54">
        <v>2.0499999999999998</v>
      </c>
      <c r="D109" s="54">
        <v>0.6</v>
      </c>
      <c r="E109" s="54">
        <f t="shared" si="33"/>
        <v>1.2299999999999998</v>
      </c>
      <c r="F109" s="54" t="s">
        <v>302</v>
      </c>
      <c r="G109" s="54"/>
      <c r="H109" s="54"/>
      <c r="I109" s="54">
        <f t="shared" si="34"/>
        <v>0</v>
      </c>
      <c r="J109" s="54"/>
      <c r="K109" s="54"/>
      <c r="L109" s="54">
        <f t="shared" si="35"/>
        <v>0</v>
      </c>
    </row>
    <row r="110" spans="2:12" x14ac:dyDescent="0.35">
      <c r="B110" s="54"/>
      <c r="C110" s="54">
        <v>1.5</v>
      </c>
      <c r="D110" s="54">
        <v>1.05</v>
      </c>
      <c r="E110" s="54">
        <f t="shared" si="33"/>
        <v>1.5750000000000002</v>
      </c>
      <c r="F110" s="54" t="s">
        <v>302</v>
      </c>
      <c r="G110" s="54"/>
      <c r="H110" s="54"/>
      <c r="I110" s="54">
        <f t="shared" si="34"/>
        <v>0</v>
      </c>
      <c r="J110" s="54"/>
      <c r="K110" s="54"/>
      <c r="L110" s="54">
        <f t="shared" si="35"/>
        <v>0</v>
      </c>
    </row>
    <row r="111" spans="2:12" x14ac:dyDescent="0.35">
      <c r="B111" s="54" t="s">
        <v>305</v>
      </c>
      <c r="C111" s="54">
        <v>3.1</v>
      </c>
      <c r="D111" s="54">
        <v>2.1800000000000002</v>
      </c>
      <c r="E111" s="54">
        <f t="shared" si="33"/>
        <v>6.7580000000000009</v>
      </c>
      <c r="F111" s="54"/>
      <c r="G111" s="54"/>
      <c r="H111" s="54"/>
      <c r="I111" s="54">
        <f t="shared" si="34"/>
        <v>0</v>
      </c>
      <c r="J111" s="54"/>
      <c r="K111" s="54"/>
      <c r="L111" s="54">
        <f t="shared" si="35"/>
        <v>0</v>
      </c>
    </row>
    <row r="112" spans="2:12" x14ac:dyDescent="0.35">
      <c r="B112" s="54"/>
      <c r="C112" s="54">
        <v>3.25</v>
      </c>
      <c r="D112" s="54">
        <v>2.4</v>
      </c>
      <c r="E112" s="54">
        <f t="shared" si="33"/>
        <v>7.8</v>
      </c>
      <c r="F112" s="54" t="s">
        <v>301</v>
      </c>
      <c r="G112" s="54"/>
      <c r="H112" s="54"/>
      <c r="I112" s="54">
        <f t="shared" si="34"/>
        <v>0</v>
      </c>
      <c r="J112" s="54"/>
      <c r="K112" s="54"/>
      <c r="L112" s="54">
        <f t="shared" si="35"/>
        <v>0</v>
      </c>
    </row>
    <row r="113" spans="2:12" x14ac:dyDescent="0.35">
      <c r="B113" s="54"/>
      <c r="C113" s="54">
        <v>1.1299999999999999</v>
      </c>
      <c r="D113" s="54">
        <v>0.6</v>
      </c>
      <c r="E113" s="54">
        <f t="shared" si="33"/>
        <v>0.67799999999999994</v>
      </c>
      <c r="F113" s="54" t="s">
        <v>302</v>
      </c>
      <c r="G113" s="54"/>
      <c r="H113" s="54"/>
      <c r="I113" s="54">
        <f t="shared" si="34"/>
        <v>0</v>
      </c>
      <c r="J113" s="54"/>
      <c r="K113" s="54"/>
      <c r="L113" s="54">
        <f t="shared" si="35"/>
        <v>0</v>
      </c>
    </row>
    <row r="114" spans="2:12" x14ac:dyDescent="0.35">
      <c r="B114" s="54" t="s">
        <v>306</v>
      </c>
      <c r="C114" s="54">
        <v>3.1</v>
      </c>
      <c r="D114" s="54">
        <v>2.4</v>
      </c>
      <c r="E114" s="54">
        <f t="shared" si="33"/>
        <v>7.4399999999999995</v>
      </c>
      <c r="F114" s="54"/>
      <c r="G114" s="54"/>
      <c r="H114" s="54"/>
      <c r="I114" s="54">
        <f t="shared" si="34"/>
        <v>0</v>
      </c>
      <c r="J114" s="54"/>
      <c r="K114" s="54"/>
      <c r="L114" s="54">
        <f t="shared" si="35"/>
        <v>0</v>
      </c>
    </row>
    <row r="115" spans="2:12" x14ac:dyDescent="0.35">
      <c r="B115" s="54"/>
      <c r="C115" s="54">
        <v>2.7</v>
      </c>
      <c r="D115" s="54">
        <v>0.1</v>
      </c>
      <c r="E115" s="54">
        <f t="shared" si="33"/>
        <v>0.27</v>
      </c>
      <c r="F115" s="54" t="s">
        <v>307</v>
      </c>
      <c r="G115" s="54"/>
      <c r="H115" s="54"/>
      <c r="I115" s="54">
        <f t="shared" si="34"/>
        <v>0</v>
      </c>
      <c r="J115" s="54"/>
      <c r="K115" s="54"/>
      <c r="L115" s="54">
        <f t="shared" si="35"/>
        <v>0</v>
      </c>
    </row>
    <row r="116" spans="2:12" x14ac:dyDescent="0.35">
      <c r="B116" s="54"/>
      <c r="C116" s="54">
        <v>3.2</v>
      </c>
      <c r="D116" s="54">
        <v>1.1499999999999999</v>
      </c>
      <c r="E116" s="54">
        <f>C116*D116</f>
        <v>3.6799999999999997</v>
      </c>
      <c r="F116" s="54" t="s">
        <v>307</v>
      </c>
      <c r="G116" s="54"/>
      <c r="H116" s="54"/>
      <c r="I116" s="54">
        <f>G116*H116</f>
        <v>0</v>
      </c>
      <c r="J116" s="54"/>
      <c r="K116" s="54"/>
      <c r="L116" s="54">
        <f>J116*K116</f>
        <v>0</v>
      </c>
    </row>
    <row r="117" spans="2:12" x14ac:dyDescent="0.35">
      <c r="B117" s="54" t="s">
        <v>431</v>
      </c>
      <c r="C117" s="54">
        <v>1.53</v>
      </c>
      <c r="D117" s="54">
        <v>2.4300000000000002</v>
      </c>
      <c r="E117" s="54">
        <f>C117*D117</f>
        <v>3.7179000000000002</v>
      </c>
      <c r="F117" s="54" t="s">
        <v>307</v>
      </c>
      <c r="G117" s="54"/>
      <c r="H117" s="54"/>
      <c r="I117" s="54">
        <f>G117*H117</f>
        <v>0</v>
      </c>
      <c r="J117" s="54"/>
      <c r="K117" s="54"/>
      <c r="L117" s="54">
        <f>J117*K117</f>
        <v>0</v>
      </c>
    </row>
    <row r="118" spans="2:12" x14ac:dyDescent="0.35">
      <c r="B118" s="54" t="s">
        <v>308</v>
      </c>
      <c r="C118" s="54">
        <v>1.53</v>
      </c>
      <c r="D118" s="54">
        <v>2.4300000000000002</v>
      </c>
      <c r="E118" s="54">
        <f>C118*D118</f>
        <v>3.7179000000000002</v>
      </c>
      <c r="F118" s="54" t="s">
        <v>307</v>
      </c>
      <c r="G118" s="54"/>
      <c r="H118" s="54"/>
      <c r="I118" s="54">
        <f>G118*H118</f>
        <v>0</v>
      </c>
      <c r="J118" s="54"/>
      <c r="K118" s="54"/>
      <c r="L118" s="54">
        <f>J118*K118</f>
        <v>0</v>
      </c>
    </row>
    <row r="119" spans="2:12" x14ac:dyDescent="0.35">
      <c r="B119" s="54" t="s">
        <v>309</v>
      </c>
      <c r="C119" s="54">
        <v>1.53</v>
      </c>
      <c r="D119" s="54">
        <v>1.98</v>
      </c>
      <c r="E119" s="54">
        <f t="shared" ref="E119:E121" si="36">C119*D119</f>
        <v>3.0293999999999999</v>
      </c>
      <c r="F119" s="54" t="s">
        <v>307</v>
      </c>
      <c r="G119" s="54"/>
      <c r="H119" s="54"/>
      <c r="I119" s="54">
        <f t="shared" ref="I119:I121" si="37">G119*H119</f>
        <v>0</v>
      </c>
      <c r="J119" s="54"/>
      <c r="K119" s="54"/>
      <c r="L119" s="54">
        <f t="shared" ref="L119:L121" si="38">J119*K119</f>
        <v>0</v>
      </c>
    </row>
    <row r="120" spans="2:12" x14ac:dyDescent="0.35">
      <c r="B120" s="54"/>
      <c r="C120" s="54">
        <v>1.48</v>
      </c>
      <c r="D120" s="54">
        <v>0.45</v>
      </c>
      <c r="E120" s="54">
        <f t="shared" si="36"/>
        <v>0.66600000000000004</v>
      </c>
      <c r="F120" s="54" t="s">
        <v>307</v>
      </c>
      <c r="G120" s="54"/>
      <c r="H120" s="54"/>
      <c r="I120" s="54">
        <f t="shared" si="37"/>
        <v>0</v>
      </c>
      <c r="J120" s="54"/>
      <c r="K120" s="54"/>
      <c r="L120" s="54">
        <f t="shared" si="38"/>
        <v>0</v>
      </c>
    </row>
    <row r="121" spans="2:12" x14ac:dyDescent="0.35">
      <c r="B121" s="54" t="s">
        <v>310</v>
      </c>
      <c r="C121" s="54">
        <v>2.4300000000000002</v>
      </c>
      <c r="D121" s="54">
        <v>1.53</v>
      </c>
      <c r="E121" s="54">
        <f t="shared" si="36"/>
        <v>3.7179000000000002</v>
      </c>
      <c r="F121" s="54"/>
      <c r="G121" s="54"/>
      <c r="H121" s="54"/>
      <c r="I121" s="54">
        <f t="shared" si="37"/>
        <v>0</v>
      </c>
      <c r="J121" s="54"/>
      <c r="K121" s="54"/>
      <c r="L121" s="54">
        <f t="shared" si="38"/>
        <v>0</v>
      </c>
    </row>
    <row r="122" spans="2:12" x14ac:dyDescent="0.35">
      <c r="B122" s="54" t="s">
        <v>437</v>
      </c>
      <c r="C122" s="54">
        <v>1.78</v>
      </c>
      <c r="D122" s="54">
        <v>1.9</v>
      </c>
      <c r="E122" s="54">
        <f>C122*D122</f>
        <v>3.3819999999999997</v>
      </c>
      <c r="F122" s="54"/>
      <c r="G122" s="54"/>
      <c r="H122" s="54"/>
      <c r="I122" s="54">
        <f>G122*H122</f>
        <v>0</v>
      </c>
      <c r="J122" s="54"/>
      <c r="K122" s="54"/>
      <c r="L122" s="54">
        <f>J122*K122</f>
        <v>0</v>
      </c>
    </row>
    <row r="123" spans="2:12" x14ac:dyDescent="0.35">
      <c r="B123" s="54"/>
      <c r="C123" s="54">
        <v>2.4300000000000002</v>
      </c>
      <c r="D123" s="54">
        <v>1.2</v>
      </c>
      <c r="E123" s="54">
        <f>C123*D123</f>
        <v>2.9159999999999999</v>
      </c>
      <c r="F123" s="54"/>
      <c r="G123" s="54"/>
      <c r="H123" s="54"/>
      <c r="I123" s="54">
        <f>G123*H123</f>
        <v>0</v>
      </c>
      <c r="J123" s="54"/>
      <c r="K123" s="54"/>
      <c r="L123" s="54">
        <f>J123*K123</f>
        <v>0</v>
      </c>
    </row>
    <row r="124" spans="2:12" x14ac:dyDescent="0.35">
      <c r="B124" s="54" t="s">
        <v>432</v>
      </c>
      <c r="C124" s="54">
        <v>1.8</v>
      </c>
      <c r="D124" s="54">
        <v>1.05</v>
      </c>
      <c r="E124" s="54">
        <f t="shared" ref="E124:E127" si="39">C124*D124</f>
        <v>1.8900000000000001</v>
      </c>
      <c r="F124" s="54"/>
      <c r="G124" s="54"/>
      <c r="H124" s="54"/>
      <c r="I124" s="54">
        <f t="shared" ref="I124:I132" si="40">G124*H124</f>
        <v>0</v>
      </c>
      <c r="J124" s="54"/>
      <c r="K124" s="54"/>
      <c r="L124" s="54">
        <f t="shared" ref="L124:L132" si="41">J124*K124</f>
        <v>0</v>
      </c>
    </row>
    <row r="125" spans="2:12" x14ac:dyDescent="0.35">
      <c r="B125" s="54"/>
      <c r="C125" s="54"/>
      <c r="D125" s="54"/>
      <c r="E125" s="54">
        <f t="shared" si="39"/>
        <v>0</v>
      </c>
      <c r="F125" s="54"/>
      <c r="G125" s="54"/>
      <c r="H125" s="54"/>
      <c r="I125" s="54">
        <f t="shared" si="40"/>
        <v>0</v>
      </c>
      <c r="J125" s="54"/>
      <c r="K125" s="54"/>
      <c r="L125" s="54">
        <f t="shared" si="41"/>
        <v>0</v>
      </c>
    </row>
    <row r="126" spans="2:12" x14ac:dyDescent="0.35">
      <c r="B126" s="54"/>
      <c r="C126" s="54"/>
      <c r="D126" s="54"/>
      <c r="E126" s="54">
        <f t="shared" si="39"/>
        <v>0</v>
      </c>
      <c r="F126" s="54"/>
      <c r="G126" s="54"/>
      <c r="H126" s="54"/>
      <c r="I126" s="54">
        <f t="shared" si="40"/>
        <v>0</v>
      </c>
      <c r="J126" s="54"/>
      <c r="K126" s="54"/>
      <c r="L126" s="54">
        <f t="shared" si="41"/>
        <v>0</v>
      </c>
    </row>
    <row r="127" spans="2:12" x14ac:dyDescent="0.35">
      <c r="B127" s="54"/>
      <c r="C127" s="54"/>
      <c r="D127" s="54"/>
      <c r="E127" s="54">
        <f t="shared" si="39"/>
        <v>0</v>
      </c>
      <c r="F127" s="54"/>
      <c r="G127" s="54"/>
      <c r="H127" s="54"/>
      <c r="I127" s="54">
        <f t="shared" si="40"/>
        <v>0</v>
      </c>
      <c r="J127" s="54"/>
      <c r="K127" s="54"/>
      <c r="L127" s="54">
        <f t="shared" si="41"/>
        <v>0</v>
      </c>
    </row>
    <row r="128" spans="2:12" x14ac:dyDescent="0.35">
      <c r="B128" s="54"/>
      <c r="C128" s="54"/>
      <c r="D128" s="54"/>
      <c r="E128" s="54">
        <f>C128*D128</f>
        <v>0</v>
      </c>
      <c r="F128" s="54"/>
      <c r="G128" s="54"/>
      <c r="H128" s="54"/>
      <c r="I128" s="54">
        <f t="shared" si="40"/>
        <v>0</v>
      </c>
      <c r="J128" s="54"/>
      <c r="K128" s="54"/>
      <c r="L128" s="54">
        <f t="shared" si="41"/>
        <v>0</v>
      </c>
    </row>
    <row r="129" spans="2:12" x14ac:dyDescent="0.35">
      <c r="B129" s="54"/>
      <c r="C129" s="54"/>
      <c r="D129" s="54"/>
      <c r="E129" s="54">
        <f>C129*D129</f>
        <v>0</v>
      </c>
      <c r="F129" s="54"/>
      <c r="G129" s="54"/>
      <c r="H129" s="54"/>
      <c r="I129" s="54">
        <f t="shared" si="40"/>
        <v>0</v>
      </c>
      <c r="J129" s="54"/>
      <c r="K129" s="54"/>
      <c r="L129" s="54">
        <f t="shared" si="41"/>
        <v>0</v>
      </c>
    </row>
    <row r="130" spans="2:12" x14ac:dyDescent="0.35">
      <c r="B130" s="54"/>
      <c r="C130" s="54"/>
      <c r="D130" s="54"/>
      <c r="E130" s="54">
        <f t="shared" ref="E130:E132" si="42">C130*D130</f>
        <v>0</v>
      </c>
      <c r="F130" s="54"/>
      <c r="G130" s="54"/>
      <c r="H130" s="54"/>
      <c r="I130" s="54">
        <f t="shared" si="40"/>
        <v>0</v>
      </c>
      <c r="J130" s="54"/>
      <c r="K130" s="54"/>
      <c r="L130" s="54">
        <f t="shared" si="41"/>
        <v>0</v>
      </c>
    </row>
    <row r="131" spans="2:12" x14ac:dyDescent="0.35">
      <c r="B131" s="54"/>
      <c r="C131" s="54"/>
      <c r="D131" s="54"/>
      <c r="E131" s="54">
        <f t="shared" si="42"/>
        <v>0</v>
      </c>
      <c r="F131" s="54"/>
      <c r="G131" s="54"/>
      <c r="H131" s="54"/>
      <c r="I131" s="54">
        <f t="shared" si="40"/>
        <v>0</v>
      </c>
      <c r="J131" s="54"/>
      <c r="K131" s="54"/>
      <c r="L131" s="54">
        <f t="shared" si="41"/>
        <v>0</v>
      </c>
    </row>
    <row r="132" spans="2:12" x14ac:dyDescent="0.35">
      <c r="B132" s="54"/>
      <c r="C132" s="54"/>
      <c r="D132" s="54"/>
      <c r="E132" s="54">
        <f t="shared" si="42"/>
        <v>0</v>
      </c>
      <c r="F132" s="54"/>
      <c r="G132" s="54"/>
      <c r="H132" s="54"/>
      <c r="I132" s="54">
        <f t="shared" si="40"/>
        <v>0</v>
      </c>
      <c r="J132" s="54"/>
      <c r="K132" s="54"/>
      <c r="L132" s="54">
        <f t="shared" si="41"/>
        <v>0</v>
      </c>
    </row>
    <row r="133" spans="2:12" x14ac:dyDescent="0.35">
      <c r="B133" s="54" t="s">
        <v>143</v>
      </c>
      <c r="C133" s="54"/>
      <c r="D133" s="54">
        <f>E133*10.764</f>
        <v>1656.3707783999994</v>
      </c>
      <c r="E133" s="71">
        <f>SUM(E96:E132)</f>
        <v>153.88059999999996</v>
      </c>
      <c r="F133" s="54"/>
      <c r="G133" s="54"/>
      <c r="H133" s="54">
        <f>I133*10.764</f>
        <v>129.297168</v>
      </c>
      <c r="I133" s="70">
        <f>SUM(I96:I132)</f>
        <v>12.012</v>
      </c>
      <c r="J133" s="54"/>
      <c r="K133" s="54">
        <f>L133*10.764</f>
        <v>0</v>
      </c>
      <c r="L133" s="69">
        <f>SUM(L96:L132)</f>
        <v>0</v>
      </c>
    </row>
    <row r="135" spans="2:12" x14ac:dyDescent="0.35">
      <c r="D135" s="53">
        <f>D133+H133</f>
        <v>1785.6679463999994</v>
      </c>
      <c r="E135" s="53">
        <f>E133+I133</f>
        <v>165.89259999999996</v>
      </c>
    </row>
  </sheetData>
  <mergeCells count="20">
    <mergeCell ref="T49:V49"/>
    <mergeCell ref="W49:Y49"/>
    <mergeCell ref="C92:D92"/>
    <mergeCell ref="C94:E94"/>
    <mergeCell ref="G94:I94"/>
    <mergeCell ref="J94:L94"/>
    <mergeCell ref="C47:D47"/>
    <mergeCell ref="C49:E49"/>
    <mergeCell ref="G49:I49"/>
    <mergeCell ref="J49:L49"/>
    <mergeCell ref="P47:Q47"/>
    <mergeCell ref="P49:R49"/>
    <mergeCell ref="P2:Q2"/>
    <mergeCell ref="P4:R4"/>
    <mergeCell ref="T4:V4"/>
    <mergeCell ref="W4:Y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Research</vt:lpstr>
      <vt:lpstr>Remarks</vt:lpstr>
      <vt:lpstr>Wing A</vt:lpstr>
      <vt:lpstr>Wing B</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2025-09-26T13:08:52Z</cp:lastPrinted>
  <dcterms:created xsi:type="dcterms:W3CDTF">2019-07-16T09:29:46Z</dcterms:created>
  <dcterms:modified xsi:type="dcterms:W3CDTF">2025-09-30T06:34:02Z</dcterms:modified>
</cp:coreProperties>
</file>