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4-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6" i="1" l="1"/>
  <c r="L136" i="1"/>
  <c r="I136" i="1"/>
  <c r="I144" i="1"/>
  <c r="I146" i="1"/>
  <c r="O139" i="1"/>
  <c r="N139" i="1"/>
  <c r="E149" i="1"/>
  <c r="E143" i="1"/>
  <c r="D149" i="1" l="1"/>
  <c r="E148" i="1"/>
  <c r="D148" i="1"/>
  <c r="E147" i="1"/>
  <c r="D147" i="1"/>
  <c r="E145" i="1"/>
  <c r="D145" i="1"/>
  <c r="D143" i="1"/>
  <c r="F143" i="1" s="1"/>
  <c r="H143" i="1" s="1"/>
  <c r="I143" i="1" s="1"/>
  <c r="E142" i="1"/>
  <c r="D142" i="1"/>
  <c r="E141" i="1"/>
  <c r="D141" i="1"/>
  <c r="E140" i="1"/>
  <c r="D140" i="1"/>
  <c r="E139" i="1"/>
  <c r="D139" i="1"/>
  <c r="K138" i="1"/>
  <c r="A146" i="1"/>
  <c r="A147" i="1" s="1"/>
  <c r="A148" i="1" s="1"/>
  <c r="A149" i="1" s="1"/>
  <c r="J140" i="1"/>
  <c r="J139" i="1"/>
  <c r="A140" i="1"/>
  <c r="A141" i="1" s="1"/>
  <c r="A142" i="1" s="1"/>
  <c r="A143" i="1" s="1"/>
  <c r="E43" i="1"/>
  <c r="F148" i="1" l="1"/>
  <c r="H148" i="1" s="1"/>
  <c r="I148" i="1" s="1"/>
  <c r="F145" i="1"/>
  <c r="H145" i="1" s="1"/>
  <c r="I145" i="1" s="1"/>
  <c r="F142" i="1"/>
  <c r="H142" i="1" s="1"/>
  <c r="I142" i="1" s="1"/>
  <c r="C121" i="1"/>
  <c r="C122" i="1" s="1"/>
  <c r="C123" i="1" s="1"/>
  <c r="F141" i="1"/>
  <c r="H141" i="1" s="1"/>
  <c r="F147" i="1"/>
  <c r="H147" i="1" s="1"/>
  <c r="I147" i="1" s="1"/>
  <c r="F149" i="1"/>
  <c r="H149" i="1" s="1"/>
  <c r="I149" i="1" s="1"/>
  <c r="F139" i="1"/>
  <c r="F140" i="1"/>
  <c r="H140"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E6" i="7"/>
  <c r="F11" i="5"/>
  <c r="G11" i="5" s="1"/>
  <c r="G10" i="5"/>
  <c r="F10" i="5"/>
  <c r="F9" i="5"/>
  <c r="G9" i="5" s="1"/>
  <c r="F8" i="5"/>
  <c r="G8" i="5" s="1"/>
  <c r="F7" i="5"/>
  <c r="G7" i="5" s="1"/>
  <c r="F6" i="5"/>
  <c r="G6" i="5" s="1"/>
  <c r="F5" i="5"/>
  <c r="G5" i="5" s="1"/>
  <c r="G12" i="5" s="1"/>
  <c r="D178" i="1"/>
  <c r="B154" i="1"/>
  <c r="B153" i="1"/>
  <c r="F132" i="1"/>
  <c r="H132" i="1" s="1"/>
  <c r="F131" i="1"/>
  <c r="H131" i="1" s="1"/>
  <c r="F130" i="1"/>
  <c r="H130" i="1" s="1"/>
  <c r="A130" i="1"/>
  <c r="A131" i="1" s="1"/>
  <c r="A132" i="1" s="1"/>
  <c r="F129" i="1"/>
  <c r="H129" i="1" s="1"/>
  <c r="F113" i="1"/>
  <c r="C87" i="1"/>
  <c r="C73" i="1"/>
  <c r="B74" i="1" s="1"/>
  <c r="D67" i="1"/>
  <c r="G56" i="1"/>
  <c r="K54" i="1"/>
  <c r="G51" i="1"/>
  <c r="C51" i="1"/>
  <c r="C52" i="1" s="1"/>
  <c r="E44" i="1"/>
  <c r="E45" i="1" s="1"/>
  <c r="S33" i="1"/>
  <c r="E31" i="1"/>
  <c r="E28" i="1"/>
  <c r="E26" i="1"/>
  <c r="C16" i="1"/>
  <c r="I15" i="1"/>
  <c r="Z13" i="1"/>
  <c r="E8" i="1"/>
  <c r="E3" i="1"/>
  <c r="B164" i="1" s="1"/>
  <c r="H74" i="1"/>
  <c r="H88" i="1"/>
  <c r="M140" i="1" l="1"/>
  <c r="I140" i="1"/>
  <c r="K142" i="1"/>
  <c r="I141" i="1"/>
  <c r="K136" i="1"/>
  <c r="J141" i="1"/>
  <c r="M141" i="1"/>
  <c r="K141" i="1"/>
  <c r="E42" i="7"/>
  <c r="I42" i="7"/>
  <c r="H42" i="7" s="1"/>
  <c r="H139" i="1"/>
  <c r="I139" i="1" s="1"/>
  <c r="E121" i="1"/>
  <c r="E122" i="1" s="1"/>
  <c r="E123" i="1" s="1"/>
  <c r="J81" i="1"/>
  <c r="J82" i="1"/>
  <c r="J87" i="1"/>
  <c r="J89" i="1" s="1"/>
  <c r="D96" i="1"/>
  <c r="D95" i="1"/>
  <c r="D100" i="1"/>
  <c r="D94" i="1"/>
  <c r="J90" i="1"/>
  <c r="D99" i="1"/>
  <c r="J92" i="1"/>
  <c r="C91" i="1" s="1"/>
  <c r="D93" i="1"/>
  <c r="D98" i="1"/>
  <c r="J91" i="1"/>
  <c r="D97" i="1"/>
  <c r="D82" i="1"/>
  <c r="J76" i="1"/>
  <c r="D81" i="1"/>
  <c r="D86" i="1"/>
  <c r="D80" i="1"/>
  <c r="D85" i="1"/>
  <c r="D79" i="1"/>
  <c r="J78" i="1"/>
  <c r="C77" i="1" s="1"/>
  <c r="D84" i="1"/>
  <c r="D83" i="1"/>
  <c r="J77" i="1"/>
  <c r="J73" i="1"/>
  <c r="J75" i="1" s="1"/>
  <c r="E44" i="7"/>
  <c r="D42" i="7"/>
  <c r="D44" i="7" s="1"/>
  <c r="L54" i="1"/>
  <c r="B88" i="1"/>
  <c r="J83" i="1"/>
  <c r="J84" i="1"/>
  <c r="I52" i="1"/>
  <c r="J79" i="1"/>
  <c r="J80" i="1" s="1"/>
  <c r="J85" i="1" s="1"/>
  <c r="J86" i="1" s="1"/>
  <c r="C78" i="1" s="1"/>
  <c r="G121" i="1" l="1"/>
  <c r="G122" i="1" s="1"/>
  <c r="G123" i="1" s="1"/>
  <c r="M139" i="1"/>
  <c r="E77" i="1"/>
  <c r="D78" i="1"/>
  <c r="G77" i="1"/>
  <c r="D71" i="1" s="1"/>
  <c r="D77" i="1"/>
  <c r="D91" i="1"/>
  <c r="J96" i="1"/>
  <c r="J93" i="1"/>
  <c r="J94" i="1" s="1"/>
  <c r="J99" i="1" s="1"/>
  <c r="J100" i="1" s="1"/>
  <c r="C92" i="1" s="1"/>
  <c r="J98" i="1"/>
  <c r="J95" i="1"/>
  <c r="J97" i="1"/>
  <c r="I74" i="1" l="1"/>
  <c r="I75" i="1" s="1"/>
  <c r="J74" i="1"/>
  <c r="E91" i="1"/>
  <c r="D92" i="1"/>
  <c r="I88" i="1" s="1"/>
  <c r="J88" i="1"/>
  <c r="G91" i="1"/>
  <c r="D72" i="1"/>
  <c r="F72" i="1"/>
  <c r="I73" i="1" l="1"/>
  <c r="C75" i="1" s="1"/>
  <c r="I89" i="1"/>
  <c r="I87" i="1" s="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<sst xmlns="http://schemas.openxmlformats.org/spreadsheetml/2006/main" count="645" uniqueCount="401">
  <si>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</si>
  <si>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</si>
  <si>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</si>
  <si>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</si>
  <si>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</si>
  <si>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</si>
  <si>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</si>
  <si>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</si>
  <si>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</si>
  <si>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</si>
  <si>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</si>
  <si>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</si>
  <si>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</si>
  <si>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</si>
  <si>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</si>
  <si>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</si>
  <si>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</si>
  <si>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</si>
  <si>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</si>
  <si>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</si>
  <si>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</si>
  <si>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</si>
  <si>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</si>
  <si>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</si>
  <si>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</si>
  <si>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</si>
  <si>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</si>
  <si>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</si>
  <si>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</si>
  <si>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</si>
  <si>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</si>
  <si>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</si>
  <si>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</si>
  <si>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</si>
  <si>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</si>
  <si>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</si>
  <si>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</si>
  <si>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</si>
  <si>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</si>
  <si>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</si>
  <si>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</si>
  <si>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</si>
  <si>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</si>
  <si>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</si>
  <si>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</si>
  <si>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</si>
  <si>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</si>
  <si>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</si>
  <si>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</si>
  <si>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</si>
  <si>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</si>
  <si>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</si>
  <si>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</si>
  <si>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</si>
  <si>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</si>
  <si>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</si>
  <si>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</si>
  <si>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</si>
  <si>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</si>
  <si>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</si>
  <si>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</si>
  <si>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</si>
  <si>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</si>
  <si>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</si>
  <si>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</si>
  <si>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</si>
  <si>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</si>
  <si>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</si>
  <si>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</si>
  <si>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</si>
  <si>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</si>
  <si>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</si>
  <si>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</si>
  <si>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</si>
  <si>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</si>
  <si>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</si>
  <si>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</si>
  <si>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</si>
  <si>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</si>
  <si>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</si>
  <si>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</si>
  <si>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</si>
  <si>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</si>
  <si>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</si>
  <si>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</si>
  <si>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</si>
  <si>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</si>
  <si>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</si>
  <si>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</si>
  <si>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</si>
  <si>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</si>
  <si>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</si>
  <si>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</si>
  <si>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</si>
  <si>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</si>
  <si>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</si>
  <si>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</si>
  <si>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</si>
  <si>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</si>
  <si>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</si>
  <si>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</si>
  <si>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</si>
  <si>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</si>
  <si>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</si>
  <si>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</si>
  <si>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</si>
  <si>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</si>
  <si>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</si>
  <si>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</si>
  <si>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</si>
  <si>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</si>
  <si>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</si>
  <si>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</si>
  <si>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</si>
  <si>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</si>
  <si>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</si>
  <si>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</si>
  <si>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</si>
  <si>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</si>
  <si>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</si>
  <si>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</si>
  <si>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</si>
  <si>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</si>
  <si>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</si>
  <si>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</si>
  <si>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</si>
  <si>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</si>
  <si>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</si>
  <si>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</si>
  <si>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</si>
  <si>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</si>
  <si>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</si>
  <si>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</si>
  <si>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</si>
  <si>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</si>
  <si>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</si>
  <si>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</si>
  <si>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</si>
  <si>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</si>
  <si>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</si>
  <si>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</si>
  <si>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</si>
  <si>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</si>
  <si>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</si>
  <si>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</si>
  <si>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</si>
  <si>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</si>
  <si>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</si>
  <si>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</si>
  <si>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</si>
  <si>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</si>
  <si>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</si>
  <si>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</si>
  <si>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</si>
  <si>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</si>
  <si>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</si>
  <si>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</si>
  <si>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</si>
  <si>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</si>
  <si>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</si>
  <si>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</si>
  <si>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</si>
  <si>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</si>
  <si>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</si>
  <si>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</si>
  <si>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</si>
  <si>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</si>
  <si>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</si>
  <si>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</si>
  <si>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</si>
  <si>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</si>
  <si>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</si>
  <si>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</si>
  <si>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</si>
  <si>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</si>
  <si>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</si>
  <si>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</si>
  <si>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</si>
  <si>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</si>
  <si>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</si>
  <si>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</si>
  <si>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</si>
  <si>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</si>
  <si>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</si>
  <si>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</si>
  <si>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</si>
  <si>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</si>
  <si>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</si>
  <si>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</si>
  <si>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</si>
  <si>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</si>
  <si>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</si>
  <si>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</si>
  <si>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</si>
  <si>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</si>
  <si>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</si>
  <si>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</si>
  <si>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</si>
  <si>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</si>
  <si>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</si>
  <si>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</si>
  <si>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</si>
  <si>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</si>
  <si>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</si>
  <si>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</si>
  <si>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</si>
  <si>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</si>
  <si>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</si>
  <si>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</si>
  <si>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</si>
  <si>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</si>
  <si>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</si>
  <si>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</si>
  <si>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</si>
  <si>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</si>
  <si>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</si>
  <si>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</si>
  <si>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</si>
  <si>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</si>
  <si>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</si>
  <si>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</si>
  <si>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</si>
  <si>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</si>
  <si>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</si>
  <si>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</si>
  <si>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</si>
  <si>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</si>
  <si>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</si>
  <si>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</si>
  <si>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</si>
  <si>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</si>
  <si>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</si>
  <si>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</si>
  <si>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</si>
  <si>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</si>
  <si>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</si>
  <si>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</si>
  <si>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</si>
  <si>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</si>
  <si>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</si>
  <si>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</si>
  <si>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</si>
  <si>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</si>
  <si>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</si>
  <si>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</si>
  <si>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</si>
  <si>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</si>
  <si>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</si>
  <si>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</si>
  <si>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</si>
  <si>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</si>
  <si>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</si>
  <si>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</si>
  <si>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</si>
  <si>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</si>
  <si>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</si>
  <si>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</si>
  <si>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</si>
  <si>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</si>
  <si>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</si>
  <si>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</si>
  <si>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</si>
  <si>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</si>
  <si>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</si>
  <si>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</si>
  <si>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</si>
  <si>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</si>
  <si>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</si>
  <si>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</si>
  <si>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</si>
  <si>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</si>
  <si>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</si>
  <si>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</si>
  <si>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</si>
  <si>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</si>
  <si>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</si>
  <si>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</si>
  <si>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</si>
  <si>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</si>
  <si>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</si>
  <si>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</si>
  <si>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</si>
  <si>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</si>
  <si>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</si>
  <si>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</si>
  <si>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</si>
  <si>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</si>
  <si>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</si>
  <si>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</si>
  <si>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</si>
  <si>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</si>
  <si>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</si>
  <si>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</si>
  <si>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</si>
  <si>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</si>
  <si>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</si>
  <si>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</si>
  <si>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</si>
  <si>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</si>
  <si>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</si>
  <si>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</si>
  <si>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</si>
  <si>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</si>
  <si>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</si>
  <si>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</si>
  <si>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</si>
  <si>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</si>
  <si>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</si>
  <si>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</si>
  <si>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</si>
  <si>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</si>
  <si>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</si>
  <si>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</si>
  <si>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</si>
  <si>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</si>
  <si>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</si>
  <si>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</si>
  <si>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</si>
  <si>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</si>
  <si>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</si>
  <si>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</si>
  <si>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</si>
  <si>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</si>
  <si>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</si>
  <si>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</si>
  <si>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</si>
  <si>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</si>
  <si>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</si>
  <si>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</si>
  <si>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</si>
  <si>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</si>
  <si>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</si>
  <si>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</si>
  <si>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</si>
  <si>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</si>
  <si>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</si>
  <si>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</si>
  <si>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</si>
  <si>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</si>
  <si>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</si>
  <si>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</si>
  <si>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</si>
  <si>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</si>
  <si>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</si>
  <si>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</si>
  <si>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</si>
  <si>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</si>
  <si>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</si>
  <si>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</si>
  <si>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</si>
  <si>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</si>
  <si>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t>
  </si>
  <si>
    <t>Dwarka</t>
  </si>
  <si>
    <t>P51700054442</t>
  </si>
  <si>
    <t>Survey No</t>
  </si>
  <si>
    <t>133/B, Plot No. C</t>
  </si>
  <si>
    <t>Temghar</t>
  </si>
  <si>
    <t>JB Road</t>
  </si>
  <si>
    <t>Bhiwandi East</t>
  </si>
  <si>
    <t>Padmadisha Paradise</t>
  </si>
  <si>
    <t>Other Plot</t>
  </si>
  <si>
    <t>18 M W Road</t>
  </si>
  <si>
    <t>Open Plot</t>
  </si>
  <si>
    <t>19.2721651,73.0793400</t>
  </si>
  <si>
    <t>https://maps.app.goo.gl/g7WvQBDEdiq2aXJQ9</t>
  </si>
  <si>
    <t>BNMC/B/2024/APL/00224</t>
  </si>
  <si>
    <t>Building A = G + 1st to 26th Floor</t>
  </si>
  <si>
    <t xml:space="preserve">Building A = G + 1st to 26th Floor
</t>
  </si>
  <si>
    <t>As per RERA - 31/01/2028</t>
  </si>
  <si>
    <t>Open Sky Terrace, Senior Citizen Zone, Fitness Gym, Children Play Area, Multipurpose Area, etc.</t>
  </si>
  <si>
    <r>
      <t xml:space="preserve">Proposed Amenities :                                                                                                                                                                                                                         </t>
    </r>
    <r>
      <rPr>
        <b/>
        <sz val="12"/>
        <rFont val="Times New Roman"/>
        <family val="1"/>
      </rPr>
      <t xml:space="preserve">                                               </t>
    </r>
  </si>
  <si>
    <t xml:space="preserve">Details of Residential Building   </t>
  </si>
  <si>
    <t>Ground Floor For Drivers Room, Electric Room, Entrance Lobby &amp; Parking</t>
  </si>
  <si>
    <t>2BHK</t>
  </si>
  <si>
    <t>1BHK</t>
  </si>
  <si>
    <t>7th, 12th, 17th &amp; 22nd Floor (Part Refuge Area)</t>
  </si>
  <si>
    <t>Refuge Area</t>
  </si>
  <si>
    <t>Flats - 121</t>
  </si>
  <si>
    <r>
      <t xml:space="preserve">Shop No.
</t>
    </r>
    <r>
      <rPr>
        <b/>
        <sz val="11"/>
        <rFont val="Times New Roman"/>
        <family val="1"/>
      </rPr>
      <t>(Approved Plan)</t>
    </r>
  </si>
  <si>
    <r>
      <t xml:space="preserve">Flat No.
</t>
    </r>
    <r>
      <rPr>
        <b/>
        <sz val="11"/>
        <rFont val="Times New Roman"/>
        <family val="1"/>
      </rPr>
      <t>(Approved Plan)</t>
    </r>
  </si>
  <si>
    <t>6.6 KM from Bhiwandi Railway Station</t>
  </si>
  <si>
    <t xml:space="preserve">M/s. Infini Developers
</t>
  </si>
  <si>
    <t>RERA Name &amp; No.</t>
  </si>
  <si>
    <t>Internal Road /Other Plot</t>
  </si>
  <si>
    <t>Approved Builtup Area of Building A (Sq.Mt)</t>
  </si>
  <si>
    <t>1st to 6th, 8th to 11th, 13th to 16th, 18th to 21st &amp; 23rd to 25th Floor For Residential</t>
  </si>
  <si>
    <t>Balcony Area</t>
  </si>
  <si>
    <t>We considered Gross carpet area = Net carpet + Enclose balcony + Balcony Area</t>
  </si>
  <si>
    <t>Plot C (Building A)</t>
  </si>
  <si>
    <t>Building A</t>
  </si>
  <si>
    <t>Approved Plans, CC, Sale Plans &amp; Cost Sheet</t>
  </si>
  <si>
    <t xml:space="preserve">(Dwarka)
A Bldg of C Plot
</t>
  </si>
  <si>
    <t>26th Floor For Gym, Multipurpose Hall, Part Terrace &amp; Refuge Area</t>
  </si>
  <si>
    <t>High tension lines are passing nearby project Dwarka. Please check for Power Noc.</t>
  </si>
  <si>
    <t>MFS/51/2024/484</t>
  </si>
  <si>
    <t>Gr/St + 1st to 26th Floor
Total Height = 84.15 Mtr.</t>
  </si>
  <si>
    <t>We have updated Fire NOC (On 30/04/2025).</t>
  </si>
  <si>
    <t>Pooja Kawale</t>
  </si>
  <si>
    <t>Sachin Sawant</t>
  </si>
  <si>
    <t>Construction work is in process at the time of Visit (Labour found).</t>
  </si>
  <si>
    <t>Ms. Priya : 7045731001 &amp; Ms. Ruchi : 9136143602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</si>
</sst>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5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4" fillId="2" borderId="0" xfId="1" applyFont="1" applyFill="1"/>
    <xf numFmtId="14" fontId="11" fillId="0" borderId="0" xfId="1" applyNumberFormat="1" applyFont="1"/>
    <xf numFmtId="0" fontId="0" fillId="0" borderId="1"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23" fillId="2" borderId="15" xfId="0" applyFont="1" applyFill="1" applyBorder="1"/>
    <xf numFmtId="0" fontId="24" fillId="0" borderId="9" xfId="0" applyFont="1" applyBorder="1"/>
    <xf numFmtId="0" fontId="5" fillId="0" borderId="1" xfId="1" applyFont="1" applyBorder="1" applyAlignment="1" applyProtection="1">
      <alignment horizontal="left" vertical="top"/>
      <protection locked="0"/>
    </xf>
    <xf numFmtId="0" fontId="6" fillId="0" borderId="0" xfId="1" applyFont="1" applyAlignment="1">
      <alignment horizontal="center" vertical="center"/>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top" wrapText="1"/>
      <protection locked="0"/>
    </xf>
    <xf numFmtId="1" fontId="12" fillId="0" borderId="21" xfId="1" applyNumberFormat="1" applyFont="1" applyBorder="1" applyAlignment="1" applyProtection="1">
      <alignment horizontal="center" vertical="top" wrapText="1"/>
      <protection locked="0"/>
    </xf>
    <xf numFmtId="1" fontId="12" fillId="0" borderId="9"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vertical="top" wrapText="1"/>
      <protection locked="0"/>
    </xf>
    <xf numFmtId="0" fontId="10"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8" xfId="1" applyFont="1" applyBorder="1" applyAlignment="1" applyProtection="1">
      <alignment horizontal="center" vertical="top" wrapText="1"/>
      <protection locked="0"/>
    </xf>
    <xf numFmtId="0" fontId="11" fillId="0" borderId="9" xfId="1" applyFont="1" applyBorder="1" applyAlignment="1" applyProtection="1">
      <alignment horizontal="center" vertical="top" wrapText="1"/>
      <protection locked="0"/>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0" fontId="12" fillId="0" borderId="5" xfId="1" applyFont="1" applyBorder="1" applyAlignment="1" applyProtection="1">
      <alignment horizontal="left"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12" fillId="0" borderId="16" xfId="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40</xdr:row>
      <xdr:rowOff>124669</xdr:rowOff>
    </xdr:from>
    <xdr:to>
      <xdr:col>12</xdr:col>
      <xdr:colOff>361359</xdr:colOff>
      <xdr:row>49</xdr:row>
      <xdr:rowOff>37789</xdr:rowOff>
    </xdr:to>
    <xdr:pic>
      <xdr:nvPicPr>
        <xdr:cNvPr id="2" name="Picture 1"/>
        <xdr:cNvPicPr>
          <a:picLocks noChangeAspect="1"/>
        </xdr:cNvPicPr>
      </xdr:nvPicPr>
      <xdr:blipFill>
        <a:blip xmlns:r="http://schemas.openxmlformats.org/officeDocument/2006/relationships" r:embed="rId1"/>
        <a:stretch>
          <a:fillRect/>
        </a:stretch>
      </xdr:blipFill>
      <xdr:spPr>
        <a:xfrm>
          <a:off x="6572250" y="9344869"/>
          <a:ext cx="3704634" cy="1941945"/>
        </a:xfrm>
        <a:prstGeom prst="rect">
          <a:avLst/>
        </a:prstGeom>
      </xdr:spPr>
    </xdr:pic>
    <xdr:clientData/>
  </xdr:twoCellAnchor>
  <xdr:twoCellAnchor editAs="oneCell">
    <xdr:from>
      <xdr:col>8</xdr:col>
      <xdr:colOff>828675</xdr:colOff>
      <xdr:row>48</xdr:row>
      <xdr:rowOff>352425</xdr:rowOff>
    </xdr:from>
    <xdr:to>
      <xdr:col>17</xdr:col>
      <xdr:colOff>122984</xdr:colOff>
      <xdr:row>59</xdr:row>
      <xdr:rowOff>91877</xdr:rowOff>
    </xdr:to>
    <xdr:pic>
      <xdr:nvPicPr>
        <xdr:cNvPr id="3" name="Picture 2"/>
        <xdr:cNvPicPr>
          <a:picLocks noChangeAspect="1"/>
        </xdr:cNvPicPr>
      </xdr:nvPicPr>
      <xdr:blipFill>
        <a:blip xmlns:r="http://schemas.openxmlformats.org/officeDocument/2006/relationships" r:embed="rId2"/>
        <a:stretch>
          <a:fillRect/>
        </a:stretch>
      </xdr:blipFill>
      <xdr:spPr>
        <a:xfrm>
          <a:off x="7143750" y="11020425"/>
          <a:ext cx="6723809" cy="1580952"/>
        </a:xfrm>
        <a:prstGeom prst="rect">
          <a:avLst/>
        </a:prstGeom>
      </xdr:spPr>
    </xdr:pic>
    <xdr:clientData/>
  </xdr:twoCellAnchor>
  <xdr:twoCellAnchor>
    <xdr:from>
      <xdr:col>8</xdr:col>
      <xdr:colOff>52269</xdr:colOff>
      <xdr:row>111</xdr:row>
      <xdr:rowOff>142875</xdr:rowOff>
    </xdr:from>
    <xdr:to>
      <xdr:col>14</xdr:col>
      <xdr:colOff>437020</xdr:colOff>
      <xdr:row>133</xdr:row>
      <xdr:rowOff>152116</xdr:rowOff>
    </xdr:to>
    <xdr:grpSp>
      <xdr:nvGrpSpPr>
        <xdr:cNvPr id="6" name="Group 5"/>
        <xdr:cNvGrpSpPr/>
      </xdr:nvGrpSpPr>
      <xdr:grpSpPr>
        <a:xfrm>
          <a:off x="6675319" y="18881725"/>
          <a:ext cx="5858451" cy="1584041"/>
          <a:chOff x="6481644" y="20116800"/>
          <a:chExt cx="5613976" cy="1409416"/>
        </a:xfrm>
      </xdr:grpSpPr>
      <xdr:pic>
        <xdr:nvPicPr>
          <xdr:cNvPr id="4" name="Picture 3"/>
          <xdr:cNvPicPr>
            <a:picLocks noChangeAspect="1"/>
          </xdr:cNvPicPr>
        </xdr:nvPicPr>
        <xdr:blipFill>
          <a:blip xmlns:r="http://schemas.openxmlformats.org/officeDocument/2006/relationships" r:embed="rId3"/>
          <a:stretch>
            <a:fillRect/>
          </a:stretch>
        </xdr:blipFill>
        <xdr:spPr>
          <a:xfrm>
            <a:off x="6481644" y="20116800"/>
            <a:ext cx="5613976" cy="1409416"/>
          </a:xfrm>
          <a:prstGeom prst="rect">
            <a:avLst/>
          </a:prstGeom>
        </xdr:spPr>
      </xdr:pic>
      <xdr:sp macro="" textlink="">
        <xdr:nvSpPr>
          <xdr:cNvPr id="5" name="Rectangle 4"/>
          <xdr:cNvSpPr/>
        </xdr:nvSpPr>
        <xdr:spPr>
          <a:xfrm>
            <a:off x="11115675" y="20335875"/>
            <a:ext cx="952500" cy="11239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346363</xdr:colOff>
      <xdr:row>222</xdr:row>
      <xdr:rowOff>17317</xdr:rowOff>
    </xdr:from>
    <xdr:to>
      <xdr:col>6</xdr:col>
      <xdr:colOff>398318</xdr:colOff>
      <xdr:row>241</xdr:row>
      <xdr:rowOff>25054</xdr:rowOff>
    </xdr:to>
    <xdr:pic>
      <xdr:nvPicPr>
        <xdr:cNvPr id="14" name="Picture 13"/>
        <xdr:cNvPicPr>
          <a:picLocks noChangeAspect="1"/>
        </xdr:cNvPicPr>
      </xdr:nvPicPr>
      <xdr:blipFill>
        <a:blip xmlns:r="http://schemas.openxmlformats.org/officeDocument/2006/relationships" r:embed="rId4"/>
        <a:stretch>
          <a:fillRect/>
        </a:stretch>
      </xdr:blipFill>
      <xdr:spPr>
        <a:xfrm>
          <a:off x="1108363" y="41078726"/>
          <a:ext cx="4139046" cy="3956283"/>
        </a:xfrm>
        <a:prstGeom prst="rect">
          <a:avLst/>
        </a:prstGeom>
        <a:ln>
          <a:solidFill>
            <a:schemeClr val="tx1"/>
          </a:solidFill>
        </a:ln>
      </xdr:spPr>
    </xdr:pic>
    <xdr:clientData/>
  </xdr:twoCellAnchor>
  <xdr:twoCellAnchor editAs="oneCell">
    <xdr:from>
      <xdr:col>0</xdr:col>
      <xdr:colOff>742859</xdr:colOff>
      <xdr:row>265</xdr:row>
      <xdr:rowOff>177653</xdr:rowOff>
    </xdr:from>
    <xdr:to>
      <xdr:col>7</xdr:col>
      <xdr:colOff>38100</xdr:colOff>
      <xdr:row>283</xdr:row>
      <xdr:rowOff>178007</xdr:rowOff>
    </xdr:to>
    <xdr:pic>
      <xdr:nvPicPr>
        <xdr:cNvPr id="15" name="Picture 14"/>
        <xdr:cNvPicPr>
          <a:picLocks noChangeAspect="1"/>
        </xdr:cNvPicPr>
      </xdr:nvPicPr>
      <xdr:blipFill>
        <a:blip xmlns:r="http://schemas.openxmlformats.org/officeDocument/2006/relationships" r:embed="rId5"/>
        <a:stretch>
          <a:fillRect/>
        </a:stretch>
      </xdr:blipFill>
      <xdr:spPr>
        <a:xfrm>
          <a:off x="742859" y="48202703"/>
          <a:ext cx="4876891" cy="3600804"/>
        </a:xfrm>
        <a:prstGeom prst="rect">
          <a:avLst/>
        </a:prstGeom>
        <a:ln>
          <a:solidFill>
            <a:schemeClr val="tx1"/>
          </a:solidFill>
        </a:ln>
      </xdr:spPr>
    </xdr:pic>
    <xdr:clientData/>
  </xdr:twoCellAnchor>
  <xdr:twoCellAnchor editAs="oneCell">
    <xdr:from>
      <xdr:col>8</xdr:col>
      <xdr:colOff>200025</xdr:colOff>
      <xdr:row>15</xdr:row>
      <xdr:rowOff>235602</xdr:rowOff>
    </xdr:from>
    <xdr:to>
      <xdr:col>13</xdr:col>
      <xdr:colOff>333832</xdr:colOff>
      <xdr:row>21</xdr:row>
      <xdr:rowOff>350517</xdr:rowOff>
    </xdr:to>
    <xdr:pic>
      <xdr:nvPicPr>
        <xdr:cNvPr id="29" name="Picture 28"/>
        <xdr:cNvPicPr>
          <a:picLocks noChangeAspect="1"/>
        </xdr:cNvPicPr>
      </xdr:nvPicPr>
      <xdr:blipFill>
        <a:blip xmlns:r="http://schemas.openxmlformats.org/officeDocument/2006/relationships" r:embed="rId6"/>
        <a:stretch>
          <a:fillRect/>
        </a:stretch>
      </xdr:blipFill>
      <xdr:spPr>
        <a:xfrm>
          <a:off x="6515100" y="3874152"/>
          <a:ext cx="4524832" cy="1543665"/>
        </a:xfrm>
        <a:prstGeom prst="rect">
          <a:avLst/>
        </a:prstGeom>
      </xdr:spPr>
    </xdr:pic>
    <xdr:clientData/>
  </xdr:twoCellAnchor>
  <xdr:twoCellAnchor>
    <xdr:from>
      <xdr:col>0</xdr:col>
      <xdr:colOff>121227</xdr:colOff>
      <xdr:row>241</xdr:row>
      <xdr:rowOff>137679</xdr:rowOff>
    </xdr:from>
    <xdr:to>
      <xdr:col>7</xdr:col>
      <xdr:colOff>473652</xdr:colOff>
      <xdr:row>263</xdr:row>
      <xdr:rowOff>0</xdr:rowOff>
    </xdr:to>
    <xdr:grpSp>
      <xdr:nvGrpSpPr>
        <xdr:cNvPr id="37" name="Group 36"/>
        <xdr:cNvGrpSpPr/>
      </xdr:nvGrpSpPr>
      <xdr:grpSpPr>
        <a:xfrm>
          <a:off x="121227" y="41399979"/>
          <a:ext cx="6207125" cy="4193021"/>
          <a:chOff x="121227" y="43122643"/>
          <a:chExt cx="5931354" cy="4528457"/>
        </a:xfrm>
      </xdr:grpSpPr>
      <xdr:grpSp>
        <xdr:nvGrpSpPr>
          <xdr:cNvPr id="7" name="Group 6"/>
          <xdr:cNvGrpSpPr/>
        </xdr:nvGrpSpPr>
        <xdr:grpSpPr>
          <a:xfrm>
            <a:off x="121227" y="43122643"/>
            <a:ext cx="5931354" cy="4528457"/>
            <a:chOff x="-343807" y="717776"/>
            <a:chExt cx="6210300" cy="4486275"/>
          </a:xfrm>
        </xdr:grpSpPr>
        <xdr:pic>
          <xdr:nvPicPr>
            <xdr:cNvPr id="8" name="Picture 7"/>
            <xdr:cNvPicPr>
              <a:picLocks noChangeAspect="1"/>
            </xdr:cNvPicPr>
          </xdr:nvPicPr>
          <xdr:blipFill>
            <a:blip xmlns:r="http://schemas.openxmlformats.org/officeDocument/2006/relationships" r:embed="rId7"/>
            <a:stretch>
              <a:fillRect/>
            </a:stretch>
          </xdr:blipFill>
          <xdr:spPr>
            <a:xfrm>
              <a:off x="-343807" y="717776"/>
              <a:ext cx="6210300" cy="4486275"/>
            </a:xfrm>
            <a:prstGeom prst="rect">
              <a:avLst/>
            </a:prstGeom>
            <a:ln>
              <a:solidFill>
                <a:schemeClr val="tx1"/>
              </a:solidFill>
            </a:ln>
          </xdr:spPr>
        </xdr:pic>
        <xdr:sp macro="" textlink="">
          <xdr:nvSpPr>
            <xdr:cNvPr id="9" name="Rectangle 8"/>
            <xdr:cNvSpPr/>
          </xdr:nvSpPr>
          <xdr:spPr>
            <a:xfrm>
              <a:off x="1654627" y="2177142"/>
              <a:ext cx="1770743" cy="1088571"/>
            </a:xfrm>
            <a:prstGeom prst="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10" name="Straight Connector 9"/>
            <xdr:cNvCxnSpPr/>
          </xdr:nvCxnSpPr>
          <xdr:spPr>
            <a:xfrm flipV="1">
              <a:off x="693016" y="3256086"/>
              <a:ext cx="4354286" cy="682174"/>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flipV="1">
              <a:off x="653143" y="3552708"/>
              <a:ext cx="4542971" cy="801576"/>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2" name="TextBox 9"/>
            <xdr:cNvSpPr txBox="1"/>
          </xdr:nvSpPr>
          <xdr:spPr>
            <a:xfrm>
              <a:off x="1969987" y="2239158"/>
              <a:ext cx="15060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B050"/>
                  </a:solidFill>
                  <a:latin typeface="Times New Roman" panose="02020603050405020304" pitchFamily="18" charset="0"/>
                  <a:cs typeface="Times New Roman" panose="02020603050405020304" pitchFamily="18" charset="0"/>
                </a:rPr>
                <a:t>Dwarka </a:t>
              </a:r>
              <a:endParaRPr lang="en-IN" b="1">
                <a:solidFill>
                  <a:srgbClr val="00B050"/>
                </a:solidFill>
                <a:latin typeface="Times New Roman" panose="02020603050405020304" pitchFamily="18" charset="0"/>
                <a:cs typeface="Times New Roman" panose="02020603050405020304" pitchFamily="18" charset="0"/>
              </a:endParaRPr>
            </a:p>
          </xdr:txBody>
        </xdr:sp>
        <xdr:sp macro="" textlink="">
          <xdr:nvSpPr>
            <xdr:cNvPr id="13" name="TextBox 15"/>
            <xdr:cNvSpPr txBox="1"/>
          </xdr:nvSpPr>
          <xdr:spPr>
            <a:xfrm rot="21130318">
              <a:off x="2002076" y="3627835"/>
              <a:ext cx="2035307" cy="3020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latin typeface="Times New Roman" panose="02020603050405020304" pitchFamily="18" charset="0"/>
                  <a:cs typeface="Times New Roman" panose="02020603050405020304" pitchFamily="18" charset="0"/>
                </a:rPr>
                <a:t>High Tension Line</a:t>
              </a:r>
              <a:endParaRPr lang="en-IN" sz="1400" b="1">
                <a:solidFill>
                  <a:srgbClr val="FF0000"/>
                </a:solidFill>
                <a:latin typeface="Times New Roman" panose="02020603050405020304" pitchFamily="18" charset="0"/>
                <a:cs typeface="Times New Roman" panose="02020603050405020304" pitchFamily="18" charset="0"/>
              </a:endParaRPr>
            </a:p>
          </xdr:txBody>
        </xdr:sp>
      </xdr:grpSp>
      <xdr:grpSp>
        <xdr:nvGrpSpPr>
          <xdr:cNvPr id="34" name="Group 33"/>
          <xdr:cNvGrpSpPr/>
        </xdr:nvGrpSpPr>
        <xdr:grpSpPr>
          <a:xfrm rot="3835099">
            <a:off x="3973285" y="43270712"/>
            <a:ext cx="497545" cy="655384"/>
            <a:chOff x="141426" y="-157280"/>
            <a:chExt cx="474784" cy="1083379"/>
          </a:xfrm>
        </xdr:grpSpPr>
        <xdr:sp macro="" textlink="">
          <xdr:nvSpPr>
            <xdr:cNvPr id="35" name="Right Arrow 34"/>
            <xdr:cNvSpPr/>
          </xdr:nvSpPr>
          <xdr:spPr>
            <a:xfrm rot="16200000">
              <a:off x="215550" y="630633"/>
              <a:ext cx="386861" cy="204072"/>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r"/>
              <a:endParaRPr lang="en-IN" sz="1400"/>
            </a:p>
          </xdr:txBody>
        </xdr:sp>
        <xdr:sp macro="" textlink="">
          <xdr:nvSpPr>
            <xdr:cNvPr id="36" name="TextBox 7"/>
            <xdr:cNvSpPr txBox="1"/>
          </xdr:nvSpPr>
          <xdr:spPr>
            <a:xfrm>
              <a:off x="141426" y="-157280"/>
              <a:ext cx="474784" cy="7631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a:latin typeface="Times New Roman" panose="02020603050405020304" pitchFamily="18" charset="0"/>
                  <a:cs typeface="Times New Roman" panose="02020603050405020304" pitchFamily="18" charset="0"/>
                </a:rPr>
                <a:t>N</a:t>
              </a:r>
              <a:endParaRPr lang="en-IN" sz="2400" b="1">
                <a:latin typeface="Times New Roman" panose="02020603050405020304" pitchFamily="18" charset="0"/>
                <a:cs typeface="Times New Roman" panose="02020603050405020304" pitchFamily="18" charset="0"/>
              </a:endParaRPr>
            </a:p>
          </xdr:txBody>
        </xdr:sp>
      </xdr:grpSp>
    </xdr:grpSp>
    <xdr:clientData/>
  </xdr:twoCellAnchor>
  <xdr:twoCellAnchor>
    <xdr:from>
      <xdr:col>0</xdr:col>
      <xdr:colOff>410778</xdr:colOff>
      <xdr:row>284</xdr:row>
      <xdr:rowOff>78177</xdr:rowOff>
    </xdr:from>
    <xdr:to>
      <xdr:col>7</xdr:col>
      <xdr:colOff>682494</xdr:colOff>
      <xdr:row>308</xdr:row>
      <xdr:rowOff>4995</xdr:rowOff>
    </xdr:to>
    <xdr:grpSp>
      <xdr:nvGrpSpPr>
        <xdr:cNvPr id="80" name="Group 79"/>
        <xdr:cNvGrpSpPr/>
      </xdr:nvGrpSpPr>
      <xdr:grpSpPr>
        <a:xfrm>
          <a:off x="410778" y="49805027"/>
          <a:ext cx="6126416" cy="4651218"/>
          <a:chOff x="7260707" y="43881566"/>
          <a:chExt cx="5847228" cy="4965969"/>
        </a:xfrm>
      </xdr:grpSpPr>
      <xdr:grpSp>
        <xdr:nvGrpSpPr>
          <xdr:cNvPr id="81" name="Group 80"/>
          <xdr:cNvGrpSpPr/>
        </xdr:nvGrpSpPr>
        <xdr:grpSpPr>
          <a:xfrm rot="3830297">
            <a:off x="7701336" y="43440937"/>
            <a:ext cx="4965969" cy="5847228"/>
            <a:chOff x="7141012" y="42415305"/>
            <a:chExt cx="4965969" cy="5847228"/>
          </a:xfrm>
        </xdr:grpSpPr>
        <xdr:grpSp>
          <xdr:nvGrpSpPr>
            <xdr:cNvPr id="85" name="Group 84"/>
            <xdr:cNvGrpSpPr/>
          </xdr:nvGrpSpPr>
          <xdr:grpSpPr>
            <a:xfrm rot="17683239">
              <a:off x="6407364" y="43148953"/>
              <a:ext cx="5847228" cy="4379931"/>
              <a:chOff x="190502" y="50746243"/>
              <a:chExt cx="5961189" cy="4565989"/>
            </a:xfrm>
          </xdr:grpSpPr>
          <xdr:grpSp>
            <xdr:nvGrpSpPr>
              <xdr:cNvPr id="88" name="Group 87"/>
              <xdr:cNvGrpSpPr/>
            </xdr:nvGrpSpPr>
            <xdr:grpSpPr>
              <a:xfrm>
                <a:off x="190502" y="50746243"/>
                <a:ext cx="5961189" cy="4565989"/>
                <a:chOff x="190502" y="52679148"/>
                <a:chExt cx="5960068" cy="4605323"/>
              </a:xfrm>
            </xdr:grpSpPr>
            <xdr:pic>
              <xdr:nvPicPr>
                <xdr:cNvPr id="90" name="Picture 89"/>
                <xdr:cNvPicPr>
                  <a:picLocks noChangeAspect="1"/>
                </xdr:cNvPicPr>
              </xdr:nvPicPr>
              <xdr:blipFill>
                <a:blip xmlns:r="http://schemas.openxmlformats.org/officeDocument/2006/relationships" r:embed="rId8"/>
                <a:stretch>
                  <a:fillRect/>
                </a:stretch>
              </xdr:blipFill>
              <xdr:spPr>
                <a:xfrm rot="86464">
                  <a:off x="190502" y="52679148"/>
                  <a:ext cx="5960068" cy="4605323"/>
                </a:xfrm>
                <a:prstGeom prst="rect">
                  <a:avLst/>
                </a:prstGeom>
                <a:ln>
                  <a:solidFill>
                    <a:schemeClr val="tx1"/>
                  </a:solidFill>
                </a:ln>
              </xdr:spPr>
            </xdr:pic>
            <xdr:sp macro="" textlink="">
              <xdr:nvSpPr>
                <xdr:cNvPr id="91" name="Rectangle 90"/>
                <xdr:cNvSpPr/>
              </xdr:nvSpPr>
              <xdr:spPr>
                <a:xfrm rot="18721255">
                  <a:off x="2594550" y="54581246"/>
                  <a:ext cx="1440597" cy="91321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89" name="TextBox 9"/>
              <xdr:cNvSpPr txBox="1"/>
            </xdr:nvSpPr>
            <xdr:spPr>
              <a:xfrm rot="18604465">
                <a:off x="2061733" y="52410671"/>
                <a:ext cx="1439053" cy="36541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latin typeface="Times New Roman" panose="02020603050405020304" pitchFamily="18" charset="0"/>
                    <a:cs typeface="Times New Roman" panose="02020603050405020304" pitchFamily="18" charset="0"/>
                  </a:rPr>
                  <a:t>Dwarka </a:t>
                </a:r>
                <a:endParaRPr lang="en-IN" sz="2400" b="1">
                  <a:solidFill>
                    <a:srgbClr val="FFFF00"/>
                  </a:solidFill>
                  <a:latin typeface="Times New Roman" panose="02020603050405020304" pitchFamily="18" charset="0"/>
                  <a:cs typeface="Times New Roman" panose="02020603050405020304" pitchFamily="18" charset="0"/>
                </a:endParaRPr>
              </a:p>
            </xdr:txBody>
          </xdr:sp>
        </xdr:grpSp>
        <xdr:cxnSp macro="">
          <xdr:nvCxnSpPr>
            <xdr:cNvPr id="86" name="Straight Connector 85"/>
            <xdr:cNvCxnSpPr/>
          </xdr:nvCxnSpPr>
          <xdr:spPr>
            <a:xfrm rot="17769703" flipV="1">
              <a:off x="8481088" y="42181654"/>
              <a:ext cx="2635564" cy="4319764"/>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87" name="Straight Connector 86"/>
            <xdr:cNvCxnSpPr>
              <a:stCxn id="90" idx="2"/>
            </xdr:cNvCxnSpPr>
          </xdr:nvCxnSpPr>
          <xdr:spPr>
            <a:xfrm rot="17769703" flipV="1">
              <a:off x="8602004" y="41970383"/>
              <a:ext cx="2636407" cy="4373546"/>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84" name="TextBox 15"/>
          <xdr:cNvSpPr txBox="1"/>
        </xdr:nvSpPr>
        <xdr:spPr>
          <a:xfrm rot="18319796">
            <a:off x="10751302" y="46264809"/>
            <a:ext cx="1188575" cy="30128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latin typeface="Times New Roman" panose="02020603050405020304" pitchFamily="18" charset="0"/>
                <a:cs typeface="Times New Roman" panose="02020603050405020304" pitchFamily="18" charset="0"/>
              </a:rPr>
              <a:t>HT</a:t>
            </a:r>
            <a:r>
              <a:rPr lang="en-US" sz="1600" b="1" baseline="0">
                <a:solidFill>
                  <a:srgbClr val="FF0000"/>
                </a:solidFill>
                <a:latin typeface="Times New Roman" panose="02020603050405020304" pitchFamily="18" charset="0"/>
                <a:cs typeface="Times New Roman" panose="02020603050405020304" pitchFamily="18" charset="0"/>
              </a:rPr>
              <a:t> Line</a:t>
            </a:r>
            <a:endParaRPr lang="en-IN" sz="16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xdr:from>
      <xdr:col>8</xdr:col>
      <xdr:colOff>914400</xdr:colOff>
      <xdr:row>176</xdr:row>
      <xdr:rowOff>95250</xdr:rowOff>
    </xdr:from>
    <xdr:to>
      <xdr:col>12</xdr:col>
      <xdr:colOff>424827</xdr:colOff>
      <xdr:row>195</xdr:row>
      <xdr:rowOff>149486</xdr:rowOff>
    </xdr:to>
    <xdr:grpSp>
      <xdr:nvGrpSpPr>
        <xdr:cNvPr id="47" name="Group 46"/>
        <xdr:cNvGrpSpPr/>
      </xdr:nvGrpSpPr>
      <xdr:grpSpPr>
        <a:xfrm>
          <a:off x="7537450" y="28962350"/>
          <a:ext cx="3282327" cy="3788036"/>
          <a:chOff x="3128719" y="30877248"/>
          <a:chExt cx="3126752" cy="3845186"/>
        </a:xfrm>
      </xdr:grpSpPr>
      <xdr:pic>
        <xdr:nvPicPr>
          <xdr:cNvPr id="48" name="Picture 47" descr="https://vsjcllp.vsjadon.com/upload/insp-210003-8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34576" y="30877248"/>
            <a:ext cx="2904115" cy="38451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xnSp macro="">
        <xdr:nvCxnSpPr>
          <xdr:cNvPr id="50" name="Straight Connector 49"/>
          <xdr:cNvCxnSpPr>
            <a:stCxn id="48" idx="1"/>
          </xdr:cNvCxnSpPr>
        </xdr:nvCxnSpPr>
        <xdr:spPr>
          <a:xfrm flipV="1">
            <a:off x="3234576" y="32194500"/>
            <a:ext cx="2899524" cy="605341"/>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V="1">
            <a:off x="3225051" y="32546925"/>
            <a:ext cx="2909049" cy="567242"/>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a:endCxn id="48" idx="3"/>
          </xdr:cNvCxnSpPr>
        </xdr:nvCxnSpPr>
        <xdr:spPr>
          <a:xfrm flipV="1">
            <a:off x="3244101" y="32799841"/>
            <a:ext cx="2894590" cy="447676"/>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flipV="1">
            <a:off x="3244101" y="33032700"/>
            <a:ext cx="2889999" cy="338642"/>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59" name="TextBox 15"/>
          <xdr:cNvSpPr txBox="1"/>
        </xdr:nvSpPr>
        <xdr:spPr>
          <a:xfrm rot="21130318">
            <a:off x="5281370" y="32003429"/>
            <a:ext cx="974101" cy="2988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latin typeface="Times New Roman" panose="02020603050405020304" pitchFamily="18" charset="0"/>
                <a:cs typeface="Times New Roman" panose="02020603050405020304" pitchFamily="18" charset="0"/>
              </a:rPr>
              <a:t>H.T Line</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60" name="TextBox 15"/>
          <xdr:cNvSpPr txBox="1"/>
        </xdr:nvSpPr>
        <xdr:spPr>
          <a:xfrm rot="21130318">
            <a:off x="3128719" y="33317879"/>
            <a:ext cx="974101" cy="2988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latin typeface="Times New Roman" panose="02020603050405020304" pitchFamily="18" charset="0"/>
                <a:cs typeface="Times New Roman" panose="02020603050405020304" pitchFamily="18" charset="0"/>
              </a:rPr>
              <a:t>H.T Line</a:t>
            </a:r>
            <a:endParaRPr lang="en-IN" sz="14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66186</xdr:colOff>
      <xdr:row>178</xdr:row>
      <xdr:rowOff>44450</xdr:rowOff>
    </xdr:from>
    <xdr:to>
      <xdr:col>7</xdr:col>
      <xdr:colOff>653612</xdr:colOff>
      <xdr:row>220</xdr:row>
      <xdr:rowOff>19050</xdr:rowOff>
    </xdr:to>
    <xdr:grpSp>
      <xdr:nvGrpSpPr>
        <xdr:cNvPr id="42" name="Group 41"/>
        <xdr:cNvGrpSpPr/>
      </xdr:nvGrpSpPr>
      <xdr:grpSpPr>
        <a:xfrm>
          <a:off x="66186" y="29305250"/>
          <a:ext cx="6442126" cy="7842250"/>
          <a:chOff x="66186" y="29305250"/>
          <a:chExt cx="6442126" cy="7842250"/>
        </a:xfrm>
      </xdr:grpSpPr>
      <xdr:pic>
        <xdr:nvPicPr>
          <xdr:cNvPr id="51" name="Picture 5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11566" y="29305250"/>
            <a:ext cx="2966907" cy="39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866563" y="35511806"/>
            <a:ext cx="2170850" cy="1635694"/>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66186" y="35499214"/>
            <a:ext cx="1282407" cy="1635694"/>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06677" y="33380528"/>
            <a:ext cx="1510425" cy="2016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654374" y="33374232"/>
            <a:ext cx="1510425" cy="201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118327" y="35511806"/>
            <a:ext cx="1348594" cy="1635694"/>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949730" y="33374232"/>
            <a:ext cx="1510425" cy="201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76200" y="33374232"/>
            <a:ext cx="1436296" cy="201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433281" y="35499214"/>
            <a:ext cx="1348594" cy="1635694"/>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364844" y="29305250"/>
            <a:ext cx="2966907" cy="3960000"/>
          </a:xfrm>
          <a:prstGeom prst="rect">
            <a:avLst/>
          </a:prstGeom>
          <a:ln>
            <a:solidFill>
              <a:schemeClr val="tx1"/>
            </a:solidFill>
          </a:ln>
        </xdr:spPr>
      </xdr:pic>
      <xdr:cxnSp macro="">
        <xdr:nvCxnSpPr>
          <xdr:cNvPr id="71" name="Straight Connector 70"/>
          <xdr:cNvCxnSpPr/>
        </xdr:nvCxnSpPr>
        <xdr:spPr>
          <a:xfrm flipV="1">
            <a:off x="3342618" y="31419800"/>
            <a:ext cx="2994682" cy="202644"/>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flipV="1">
            <a:off x="3332619" y="31730950"/>
            <a:ext cx="2979281" cy="2011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flipV="1">
            <a:off x="3352617" y="31870650"/>
            <a:ext cx="2946583" cy="192816"/>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xdr:cNvCxnSpPr/>
        </xdr:nvCxnSpPr>
        <xdr:spPr>
          <a:xfrm flipV="1">
            <a:off x="3352617" y="32181800"/>
            <a:ext cx="2914833" cy="3652"/>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83" name="TextBox 15"/>
          <xdr:cNvSpPr txBox="1"/>
        </xdr:nvSpPr>
        <xdr:spPr>
          <a:xfrm rot="21130318">
            <a:off x="5485744" y="31034232"/>
            <a:ext cx="1022568" cy="29435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latin typeface="Times New Roman" panose="02020603050405020304" pitchFamily="18" charset="0"/>
                <a:cs typeface="Times New Roman" panose="02020603050405020304" pitchFamily="18" charset="0"/>
              </a:rPr>
              <a:t>H.T Line</a:t>
            </a:r>
            <a:endParaRPr lang="en-IN" sz="1400" b="1">
              <a:solidFill>
                <a:srgbClr val="FF0000"/>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2</xdr:col>
      <xdr:colOff>123264</xdr:colOff>
      <xdr:row>0</xdr:row>
      <xdr:rowOff>0</xdr:rowOff>
    </xdr:from>
    <xdr:to>
      <xdr:col>5</xdr:col>
      <xdr:colOff>606415</xdr:colOff>
      <xdr:row>23</xdr:row>
      <xdr:rowOff>44822</xdr:rowOff>
    </xdr:to>
    <xdr:pic>
      <xdr:nvPicPr>
        <xdr:cNvPr id="3" name="Picture 2"/>
        <xdr:cNvPicPr>
          <a:picLocks noChangeAspect="1"/>
        </xdr:cNvPicPr>
      </xdr:nvPicPr>
      <xdr:blipFill>
        <a:blip xmlns:r="http://schemas.openxmlformats.org/officeDocument/2006/relationships" r:embed="rId2"/>
        <a:stretch>
          <a:fillRect/>
        </a:stretch>
      </xdr:blipFill>
      <xdr:spPr>
        <a:xfrm>
          <a:off x="2185146" y="0"/>
          <a:ext cx="4472445" cy="4437528"/>
        </a:xfrm>
        <a:prstGeom prst="rect">
          <a:avLst/>
        </a:prstGeom>
      </xdr:spPr>
    </xdr:pic>
    <xdr:clientData/>
  </xdr:twoCellAnchor>
  <xdr:twoCellAnchor editAs="oneCell">
    <xdr:from>
      <xdr:col>6</xdr:col>
      <xdr:colOff>11205</xdr:colOff>
      <xdr:row>5</xdr:row>
      <xdr:rowOff>145676</xdr:rowOff>
    </xdr:from>
    <xdr:to>
      <xdr:col>12</xdr:col>
      <xdr:colOff>326239</xdr:colOff>
      <xdr:row>18</xdr:row>
      <xdr:rowOff>60285</xdr:rowOff>
    </xdr:to>
    <xdr:pic>
      <xdr:nvPicPr>
        <xdr:cNvPr id="4" name="Picture 3"/>
        <xdr:cNvPicPr>
          <a:picLocks noChangeAspect="1"/>
        </xdr:cNvPicPr>
      </xdr:nvPicPr>
      <xdr:blipFill>
        <a:blip xmlns:r="http://schemas.openxmlformats.org/officeDocument/2006/relationships" r:embed="rId3"/>
        <a:stretch>
          <a:fillRect/>
        </a:stretch>
      </xdr:blipFill>
      <xdr:spPr>
        <a:xfrm>
          <a:off x="6992470" y="1109382"/>
          <a:ext cx="5077534" cy="2391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7WvQBDEdiq2aXJQ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5"/>
  <sheetViews>
    <sheetView tabSelected="1" view="pageBreakPreview" topLeftCell="A48" zoomScaleNormal="100" zoomScaleSheetLayoutView="100" zoomScalePageLayoutView="85" workbookViewId="0">
      <selection activeCell="F112" sqref="F112:H112"/>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1.2695312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81" t="s">
        <v>160</v>
      </c>
      <c r="B1" s="181"/>
      <c r="C1" s="181"/>
      <c r="D1" s="181"/>
      <c r="E1" s="181"/>
      <c r="F1" s="181"/>
      <c r="G1" s="181"/>
      <c r="H1" s="181"/>
    </row>
    <row r="2" spans="1:26" ht="16.5" customHeight="1" x14ac:dyDescent="0.35">
      <c r="A2" s="122" t="s">
        <v>0</v>
      </c>
      <c r="B2" s="122"/>
      <c r="C2" s="122"/>
      <c r="D2" s="122"/>
      <c r="E2" s="122"/>
      <c r="F2" s="122"/>
      <c r="G2" s="122"/>
      <c r="H2" s="122"/>
    </row>
    <row r="3" spans="1:26" x14ac:dyDescent="0.35">
      <c r="A3" s="117" t="s">
        <v>1</v>
      </c>
      <c r="B3" s="117"/>
      <c r="C3" s="117"/>
      <c r="D3" s="117"/>
      <c r="E3" s="117" t="str">
        <f ca="1">TEXT(TODAY(),"DD/MM/YYYY")</f>
        <v>24/09/2025</v>
      </c>
      <c r="F3" s="117"/>
      <c r="G3" s="117"/>
      <c r="H3" s="117"/>
      <c r="K3" s="56" t="s">
        <v>231</v>
      </c>
      <c r="L3" s="54" t="s">
        <v>229</v>
      </c>
      <c r="M3" s="54" t="s">
        <v>234</v>
      </c>
      <c r="N3" s="54" t="s">
        <v>232</v>
      </c>
      <c r="O3" s="54" t="s">
        <v>336</v>
      </c>
      <c r="P3" s="54" t="s">
        <v>235</v>
      </c>
    </row>
    <row r="4" spans="1:26" ht="15" customHeight="1" x14ac:dyDescent="0.35">
      <c r="A4" s="117" t="s">
        <v>228</v>
      </c>
      <c r="B4" s="117"/>
      <c r="C4" s="117"/>
      <c r="D4" s="117"/>
      <c r="E4" s="117" t="s">
        <v>229</v>
      </c>
      <c r="F4" s="117"/>
      <c r="G4" s="117"/>
      <c r="H4" s="117"/>
      <c r="K4" s="53" t="s">
        <v>230</v>
      </c>
      <c r="L4" s="54" t="s">
        <v>166</v>
      </c>
      <c r="M4" s="54" t="s">
        <v>239</v>
      </c>
      <c r="N4" s="54" t="s">
        <v>241</v>
      </c>
      <c r="O4" s="54" t="s">
        <v>337</v>
      </c>
      <c r="P4" s="54"/>
    </row>
    <row r="5" spans="1:26" ht="15" customHeight="1" x14ac:dyDescent="0.35">
      <c r="A5" s="117" t="s">
        <v>2</v>
      </c>
      <c r="B5" s="117"/>
      <c r="C5" s="117"/>
      <c r="D5" s="117"/>
      <c r="E5" s="117" t="s">
        <v>236</v>
      </c>
      <c r="F5" s="117"/>
      <c r="G5" s="117"/>
      <c r="H5" s="117"/>
      <c r="K5" s="53"/>
      <c r="L5" s="54" t="s">
        <v>236</v>
      </c>
      <c r="M5" s="54" t="s">
        <v>240</v>
      </c>
      <c r="N5" s="54" t="s">
        <v>242</v>
      </c>
      <c r="O5" s="54" t="s">
        <v>338</v>
      </c>
      <c r="P5" s="54"/>
    </row>
    <row r="6" spans="1:26" x14ac:dyDescent="0.35">
      <c r="A6" s="117" t="s">
        <v>3</v>
      </c>
      <c r="B6" s="117"/>
      <c r="C6" s="117"/>
      <c r="D6" s="117"/>
      <c r="E6" s="183">
        <v>45924</v>
      </c>
      <c r="F6" s="117"/>
      <c r="G6" s="117"/>
      <c r="H6" s="117"/>
      <c r="K6" s="53"/>
      <c r="L6" s="54" t="s">
        <v>237</v>
      </c>
      <c r="M6" s="54"/>
      <c r="N6" s="54"/>
      <c r="O6" s="54" t="s">
        <v>339</v>
      </c>
      <c r="P6" s="54"/>
    </row>
    <row r="7" spans="1:26" ht="16.5" customHeight="1" x14ac:dyDescent="0.35">
      <c r="A7" s="117" t="s">
        <v>4</v>
      </c>
      <c r="B7" s="117"/>
      <c r="C7" s="117"/>
      <c r="D7" s="117"/>
      <c r="E7" s="126" t="s">
        <v>381</v>
      </c>
      <c r="F7" s="117"/>
      <c r="G7" s="117"/>
      <c r="H7" s="117"/>
      <c r="K7" s="53"/>
      <c r="L7" s="54" t="s">
        <v>238</v>
      </c>
      <c r="M7" s="54"/>
      <c r="N7" s="54"/>
      <c r="O7" s="54" t="s">
        <v>339</v>
      </c>
      <c r="P7" s="54"/>
    </row>
    <row r="8" spans="1:26" ht="15" customHeight="1" x14ac:dyDescent="0.35">
      <c r="A8" s="117" t="s">
        <v>5</v>
      </c>
      <c r="B8" s="117"/>
      <c r="C8" s="117"/>
      <c r="D8" s="117"/>
      <c r="E8" s="117" t="str">
        <f>E7</f>
        <v xml:space="preserve">M/s. Infini Developers
</v>
      </c>
      <c r="F8" s="117"/>
      <c r="G8" s="117"/>
      <c r="H8" s="117"/>
      <c r="K8" s="53"/>
      <c r="L8" s="54"/>
      <c r="M8" s="54"/>
      <c r="N8" s="54"/>
      <c r="O8" s="54" t="s">
        <v>340</v>
      </c>
      <c r="P8" s="54"/>
    </row>
    <row r="9" spans="1:26" x14ac:dyDescent="0.35">
      <c r="A9" s="117" t="s">
        <v>6</v>
      </c>
      <c r="B9" s="117"/>
      <c r="C9" s="117"/>
      <c r="D9" s="117"/>
      <c r="E9" s="182" t="s">
        <v>352</v>
      </c>
      <c r="F9" s="182"/>
      <c r="G9" s="182"/>
      <c r="H9" s="182"/>
      <c r="K9" s="53"/>
      <c r="L9" s="54"/>
      <c r="M9" s="54"/>
      <c r="N9" s="54"/>
      <c r="O9" s="54" t="s">
        <v>341</v>
      </c>
      <c r="P9" s="54"/>
    </row>
    <row r="10" spans="1:26" x14ac:dyDescent="0.35">
      <c r="A10" s="117" t="s">
        <v>163</v>
      </c>
      <c r="B10" s="117"/>
      <c r="C10" s="117"/>
      <c r="D10" s="117"/>
      <c r="E10" s="117">
        <v>9967100973</v>
      </c>
      <c r="F10" s="117"/>
      <c r="G10" s="117"/>
      <c r="H10" s="117"/>
      <c r="K10" s="53"/>
      <c r="L10" s="54"/>
      <c r="M10" s="54"/>
      <c r="N10" s="54"/>
      <c r="O10" s="54" t="s">
        <v>342</v>
      </c>
      <c r="P10" s="54"/>
    </row>
    <row r="11" spans="1:26" x14ac:dyDescent="0.35">
      <c r="A11" s="117" t="s">
        <v>164</v>
      </c>
      <c r="B11" s="117"/>
      <c r="C11" s="117"/>
      <c r="D11" s="117"/>
      <c r="E11" s="117" t="s">
        <v>400</v>
      </c>
      <c r="F11" s="117"/>
      <c r="G11" s="117"/>
      <c r="H11" s="117"/>
      <c r="O11" s="54" t="s">
        <v>343</v>
      </c>
    </row>
    <row r="12" spans="1:26" x14ac:dyDescent="0.35">
      <c r="A12" s="117" t="s">
        <v>7</v>
      </c>
      <c r="B12" s="117"/>
      <c r="C12" s="117"/>
      <c r="D12" s="117"/>
      <c r="E12" s="117" t="s">
        <v>389</v>
      </c>
      <c r="F12" s="117"/>
      <c r="G12" s="117"/>
      <c r="H12" s="117"/>
    </row>
    <row r="13" spans="1:26" x14ac:dyDescent="0.35">
      <c r="A13" s="117" t="s">
        <v>167</v>
      </c>
      <c r="B13" s="117"/>
      <c r="C13" s="117"/>
      <c r="D13" s="117"/>
      <c r="E13" s="117" t="s">
        <v>27</v>
      </c>
      <c r="F13" s="117"/>
      <c r="G13" s="117"/>
      <c r="H13" s="117"/>
      <c r="S13" s="54" t="s">
        <v>175</v>
      </c>
      <c r="T13" s="54" t="s">
        <v>184</v>
      </c>
      <c r="U13" s="54" t="s">
        <v>168</v>
      </c>
      <c r="V13" s="54" t="s">
        <v>189</v>
      </c>
      <c r="W13" s="54" t="s">
        <v>207</v>
      </c>
      <c r="X13"/>
      <c r="Y13" t="s">
        <v>189</v>
      </c>
      <c r="Z13" t="e">
        <f ca="1">OFFSET($S$13,1,MATCH($G20,$S$13:$W$13,0)-1,15,1)</f>
        <v>#VALUE!</v>
      </c>
    </row>
    <row r="14" spans="1:26" x14ac:dyDescent="0.35">
      <c r="A14" s="184" t="s">
        <v>274</v>
      </c>
      <c r="B14" s="184"/>
      <c r="C14" s="184"/>
      <c r="D14" s="184"/>
      <c r="E14" s="126" t="s">
        <v>390</v>
      </c>
      <c r="F14" s="126"/>
      <c r="G14" s="126"/>
      <c r="H14" s="126"/>
      <c r="M14" s="21" t="s">
        <v>351</v>
      </c>
      <c r="S14" s="54" t="s">
        <v>175</v>
      </c>
      <c r="T14" s="54" t="s">
        <v>182</v>
      </c>
      <c r="U14" s="54" t="s">
        <v>204</v>
      </c>
      <c r="V14" s="54" t="s">
        <v>190</v>
      </c>
      <c r="W14" s="54" t="s">
        <v>208</v>
      </c>
      <c r="X14"/>
      <c r="Y14"/>
      <c r="Z14"/>
    </row>
    <row r="15" spans="1:26" ht="33.75" customHeight="1" x14ac:dyDescent="0.35">
      <c r="A15" s="101" t="s">
        <v>382</v>
      </c>
      <c r="B15" s="101"/>
      <c r="C15" s="101"/>
      <c r="D15" s="101"/>
      <c r="E15" s="186" t="s">
        <v>391</v>
      </c>
      <c r="F15" s="187"/>
      <c r="G15" s="188" t="s">
        <v>353</v>
      </c>
      <c r="H15" s="189"/>
      <c r="I15" s="133" t="e">
        <f ca="1">OFFSET($D$5,1,MATCH($J13,$D$5:$H$5,0)-1,15,1)</f>
        <v>#N/A</v>
      </c>
      <c r="J15" s="134"/>
      <c r="K15" s="134"/>
      <c r="L15" s="134"/>
      <c r="M15" s="134"/>
      <c r="N15" s="134"/>
      <c r="O15" s="134"/>
      <c r="P15" s="134"/>
      <c r="S15" s="54" t="s">
        <v>176</v>
      </c>
      <c r="T15" s="54" t="s">
        <v>183</v>
      </c>
      <c r="U15" s="54" t="s">
        <v>205</v>
      </c>
      <c r="V15" s="54" t="s">
        <v>191</v>
      </c>
      <c r="W15" s="54" t="s">
        <v>221</v>
      </c>
      <c r="X15"/>
      <c r="Y15"/>
      <c r="Z15"/>
    </row>
    <row r="16" spans="1:26" ht="33.75" customHeight="1" x14ac:dyDescent="0.35">
      <c r="A16" s="126" t="s">
        <v>8</v>
      </c>
      <c r="B16" s="126"/>
      <c r="C16" s="126" t="str">
        <f>CONCATENATE((IF(OR(E9="",E9="NA"),"",E9)),", ",(IF(OR(A17="",A17="NA"),"",A17)),".",(IF(OR(C17="",C17="NA"),"",C17)),", near ",(IF(OR(C22="",C22="NA"),"",C22)),", ",(IF(OR(C19="",C19="NA"),"",C19)),", ",(IF(OR(C18="",C18="NA"),"",C18)),", ",(IF(OR(G19="",G19="NA"),"",G19)),", ",(IF(OR(C20="",C20="NA"),"",C20)),", ",(IF(OR(C21="",C21="NA"),"",C21)),", ",(IF(OR(G20="",G20="NA"),"",G20))," - ",(IF(OR(G21="",G21="NA"),"",G21)),".")</f>
        <v>Dwarka, Survey No.133/B, Plot No. C, near Padmadisha Paradise, JB Road, Temghar, Temghar, Bhiwandi East, Bhiwandi, Thane - 421308.</v>
      </c>
      <c r="D16" s="126"/>
      <c r="E16" s="126"/>
      <c r="F16" s="126"/>
      <c r="G16" s="126"/>
      <c r="H16" s="126"/>
      <c r="S16" s="54" t="s">
        <v>177</v>
      </c>
      <c r="T16" s="54" t="s">
        <v>185</v>
      </c>
      <c r="U16" s="54" t="s">
        <v>206</v>
      </c>
      <c r="V16" s="54" t="s">
        <v>192</v>
      </c>
      <c r="W16" s="54" t="s">
        <v>209</v>
      </c>
      <c r="X16"/>
      <c r="Y16"/>
      <c r="Z16"/>
    </row>
    <row r="17" spans="1:26" x14ac:dyDescent="0.35">
      <c r="A17" s="126" t="s">
        <v>354</v>
      </c>
      <c r="B17" s="126"/>
      <c r="C17" s="126" t="s">
        <v>355</v>
      </c>
      <c r="D17" s="126"/>
      <c r="E17" s="126"/>
      <c r="F17" s="126"/>
      <c r="G17" s="126"/>
      <c r="H17" s="126"/>
      <c r="S17" s="54" t="s">
        <v>178</v>
      </c>
      <c r="T17" s="54" t="s">
        <v>186</v>
      </c>
      <c r="U17" s="54" t="s">
        <v>168</v>
      </c>
      <c r="V17" s="54" t="s">
        <v>193</v>
      </c>
      <c r="W17" s="54" t="s">
        <v>210</v>
      </c>
      <c r="X17"/>
      <c r="Y17"/>
      <c r="Z17"/>
    </row>
    <row r="18" spans="1:26" ht="15.75" customHeight="1" x14ac:dyDescent="0.35">
      <c r="A18" s="126" t="s">
        <v>158</v>
      </c>
      <c r="B18" s="126"/>
      <c r="C18" s="126" t="s">
        <v>356</v>
      </c>
      <c r="D18" s="126"/>
      <c r="E18" s="126"/>
      <c r="F18" s="126"/>
      <c r="G18" s="126"/>
      <c r="H18" s="126"/>
      <c r="S18" s="54" t="s">
        <v>179</v>
      </c>
      <c r="T18" s="54" t="s">
        <v>184</v>
      </c>
      <c r="U18" s="54"/>
      <c r="V18" s="54" t="s">
        <v>194</v>
      </c>
      <c r="W18" s="54" t="s">
        <v>211</v>
      </c>
      <c r="X18"/>
      <c r="Y18"/>
      <c r="Z18"/>
    </row>
    <row r="19" spans="1:26" ht="15.75" customHeight="1" x14ac:dyDescent="0.35">
      <c r="A19" s="126" t="s">
        <v>9</v>
      </c>
      <c r="B19" s="126"/>
      <c r="C19" s="117" t="s">
        <v>357</v>
      </c>
      <c r="D19" s="117"/>
      <c r="E19" s="126" t="s">
        <v>69</v>
      </c>
      <c r="F19" s="126"/>
      <c r="G19" s="126" t="s">
        <v>356</v>
      </c>
      <c r="H19" s="126"/>
      <c r="S19" s="54" t="s">
        <v>180</v>
      </c>
      <c r="T19" s="54" t="s">
        <v>187</v>
      </c>
      <c r="U19" s="54"/>
      <c r="V19" s="54" t="s">
        <v>195</v>
      </c>
      <c r="W19" s="54" t="s">
        <v>212</v>
      </c>
      <c r="X19"/>
      <c r="Y19"/>
      <c r="Z19"/>
    </row>
    <row r="20" spans="1:26" x14ac:dyDescent="0.35">
      <c r="A20" s="117" t="s">
        <v>11</v>
      </c>
      <c r="B20" s="117"/>
      <c r="C20" s="126" t="s">
        <v>358</v>
      </c>
      <c r="D20" s="126"/>
      <c r="E20" s="126" t="s">
        <v>10</v>
      </c>
      <c r="F20" s="126"/>
      <c r="G20" s="185" t="s">
        <v>175</v>
      </c>
      <c r="H20" s="185"/>
      <c r="S20" s="54" t="s">
        <v>181</v>
      </c>
      <c r="T20" s="54" t="s">
        <v>188</v>
      </c>
      <c r="U20" s="54"/>
      <c r="V20" s="54" t="s">
        <v>196</v>
      </c>
      <c r="W20" s="54" t="s">
        <v>213</v>
      </c>
      <c r="X20"/>
      <c r="Y20"/>
      <c r="Z20"/>
    </row>
    <row r="21" spans="1:26" x14ac:dyDescent="0.35">
      <c r="A21" s="117" t="s">
        <v>70</v>
      </c>
      <c r="B21" s="117"/>
      <c r="C21" s="126" t="s">
        <v>178</v>
      </c>
      <c r="D21" s="126"/>
      <c r="E21" s="126" t="s">
        <v>12</v>
      </c>
      <c r="F21" s="126"/>
      <c r="G21" s="126">
        <v>421308</v>
      </c>
      <c r="H21" s="126"/>
      <c r="S21" s="54"/>
      <c r="T21" s="54"/>
      <c r="U21" s="54"/>
      <c r="V21" s="54" t="s">
        <v>197</v>
      </c>
      <c r="W21" s="54" t="s">
        <v>214</v>
      </c>
      <c r="X21"/>
      <c r="Y21"/>
      <c r="Z21"/>
    </row>
    <row r="22" spans="1:26" ht="33.75" customHeight="1" x14ac:dyDescent="0.35">
      <c r="A22" s="117" t="s">
        <v>117</v>
      </c>
      <c r="B22" s="117"/>
      <c r="C22" s="126" t="s">
        <v>359</v>
      </c>
      <c r="D22" s="126"/>
      <c r="E22" s="126" t="s">
        <v>13</v>
      </c>
      <c r="F22" s="126"/>
      <c r="G22" s="126" t="s">
        <v>380</v>
      </c>
      <c r="H22" s="126"/>
      <c r="S22" s="54"/>
      <c r="T22" s="54"/>
      <c r="U22" s="54"/>
      <c r="V22" s="54" t="s">
        <v>198</v>
      </c>
      <c r="W22" s="54" t="s">
        <v>215</v>
      </c>
      <c r="X22"/>
      <c r="Y22"/>
      <c r="Z22"/>
    </row>
    <row r="23" spans="1:26" ht="15" customHeight="1" x14ac:dyDescent="0.35">
      <c r="A23" s="123" t="s">
        <v>72</v>
      </c>
      <c r="B23" s="123"/>
      <c r="C23" s="123"/>
      <c r="D23" s="123"/>
      <c r="E23" s="117" t="s">
        <v>14</v>
      </c>
      <c r="F23" s="117"/>
      <c r="G23" s="117"/>
      <c r="H23" s="117"/>
      <c r="S23" s="54"/>
      <c r="T23" s="54"/>
      <c r="U23" s="54"/>
      <c r="V23" s="54" t="s">
        <v>199</v>
      </c>
      <c r="W23" s="54" t="s">
        <v>216</v>
      </c>
      <c r="X23"/>
      <c r="Y23"/>
      <c r="Z23"/>
    </row>
    <row r="24" spans="1:26" ht="18.75" customHeight="1" x14ac:dyDescent="0.35">
      <c r="A24" s="123"/>
      <c r="B24" s="123"/>
      <c r="C24" s="123"/>
      <c r="D24" s="123"/>
      <c r="E24" s="117"/>
      <c r="F24" s="117"/>
      <c r="G24" s="117"/>
      <c r="H24" s="117"/>
      <c r="S24" s="54"/>
      <c r="T24" s="54"/>
      <c r="U24" s="54"/>
      <c r="V24" s="54" t="s">
        <v>200</v>
      </c>
      <c r="W24" s="54" t="s">
        <v>217</v>
      </c>
      <c r="X24"/>
      <c r="Y24"/>
      <c r="Z24"/>
    </row>
    <row r="25" spans="1:26" ht="15" customHeight="1" x14ac:dyDescent="0.35">
      <c r="A25" s="123" t="s">
        <v>15</v>
      </c>
      <c r="B25" s="123"/>
      <c r="C25" s="123"/>
      <c r="D25" s="123"/>
      <c r="E25" s="126" t="s">
        <v>16</v>
      </c>
      <c r="F25" s="126"/>
      <c r="G25" s="126"/>
      <c r="H25" s="126"/>
      <c r="S25" s="54"/>
      <c r="T25" s="54"/>
      <c r="U25" s="54"/>
      <c r="V25" s="54" t="s">
        <v>201</v>
      </c>
      <c r="W25" s="54" t="s">
        <v>218</v>
      </c>
      <c r="X25"/>
      <c r="Y25"/>
      <c r="Z25"/>
    </row>
    <row r="26" spans="1:26" ht="15" customHeight="1" x14ac:dyDescent="0.35">
      <c r="A26" s="101" t="s">
        <v>17</v>
      </c>
      <c r="B26" s="101"/>
      <c r="C26" s="101"/>
      <c r="D26" s="101"/>
      <c r="E26" s="126" t="str">
        <f>IF(AND(G20="Mumbai"),"Upper Class","Middle Class")</f>
        <v>Middle Class</v>
      </c>
      <c r="F26" s="126"/>
      <c r="G26" s="126"/>
      <c r="H26" s="126"/>
      <c r="S26" s="54"/>
      <c r="T26" s="54"/>
      <c r="U26" s="54"/>
      <c r="V26" s="54" t="s">
        <v>202</v>
      </c>
      <c r="W26" s="54" t="s">
        <v>219</v>
      </c>
      <c r="X26"/>
      <c r="Y26"/>
      <c r="Z26"/>
    </row>
    <row r="27" spans="1:26" x14ac:dyDescent="0.35">
      <c r="A27" s="101" t="s">
        <v>18</v>
      </c>
      <c r="B27" s="101"/>
      <c r="C27" s="101"/>
      <c r="D27" s="101"/>
      <c r="E27" s="126" t="s">
        <v>19</v>
      </c>
      <c r="F27" s="126"/>
      <c r="G27" s="126"/>
      <c r="H27" s="126"/>
      <c r="S27" s="54"/>
      <c r="T27" s="54"/>
      <c r="U27" s="54"/>
      <c r="V27" s="54" t="s">
        <v>203</v>
      </c>
      <c r="W27" s="54" t="s">
        <v>220</v>
      </c>
      <c r="X27"/>
      <c r="Y27"/>
      <c r="Z27"/>
    </row>
    <row r="28" spans="1:26" ht="15.75" customHeight="1" x14ac:dyDescent="0.35">
      <c r="A28" s="101" t="s">
        <v>20</v>
      </c>
      <c r="B28" s="101"/>
      <c r="C28" s="101"/>
      <c r="D28" s="101"/>
      <c r="E28" s="126" t="str">
        <f>IF(AND(G20="Mumbai"),"Developed","Developing")</f>
        <v>Developing</v>
      </c>
      <c r="F28" s="126"/>
      <c r="G28" s="126"/>
      <c r="H28" s="126"/>
    </row>
    <row r="29" spans="1:26" x14ac:dyDescent="0.35">
      <c r="A29" s="101" t="s">
        <v>21</v>
      </c>
      <c r="B29" s="101"/>
      <c r="C29" s="101"/>
      <c r="D29" s="101"/>
      <c r="E29" s="126" t="s">
        <v>22</v>
      </c>
      <c r="F29" s="126"/>
      <c r="G29" s="126"/>
      <c r="H29" s="126"/>
    </row>
    <row r="30" spans="1:26" ht="15.75" customHeight="1" x14ac:dyDescent="0.35">
      <c r="A30" s="101" t="s">
        <v>77</v>
      </c>
      <c r="B30" s="101"/>
      <c r="C30" s="101"/>
      <c r="D30" s="101"/>
      <c r="E30" s="126" t="s">
        <v>78</v>
      </c>
      <c r="F30" s="126"/>
      <c r="G30" s="126"/>
      <c r="H30" s="126"/>
    </row>
    <row r="31" spans="1:26" ht="15" customHeight="1" x14ac:dyDescent="0.35">
      <c r="A31" s="101" t="s">
        <v>29</v>
      </c>
      <c r="B31" s="101"/>
      <c r="C31" s="101"/>
      <c r="D31" s="101"/>
      <c r="E31" s="12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6"/>
      <c r="G31" s="126"/>
      <c r="H31" s="126"/>
    </row>
    <row r="32" spans="1:26" ht="15.75" customHeight="1" x14ac:dyDescent="0.35">
      <c r="A32" s="101" t="s">
        <v>88</v>
      </c>
      <c r="B32" s="101"/>
      <c r="C32" s="101"/>
      <c r="D32" s="101"/>
      <c r="E32" s="126" t="s">
        <v>30</v>
      </c>
      <c r="F32" s="126"/>
      <c r="G32" s="126"/>
      <c r="H32" s="126"/>
    </row>
    <row r="33" spans="1:19" s="22" customFormat="1" x14ac:dyDescent="0.35">
      <c r="A33" s="192" t="s">
        <v>89</v>
      </c>
      <c r="B33" s="192"/>
      <c r="C33" s="135" t="s">
        <v>169</v>
      </c>
      <c r="D33" s="135"/>
      <c r="E33" s="135"/>
      <c r="F33" s="135" t="s">
        <v>28</v>
      </c>
      <c r="G33" s="135"/>
      <c r="H33" s="135"/>
      <c r="S33" s="22" t="e">
        <f ca="1">OFFSET($S$13,1,MATCH($G20,$S$13:$W$13,0)-1,15,1)</f>
        <v>#VALUE!</v>
      </c>
    </row>
    <row r="34" spans="1:19" s="22" customFormat="1" x14ac:dyDescent="0.35">
      <c r="A34" s="190" t="s">
        <v>23</v>
      </c>
      <c r="B34" s="190" t="s">
        <v>27</v>
      </c>
      <c r="C34" s="191" t="s">
        <v>361</v>
      </c>
      <c r="D34" s="191"/>
      <c r="E34" s="191"/>
      <c r="F34" s="191" t="s">
        <v>357</v>
      </c>
      <c r="G34" s="191"/>
      <c r="H34" s="191"/>
    </row>
    <row r="35" spans="1:19" x14ac:dyDescent="0.35">
      <c r="A35" s="190" t="s">
        <v>24</v>
      </c>
      <c r="B35" s="190" t="s">
        <v>27</v>
      </c>
      <c r="C35" s="191" t="s">
        <v>360</v>
      </c>
      <c r="D35" s="191"/>
      <c r="E35" s="191"/>
      <c r="F35" s="191" t="s">
        <v>383</v>
      </c>
      <c r="G35" s="191"/>
      <c r="H35" s="191"/>
    </row>
    <row r="36" spans="1:19" s="22" customFormat="1" x14ac:dyDescent="0.35">
      <c r="A36" s="190" t="s">
        <v>26</v>
      </c>
      <c r="B36" s="190" t="s">
        <v>27</v>
      </c>
      <c r="C36" s="191" t="s">
        <v>360</v>
      </c>
      <c r="D36" s="191"/>
      <c r="E36" s="191"/>
      <c r="F36" s="191" t="s">
        <v>359</v>
      </c>
      <c r="G36" s="191"/>
      <c r="H36" s="191"/>
    </row>
    <row r="37" spans="1:19" x14ac:dyDescent="0.35">
      <c r="A37" s="190" t="s">
        <v>25</v>
      </c>
      <c r="B37" s="190" t="s">
        <v>27</v>
      </c>
      <c r="C37" s="191" t="s">
        <v>360</v>
      </c>
      <c r="D37" s="191"/>
      <c r="E37" s="191"/>
      <c r="F37" s="191" t="s">
        <v>362</v>
      </c>
      <c r="G37" s="191"/>
      <c r="H37" s="191"/>
    </row>
    <row r="38" spans="1:19" x14ac:dyDescent="0.35">
      <c r="A38" s="101" t="s">
        <v>275</v>
      </c>
      <c r="B38" s="101"/>
      <c r="C38" s="101"/>
      <c r="D38" s="101"/>
      <c r="E38" s="101"/>
      <c r="F38" s="101"/>
      <c r="G38" s="101"/>
      <c r="H38" s="101"/>
    </row>
    <row r="39" spans="1:19" ht="15.75" customHeight="1" x14ac:dyDescent="0.35">
      <c r="A39" s="101" t="s">
        <v>161</v>
      </c>
      <c r="B39" s="101"/>
      <c r="C39" s="170" t="s">
        <v>363</v>
      </c>
      <c r="D39" s="170"/>
      <c r="E39" s="170"/>
      <c r="F39" s="170"/>
      <c r="G39" s="170"/>
      <c r="H39" s="170"/>
    </row>
    <row r="40" spans="1:19" x14ac:dyDescent="0.35">
      <c r="A40" s="101" t="s">
        <v>157</v>
      </c>
      <c r="B40" s="101"/>
      <c r="C40" s="212" t="s">
        <v>364</v>
      </c>
      <c r="D40" s="126"/>
      <c r="E40" s="126"/>
      <c r="F40" s="126"/>
      <c r="G40" s="126"/>
      <c r="H40" s="126"/>
    </row>
    <row r="41" spans="1:19" x14ac:dyDescent="0.35">
      <c r="A41" s="170" t="s">
        <v>31</v>
      </c>
      <c r="B41" s="170"/>
      <c r="C41" s="170"/>
      <c r="D41" s="170"/>
      <c r="E41" s="170"/>
      <c r="F41" s="170"/>
      <c r="G41" s="170"/>
      <c r="H41" s="170"/>
    </row>
    <row r="42" spans="1:19" x14ac:dyDescent="0.35">
      <c r="A42" s="101" t="s">
        <v>32</v>
      </c>
      <c r="B42" s="101"/>
      <c r="C42" s="101"/>
      <c r="D42" s="101"/>
      <c r="E42" s="205">
        <v>3111.83</v>
      </c>
      <c r="F42" s="205"/>
      <c r="G42" s="205"/>
      <c r="H42" s="205"/>
    </row>
    <row r="43" spans="1:19" x14ac:dyDescent="0.35">
      <c r="A43" s="101" t="s">
        <v>33</v>
      </c>
      <c r="B43" s="101"/>
      <c r="C43" s="101"/>
      <c r="D43" s="101"/>
      <c r="E43" s="152">
        <f>3423.01/E42</f>
        <v>1.0999990359370533</v>
      </c>
      <c r="F43" s="152"/>
      <c r="G43" s="152"/>
      <c r="H43" s="152"/>
    </row>
    <row r="44" spans="1:19" x14ac:dyDescent="0.35">
      <c r="A44" s="101" t="s">
        <v>34</v>
      </c>
      <c r="B44" s="101"/>
      <c r="C44" s="101"/>
      <c r="D44" s="101"/>
      <c r="E44" s="152">
        <f>E46/E42-E43</f>
        <v>2.1366462820912449</v>
      </c>
      <c r="F44" s="152"/>
      <c r="G44" s="152"/>
      <c r="H44" s="152"/>
    </row>
    <row r="45" spans="1:19" x14ac:dyDescent="0.35">
      <c r="A45" s="101" t="s">
        <v>35</v>
      </c>
      <c r="B45" s="101"/>
      <c r="C45" s="101"/>
      <c r="D45" s="101"/>
      <c r="E45" s="152">
        <f>E43+E44</f>
        <v>3.2366453180282981</v>
      </c>
      <c r="F45" s="152"/>
      <c r="G45" s="152"/>
      <c r="H45" s="152"/>
    </row>
    <row r="46" spans="1:19" x14ac:dyDescent="0.35">
      <c r="A46" s="101" t="s">
        <v>87</v>
      </c>
      <c r="B46" s="101"/>
      <c r="C46" s="101"/>
      <c r="D46" s="101"/>
      <c r="E46" s="194">
        <v>10071.89</v>
      </c>
      <c r="F46" s="194"/>
      <c r="G46" s="194"/>
      <c r="H46" s="194"/>
    </row>
    <row r="47" spans="1:19" x14ac:dyDescent="0.35">
      <c r="A47" s="117" t="s">
        <v>36</v>
      </c>
      <c r="B47" s="117"/>
      <c r="C47" s="117"/>
      <c r="D47" s="117"/>
      <c r="E47" s="117" t="s">
        <v>116</v>
      </c>
      <c r="F47" s="117"/>
      <c r="G47" s="117"/>
      <c r="H47" s="117"/>
    </row>
    <row r="48" spans="1:19" x14ac:dyDescent="0.35">
      <c r="A48" s="170" t="s">
        <v>37</v>
      </c>
      <c r="B48" s="170"/>
      <c r="C48" s="170"/>
      <c r="D48" s="170"/>
      <c r="E48" s="170"/>
      <c r="F48" s="170"/>
      <c r="G48" s="170"/>
      <c r="H48" s="170"/>
    </row>
    <row r="49" spans="1:24" ht="33.75" customHeight="1" x14ac:dyDescent="0.35">
      <c r="A49" s="103" t="s">
        <v>146</v>
      </c>
      <c r="B49" s="105"/>
      <c r="C49" s="198" t="s">
        <v>262</v>
      </c>
      <c r="D49" s="199"/>
      <c r="E49" s="199"/>
      <c r="F49" s="199"/>
      <c r="G49" s="199"/>
      <c r="H49" s="200"/>
      <c r="R49" t="s">
        <v>248</v>
      </c>
      <c r="S49" s="57" t="s">
        <v>168</v>
      </c>
      <c r="T49" s="57" t="s">
        <v>175</v>
      </c>
      <c r="U49" s="57" t="s">
        <v>189</v>
      </c>
      <c r="V49" s="57" t="s">
        <v>184</v>
      </c>
    </row>
    <row r="50" spans="1:24" ht="15.75" customHeight="1" x14ac:dyDescent="0.35">
      <c r="A50" s="103" t="s">
        <v>38</v>
      </c>
      <c r="B50" s="105"/>
      <c r="C50" s="103" t="s">
        <v>365</v>
      </c>
      <c r="D50" s="104"/>
      <c r="E50" s="105"/>
      <c r="F50" s="18" t="s">
        <v>39</v>
      </c>
      <c r="G50" s="112">
        <v>45470</v>
      </c>
      <c r="H50" s="113"/>
      <c r="R50"/>
      <c r="S50" s="57" t="s">
        <v>249</v>
      </c>
      <c r="T50" s="57" t="s">
        <v>254</v>
      </c>
      <c r="U50" s="57" t="s">
        <v>265</v>
      </c>
      <c r="V50" s="57" t="s">
        <v>270</v>
      </c>
    </row>
    <row r="51" spans="1:24" x14ac:dyDescent="0.35">
      <c r="A51" s="103" t="s">
        <v>40</v>
      </c>
      <c r="B51" s="105"/>
      <c r="C51" s="103" t="str">
        <f>C50</f>
        <v>BNMC/B/2024/APL/00224</v>
      </c>
      <c r="D51" s="104"/>
      <c r="E51" s="105"/>
      <c r="F51" s="18" t="s">
        <v>39</v>
      </c>
      <c r="G51" s="112">
        <f>G50</f>
        <v>45470</v>
      </c>
      <c r="H51" s="113"/>
      <c r="R51"/>
      <c r="S51" s="57" t="s">
        <v>250</v>
      </c>
      <c r="T51" s="57" t="s">
        <v>255</v>
      </c>
      <c r="U51" s="57" t="s">
        <v>263</v>
      </c>
      <c r="V51" s="57" t="s">
        <v>271</v>
      </c>
    </row>
    <row r="52" spans="1:24" s="23" customFormat="1" ht="15.75" customHeight="1" x14ac:dyDescent="0.35">
      <c r="A52" s="207" t="s">
        <v>150</v>
      </c>
      <c r="B52" s="208"/>
      <c r="C52" s="103" t="str">
        <f>C51</f>
        <v>BNMC/B/2024/APL/00224</v>
      </c>
      <c r="D52" s="104"/>
      <c r="E52" s="105"/>
      <c r="F52" s="18" t="s">
        <v>39</v>
      </c>
      <c r="G52" s="112">
        <v>45470</v>
      </c>
      <c r="H52" s="113"/>
      <c r="I52" s="22" t="str">
        <f ca="1">IF(G52&gt;EDATE(E3,-48),"NO REMARK","CC REMARK FOR CC")</f>
        <v>NO REMARK</v>
      </c>
      <c r="J52" s="86"/>
      <c r="R52"/>
      <c r="S52" s="57" t="s">
        <v>251</v>
      </c>
      <c r="T52" s="57" t="s">
        <v>256</v>
      </c>
      <c r="U52" s="57" t="s">
        <v>253</v>
      </c>
      <c r="V52" s="57" t="s">
        <v>272</v>
      </c>
    </row>
    <row r="53" spans="1:24" s="23" customFormat="1" x14ac:dyDescent="0.35">
      <c r="A53" s="209"/>
      <c r="B53" s="210"/>
      <c r="C53" s="103" t="s">
        <v>366</v>
      </c>
      <c r="D53" s="104"/>
      <c r="E53" s="104"/>
      <c r="F53" s="104"/>
      <c r="G53" s="104"/>
      <c r="H53" s="105"/>
      <c r="R53"/>
      <c r="S53" s="57" t="s">
        <v>252</v>
      </c>
      <c r="T53" s="57" t="s">
        <v>259</v>
      </c>
      <c r="U53" s="57" t="s">
        <v>266</v>
      </c>
      <c r="V53" s="77" t="s">
        <v>345</v>
      </c>
    </row>
    <row r="54" spans="1:24" s="23" customFormat="1" x14ac:dyDescent="0.35">
      <c r="A54" s="144" t="s">
        <v>276</v>
      </c>
      <c r="B54" s="145"/>
      <c r="C54" s="103" t="s">
        <v>394</v>
      </c>
      <c r="D54" s="104"/>
      <c r="E54" s="105"/>
      <c r="F54" s="18" t="s">
        <v>39</v>
      </c>
      <c r="G54" s="112">
        <v>45631</v>
      </c>
      <c r="H54" s="113"/>
      <c r="K54" s="87">
        <f>EDATE(G52,-48)</f>
        <v>44009</v>
      </c>
      <c r="L54" s="23" t="str">
        <f ca="1">IF(G52&gt;EDATE(E3,-48),"NO REMARK","CC REMARK FOR CC")</f>
        <v>NO REMARK</v>
      </c>
      <c r="R54"/>
      <c r="S54" s="57" t="s">
        <v>251</v>
      </c>
      <c r="T54" s="57" t="s">
        <v>256</v>
      </c>
      <c r="U54" s="57" t="s">
        <v>253</v>
      </c>
      <c r="V54" s="57" t="s">
        <v>272</v>
      </c>
    </row>
    <row r="55" spans="1:24" s="23" customFormat="1" ht="32.25" customHeight="1" x14ac:dyDescent="0.35">
      <c r="A55" s="146"/>
      <c r="B55" s="147"/>
      <c r="C55" s="217" t="s">
        <v>395</v>
      </c>
      <c r="D55" s="218"/>
      <c r="E55" s="218"/>
      <c r="F55" s="218"/>
      <c r="G55" s="218"/>
      <c r="H55" s="219"/>
      <c r="R55"/>
      <c r="S55" s="57" t="s">
        <v>253</v>
      </c>
      <c r="T55" s="57" t="s">
        <v>257</v>
      </c>
      <c r="U55" s="57" t="s">
        <v>267</v>
      </c>
      <c r="V55" s="78"/>
      <c r="W55" s="21"/>
      <c r="X55" s="21"/>
    </row>
    <row r="56" spans="1:24" s="23" customFormat="1" ht="34.5" hidden="1" customHeight="1" x14ac:dyDescent="0.35">
      <c r="A56" s="148" t="s">
        <v>277</v>
      </c>
      <c r="B56" s="149"/>
      <c r="C56" s="103"/>
      <c r="D56" s="104"/>
      <c r="E56" s="105"/>
      <c r="F56" s="18" t="s">
        <v>39</v>
      </c>
      <c r="G56" s="112">
        <f>G55</f>
        <v>0</v>
      </c>
      <c r="H56" s="113"/>
      <c r="R56"/>
      <c r="S56" s="78"/>
      <c r="T56" s="57" t="s">
        <v>258</v>
      </c>
      <c r="U56" s="57" t="s">
        <v>268</v>
      </c>
      <c r="V56" s="78"/>
      <c r="W56" s="21"/>
      <c r="X56" s="21"/>
    </row>
    <row r="57" spans="1:24" s="23" customFormat="1" ht="41.25" hidden="1" customHeight="1" x14ac:dyDescent="0.35">
      <c r="A57" s="150"/>
      <c r="B57" s="151"/>
      <c r="C57" s="103"/>
      <c r="D57" s="104"/>
      <c r="E57" s="104"/>
      <c r="F57" s="104"/>
      <c r="G57" s="104"/>
      <c r="H57" s="105"/>
      <c r="R57"/>
      <c r="S57" s="78"/>
      <c r="T57" s="57" t="s">
        <v>260</v>
      </c>
      <c r="U57" s="57" t="s">
        <v>269</v>
      </c>
      <c r="V57" s="78"/>
      <c r="W57" s="21"/>
      <c r="X57" s="21"/>
    </row>
    <row r="58" spans="1:24" s="23" customFormat="1" ht="15.75" hidden="1" customHeight="1" x14ac:dyDescent="0.35">
      <c r="A58" s="148" t="s">
        <v>348</v>
      </c>
      <c r="B58" s="149"/>
      <c r="C58" s="103"/>
      <c r="D58" s="104"/>
      <c r="E58" s="105"/>
      <c r="F58" s="18" t="s">
        <v>39</v>
      </c>
      <c r="G58" s="112"/>
      <c r="H58" s="113"/>
      <c r="R58"/>
      <c r="S58" s="78"/>
      <c r="T58" s="57" t="s">
        <v>261</v>
      </c>
      <c r="U58" s="78" t="s">
        <v>291</v>
      </c>
      <c r="V58" s="78"/>
      <c r="W58" s="21"/>
      <c r="X58" s="21"/>
    </row>
    <row r="59" spans="1:24" s="23" customFormat="1" ht="33.75" hidden="1" customHeight="1" x14ac:dyDescent="0.35">
      <c r="A59" s="150"/>
      <c r="B59" s="151"/>
      <c r="C59" s="123" t="s">
        <v>350</v>
      </c>
      <c r="D59" s="123"/>
      <c r="E59" s="123"/>
      <c r="F59" s="18" t="s">
        <v>349</v>
      </c>
      <c r="G59" s="112"/>
      <c r="H59" s="113"/>
      <c r="R59"/>
      <c r="S59" s="78"/>
      <c r="T59" s="57" t="s">
        <v>262</v>
      </c>
      <c r="U59" s="78"/>
      <c r="V59" s="78"/>
      <c r="W59" s="21"/>
      <c r="X59" s="21"/>
    </row>
    <row r="60" spans="1:24" x14ac:dyDescent="0.35">
      <c r="A60" s="137" t="s">
        <v>41</v>
      </c>
      <c r="B60" s="138"/>
      <c r="C60" s="137" t="s">
        <v>101</v>
      </c>
      <c r="D60" s="139"/>
      <c r="E60" s="138"/>
      <c r="F60" s="44" t="s">
        <v>39</v>
      </c>
      <c r="G60" s="142" t="s">
        <v>27</v>
      </c>
      <c r="H60" s="143"/>
      <c r="R60"/>
      <c r="S60" s="78"/>
      <c r="T60" s="57" t="s">
        <v>264</v>
      </c>
      <c r="U60" s="78"/>
      <c r="V60" s="78"/>
    </row>
    <row r="61" spans="1:24" x14ac:dyDescent="0.35">
      <c r="A61" s="171" t="s">
        <v>43</v>
      </c>
      <c r="B61" s="171"/>
      <c r="C61" s="171"/>
      <c r="D61" s="171"/>
      <c r="E61" s="171"/>
      <c r="F61" s="171"/>
      <c r="G61" s="171"/>
      <c r="H61" s="171"/>
      <c r="S61" s="78"/>
      <c r="T61" s="57" t="s">
        <v>273</v>
      </c>
      <c r="U61" s="78"/>
      <c r="V61" s="78"/>
    </row>
    <row r="62" spans="1:24" x14ac:dyDescent="0.35">
      <c r="A62" s="123" t="s">
        <v>384</v>
      </c>
      <c r="B62" s="123"/>
      <c r="C62" s="123"/>
      <c r="D62" s="101">
        <v>9807.0499999999993</v>
      </c>
      <c r="E62" s="101"/>
      <c r="F62" s="101"/>
      <c r="G62" s="101"/>
      <c r="H62" s="101"/>
      <c r="R62"/>
    </row>
    <row r="63" spans="1:24" x14ac:dyDescent="0.35">
      <c r="A63" s="211" t="s">
        <v>44</v>
      </c>
      <c r="B63" s="125"/>
      <c r="C63" s="125"/>
      <c r="D63" s="117" t="s">
        <v>377</v>
      </c>
      <c r="E63" s="117"/>
      <c r="F63" s="117"/>
      <c r="G63" s="117"/>
      <c r="H63" s="117"/>
      <c r="I63" s="24"/>
      <c r="R63"/>
    </row>
    <row r="64" spans="1:24" x14ac:dyDescent="0.35">
      <c r="A64" s="144" t="s">
        <v>45</v>
      </c>
      <c r="B64" s="197"/>
      <c r="C64" s="145"/>
      <c r="D64" s="195" t="s">
        <v>367</v>
      </c>
      <c r="E64" s="196"/>
      <c r="F64" s="196"/>
      <c r="G64" s="196"/>
      <c r="H64" s="196"/>
      <c r="R64"/>
    </row>
    <row r="65" spans="1:19" ht="15.75" customHeight="1" x14ac:dyDescent="0.35">
      <c r="A65" s="144" t="s">
        <v>85</v>
      </c>
      <c r="B65" s="197"/>
      <c r="C65" s="197"/>
      <c r="D65" s="201" t="s">
        <v>366</v>
      </c>
      <c r="E65" s="202"/>
      <c r="F65" s="202"/>
      <c r="G65" s="202"/>
      <c r="H65" s="203"/>
      <c r="R65"/>
    </row>
    <row r="66" spans="1:19" ht="15.75" customHeight="1" x14ac:dyDescent="0.35">
      <c r="A66" s="101" t="s">
        <v>42</v>
      </c>
      <c r="B66" s="101"/>
      <c r="C66" s="101"/>
      <c r="D66" s="206" t="s">
        <v>368</v>
      </c>
      <c r="E66" s="206"/>
      <c r="F66" s="206"/>
      <c r="G66" s="206"/>
      <c r="H66" s="206"/>
      <c r="J66" s="25"/>
      <c r="K66" s="24"/>
      <c r="N66" s="24"/>
      <c r="S66"/>
    </row>
    <row r="67" spans="1:19" ht="15.75" customHeight="1" x14ac:dyDescent="0.35">
      <c r="A67" s="101" t="s">
        <v>83</v>
      </c>
      <c r="B67" s="101"/>
      <c r="C67" s="101"/>
      <c r="D67" s="193" t="str">
        <f>(IF(G60="NA","60 Years After Completion",IF(G60&lt;&gt;"NA",""&amp;60-ROUNDDOWN((E3-G60)/360,0)&amp;" Years"," ")))</f>
        <v>60 Years After Completion</v>
      </c>
      <c r="E67" s="193"/>
      <c r="F67" s="193"/>
      <c r="G67" s="193"/>
      <c r="H67" s="193"/>
      <c r="N67" s="24"/>
      <c r="S67"/>
    </row>
    <row r="68" spans="1:19" ht="15.75" customHeight="1" x14ac:dyDescent="0.35">
      <c r="A68" s="101" t="s">
        <v>84</v>
      </c>
      <c r="B68" s="101"/>
      <c r="C68" s="101"/>
      <c r="D68" s="123" t="s">
        <v>22</v>
      </c>
      <c r="E68" s="123"/>
      <c r="F68" s="123"/>
      <c r="G68" s="123"/>
      <c r="H68" s="123"/>
      <c r="J68" s="26"/>
      <c r="K68" s="26"/>
      <c r="S68"/>
    </row>
    <row r="69" spans="1:19" ht="33.75" customHeight="1" x14ac:dyDescent="0.35">
      <c r="A69" s="125" t="s">
        <v>370</v>
      </c>
      <c r="B69" s="125"/>
      <c r="C69" s="125"/>
      <c r="D69" s="126" t="s">
        <v>369</v>
      </c>
      <c r="E69" s="126"/>
      <c r="F69" s="126"/>
      <c r="G69" s="126"/>
      <c r="H69" s="126"/>
      <c r="S69"/>
    </row>
    <row r="70" spans="1:19" x14ac:dyDescent="0.35">
      <c r="A70" s="123" t="s">
        <v>143</v>
      </c>
      <c r="B70" s="123"/>
      <c r="C70" s="123"/>
      <c r="D70" s="123" t="s">
        <v>27</v>
      </c>
      <c r="E70" s="123"/>
      <c r="F70" s="123"/>
      <c r="G70" s="123"/>
      <c r="H70" s="123"/>
      <c r="I70" s="27"/>
      <c r="J70" s="27"/>
      <c r="K70" s="27"/>
      <c r="L70" s="27"/>
      <c r="M70" s="27"/>
      <c r="N70" s="27"/>
    </row>
    <row r="71" spans="1:19" ht="15.75" customHeight="1" x14ac:dyDescent="0.35">
      <c r="A71" s="101" t="s">
        <v>82</v>
      </c>
      <c r="B71" s="101"/>
      <c r="C71" s="101"/>
      <c r="D71" s="126" t="str">
        <f ca="1">(IF(G77&gt;95%,"Nothing",IF(G77&gt;0%,"Cement, Aggregate, Steel, etc",IF(G77=0%,"Work not yet Started"))))</f>
        <v>Cement, Aggregate, Steel, etc</v>
      </c>
      <c r="E71" s="126"/>
      <c r="F71" s="126"/>
      <c r="G71" s="126"/>
      <c r="H71" s="126"/>
      <c r="J71" s="26"/>
      <c r="S71"/>
    </row>
    <row r="72" spans="1:19" ht="33.75" customHeight="1" thickBot="1" x14ac:dyDescent="0.4">
      <c r="A72" s="123" t="s">
        <v>114</v>
      </c>
      <c r="B72" s="123"/>
      <c r="C72" s="123"/>
      <c r="D72" s="126" t="str">
        <f ca="1">(IF(D71="Nothing","Yes",IF(D71="Cement, Aggregate, Steel, etc","Under Construction",IF(D71="Work not yet Started","Work not yet Started"))))</f>
        <v>Under Construction</v>
      </c>
      <c r="E72" s="126"/>
      <c r="F72" s="126" t="str">
        <f ca="1">(IF(D71="Nothing","Yes",IF(D71="Cement, Aggregate, Steel, etc","Under Construction",IF(D71="Work not yet Started","Work not yet Started"))))</f>
        <v>Under Construction</v>
      </c>
      <c r="G72" s="126"/>
      <c r="H72" s="126"/>
      <c r="S72"/>
    </row>
    <row r="73" spans="1:19" ht="15.75" customHeight="1" x14ac:dyDescent="0.35">
      <c r="A73" s="132" t="s">
        <v>135</v>
      </c>
      <c r="B73" s="132"/>
      <c r="C73" s="132" t="str">
        <f>D65</f>
        <v>Building A = G + 1st to 26th Floor</v>
      </c>
      <c r="D73" s="132"/>
      <c r="E73" s="132"/>
      <c r="F73" s="132"/>
      <c r="G73" s="132"/>
      <c r="H73" s="132"/>
      <c r="I73" s="99" t="str">
        <f ca="1">IF(D86=100%,"All work Completed. Possession granted to the Building.",IF(D85=100%,"All work Completed, Waiting for OC",I74&amp;""&amp;I75&amp;""&amp;J74&amp;""&amp;J73&amp;" "&amp;J75))</f>
        <v>Excavation, Plinth Completed, RCC upto 24 Slab, Brickwork upto 17 Floor, Internal Plaster upto 13 Floor, External Plaster upto 6 Floor Completed</v>
      </c>
      <c r="J73" s="48"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24 Slab, Brickwork upto 17 Floor, Internal Plaster upto 13 Floor, External Plaster upto 6 Floor</v>
      </c>
      <c r="S73"/>
    </row>
    <row r="74" spans="1:19" x14ac:dyDescent="0.35">
      <c r="A74" s="51" t="s">
        <v>137</v>
      </c>
      <c r="B74" s="51">
        <f>IF(AND(ISNUMBER(SEARCH("1B",C73))),1,IF(AND(ISNUMBER(SEARCH("2B",C73))),2,IF(AND(ISNUMBER(SEARCH("3B",C73))),3,IF(AND(ISNUMBER(SEARCH("4B",C73))),4,IF(ISNUMBER(SEARCH("5B",C73)),5,0)))))</f>
        <v>0</v>
      </c>
      <c r="C74" s="51" t="s">
        <v>68</v>
      </c>
      <c r="D74" s="51">
        <v>1</v>
      </c>
      <c r="E74" s="51" t="s">
        <v>67</v>
      </c>
      <c r="F74" s="51">
        <v>0</v>
      </c>
      <c r="G74" s="46" t="s">
        <v>76</v>
      </c>
      <c r="H74" s="51">
        <f ca="1">--TRIM(RIGHT(SUBSTITUTE(LEFT(C73,_xlfn.AGGREGATE(16,6,FIND({0,1,2,3,4,5,6,7,8,9},C73,ROW(INDIRECT("1:"&amp;LEN(C73)))),1))," ",REPT(" ",LEN(C73))),LEN(C73)))</f>
        <v>26</v>
      </c>
      <c r="I74" s="100" t="str">
        <f ca="1">IF(D77=100%,"Excavation","")&amp;IF(D78=100%,", Plinth","")&amp;IF(D79=100%,", RCC Slab","")&amp;IF(D80=100%,", Brickwork","")&amp;IF(D81=100%,", Internal Plaster","")&amp;IF(D82=100%,", External Plaster","")&amp;IF(D83=100%,", Flooring","")&amp;IF(D84=100%,", Painting","")&amp;IF(D85=100%,", Building common Amenities","")</f>
        <v>Excavation, Plinth</v>
      </c>
      <c r="J74" s="50"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35">
      <c r="A75" s="182" t="s">
        <v>86</v>
      </c>
      <c r="B75" s="182"/>
      <c r="C75" s="124" t="str">
        <f ca="1">I73</f>
        <v>Excavation, Plinth Completed, RCC upto 24 Slab, Brickwork upto 17 Floor, Internal Plaster upto 13 Floor, External Plaster upto 6 Floor Completed</v>
      </c>
      <c r="D75" s="124"/>
      <c r="E75" s="124"/>
      <c r="F75" s="124"/>
      <c r="G75" s="124"/>
      <c r="H75" s="124"/>
      <c r="I75" s="100" t="str">
        <f ca="1">IF(I74&lt;&gt;""," Completed","")</f>
        <v xml:space="preserve"> Completed</v>
      </c>
      <c r="J75" s="50" t="str">
        <f ca="1">IF(J73&lt;&gt;"","Completed","")</f>
        <v>Completed</v>
      </c>
      <c r="S75"/>
    </row>
    <row r="76" spans="1:19" ht="15.75" customHeight="1" x14ac:dyDescent="0.35">
      <c r="A76" s="114" t="s">
        <v>46</v>
      </c>
      <c r="B76" s="115"/>
      <c r="C76" s="42" t="s">
        <v>134</v>
      </c>
      <c r="D76" s="42" t="s">
        <v>79</v>
      </c>
      <c r="E76" s="115" t="s">
        <v>81</v>
      </c>
      <c r="F76" s="115"/>
      <c r="G76" s="115" t="s">
        <v>80</v>
      </c>
      <c r="H76" s="128"/>
      <c r="I76" s="13" t="s">
        <v>136</v>
      </c>
      <c r="J76" s="28">
        <f ca="1">H74*25%</f>
        <v>6.5</v>
      </c>
      <c r="S76"/>
    </row>
    <row r="77" spans="1:19" x14ac:dyDescent="0.35">
      <c r="A77" s="114" t="s">
        <v>123</v>
      </c>
      <c r="B77" s="115"/>
      <c r="C77" s="92">
        <f ca="1">J78</f>
        <v>26</v>
      </c>
      <c r="D77" s="19">
        <f ca="1">((100/H74)*C77)/100</f>
        <v>1</v>
      </c>
      <c r="E77" s="220">
        <f ca="1">(((C78/H74*10)+(40/(D74+F74+H74)*C79)+(7.5/(H74)*C80)+(7.5/(H74)*C81)+(10/H74*C82)+(10/H74*C83)+(5/H74*C84)+(5/H74*C85)+(5/H74*C86))/100)</f>
        <v>0.56517094017094016</v>
      </c>
      <c r="F77" s="221"/>
      <c r="G77" s="220">
        <f ca="1">((((C77/H74)*20)+((C78/H74)*25)+(30/(H74+F74+D74)*C79)+(5/H74*C80)+(5/H74*C81)+(5/H74*C82)+(5/H74*C83)+(0/H74*C84)+(0/H74*C85)+(5/H74*C86))/100)</f>
        <v>0.7858974358974361</v>
      </c>
      <c r="H77" s="236"/>
      <c r="I77" s="13" t="s">
        <v>96</v>
      </c>
      <c r="J77" s="29">
        <f ca="1">H74*50%</f>
        <v>13</v>
      </c>
    </row>
    <row r="78" spans="1:19" x14ac:dyDescent="0.35">
      <c r="A78" s="114" t="s">
        <v>47</v>
      </c>
      <c r="B78" s="115"/>
      <c r="C78" s="42">
        <f ca="1">J86</f>
        <v>26</v>
      </c>
      <c r="D78" s="19">
        <f ca="1">((100/H74)*C78)/100</f>
        <v>1</v>
      </c>
      <c r="E78" s="222"/>
      <c r="F78" s="223"/>
      <c r="G78" s="222"/>
      <c r="H78" s="237"/>
      <c r="I78" s="13" t="s">
        <v>97</v>
      </c>
      <c r="J78" s="29">
        <f ca="1">H74</f>
        <v>26</v>
      </c>
      <c r="S78"/>
    </row>
    <row r="79" spans="1:19" ht="15.75" customHeight="1" x14ac:dyDescent="0.35">
      <c r="A79" s="114" t="s">
        <v>124</v>
      </c>
      <c r="B79" s="115"/>
      <c r="C79" s="42">
        <v>24</v>
      </c>
      <c r="D79" s="19">
        <f ca="1">((100/(D74+F74+H74))*C79)/100</f>
        <v>0.88888888888888884</v>
      </c>
      <c r="E79" s="222"/>
      <c r="F79" s="223"/>
      <c r="G79" s="222"/>
      <c r="H79" s="237"/>
      <c r="I79" s="13" t="s">
        <v>98</v>
      </c>
      <c r="J79" s="30">
        <f ca="1">(IF(B74&gt;1,(H74/(B74+2)),H74/4))</f>
        <v>6.5</v>
      </c>
      <c r="S79"/>
    </row>
    <row r="80" spans="1:19" ht="15.75" customHeight="1" x14ac:dyDescent="0.35">
      <c r="A80" s="114" t="s">
        <v>131</v>
      </c>
      <c r="B80" s="115" t="s">
        <v>125</v>
      </c>
      <c r="C80" s="42">
        <v>17</v>
      </c>
      <c r="D80" s="19">
        <f ca="1">((100/H74)*C80)/100</f>
        <v>0.65384615384615385</v>
      </c>
      <c r="E80" s="222"/>
      <c r="F80" s="223"/>
      <c r="G80" s="222"/>
      <c r="H80" s="237"/>
      <c r="I80" s="13" t="s">
        <v>99</v>
      </c>
      <c r="J80" s="30">
        <f ca="1">(IF(B74&gt;1,(H74/(B74+2)+J79),H74/4+J79))</f>
        <v>13</v>
      </c>
    </row>
    <row r="81" spans="1:19" ht="15.75" customHeight="1" x14ac:dyDescent="0.35">
      <c r="A81" s="114" t="s">
        <v>132</v>
      </c>
      <c r="B81" s="115" t="s">
        <v>125</v>
      </c>
      <c r="C81" s="42">
        <v>13</v>
      </c>
      <c r="D81" s="19">
        <f ca="1">((100/H74)*C81)/100</f>
        <v>0.5</v>
      </c>
      <c r="E81" s="222"/>
      <c r="F81" s="223"/>
      <c r="G81" s="222"/>
      <c r="H81" s="237"/>
      <c r="I81" s="13" t="s">
        <v>141</v>
      </c>
      <c r="J81" s="30">
        <f>(IF(B74&gt;1,(H74/(B74+2)+J80),0))</f>
        <v>0</v>
      </c>
    </row>
    <row r="82" spans="1:19" ht="15" customHeight="1" x14ac:dyDescent="0.35">
      <c r="A82" s="114" t="s">
        <v>130</v>
      </c>
      <c r="B82" s="115" t="s">
        <v>127</v>
      </c>
      <c r="C82" s="61">
        <v>6</v>
      </c>
      <c r="D82" s="19">
        <f ca="1">((100/(H74))*C82)/100</f>
        <v>0.23076923076923075</v>
      </c>
      <c r="E82" s="222"/>
      <c r="F82" s="223"/>
      <c r="G82" s="222"/>
      <c r="H82" s="237"/>
      <c r="I82" s="13" t="s">
        <v>138</v>
      </c>
      <c r="J82" s="30">
        <f>(IF(B74&gt;2,(H74/(B74+2)+J81),0))</f>
        <v>0</v>
      </c>
    </row>
    <row r="83" spans="1:19" ht="15.75" customHeight="1" x14ac:dyDescent="0.35">
      <c r="A83" s="114" t="s">
        <v>126</v>
      </c>
      <c r="B83" s="115" t="s">
        <v>126</v>
      </c>
      <c r="C83" s="42">
        <v>0</v>
      </c>
      <c r="D83" s="19">
        <f ca="1">((100/H74)*C83)/100</f>
        <v>0</v>
      </c>
      <c r="E83" s="222"/>
      <c r="F83" s="223"/>
      <c r="G83" s="222"/>
      <c r="H83" s="237"/>
      <c r="I83" s="13" t="s">
        <v>139</v>
      </c>
      <c r="J83" s="31">
        <f>(IF(B74&gt;3,(H74/(B74+2)+J82),0))</f>
        <v>0</v>
      </c>
    </row>
    <row r="84" spans="1:19" ht="15.75" customHeight="1" x14ac:dyDescent="0.35">
      <c r="A84" s="114" t="s">
        <v>133</v>
      </c>
      <c r="B84" s="115"/>
      <c r="C84" s="42">
        <v>0</v>
      </c>
      <c r="D84" s="19">
        <f ca="1">((100/H74)*C84)/100</f>
        <v>0</v>
      </c>
      <c r="E84" s="222"/>
      <c r="F84" s="223"/>
      <c r="G84" s="222"/>
      <c r="H84" s="237"/>
      <c r="I84" s="13" t="s">
        <v>140</v>
      </c>
      <c r="J84" s="30">
        <f>(IF(B74&gt;4,(H74/(B74+2)+J83),0))</f>
        <v>0</v>
      </c>
    </row>
    <row r="85" spans="1:19" ht="15.75" customHeight="1" x14ac:dyDescent="0.35">
      <c r="A85" s="114" t="s">
        <v>128</v>
      </c>
      <c r="B85" s="115" t="s">
        <v>128</v>
      </c>
      <c r="C85" s="42">
        <v>0</v>
      </c>
      <c r="D85" s="19">
        <f ca="1">((100/(H74))*C85)/100</f>
        <v>0</v>
      </c>
      <c r="E85" s="222"/>
      <c r="F85" s="223"/>
      <c r="G85" s="222"/>
      <c r="H85" s="237"/>
      <c r="I85" s="13" t="s">
        <v>142</v>
      </c>
      <c r="J85" s="30">
        <f ca="1">(IF(B74=1,(H74/(B74+3)+J80),IF(B74=0,(H74/4+J80),IF(B74&gt;1,0))))</f>
        <v>19.5</v>
      </c>
    </row>
    <row r="86" spans="1:19" ht="16" thickBot="1" x14ac:dyDescent="0.4">
      <c r="A86" s="129" t="s">
        <v>129</v>
      </c>
      <c r="B86" s="130"/>
      <c r="C86" s="43">
        <v>0</v>
      </c>
      <c r="D86" s="20">
        <f ca="1">((100/(H74))*C86)/100</f>
        <v>0</v>
      </c>
      <c r="E86" s="224"/>
      <c r="F86" s="225"/>
      <c r="G86" s="224"/>
      <c r="H86" s="238"/>
      <c r="I86" s="15" t="s">
        <v>100</v>
      </c>
      <c r="J86" s="32">
        <f ca="1">(IF(B74&gt;1.5,(H74/(B74+2)+J80+MAX(0,J81-J80)+MAX(0,J82-J81)+MAX(0,J83-J82)+MAX(0,J84-J83)+MAX(0,J85-J84)),IF(B74=1,(H74/(B74+3)+J85),IF(B74=0,H74/4+J85))))</f>
        <v>26</v>
      </c>
    </row>
    <row r="87" spans="1:19" ht="15.75" hidden="1" customHeight="1" x14ac:dyDescent="0.35">
      <c r="A87" s="227" t="s">
        <v>135</v>
      </c>
      <c r="B87" s="228"/>
      <c r="C87" s="229" t="e">
        <f>#REF!</f>
        <v>#REF!</v>
      </c>
      <c r="D87" s="230"/>
      <c r="E87" s="230"/>
      <c r="F87" s="230"/>
      <c r="G87" s="230"/>
      <c r="H87" s="231"/>
      <c r="I87" s="47" t="e">
        <f ca="1">IF(D100=100%,"All work Completed. Possession granted to the Building.",IF(D99=100%,"All work Completed, Waiting for OC",I88&amp;""&amp;I89&amp;""&amp;J88&amp;""&amp;J87&amp;" "&amp;J89))</f>
        <v>#REF!</v>
      </c>
      <c r="J87" s="48"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c r="S87"/>
    </row>
    <row r="88" spans="1:19" hidden="1" x14ac:dyDescent="0.35">
      <c r="A88" s="16" t="s">
        <v>137</v>
      </c>
      <c r="B88" s="51">
        <f>IF(AND(ISNUMBER(SEARCH("1B",C87))),1,IF(AND(ISNUMBER(SEARCH("2B",C87))),2,IF(AND(ISNUMBER(SEARCH("3B",C87))),3,IF(AND(ISNUMBER(SEARCH("4B",C87))),4,IF(ISNUMBER(SEARCH("5B",C87)),5,0)))))</f>
        <v>0</v>
      </c>
      <c r="C88" s="51" t="s">
        <v>68</v>
      </c>
      <c r="D88" s="51">
        <v>1</v>
      </c>
      <c r="E88" s="51" t="s">
        <v>67</v>
      </c>
      <c r="F88" s="14">
        <v>0</v>
      </c>
      <c r="G88" s="46" t="s">
        <v>76</v>
      </c>
      <c r="H88" s="17" t="e">
        <f ca="1">--TRIM(RIGHT(SUBSTITUTE(LEFT(C87,_xlfn.AGGREGATE(16,6,FIND({0,1,2,3,4,5,6,7,8,9},C87,ROW(INDIRECT("1:"&amp;LEN(C87)))),1))," ",REPT(" ",LEN(C87))),LEN(C87)))</f>
        <v>#REF!</v>
      </c>
      <c r="I88" s="49" t="e">
        <f ca="1">IF(D91=100%,"Excavation","")&amp;IF(D92=100%,", Plinth","")&amp;IF(D93=100%,", RCC Slab","")&amp;IF(D94=100%,", Brickwork","")&amp;IF(D95=100%,", Internal Plaster","")&amp;IF(D96=100%,", External Plaster","")&amp;IF(D97=100%,", Flooring","")&amp;IF(D98=100%,", Painting","")&amp;IF(D99=100%,", Building common Amenities","")</f>
        <v>#REF!</v>
      </c>
      <c r="J88" s="50"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c r="S88"/>
    </row>
    <row r="89" spans="1:19" hidden="1" x14ac:dyDescent="0.35">
      <c r="A89" s="204" t="s">
        <v>86</v>
      </c>
      <c r="B89" s="182"/>
      <c r="C89" s="124" t="e">
        <f ca="1">I87</f>
        <v>#REF!</v>
      </c>
      <c r="D89" s="124"/>
      <c r="E89" s="124"/>
      <c r="F89" s="124"/>
      <c r="G89" s="124"/>
      <c r="H89" s="235"/>
      <c r="I89" s="49" t="e">
        <f ca="1">IF(I88&lt;&gt;""," Completed","")</f>
        <v>#REF!</v>
      </c>
      <c r="J89" s="50" t="e">
        <f ca="1">IF(J87&lt;&gt;"","Completed","")</f>
        <v>#REF!</v>
      </c>
      <c r="S89"/>
    </row>
    <row r="90" spans="1:19" ht="15.75" hidden="1" customHeight="1" x14ac:dyDescent="0.35">
      <c r="A90" s="114" t="s">
        <v>46</v>
      </c>
      <c r="B90" s="115"/>
      <c r="C90" s="80" t="s">
        <v>134</v>
      </c>
      <c r="D90" s="80" t="s">
        <v>79</v>
      </c>
      <c r="E90" s="115" t="s">
        <v>81</v>
      </c>
      <c r="F90" s="115"/>
      <c r="G90" s="115" t="s">
        <v>80</v>
      </c>
      <c r="H90" s="128"/>
      <c r="I90" s="13" t="s">
        <v>136</v>
      </c>
      <c r="J90" s="28" t="e">
        <f ca="1">H88*25%</f>
        <v>#REF!</v>
      </c>
      <c r="S90"/>
    </row>
    <row r="91" spans="1:19" hidden="1" x14ac:dyDescent="0.35">
      <c r="A91" s="114" t="s">
        <v>123</v>
      </c>
      <c r="B91" s="115"/>
      <c r="C91" s="62" t="e">
        <f ca="1">J92</f>
        <v>#REF!</v>
      </c>
      <c r="D91" s="19" t="e">
        <f ca="1">((100/H88)*C91)/100</f>
        <v>#REF!</v>
      </c>
      <c r="E91" s="220" t="e">
        <f ca="1">(((C92/H88*10)+(40/(D88+F88+H88)*C93)+(7.5/(H88)*C94)+(7.5/(H88)*C95)+(10/H88*C96)+(10/H88*C97)+(5/H88*C98)+(5/H88*C99)+(5/H88*C100))/100)</f>
        <v>#REF!</v>
      </c>
      <c r="F91" s="221"/>
      <c r="G91" s="220" t="e">
        <f ca="1">((((C91/H88)*20)+((C92/H88)*25)+(30/(H88+F88+D88)*C93)+(5/H88*C94)+(5/H88*C95)+(5/H88*C96)+(5/H88*C97)+(0/H88*C98)+(0/H88*C99)+(5/H88*C100))/100)</f>
        <v>#REF!</v>
      </c>
      <c r="H91" s="236"/>
      <c r="I91" s="13" t="s">
        <v>96</v>
      </c>
      <c r="J91" s="29" t="e">
        <f ca="1">H88*50%</f>
        <v>#REF!</v>
      </c>
    </row>
    <row r="92" spans="1:19" hidden="1" x14ac:dyDescent="0.35">
      <c r="A92" s="114" t="s">
        <v>47</v>
      </c>
      <c r="B92" s="115"/>
      <c r="C92" s="80" t="e">
        <f ca="1">J100</f>
        <v>#REF!</v>
      </c>
      <c r="D92" s="19" t="e">
        <f ca="1">((100/H88)*C92)/100</f>
        <v>#REF!</v>
      </c>
      <c r="E92" s="222"/>
      <c r="F92" s="223"/>
      <c r="G92" s="222"/>
      <c r="H92" s="237"/>
      <c r="I92" s="13" t="s">
        <v>97</v>
      </c>
      <c r="J92" s="29" t="e">
        <f ca="1">H88</f>
        <v>#REF!</v>
      </c>
      <c r="S92"/>
    </row>
    <row r="93" spans="1:19" ht="15.75" hidden="1" customHeight="1" x14ac:dyDescent="0.35">
      <c r="A93" s="114" t="s">
        <v>124</v>
      </c>
      <c r="B93" s="115"/>
      <c r="C93" s="80">
        <v>0</v>
      </c>
      <c r="D93" s="19" t="e">
        <f ca="1">((100/(D88+F88+H88))*C93)/100</f>
        <v>#REF!</v>
      </c>
      <c r="E93" s="222"/>
      <c r="F93" s="223"/>
      <c r="G93" s="222"/>
      <c r="H93" s="237"/>
      <c r="I93" s="13" t="s">
        <v>98</v>
      </c>
      <c r="J93" s="30" t="e">
        <f ca="1">(IF(B88&gt;1,(H88/(B88+2)),H88/4))</f>
        <v>#REF!</v>
      </c>
      <c r="S93"/>
    </row>
    <row r="94" spans="1:19" ht="15.75" hidden="1" customHeight="1" x14ac:dyDescent="0.35">
      <c r="A94" s="114" t="s">
        <v>131</v>
      </c>
      <c r="B94" s="115" t="s">
        <v>125</v>
      </c>
      <c r="C94" s="80">
        <v>0</v>
      </c>
      <c r="D94" s="19" t="e">
        <f ca="1">((100/H88)*C94)/100</f>
        <v>#REF!</v>
      </c>
      <c r="E94" s="222"/>
      <c r="F94" s="223"/>
      <c r="G94" s="222"/>
      <c r="H94" s="237"/>
      <c r="I94" s="13" t="s">
        <v>99</v>
      </c>
      <c r="J94" s="30" t="e">
        <f ca="1">(IF(B88&gt;1,(H88/(B88+2)+J93),H88/4+J93))</f>
        <v>#REF!</v>
      </c>
    </row>
    <row r="95" spans="1:19" ht="15.75" hidden="1" customHeight="1" x14ac:dyDescent="0.35">
      <c r="A95" s="114" t="s">
        <v>132</v>
      </c>
      <c r="B95" s="115" t="s">
        <v>125</v>
      </c>
      <c r="C95" s="80">
        <v>0</v>
      </c>
      <c r="D95" s="19" t="e">
        <f ca="1">((100/H88)*C95)/100</f>
        <v>#REF!</v>
      </c>
      <c r="E95" s="222"/>
      <c r="F95" s="223"/>
      <c r="G95" s="222"/>
      <c r="H95" s="237"/>
      <c r="I95" s="13" t="s">
        <v>141</v>
      </c>
      <c r="J95" s="30">
        <f>(IF(B88&gt;1,(H88/(B88+2)+J94),0))</f>
        <v>0</v>
      </c>
    </row>
    <row r="96" spans="1:19" ht="15" hidden="1" customHeight="1" x14ac:dyDescent="0.35">
      <c r="A96" s="114" t="s">
        <v>130</v>
      </c>
      <c r="B96" s="115" t="s">
        <v>127</v>
      </c>
      <c r="C96" s="80">
        <v>0</v>
      </c>
      <c r="D96" s="19" t="e">
        <f ca="1">((100/(H88))*C96)/100</f>
        <v>#REF!</v>
      </c>
      <c r="E96" s="222"/>
      <c r="F96" s="223"/>
      <c r="G96" s="222"/>
      <c r="H96" s="237"/>
      <c r="I96" s="13" t="s">
        <v>138</v>
      </c>
      <c r="J96" s="30">
        <f>(IF(B88&gt;2,(H88/(B88+2)+J95),0))</f>
        <v>0</v>
      </c>
    </row>
    <row r="97" spans="1:22" ht="15.75" hidden="1" customHeight="1" x14ac:dyDescent="0.35">
      <c r="A97" s="114" t="s">
        <v>126</v>
      </c>
      <c r="B97" s="115" t="s">
        <v>126</v>
      </c>
      <c r="C97" s="80">
        <v>0</v>
      </c>
      <c r="D97" s="19" t="e">
        <f ca="1">((100/H88)*C97)/100</f>
        <v>#REF!</v>
      </c>
      <c r="E97" s="222"/>
      <c r="F97" s="223"/>
      <c r="G97" s="222"/>
      <c r="H97" s="237"/>
      <c r="I97" s="13" t="s">
        <v>139</v>
      </c>
      <c r="J97" s="31">
        <f>(IF(B88&gt;3,(H88/(B88+2)+J96),0))</f>
        <v>0</v>
      </c>
    </row>
    <row r="98" spans="1:22" ht="15.75" hidden="1" customHeight="1" x14ac:dyDescent="0.35">
      <c r="A98" s="114" t="s">
        <v>133</v>
      </c>
      <c r="B98" s="115"/>
      <c r="C98" s="80">
        <v>0</v>
      </c>
      <c r="D98" s="19" t="e">
        <f ca="1">((100/H88)*C98)/100</f>
        <v>#REF!</v>
      </c>
      <c r="E98" s="222"/>
      <c r="F98" s="223"/>
      <c r="G98" s="222"/>
      <c r="H98" s="237"/>
      <c r="I98" s="13" t="s">
        <v>140</v>
      </c>
      <c r="J98" s="30">
        <f>(IF(B88&gt;4,(H88/(B88+2)+J97),0))</f>
        <v>0</v>
      </c>
    </row>
    <row r="99" spans="1:22" ht="15.75" hidden="1" customHeight="1" x14ac:dyDescent="0.35">
      <c r="A99" s="114" t="s">
        <v>128</v>
      </c>
      <c r="B99" s="115" t="s">
        <v>128</v>
      </c>
      <c r="C99" s="80">
        <v>0</v>
      </c>
      <c r="D99" s="19" t="e">
        <f ca="1">((100/(H88))*C99)/100</f>
        <v>#REF!</v>
      </c>
      <c r="E99" s="222"/>
      <c r="F99" s="223"/>
      <c r="G99" s="222"/>
      <c r="H99" s="237"/>
      <c r="I99" s="13" t="s">
        <v>142</v>
      </c>
      <c r="J99" s="30" t="e">
        <f ca="1">(IF(B88=1,(H88/(B88+3)+J94),IF(B88=0,(H88/4+J94),IF(B88&gt;1,0))))</f>
        <v>#REF!</v>
      </c>
    </row>
    <row r="100" spans="1:22" ht="16" hidden="1" thickBot="1" x14ac:dyDescent="0.4">
      <c r="A100" s="129" t="s">
        <v>129</v>
      </c>
      <c r="B100" s="130"/>
      <c r="C100" s="79">
        <v>0</v>
      </c>
      <c r="D100" s="20" t="e">
        <f ca="1">((100/(H88))*C100)/100</f>
        <v>#REF!</v>
      </c>
      <c r="E100" s="224"/>
      <c r="F100" s="225"/>
      <c r="G100" s="224"/>
      <c r="H100" s="238"/>
      <c r="I100" s="15" t="s">
        <v>100</v>
      </c>
      <c r="J100" s="32" t="e">
        <f ca="1">(IF(B88&gt;1.5,(H88/(B88+2)+J94+MAX(0,J95-J94)+MAX(0,J96-J95)+MAX(0,J97-J96)+MAX(0,J98-J97)+MAX(0,J99-J98)),IF(B88=1,(H88/(B88+3)+J99),IF(B88=0,H88/4+J99))))</f>
        <v>#REF!</v>
      </c>
    </row>
    <row r="101" spans="1:22" x14ac:dyDescent="0.35">
      <c r="A101" s="244" t="s">
        <v>152</v>
      </c>
      <c r="B101" s="244"/>
      <c r="C101" s="244"/>
      <c r="D101" s="244"/>
      <c r="E101" s="244"/>
      <c r="F101" s="245" t="s">
        <v>156</v>
      </c>
      <c r="G101" s="245"/>
      <c r="H101" s="245"/>
      <c r="R101" t="s">
        <v>248</v>
      </c>
      <c r="S101" t="s">
        <v>168</v>
      </c>
      <c r="T101" t="s">
        <v>175</v>
      </c>
      <c r="U101" t="s">
        <v>189</v>
      </c>
      <c r="V101" t="s">
        <v>184</v>
      </c>
    </row>
    <row r="102" spans="1:22" x14ac:dyDescent="0.35">
      <c r="A102" s="117" t="s">
        <v>154</v>
      </c>
      <c r="B102" s="117"/>
      <c r="C102" s="117"/>
      <c r="D102" s="117"/>
      <c r="E102" s="117"/>
      <c r="F102" s="116">
        <v>5500</v>
      </c>
      <c r="G102" s="116"/>
      <c r="H102" s="116"/>
      <c r="R102"/>
      <c r="S102">
        <v>800000</v>
      </c>
      <c r="T102">
        <v>150000</v>
      </c>
      <c r="U102">
        <v>100000</v>
      </c>
      <c r="V102">
        <v>100000</v>
      </c>
    </row>
    <row r="103" spans="1:22" hidden="1" x14ac:dyDescent="0.35">
      <c r="A103" s="117" t="s">
        <v>153</v>
      </c>
      <c r="B103" s="117"/>
      <c r="C103" s="117"/>
      <c r="D103" s="117"/>
      <c r="E103" s="117"/>
      <c r="F103" s="116"/>
      <c r="G103" s="116"/>
      <c r="H103" s="116"/>
      <c r="R103"/>
      <c r="S103">
        <v>900000</v>
      </c>
      <c r="T103">
        <v>200000</v>
      </c>
      <c r="U103">
        <v>150000</v>
      </c>
      <c r="V103">
        <v>150000</v>
      </c>
    </row>
    <row r="104" spans="1:22" hidden="1" x14ac:dyDescent="0.35">
      <c r="A104" s="117" t="s">
        <v>155</v>
      </c>
      <c r="B104" s="117"/>
      <c r="C104" s="117"/>
      <c r="D104" s="117"/>
      <c r="E104" s="117"/>
      <c r="F104" s="116"/>
      <c r="G104" s="116"/>
      <c r="H104" s="116"/>
      <c r="R104"/>
      <c r="S104">
        <v>1000000</v>
      </c>
      <c r="T104">
        <v>250000</v>
      </c>
      <c r="U104">
        <v>200000</v>
      </c>
      <c r="V104">
        <v>200000</v>
      </c>
    </row>
    <row r="105" spans="1:22" s="33" customFormat="1" hidden="1" x14ac:dyDescent="0.35">
      <c r="A105" s="117" t="s">
        <v>170</v>
      </c>
      <c r="B105" s="117"/>
      <c r="C105" s="117"/>
      <c r="D105" s="117"/>
      <c r="E105" s="117"/>
      <c r="F105" s="116"/>
      <c r="G105" s="116"/>
      <c r="H105" s="116"/>
      <c r="R105"/>
      <c r="S105">
        <v>1100000</v>
      </c>
      <c r="T105">
        <v>300000</v>
      </c>
      <c r="U105">
        <v>250000</v>
      </c>
      <c r="V105" s="23">
        <v>250000</v>
      </c>
    </row>
    <row r="106" spans="1:22" s="33" customFormat="1" hidden="1" x14ac:dyDescent="0.35">
      <c r="A106" s="117" t="s">
        <v>90</v>
      </c>
      <c r="B106" s="117"/>
      <c r="C106" s="117"/>
      <c r="D106" s="117"/>
      <c r="E106" s="117"/>
      <c r="F106" s="116"/>
      <c r="G106" s="116"/>
      <c r="H106" s="116"/>
      <c r="R106"/>
      <c r="S106">
        <v>1200000</v>
      </c>
      <c r="T106">
        <v>350000</v>
      </c>
      <c r="U106">
        <v>300000</v>
      </c>
      <c r="V106">
        <v>300000</v>
      </c>
    </row>
    <row r="107" spans="1:22" s="33" customFormat="1" hidden="1" x14ac:dyDescent="0.35">
      <c r="A107" s="117" t="s">
        <v>91</v>
      </c>
      <c r="B107" s="117"/>
      <c r="C107" s="117"/>
      <c r="D107" s="117"/>
      <c r="E107" s="117"/>
      <c r="F107" s="116"/>
      <c r="G107" s="116"/>
      <c r="H107" s="116"/>
      <c r="R107"/>
      <c r="S107">
        <v>1300000</v>
      </c>
      <c r="T107">
        <v>400000</v>
      </c>
      <c r="U107">
        <v>350000</v>
      </c>
      <c r="V107" s="23">
        <v>400000</v>
      </c>
    </row>
    <row r="108" spans="1:22" s="33" customFormat="1" hidden="1" x14ac:dyDescent="0.35">
      <c r="A108" s="117" t="s">
        <v>92</v>
      </c>
      <c r="B108" s="117"/>
      <c r="C108" s="117"/>
      <c r="D108" s="117"/>
      <c r="E108" s="117"/>
      <c r="F108" s="116"/>
      <c r="G108" s="116"/>
      <c r="H108" s="116"/>
      <c r="R108"/>
      <c r="S108">
        <v>1400000</v>
      </c>
      <c r="T108">
        <v>500000</v>
      </c>
      <c r="U108">
        <v>400000</v>
      </c>
      <c r="V108"/>
    </row>
    <row r="109" spans="1:22" s="33" customFormat="1" hidden="1" x14ac:dyDescent="0.35">
      <c r="A109" s="117" t="s">
        <v>93</v>
      </c>
      <c r="B109" s="117"/>
      <c r="C109" s="117"/>
      <c r="D109" s="117"/>
      <c r="E109" s="117"/>
      <c r="F109" s="116"/>
      <c r="G109" s="116"/>
      <c r="H109" s="116"/>
      <c r="R109"/>
      <c r="S109">
        <v>1500000</v>
      </c>
      <c r="T109">
        <v>600000</v>
      </c>
      <c r="U109">
        <v>500000</v>
      </c>
      <c r="V109" s="23"/>
    </row>
    <row r="110" spans="1:22" s="33" customFormat="1" hidden="1" x14ac:dyDescent="0.35">
      <c r="A110" s="101" t="s">
        <v>94</v>
      </c>
      <c r="B110" s="101"/>
      <c r="C110" s="101"/>
      <c r="D110" s="101"/>
      <c r="E110" s="101"/>
      <c r="F110" s="116"/>
      <c r="G110" s="116"/>
      <c r="H110" s="116"/>
      <c r="R110"/>
      <c r="S110">
        <v>1600000</v>
      </c>
      <c r="T110">
        <v>700000</v>
      </c>
      <c r="U110">
        <v>600000</v>
      </c>
      <c r="V110"/>
    </row>
    <row r="111" spans="1:22" s="33" customFormat="1" hidden="1" x14ac:dyDescent="0.35">
      <c r="A111" s="101" t="s">
        <v>95</v>
      </c>
      <c r="B111" s="101"/>
      <c r="C111" s="101"/>
      <c r="D111" s="101"/>
      <c r="E111" s="101"/>
      <c r="F111" s="116"/>
      <c r="G111" s="116"/>
      <c r="H111" s="116"/>
      <c r="R111"/>
      <c r="S111">
        <v>1700000</v>
      </c>
      <c r="T111">
        <v>800000</v>
      </c>
      <c r="U111"/>
      <c r="V111" s="23"/>
    </row>
    <row r="112" spans="1:22" x14ac:dyDescent="0.35">
      <c r="A112" s="101" t="s">
        <v>48</v>
      </c>
      <c r="B112" s="101"/>
      <c r="C112" s="101"/>
      <c r="D112" s="101"/>
      <c r="E112" s="101"/>
      <c r="F112" s="116">
        <v>300000</v>
      </c>
      <c r="G112" s="116"/>
      <c r="H112" s="116"/>
      <c r="R112"/>
      <c r="S112">
        <v>1800000</v>
      </c>
      <c r="T112">
        <v>900000</v>
      </c>
      <c r="U112"/>
    </row>
    <row r="113" spans="1:22" s="34" customFormat="1" x14ac:dyDescent="0.35">
      <c r="A113" s="170" t="s">
        <v>49</v>
      </c>
      <c r="B113" s="170"/>
      <c r="C113" s="170"/>
      <c r="D113" s="170"/>
      <c r="E113" s="170"/>
      <c r="F113" s="116">
        <f>F102*0.8</f>
        <v>4400</v>
      </c>
      <c r="G113" s="116"/>
      <c r="H113" s="116"/>
      <c r="R113" s="21"/>
      <c r="S113" s="21"/>
      <c r="T113">
        <v>1000000</v>
      </c>
      <c r="U113"/>
      <c r="V113" s="21"/>
    </row>
    <row r="114" spans="1:22" s="35" customFormat="1" ht="15.75" hidden="1" customHeight="1" x14ac:dyDescent="0.35">
      <c r="A114" s="169" t="s">
        <v>71</v>
      </c>
      <c r="B114" s="169"/>
      <c r="C114" s="169"/>
      <c r="D114" s="169"/>
      <c r="E114" s="169"/>
      <c r="F114" s="169"/>
      <c r="G114" s="169"/>
      <c r="H114" s="169"/>
      <c r="R114"/>
      <c r="S114" s="21"/>
      <c r="T114"/>
      <c r="U114"/>
      <c r="V114" s="21"/>
    </row>
    <row r="115" spans="1:22" s="35" customFormat="1" ht="15.75" hidden="1" customHeight="1" x14ac:dyDescent="0.35">
      <c r="A115" s="136" t="s">
        <v>50</v>
      </c>
      <c r="B115" s="136"/>
      <c r="C115" s="141" t="s">
        <v>74</v>
      </c>
      <c r="D115" s="141"/>
      <c r="E115" s="121" t="s">
        <v>51</v>
      </c>
      <c r="F115" s="121"/>
      <c r="G115" s="136" t="s">
        <v>52</v>
      </c>
      <c r="H115" s="136"/>
      <c r="R115"/>
      <c r="S115" s="21"/>
      <c r="T115"/>
      <c r="U115" s="21"/>
      <c r="V115" s="21"/>
    </row>
    <row r="116" spans="1:22" s="35" customFormat="1" hidden="1" x14ac:dyDescent="0.35">
      <c r="A116" s="140"/>
      <c r="B116" s="140"/>
      <c r="C116" s="213"/>
      <c r="D116" s="213"/>
      <c r="E116" s="214"/>
      <c r="F116" s="214"/>
      <c r="G116" s="156"/>
      <c r="H116" s="156"/>
      <c r="R116"/>
      <c r="S116" s="21"/>
      <c r="T116"/>
      <c r="U116" s="21"/>
      <c r="V116" s="21"/>
    </row>
    <row r="117" spans="1:22" s="35" customFormat="1" hidden="1" x14ac:dyDescent="0.35">
      <c r="A117" s="140"/>
      <c r="B117" s="140"/>
      <c r="C117" s="213"/>
      <c r="D117" s="213"/>
      <c r="E117" s="214"/>
      <c r="F117" s="214"/>
      <c r="G117" s="156"/>
      <c r="H117" s="156"/>
      <c r="R117"/>
      <c r="S117" s="21"/>
      <c r="T117"/>
      <c r="U117" s="21"/>
      <c r="V117" s="21"/>
    </row>
    <row r="118" spans="1:22" s="35" customFormat="1" hidden="1" x14ac:dyDescent="0.35">
      <c r="A118" s="169" t="s">
        <v>145</v>
      </c>
      <c r="B118" s="169"/>
      <c r="C118" s="141"/>
      <c r="D118" s="141"/>
      <c r="E118" s="121"/>
      <c r="F118" s="121"/>
      <c r="G118" s="136"/>
      <c r="H118" s="136"/>
      <c r="R118"/>
      <c r="S118" s="21"/>
      <c r="T118"/>
      <c r="U118" s="21"/>
      <c r="V118" s="21"/>
    </row>
    <row r="119" spans="1:22" s="35" customFormat="1" x14ac:dyDescent="0.35">
      <c r="A119" s="169" t="s">
        <v>66</v>
      </c>
      <c r="B119" s="169"/>
      <c r="C119" s="169"/>
      <c r="D119" s="169"/>
      <c r="E119" s="169"/>
      <c r="F119" s="169"/>
      <c r="G119" s="169"/>
      <c r="H119" s="169"/>
      <c r="T119"/>
    </row>
    <row r="120" spans="1:22" s="35" customFormat="1" ht="15.75" customHeight="1" x14ac:dyDescent="0.35">
      <c r="A120" s="136" t="s">
        <v>50</v>
      </c>
      <c r="B120" s="136"/>
      <c r="C120" s="141" t="s">
        <v>74</v>
      </c>
      <c r="D120" s="141"/>
      <c r="E120" s="121" t="s">
        <v>51</v>
      </c>
      <c r="F120" s="121"/>
      <c r="G120" s="136" t="s">
        <v>52</v>
      </c>
      <c r="H120" s="136"/>
      <c r="T120"/>
    </row>
    <row r="121" spans="1:22" s="35" customFormat="1" x14ac:dyDescent="0.35">
      <c r="A121" s="140" t="s">
        <v>389</v>
      </c>
      <c r="B121" s="140"/>
      <c r="C121" s="226">
        <f>COUNT(D139:D143)*21+COUNT(D145,D147:D149)*4</f>
        <v>121</v>
      </c>
      <c r="D121" s="226"/>
      <c r="E121" s="226">
        <f t="shared" ref="E121" si="0">SUM(F139:F143)*21+SUM(F145,F147:F149)*4</f>
        <v>78543.589409999986</v>
      </c>
      <c r="F121" s="226"/>
      <c r="G121" s="226">
        <f t="shared" ref="G121" si="1">SUM(H139:H143)*21+SUM(H145,H147:H149)*4</f>
        <v>117815.38411500001</v>
      </c>
      <c r="H121" s="226"/>
      <c r="T121"/>
    </row>
    <row r="122" spans="1:22" s="35" customFormat="1" x14ac:dyDescent="0.35">
      <c r="A122" s="239" t="s">
        <v>145</v>
      </c>
      <c r="B122" s="239"/>
      <c r="C122" s="157">
        <f>SUM(C121)</f>
        <v>121</v>
      </c>
      <c r="D122" s="158"/>
      <c r="E122" s="157">
        <f t="shared" ref="E122" si="2">SUM(E121)</f>
        <v>78543.589409999986</v>
      </c>
      <c r="F122" s="158"/>
      <c r="G122" s="157">
        <f t="shared" ref="G122" si="3">SUM(G121)</f>
        <v>117815.38411500001</v>
      </c>
      <c r="H122" s="158"/>
      <c r="T122"/>
    </row>
    <row r="123" spans="1:22" s="35" customFormat="1" hidden="1" x14ac:dyDescent="0.35">
      <c r="A123" s="242" t="s">
        <v>162</v>
      </c>
      <c r="B123" s="243"/>
      <c r="C123" s="241">
        <f>C118+C122</f>
        <v>121</v>
      </c>
      <c r="D123" s="241"/>
      <c r="E123" s="240">
        <f>E118+E122</f>
        <v>78543.589409999986</v>
      </c>
      <c r="F123" s="240"/>
      <c r="G123" s="215">
        <f>G118+G122</f>
        <v>117815.38411500001</v>
      </c>
      <c r="H123" s="216"/>
      <c r="T123"/>
    </row>
    <row r="124" spans="1:22" s="34" customFormat="1" x14ac:dyDescent="0.35">
      <c r="A124" s="122" t="s">
        <v>53</v>
      </c>
      <c r="B124" s="122"/>
      <c r="C124" s="122"/>
      <c r="D124" s="122"/>
      <c r="E124" s="122"/>
      <c r="F124" s="122"/>
      <c r="G124" s="122"/>
      <c r="H124" s="122"/>
      <c r="T124" s="35"/>
    </row>
    <row r="125" spans="1:22" x14ac:dyDescent="0.35">
      <c r="A125" s="135" t="s">
        <v>371</v>
      </c>
      <c r="B125" s="135"/>
      <c r="C125" s="135"/>
      <c r="D125" s="135"/>
      <c r="E125" s="135"/>
      <c r="F125" s="135"/>
      <c r="G125" s="135"/>
      <c r="H125" s="135"/>
      <c r="T125" s="35"/>
    </row>
    <row r="126" spans="1:22" ht="47.25" hidden="1" customHeight="1" x14ac:dyDescent="0.35">
      <c r="A126" s="154" t="s">
        <v>378</v>
      </c>
      <c r="B126" s="154" t="s">
        <v>171</v>
      </c>
      <c r="C126" s="154" t="s">
        <v>54</v>
      </c>
      <c r="D126" s="154" t="s">
        <v>227</v>
      </c>
      <c r="E126" s="165" t="s">
        <v>151</v>
      </c>
      <c r="F126" s="154" t="s">
        <v>55</v>
      </c>
      <c r="G126" s="165" t="s">
        <v>56</v>
      </c>
      <c r="H126" s="93" t="s">
        <v>144</v>
      </c>
      <c r="T126" s="35"/>
    </row>
    <row r="127" spans="1:22" s="37" customFormat="1" hidden="1" x14ac:dyDescent="0.35">
      <c r="A127" s="155"/>
      <c r="B127" s="155"/>
      <c r="C127" s="155"/>
      <c r="D127" s="155"/>
      <c r="E127" s="166"/>
      <c r="F127" s="155"/>
      <c r="G127" s="166"/>
      <c r="H127" s="94">
        <v>0.45</v>
      </c>
      <c r="T127" s="35"/>
    </row>
    <row r="128" spans="1:22" s="37" customFormat="1" hidden="1" x14ac:dyDescent="0.35">
      <c r="A128" s="232" t="s">
        <v>115</v>
      </c>
      <c r="B128" s="233"/>
      <c r="C128" s="233"/>
      <c r="D128" s="233"/>
      <c r="E128" s="233"/>
      <c r="F128" s="233"/>
      <c r="G128" s="233"/>
      <c r="H128" s="234"/>
      <c r="J128" s="36"/>
      <c r="T128" s="35"/>
    </row>
    <row r="129" spans="1:20" s="37" customFormat="1" ht="15.75" hidden="1" customHeight="1" x14ac:dyDescent="0.35">
      <c r="A129" s="118">
        <v>1</v>
      </c>
      <c r="B129" s="120"/>
      <c r="C129" s="95"/>
      <c r="D129" s="95">
        <v>0</v>
      </c>
      <c r="E129" s="95">
        <v>0</v>
      </c>
      <c r="F129" s="95">
        <f>D129+(IF(E129&lt;201,E129,IF(E129&lt;301,E129/2,E129/3)))</f>
        <v>0</v>
      </c>
      <c r="G129" s="96">
        <v>0</v>
      </c>
      <c r="H129" s="95">
        <f>(F129+(IF(G129&lt;101,G129,IF(G129&lt;201,G129/2,IF(G129&lt;=301,G129/3,G129/4)))))*(($H$127)+1)</f>
        <v>0</v>
      </c>
      <c r="I129" s="36"/>
      <c r="L129" s="102"/>
      <c r="M129" s="102"/>
      <c r="N129" s="36"/>
      <c r="T129" s="35"/>
    </row>
    <row r="130" spans="1:20" s="37" customFormat="1" ht="15.75" hidden="1" customHeight="1" x14ac:dyDescent="0.35">
      <c r="A130" s="118">
        <f>A129+1</f>
        <v>2</v>
      </c>
      <c r="B130" s="120"/>
      <c r="C130" s="95"/>
      <c r="D130" s="95"/>
      <c r="E130" s="95">
        <v>0</v>
      </c>
      <c r="F130" s="95">
        <f>D130+(IF(E130&lt;201,E130,IF(E130&lt;301,E130/2,E130/3)))</f>
        <v>0</v>
      </c>
      <c r="G130" s="95">
        <v>0</v>
      </c>
      <c r="H130" s="95">
        <f>(F130+(IF(G130&lt;101,G130,IF(G130&lt;201,G130/2,IF(G130&lt;=301,G130/3,G130/4)))))*(($H$127)+1)</f>
        <v>0</v>
      </c>
      <c r="I130" s="36"/>
      <c r="L130" s="102"/>
      <c r="M130" s="102"/>
      <c r="N130" s="36"/>
      <c r="T130" s="34"/>
    </row>
    <row r="131" spans="1:20" s="37" customFormat="1" ht="15.75" hidden="1" customHeight="1" x14ac:dyDescent="0.35">
      <c r="A131" s="118">
        <f>A130+1</f>
        <v>3</v>
      </c>
      <c r="B131" s="120"/>
      <c r="C131" s="95"/>
      <c r="D131" s="95"/>
      <c r="E131" s="95">
        <v>0</v>
      </c>
      <c r="F131" s="95">
        <f>D131+(IF(E131&lt;201,E131,IF(E131&lt;301,E131/2,E131/3)))</f>
        <v>0</v>
      </c>
      <c r="G131" s="95">
        <v>0</v>
      </c>
      <c r="H131" s="95">
        <f>(F131+(IF(G131&lt;101,G131,IF(G131&lt;201,G131/2,IF(G131&lt;=301,G131/3,G131/4)))))*(($H$127)+1)</f>
        <v>0</v>
      </c>
      <c r="I131" s="36"/>
      <c r="L131" s="102"/>
      <c r="M131" s="102"/>
      <c r="N131" s="36"/>
      <c r="T131" s="21"/>
    </row>
    <row r="132" spans="1:20" s="37" customFormat="1" ht="15.75" hidden="1" customHeight="1" x14ac:dyDescent="0.35">
      <c r="A132" s="118">
        <f>A131+1</f>
        <v>4</v>
      </c>
      <c r="B132" s="120"/>
      <c r="C132" s="95"/>
      <c r="D132" s="95"/>
      <c r="E132" s="95">
        <v>0</v>
      </c>
      <c r="F132" s="95">
        <f>D132+(IF(E132&lt;201,E132,IF(E132&lt;301,E132/2,E132/3)))</f>
        <v>0</v>
      </c>
      <c r="G132" s="95">
        <v>0</v>
      </c>
      <c r="H132" s="95">
        <f>(F132+(IF(G132&lt;101,G132,IF(G132&lt;201,G132/2,IF(G132&lt;=301,G132/3,G132/4)))))*(($H$127)+1)</f>
        <v>0</v>
      </c>
      <c r="I132" s="36"/>
      <c r="L132" s="102"/>
      <c r="M132" s="102"/>
      <c r="N132" s="36"/>
      <c r="T132" s="21"/>
    </row>
    <row r="133" spans="1:20" s="37" customFormat="1" hidden="1" x14ac:dyDescent="0.35">
      <c r="A133" s="118"/>
      <c r="B133" s="119"/>
      <c r="C133" s="119"/>
      <c r="D133" s="119"/>
      <c r="E133" s="119"/>
      <c r="F133" s="119"/>
      <c r="G133" s="119"/>
      <c r="H133" s="120"/>
      <c r="I133" s="36"/>
      <c r="N133" s="36"/>
    </row>
    <row r="134" spans="1:20" ht="47.25" customHeight="1" x14ac:dyDescent="0.35">
      <c r="A134" s="175" t="s">
        <v>379</v>
      </c>
      <c r="B134" s="154" t="s">
        <v>172</v>
      </c>
      <c r="C134" s="154" t="s">
        <v>54</v>
      </c>
      <c r="D134" s="154" t="s">
        <v>227</v>
      </c>
      <c r="E134" s="154" t="s">
        <v>386</v>
      </c>
      <c r="F134" s="154" t="s">
        <v>55</v>
      </c>
      <c r="G134" s="165" t="s">
        <v>56</v>
      </c>
      <c r="H134" s="93" t="s">
        <v>144</v>
      </c>
      <c r="I134" s="36"/>
      <c r="T134" s="37"/>
    </row>
    <row r="135" spans="1:20" s="37" customFormat="1" x14ac:dyDescent="0.35">
      <c r="A135" s="176"/>
      <c r="B135" s="155"/>
      <c r="C135" s="155"/>
      <c r="D135" s="155"/>
      <c r="E135" s="155"/>
      <c r="F135" s="155"/>
      <c r="G135" s="166"/>
      <c r="H135" s="94">
        <v>0.5</v>
      </c>
      <c r="I135" s="36"/>
    </row>
    <row r="136" spans="1:20" s="97" customFormat="1" x14ac:dyDescent="0.35">
      <c r="A136" s="177" t="s">
        <v>388</v>
      </c>
      <c r="B136" s="178"/>
      <c r="C136" s="178"/>
      <c r="D136" s="178"/>
      <c r="E136" s="178"/>
      <c r="F136" s="178"/>
      <c r="G136" s="178"/>
      <c r="H136" s="179"/>
      <c r="I136" s="36">
        <f>9000/1.5</f>
        <v>6000</v>
      </c>
      <c r="J136" s="97">
        <f>5300000-(5300000*0.07)</f>
        <v>4929000</v>
      </c>
      <c r="K136" s="97">
        <f>J136/H141</f>
        <v>6390.8233284857979</v>
      </c>
      <c r="L136" s="97">
        <f>5300000-371000</f>
        <v>4929000</v>
      </c>
    </row>
    <row r="137" spans="1:20" s="90" customFormat="1" x14ac:dyDescent="0.35">
      <c r="A137" s="106" t="s">
        <v>372</v>
      </c>
      <c r="B137" s="107"/>
      <c r="C137" s="107"/>
      <c r="D137" s="107"/>
      <c r="E137" s="107"/>
      <c r="F137" s="107"/>
      <c r="G137" s="107"/>
      <c r="H137" s="108"/>
      <c r="J137" s="36"/>
    </row>
    <row r="138" spans="1:20" s="90" customFormat="1" ht="15.75" customHeight="1" x14ac:dyDescent="0.35">
      <c r="A138" s="106" t="s">
        <v>385</v>
      </c>
      <c r="B138" s="107"/>
      <c r="C138" s="107"/>
      <c r="D138" s="107"/>
      <c r="E138" s="107"/>
      <c r="F138" s="107"/>
      <c r="G138" s="107"/>
      <c r="H138" s="108"/>
      <c r="I138" s="36">
        <v>5500</v>
      </c>
      <c r="K138" s="91">
        <f>10.764</f>
        <v>10.763999999999999</v>
      </c>
    </row>
    <row r="139" spans="1:20" s="90" customFormat="1" ht="15.75" customHeight="1" x14ac:dyDescent="0.35">
      <c r="A139" s="109">
        <v>1</v>
      </c>
      <c r="B139" s="110"/>
      <c r="C139" s="89" t="s">
        <v>373</v>
      </c>
      <c r="D139" s="91">
        <f>(64.67)*(10.764)</f>
        <v>696.10788000000002</v>
      </c>
      <c r="E139" s="91">
        <f>(1*(3.05+2.28))*(10.764)</f>
        <v>57.372119999999995</v>
      </c>
      <c r="F139" s="89">
        <f>D139+E139</f>
        <v>753.48</v>
      </c>
      <c r="G139" s="89">
        <v>0</v>
      </c>
      <c r="H139" s="89">
        <f>F139*(($H$135)+1)+(IF(G139&lt;101,G139,IF(G139&lt;201,G139/2,IF(G139&lt;=301,G139/3,G139/4))))</f>
        <v>1130.22</v>
      </c>
      <c r="I139" s="36">
        <f>I$138*H139</f>
        <v>6216210</v>
      </c>
      <c r="J139" s="36">
        <f>(3.05*4.57+2.43*2.25+2.28*3.34+2.74*4.34+3.05*4.4+2.13*1.22+2.13*1.22+3.05*0.91)</f>
        <v>60.305499999999995</v>
      </c>
      <c r="M139" s="90">
        <f>8700000/H139</f>
        <v>7697.6163932685668</v>
      </c>
      <c r="N139" s="90">
        <f>8700000*0.07</f>
        <v>609000</v>
      </c>
      <c r="O139" s="90">
        <f>8700000-609000</f>
        <v>8091000</v>
      </c>
    </row>
    <row r="140" spans="1:20" s="90" customFormat="1" ht="15.75" customHeight="1" x14ac:dyDescent="0.35">
      <c r="A140" s="109">
        <f>A139+1</f>
        <v>2</v>
      </c>
      <c r="B140" s="110"/>
      <c r="C140" s="89" t="s">
        <v>374</v>
      </c>
      <c r="D140" s="91">
        <f>(42.96)*(10.764)</f>
        <v>462.42143999999996</v>
      </c>
      <c r="E140" s="91">
        <f>(1.2*3.05+2.11*1.2)*(10.764)</f>
        <v>66.650687999999988</v>
      </c>
      <c r="F140" s="89">
        <f>D140+E140</f>
        <v>529.07212799999991</v>
      </c>
      <c r="G140" s="89">
        <v>0</v>
      </c>
      <c r="H140" s="89">
        <f>F140*(($H$135)+1)+(IF(G140&lt;101,G140,IF(G140&lt;201,G140/2,IF(G140&lt;=301,G140/3,G140/4))))</f>
        <v>793.60819199999992</v>
      </c>
      <c r="I140" s="36">
        <f t="shared" ref="I140:I143" si="4">I$138*H140</f>
        <v>4364845.0559999999</v>
      </c>
      <c r="J140" s="36">
        <f>(3.65*3.05+2.11*2.3+2.11*2.45+3.06*4.26+2.01*1.05+2.13*1.15+1*1.25)</f>
        <v>40.000599999999999</v>
      </c>
      <c r="M140" s="90">
        <f>5311000/H140</f>
        <v>6692.2192254789634</v>
      </c>
    </row>
    <row r="141" spans="1:20" s="90" customFormat="1" ht="15.75" customHeight="1" x14ac:dyDescent="0.35">
      <c r="A141" s="109">
        <f t="shared" ref="A141:A143" si="5">A140+1</f>
        <v>3</v>
      </c>
      <c r="B141" s="110"/>
      <c r="C141" s="89" t="s">
        <v>374</v>
      </c>
      <c r="D141" s="91">
        <f>(44.12)*(10.764)</f>
        <v>474.90767999999997</v>
      </c>
      <c r="E141" s="91">
        <f>(3.04*1.2)*(10.764)</f>
        <v>39.267071999999992</v>
      </c>
      <c r="F141" s="89">
        <f>D141+E141</f>
        <v>514.17475200000001</v>
      </c>
      <c r="G141" s="89">
        <v>0</v>
      </c>
      <c r="H141" s="89">
        <f>F141*(($H$135)+1)+(IF(G141&lt;101,G141,IF(G141&lt;201,G141/2,IF(G141&lt;=301,G141/3,G141/4))))</f>
        <v>771.26212800000008</v>
      </c>
      <c r="I141" s="36">
        <f t="shared" si="4"/>
        <v>4241941.7040000008</v>
      </c>
      <c r="J141" s="90">
        <f>5311000/H141</f>
        <v>6886.1153778835615</v>
      </c>
      <c r="K141" s="90">
        <f>5500*H141</f>
        <v>4241941.7040000008</v>
      </c>
      <c r="M141" s="90">
        <f>4596000/H141</f>
        <v>5959.0635053196847</v>
      </c>
    </row>
    <row r="142" spans="1:20" s="90" customFormat="1" ht="15.75" customHeight="1" x14ac:dyDescent="0.35">
      <c r="A142" s="109">
        <f t="shared" si="5"/>
        <v>4</v>
      </c>
      <c r="B142" s="110"/>
      <c r="C142" s="89" t="s">
        <v>374</v>
      </c>
      <c r="D142" s="91">
        <f>(42.97)*(10.764)</f>
        <v>462.52907999999996</v>
      </c>
      <c r="E142" s="91">
        <f>(3.05*1.67+1.2*2.11)*(10.764)</f>
        <v>82.080881999999988</v>
      </c>
      <c r="F142" s="89">
        <f>D142+E142</f>
        <v>544.609962</v>
      </c>
      <c r="G142" s="89">
        <v>0</v>
      </c>
      <c r="H142" s="89">
        <f>F142*(($H$135)+1)+(IF(G142&lt;101,G142,IF(G142&lt;201,G142/2,IF(G142&lt;=301,G142/3,G142/4))))</f>
        <v>816.91494299999999</v>
      </c>
      <c r="I142" s="36">
        <f t="shared" si="4"/>
        <v>4493032.1864999998</v>
      </c>
      <c r="K142" s="90">
        <f>4930000/H141</f>
        <v>6392.1199045313415</v>
      </c>
    </row>
    <row r="143" spans="1:20" s="90" customFormat="1" ht="15.75" customHeight="1" x14ac:dyDescent="0.35">
      <c r="A143" s="109">
        <f t="shared" si="5"/>
        <v>5</v>
      </c>
      <c r="B143" s="110"/>
      <c r="C143" s="89" t="s">
        <v>373</v>
      </c>
      <c r="D143" s="91">
        <f>(65.15)*(10.764)</f>
        <v>701.27459999999996</v>
      </c>
      <c r="E143" s="91">
        <f>(3.05*1.2+2.28*1+4.5*1.2+1.65*1.2)*(10.764)</f>
        <v>143.37647999999999</v>
      </c>
      <c r="F143" s="89">
        <f>D143+E143</f>
        <v>844.65107999999998</v>
      </c>
      <c r="G143" s="89">
        <v>0</v>
      </c>
      <c r="H143" s="89">
        <f>F143*(($H$135)+1)+(IF(G143&lt;101,G143,IF(G143&lt;201,G143/2,IF(G143&lt;=301,G143/3,G143/4))))</f>
        <v>1266.9766199999999</v>
      </c>
      <c r="I143" s="36">
        <f t="shared" si="4"/>
        <v>6968371.4099999992</v>
      </c>
    </row>
    <row r="144" spans="1:20" s="90" customFormat="1" ht="15.75" customHeight="1" x14ac:dyDescent="0.35">
      <c r="A144" s="111" t="s">
        <v>375</v>
      </c>
      <c r="B144" s="111"/>
      <c r="C144" s="111"/>
      <c r="D144" s="111"/>
      <c r="E144" s="111"/>
      <c r="F144" s="111"/>
      <c r="G144" s="111"/>
      <c r="H144" s="111"/>
      <c r="I144" s="36">
        <f t="shared" ref="I144:I149" si="6">I$138*H144</f>
        <v>0</v>
      </c>
    </row>
    <row r="145" spans="1:20" s="90" customFormat="1" ht="15.75" customHeight="1" x14ac:dyDescent="0.35">
      <c r="A145" s="131">
        <v>1</v>
      </c>
      <c r="B145" s="131"/>
      <c r="C145" s="89" t="s">
        <v>373</v>
      </c>
      <c r="D145" s="91">
        <f>(64.67)*(10.764)</f>
        <v>696.10788000000002</v>
      </c>
      <c r="E145" s="91">
        <f>(1*(3.05+2.28))*(10.764)</f>
        <v>57.372119999999995</v>
      </c>
      <c r="F145" s="89">
        <f>D145+E145</f>
        <v>753.48</v>
      </c>
      <c r="G145" s="89">
        <v>0</v>
      </c>
      <c r="H145" s="89">
        <f>F145*(($H$135)+1)+(IF(G145&lt;101,G145,IF(G145&lt;201,G145/2,IF(G145&lt;=301,G145/3,G145/4))))</f>
        <v>1130.22</v>
      </c>
      <c r="I145" s="36">
        <f t="shared" si="6"/>
        <v>6216210</v>
      </c>
    </row>
    <row r="146" spans="1:20" s="90" customFormat="1" ht="15.75" customHeight="1" x14ac:dyDescent="0.35">
      <c r="A146" s="131">
        <f>A145+1</f>
        <v>2</v>
      </c>
      <c r="B146" s="131"/>
      <c r="C146" s="131" t="s">
        <v>376</v>
      </c>
      <c r="D146" s="131"/>
      <c r="E146" s="131"/>
      <c r="F146" s="131"/>
      <c r="G146" s="131"/>
      <c r="H146" s="131"/>
      <c r="I146" s="36">
        <f t="shared" si="6"/>
        <v>0</v>
      </c>
    </row>
    <row r="147" spans="1:20" s="90" customFormat="1" ht="15.75" customHeight="1" x14ac:dyDescent="0.35">
      <c r="A147" s="131">
        <f t="shared" ref="A147:A149" si="7">A146+1</f>
        <v>3</v>
      </c>
      <c r="B147" s="131"/>
      <c r="C147" s="89" t="s">
        <v>373</v>
      </c>
      <c r="D147" s="91">
        <f>(71.23)*(10.764)</f>
        <v>766.71972000000005</v>
      </c>
      <c r="E147" s="91">
        <f>0*(10.764)</f>
        <v>0</v>
      </c>
      <c r="F147" s="89">
        <f>D147+E147</f>
        <v>766.71972000000005</v>
      </c>
      <c r="G147" s="89">
        <v>0</v>
      </c>
      <c r="H147" s="89">
        <f>F147*(($H$135)+1)+(IF(G147&lt;101,G147,IF(G147&lt;201,G147/2,IF(G147&lt;=301,G147/3,G147/4))))</f>
        <v>1150.0795800000001</v>
      </c>
      <c r="I147" s="36">
        <f t="shared" si="6"/>
        <v>6325437.6900000004</v>
      </c>
    </row>
    <row r="148" spans="1:20" s="90" customFormat="1" ht="15.75" customHeight="1" x14ac:dyDescent="0.35">
      <c r="A148" s="131">
        <f t="shared" si="7"/>
        <v>4</v>
      </c>
      <c r="B148" s="131"/>
      <c r="C148" s="89" t="s">
        <v>374</v>
      </c>
      <c r="D148" s="91">
        <f>(42.97)*(10.764)</f>
        <v>462.52907999999996</v>
      </c>
      <c r="E148" s="91">
        <f>(3.05*1.67+1.2*2.11)*(10.764)</f>
        <v>82.080881999999988</v>
      </c>
      <c r="F148" s="89">
        <f>D148+E148</f>
        <v>544.609962</v>
      </c>
      <c r="G148" s="89">
        <v>0</v>
      </c>
      <c r="H148" s="89">
        <f>F148*(($H$135)+1)+(IF(G148&lt;101,G148,IF(G148&lt;201,G148/2,IF(G148&lt;=301,G148/3,G148/4))))</f>
        <v>816.91494299999999</v>
      </c>
      <c r="I148" s="36">
        <f t="shared" si="6"/>
        <v>4493032.1864999998</v>
      </c>
    </row>
    <row r="149" spans="1:20" s="90" customFormat="1" ht="15.75" customHeight="1" x14ac:dyDescent="0.35">
      <c r="A149" s="131">
        <f t="shared" si="7"/>
        <v>5</v>
      </c>
      <c r="B149" s="131"/>
      <c r="C149" s="89" t="s">
        <v>373</v>
      </c>
      <c r="D149" s="91">
        <f>(65.15)*(10.764)</f>
        <v>701.27459999999996</v>
      </c>
      <c r="E149" s="91">
        <f>(3.05*1.2+2.28*1+4.5*1.2+1.65*1.2)*(10.764)</f>
        <v>143.37647999999999</v>
      </c>
      <c r="F149" s="89">
        <f>D149+E149</f>
        <v>844.65107999999998</v>
      </c>
      <c r="G149" s="89">
        <v>0</v>
      </c>
      <c r="H149" s="89">
        <f>F149*(($H$135)+1)+(IF(G149&lt;101,G149,IF(G149&lt;201,G149/2,IF(G149&lt;=301,G149/3,G149/4))))</f>
        <v>1266.9766199999999</v>
      </c>
      <c r="I149" s="36">
        <f t="shared" si="6"/>
        <v>6968371.4099999992</v>
      </c>
    </row>
    <row r="150" spans="1:20" s="90" customFormat="1" x14ac:dyDescent="0.35">
      <c r="A150" s="111" t="s">
        <v>392</v>
      </c>
      <c r="B150" s="111"/>
      <c r="C150" s="111"/>
      <c r="D150" s="111"/>
      <c r="E150" s="111"/>
      <c r="F150" s="111"/>
      <c r="G150" s="111"/>
      <c r="H150" s="111"/>
      <c r="I150" s="36"/>
      <c r="L150" s="102"/>
      <c r="M150" s="102"/>
    </row>
    <row r="151" spans="1:20" s="35" customFormat="1" x14ac:dyDescent="0.35">
      <c r="A151" s="127" t="s">
        <v>64</v>
      </c>
      <c r="B151" s="127"/>
      <c r="C151" s="127"/>
      <c r="D151" s="127"/>
      <c r="E151" s="127"/>
      <c r="F151" s="127"/>
      <c r="G151" s="127"/>
      <c r="H151" s="127"/>
      <c r="T151" s="37"/>
    </row>
    <row r="152" spans="1:20" s="35" customFormat="1" x14ac:dyDescent="0.35">
      <c r="A152" s="98" t="s">
        <v>148</v>
      </c>
      <c r="B152" s="180" t="s">
        <v>399</v>
      </c>
      <c r="C152" s="180"/>
      <c r="D152" s="180"/>
      <c r="E152" s="180"/>
      <c r="F152" s="180"/>
      <c r="G152" s="180"/>
      <c r="H152" s="180"/>
      <c r="T152" s="37"/>
    </row>
    <row r="153" spans="1:20" s="35" customFormat="1" x14ac:dyDescent="0.35">
      <c r="A153" s="98" t="s">
        <v>148</v>
      </c>
      <c r="B153" s="180" t="str">
        <f>(IF(H134="Saleable area Loading :","We have considered Saleable area of Flats as per our Calculation.","We considered Saleable area of Flat as per Builder area Sheet."))</f>
        <v>We have considered Saleable area of Flats as per our Calculation.</v>
      </c>
      <c r="C153" s="180"/>
      <c r="D153" s="180"/>
      <c r="E153" s="180"/>
      <c r="F153" s="180"/>
      <c r="G153" s="180"/>
      <c r="H153" s="180"/>
      <c r="T153" s="37"/>
    </row>
    <row r="154" spans="1:20" s="35" customFormat="1" hidden="1" x14ac:dyDescent="0.35">
      <c r="A154" s="45" t="s">
        <v>148</v>
      </c>
      <c r="B154" s="162" t="str">
        <f>(IF(H126="Saleable area Loading :","We have considered Saleable area of Commercial as per our Calculation.","We considered Saleable area of Commercial as per Builder area Sheet."))</f>
        <v>We have considered Saleable area of Commercial as per our Calculation.</v>
      </c>
      <c r="C154" s="163"/>
      <c r="D154" s="163"/>
      <c r="E154" s="163"/>
      <c r="F154" s="163"/>
      <c r="G154" s="163"/>
      <c r="H154" s="164"/>
      <c r="T154" s="37"/>
    </row>
    <row r="155" spans="1:20" s="35" customFormat="1" x14ac:dyDescent="0.35">
      <c r="A155" s="45" t="s">
        <v>148</v>
      </c>
      <c r="B155" s="172" t="s">
        <v>118</v>
      </c>
      <c r="C155" s="173"/>
      <c r="D155" s="173"/>
      <c r="E155" s="173"/>
      <c r="F155" s="173"/>
      <c r="G155" s="173"/>
      <c r="H155" s="174"/>
      <c r="T155" s="37"/>
    </row>
    <row r="156" spans="1:20" s="35" customFormat="1" x14ac:dyDescent="0.35">
      <c r="A156" s="45" t="s">
        <v>148</v>
      </c>
      <c r="B156" s="159" t="s">
        <v>387</v>
      </c>
      <c r="C156" s="160"/>
      <c r="D156" s="160"/>
      <c r="E156" s="160"/>
      <c r="F156" s="160"/>
      <c r="G156" s="160"/>
      <c r="H156" s="161"/>
      <c r="T156" s="37"/>
    </row>
    <row r="157" spans="1:20" s="35" customFormat="1" x14ac:dyDescent="0.35">
      <c r="A157" s="45" t="s">
        <v>148</v>
      </c>
      <c r="B157" s="172" t="s">
        <v>147</v>
      </c>
      <c r="C157" s="173"/>
      <c r="D157" s="173"/>
      <c r="E157" s="173"/>
      <c r="F157" s="173"/>
      <c r="G157" s="173"/>
      <c r="H157" s="174"/>
    </row>
    <row r="158" spans="1:20" s="35" customFormat="1" x14ac:dyDescent="0.35">
      <c r="A158" s="45" t="s">
        <v>148</v>
      </c>
      <c r="B158" s="172" t="s">
        <v>119</v>
      </c>
      <c r="C158" s="173"/>
      <c r="D158" s="173"/>
      <c r="E158" s="173"/>
      <c r="F158" s="173"/>
      <c r="G158" s="173"/>
      <c r="H158" s="174"/>
    </row>
    <row r="159" spans="1:20" s="35" customFormat="1" ht="34.5" customHeight="1" x14ac:dyDescent="0.35">
      <c r="A159" s="45" t="s">
        <v>148</v>
      </c>
      <c r="B159" s="159" t="s">
        <v>149</v>
      </c>
      <c r="C159" s="160"/>
      <c r="D159" s="160"/>
      <c r="E159" s="160"/>
      <c r="F159" s="160"/>
      <c r="G159" s="160"/>
      <c r="H159" s="161"/>
    </row>
    <row r="160" spans="1:20" s="35" customFormat="1" x14ac:dyDescent="0.35">
      <c r="A160" s="45" t="s">
        <v>148</v>
      </c>
      <c r="B160" s="172" t="s">
        <v>120</v>
      </c>
      <c r="C160" s="173"/>
      <c r="D160" s="173"/>
      <c r="E160" s="173"/>
      <c r="F160" s="173"/>
      <c r="G160" s="173"/>
      <c r="H160" s="174"/>
    </row>
    <row r="161" spans="1:20" s="35" customFormat="1" ht="32.25" hidden="1" customHeight="1" x14ac:dyDescent="0.35">
      <c r="A161" s="52" t="s">
        <v>148</v>
      </c>
      <c r="B161" s="162" t="s">
        <v>173</v>
      </c>
      <c r="C161" s="163"/>
      <c r="D161" s="163"/>
      <c r="E161" s="163"/>
      <c r="F161" s="163"/>
      <c r="G161" s="163"/>
      <c r="H161" s="164"/>
    </row>
    <row r="162" spans="1:20" s="35" customFormat="1" x14ac:dyDescent="0.35">
      <c r="A162" s="55" t="s">
        <v>148</v>
      </c>
      <c r="B162" s="159" t="s">
        <v>396</v>
      </c>
      <c r="C162" s="160"/>
      <c r="D162" s="160"/>
      <c r="E162" s="160"/>
      <c r="F162" s="160"/>
      <c r="G162" s="160"/>
      <c r="H162" s="161"/>
    </row>
    <row r="163" spans="1:20" s="35" customFormat="1" x14ac:dyDescent="0.35">
      <c r="A163" s="84" t="s">
        <v>148</v>
      </c>
      <c r="B163" s="159" t="s">
        <v>393</v>
      </c>
      <c r="C163" s="160"/>
      <c r="D163" s="160"/>
      <c r="E163" s="160"/>
      <c r="F163" s="160"/>
      <c r="G163" s="160"/>
      <c r="H163" s="161"/>
    </row>
    <row r="164" spans="1:20" s="35" customFormat="1" hidden="1" x14ac:dyDescent="0.35">
      <c r="A164" s="84" t="s">
        <v>148</v>
      </c>
      <c r="B164" s="162" t="str">
        <f ca="1">IF(G52&gt;EDATE(E3,-48),"NO REMARK FOR CC","REMARK FOR CC")</f>
        <v>NO REMARK FOR CC</v>
      </c>
      <c r="C164" s="163"/>
      <c r="D164" s="163"/>
      <c r="E164" s="163"/>
      <c r="F164" s="163"/>
      <c r="G164" s="163"/>
      <c r="H164" s="164"/>
    </row>
    <row r="165" spans="1:20" s="35" customFormat="1" ht="81.75" hidden="1" customHeight="1" x14ac:dyDescent="0.35">
      <c r="A165" s="85" t="s">
        <v>148</v>
      </c>
      <c r="B165" s="162" t="s">
        <v>347</v>
      </c>
      <c r="C165" s="163"/>
      <c r="D165" s="163"/>
      <c r="E165" s="163"/>
      <c r="F165" s="163"/>
      <c r="G165" s="163"/>
      <c r="H165" s="164"/>
      <c r="I165" s="162" t="s">
        <v>346</v>
      </c>
      <c r="J165" s="163"/>
      <c r="K165" s="163"/>
      <c r="L165" s="163"/>
      <c r="M165" s="163"/>
      <c r="N165" s="163"/>
      <c r="O165" s="164"/>
    </row>
    <row r="166" spans="1:20" x14ac:dyDescent="0.35">
      <c r="A166" s="171" t="s">
        <v>57</v>
      </c>
      <c r="B166" s="171"/>
      <c r="C166" s="171"/>
      <c r="D166" s="171"/>
      <c r="E166" s="171"/>
      <c r="F166" s="171"/>
      <c r="G166" s="171"/>
      <c r="H166" s="171"/>
      <c r="T166" s="35"/>
    </row>
    <row r="167" spans="1:20" x14ac:dyDescent="0.35">
      <c r="A167" s="101" t="s">
        <v>58</v>
      </c>
      <c r="B167" s="101"/>
      <c r="C167" s="101"/>
      <c r="D167" s="101"/>
      <c r="E167" s="101"/>
      <c r="F167" s="101"/>
      <c r="G167" s="101"/>
      <c r="H167" s="101"/>
      <c r="T167" s="35"/>
    </row>
    <row r="168" spans="1:20" ht="15.75" customHeight="1" x14ac:dyDescent="0.35">
      <c r="A168" s="153" t="s">
        <v>59</v>
      </c>
      <c r="B168" s="153"/>
      <c r="C168" s="153"/>
      <c r="D168" s="153"/>
      <c r="E168" s="153"/>
      <c r="F168" s="153"/>
      <c r="G168" s="153"/>
      <c r="H168" s="153"/>
      <c r="T168" s="35"/>
    </row>
    <row r="169" spans="1:20" x14ac:dyDescent="0.35">
      <c r="A169" s="101" t="s">
        <v>60</v>
      </c>
      <c r="B169" s="101"/>
      <c r="C169" s="101"/>
      <c r="D169" s="101"/>
      <c r="E169" s="101"/>
      <c r="F169" s="101"/>
      <c r="G169" s="101"/>
      <c r="H169" s="101"/>
      <c r="T169" s="35"/>
    </row>
    <row r="170" spans="1:20" x14ac:dyDescent="0.35">
      <c r="A170" s="101" t="s">
        <v>61</v>
      </c>
      <c r="B170" s="101"/>
      <c r="C170" s="101"/>
      <c r="D170" s="101"/>
      <c r="E170" s="101"/>
      <c r="F170" s="101"/>
      <c r="G170" s="101"/>
      <c r="H170" s="101"/>
      <c r="T170" s="35"/>
    </row>
    <row r="171" spans="1:20" x14ac:dyDescent="0.35">
      <c r="A171" s="101" t="s">
        <v>121</v>
      </c>
      <c r="B171" s="101"/>
      <c r="C171" s="101"/>
      <c r="D171" s="101"/>
      <c r="E171" s="101"/>
      <c r="F171" s="101"/>
      <c r="G171" s="101"/>
      <c r="H171" s="101"/>
      <c r="T171" s="35"/>
    </row>
    <row r="172" spans="1:20" ht="34" customHeight="1" x14ac:dyDescent="0.35">
      <c r="A172" s="123" t="s">
        <v>122</v>
      </c>
      <c r="B172" s="123"/>
      <c r="C172" s="123"/>
      <c r="D172" s="123"/>
      <c r="E172" s="123"/>
      <c r="F172" s="123"/>
      <c r="G172" s="123"/>
      <c r="H172" s="123"/>
    </row>
    <row r="173" spans="1:20" x14ac:dyDescent="0.35">
      <c r="A173" s="168" t="s">
        <v>73</v>
      </c>
      <c r="B173" s="168"/>
      <c r="C173" s="168" t="s">
        <v>398</v>
      </c>
      <c r="D173" s="168"/>
      <c r="E173" s="168" t="s">
        <v>102</v>
      </c>
      <c r="F173" s="168"/>
      <c r="G173" s="168" t="s">
        <v>397</v>
      </c>
      <c r="H173" s="168"/>
    </row>
    <row r="174" spans="1:20" x14ac:dyDescent="0.35">
      <c r="A174" s="167" t="s">
        <v>75</v>
      </c>
      <c r="B174" s="167"/>
      <c r="C174" s="167"/>
      <c r="D174" s="167"/>
      <c r="E174" s="167"/>
      <c r="F174" s="167"/>
      <c r="G174" s="167"/>
      <c r="H174" s="167"/>
    </row>
    <row r="175" spans="1:20" x14ac:dyDescent="0.35">
      <c r="A175" s="167"/>
      <c r="B175" s="167"/>
      <c r="C175" s="167"/>
      <c r="D175" s="167"/>
      <c r="E175" s="167"/>
      <c r="F175" s="167"/>
      <c r="G175" s="167"/>
      <c r="H175" s="167"/>
    </row>
    <row r="176" spans="1:20" x14ac:dyDescent="0.35">
      <c r="A176" s="167"/>
      <c r="B176" s="167"/>
      <c r="C176" s="167"/>
      <c r="D176" s="167"/>
      <c r="E176" s="167"/>
      <c r="F176" s="167"/>
      <c r="G176" s="167"/>
      <c r="H176" s="167"/>
    </row>
    <row r="177" spans="1:8" x14ac:dyDescent="0.35">
      <c r="A177" s="167"/>
      <c r="B177" s="167"/>
      <c r="C177" s="167"/>
      <c r="D177" s="167"/>
      <c r="E177" s="167"/>
      <c r="F177" s="167"/>
      <c r="G177" s="167"/>
      <c r="H177" s="167"/>
    </row>
    <row r="178" spans="1:8" x14ac:dyDescent="0.35">
      <c r="A178" s="38" t="s">
        <v>62</v>
      </c>
      <c r="B178" s="39"/>
      <c r="C178" s="39"/>
      <c r="D178" s="38" t="str">
        <f>E9</f>
        <v>Dwarka</v>
      </c>
      <c r="F178" s="39"/>
      <c r="G178" s="39"/>
      <c r="H178" s="39"/>
    </row>
    <row r="179" spans="1:8" x14ac:dyDescent="0.35">
      <c r="A179" s="39"/>
      <c r="B179" s="39"/>
      <c r="C179" s="39"/>
      <c r="D179" s="39"/>
      <c r="E179" s="39"/>
      <c r="F179" s="39"/>
      <c r="G179" s="39"/>
      <c r="H179" s="39"/>
    </row>
    <row r="180" spans="1:8" x14ac:dyDescent="0.35">
      <c r="A180" s="39"/>
      <c r="B180" s="39"/>
      <c r="C180" s="39"/>
      <c r="D180" s="39"/>
      <c r="E180" s="39"/>
      <c r="F180" s="39"/>
      <c r="G180" s="39"/>
      <c r="H180" s="39"/>
    </row>
    <row r="181" spans="1:8" ht="15" customHeight="1" x14ac:dyDescent="0.35"/>
    <row r="219" spans="1:1" hidden="1" x14ac:dyDescent="0.35"/>
    <row r="220" spans="1:1" hidden="1" x14ac:dyDescent="0.35"/>
    <row r="222" spans="1:1" x14ac:dyDescent="0.35">
      <c r="A222" s="41" t="s">
        <v>159</v>
      </c>
    </row>
    <row r="265" spans="1:1" x14ac:dyDescent="0.35">
      <c r="A265" s="41" t="s">
        <v>63</v>
      </c>
    </row>
  </sheetData>
  <mergeCells count="324">
    <mergeCell ref="A90:B90"/>
    <mergeCell ref="E90:F90"/>
    <mergeCell ref="E91:F100"/>
    <mergeCell ref="L132:M132"/>
    <mergeCell ref="L131:M131"/>
    <mergeCell ref="L130:M130"/>
    <mergeCell ref="L129:M129"/>
    <mergeCell ref="D126:D127"/>
    <mergeCell ref="G122:H122"/>
    <mergeCell ref="C123:D123"/>
    <mergeCell ref="A129:B129"/>
    <mergeCell ref="A123:B123"/>
    <mergeCell ref="A98:B98"/>
    <mergeCell ref="A99:B99"/>
    <mergeCell ref="A104:E104"/>
    <mergeCell ref="A101:E101"/>
    <mergeCell ref="F101:H101"/>
    <mergeCell ref="A92:B92"/>
    <mergeCell ref="A93:B93"/>
    <mergeCell ref="G91:H100"/>
    <mergeCell ref="A94:B94"/>
    <mergeCell ref="F103:H103"/>
    <mergeCell ref="A103:E103"/>
    <mergeCell ref="I165:O165"/>
    <mergeCell ref="B165:H165"/>
    <mergeCell ref="C126:C127"/>
    <mergeCell ref="B134:B135"/>
    <mergeCell ref="B154:H154"/>
    <mergeCell ref="F134:F135"/>
    <mergeCell ref="B161:H161"/>
    <mergeCell ref="B162:H162"/>
    <mergeCell ref="A106:E106"/>
    <mergeCell ref="A122:B122"/>
    <mergeCell ref="E122:F122"/>
    <mergeCell ref="A111:E111"/>
    <mergeCell ref="C117:D117"/>
    <mergeCell ref="E117:F117"/>
    <mergeCell ref="G117:H117"/>
    <mergeCell ref="A118:B118"/>
    <mergeCell ref="C118:D118"/>
    <mergeCell ref="E118:F118"/>
    <mergeCell ref="G118:H118"/>
    <mergeCell ref="E123:F123"/>
    <mergeCell ref="B160:H160"/>
    <mergeCell ref="B158:H158"/>
    <mergeCell ref="C40:H40"/>
    <mergeCell ref="F126:F127"/>
    <mergeCell ref="C116:D116"/>
    <mergeCell ref="E116:F116"/>
    <mergeCell ref="B126:B127"/>
    <mergeCell ref="A126:A127"/>
    <mergeCell ref="C134:C135"/>
    <mergeCell ref="G134:G135"/>
    <mergeCell ref="G123:H123"/>
    <mergeCell ref="C55:H55"/>
    <mergeCell ref="A79:B79"/>
    <mergeCell ref="E77:F86"/>
    <mergeCell ref="A84:B84"/>
    <mergeCell ref="C121:D121"/>
    <mergeCell ref="E121:F121"/>
    <mergeCell ref="G121:H121"/>
    <mergeCell ref="A102:E102"/>
    <mergeCell ref="A87:B87"/>
    <mergeCell ref="C87:H87"/>
    <mergeCell ref="A128:H128"/>
    <mergeCell ref="E126:E127"/>
    <mergeCell ref="A91:B91"/>
    <mergeCell ref="C89:H89"/>
    <mergeCell ref="G77:H86"/>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A40:B40"/>
    <mergeCell ref="C54:E54"/>
    <mergeCell ref="A76:B76"/>
    <mergeCell ref="A46:D46"/>
    <mergeCell ref="A47:D47"/>
    <mergeCell ref="D67:H67"/>
    <mergeCell ref="A44:D44"/>
    <mergeCell ref="E44:H44"/>
    <mergeCell ref="E45:H45"/>
    <mergeCell ref="E46:H46"/>
    <mergeCell ref="E47:H47"/>
    <mergeCell ref="C57:H57"/>
    <mergeCell ref="A48:H48"/>
    <mergeCell ref="D64:H64"/>
    <mergeCell ref="A64:C64"/>
    <mergeCell ref="A45:D45"/>
    <mergeCell ref="A49:B49"/>
    <mergeCell ref="C49:H49"/>
    <mergeCell ref="A65:C65"/>
    <mergeCell ref="D65:H65"/>
    <mergeCell ref="G52:H52"/>
    <mergeCell ref="A61:H61"/>
    <mergeCell ref="A62:C62"/>
    <mergeCell ref="A75:B75"/>
    <mergeCell ref="A73:B7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E15:F15"/>
    <mergeCell ref="G15:H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74:H177"/>
    <mergeCell ref="A173:B173"/>
    <mergeCell ref="E173:F173"/>
    <mergeCell ref="C173:D173"/>
    <mergeCell ref="G173:H173"/>
    <mergeCell ref="A114:H114"/>
    <mergeCell ref="A112:E112"/>
    <mergeCell ref="F112:H112"/>
    <mergeCell ref="A113:E113"/>
    <mergeCell ref="F113:H113"/>
    <mergeCell ref="A121:B121"/>
    <mergeCell ref="A116:B116"/>
    <mergeCell ref="A169:H169"/>
    <mergeCell ref="A119:H119"/>
    <mergeCell ref="A172:H172"/>
    <mergeCell ref="A170:H170"/>
    <mergeCell ref="A166:H166"/>
    <mergeCell ref="G120:H120"/>
    <mergeCell ref="B157:H157"/>
    <mergeCell ref="A134:A135"/>
    <mergeCell ref="A136:H136"/>
    <mergeCell ref="B152:H152"/>
    <mergeCell ref="B153:H153"/>
    <mergeCell ref="B155:H155"/>
    <mergeCell ref="A11:D11"/>
    <mergeCell ref="E11:H11"/>
    <mergeCell ref="A132:B132"/>
    <mergeCell ref="A131:B131"/>
    <mergeCell ref="A23:D24"/>
    <mergeCell ref="E23:H24"/>
    <mergeCell ref="A16:B16"/>
    <mergeCell ref="C16:H16"/>
    <mergeCell ref="C17:H17"/>
    <mergeCell ref="A18:B18"/>
    <mergeCell ref="C18:H18"/>
    <mergeCell ref="A13:D13"/>
    <mergeCell ref="E13:H13"/>
    <mergeCell ref="A21:B21"/>
    <mergeCell ref="C21:D21"/>
    <mergeCell ref="E21:F21"/>
    <mergeCell ref="G21:H21"/>
    <mergeCell ref="A22:B22"/>
    <mergeCell ref="C22:D22"/>
    <mergeCell ref="A43:D43"/>
    <mergeCell ref="A82:B82"/>
    <mergeCell ref="A50:B50"/>
    <mergeCell ref="C52:E52"/>
    <mergeCell ref="E22:F22"/>
    <mergeCell ref="A171:H171"/>
    <mergeCell ref="A168:H168"/>
    <mergeCell ref="A120:B120"/>
    <mergeCell ref="D134:D135"/>
    <mergeCell ref="E134:E135"/>
    <mergeCell ref="A95:B95"/>
    <mergeCell ref="A97:B97"/>
    <mergeCell ref="F102:H102"/>
    <mergeCell ref="G116:H116"/>
    <mergeCell ref="A100:B100"/>
    <mergeCell ref="F108:H108"/>
    <mergeCell ref="C115:D115"/>
    <mergeCell ref="C122:D122"/>
    <mergeCell ref="B156:H156"/>
    <mergeCell ref="A167:H167"/>
    <mergeCell ref="A107:E107"/>
    <mergeCell ref="F107:H107"/>
    <mergeCell ref="A109:E109"/>
    <mergeCell ref="B164:H164"/>
    <mergeCell ref="B163:H163"/>
    <mergeCell ref="F105:H105"/>
    <mergeCell ref="A105:E105"/>
    <mergeCell ref="B159:H159"/>
    <mergeCell ref="G126:G127"/>
    <mergeCell ref="I15:P15"/>
    <mergeCell ref="F111:H111"/>
    <mergeCell ref="F109:H109"/>
    <mergeCell ref="A125:H125"/>
    <mergeCell ref="G115:H115"/>
    <mergeCell ref="A110:E110"/>
    <mergeCell ref="A130:B130"/>
    <mergeCell ref="A60:B60"/>
    <mergeCell ref="C60:E60"/>
    <mergeCell ref="D62:H62"/>
    <mergeCell ref="F110:H110"/>
    <mergeCell ref="E115:F115"/>
    <mergeCell ref="A115:B115"/>
    <mergeCell ref="A117:B117"/>
    <mergeCell ref="C120:D120"/>
    <mergeCell ref="D70:H70"/>
    <mergeCell ref="D63:H63"/>
    <mergeCell ref="G60:H60"/>
    <mergeCell ref="A54:B55"/>
    <mergeCell ref="C59:E59"/>
    <mergeCell ref="G54:H54"/>
    <mergeCell ref="A56:B57"/>
    <mergeCell ref="C56:E56"/>
    <mergeCell ref="E43:H43"/>
    <mergeCell ref="A151:H151"/>
    <mergeCell ref="A70:C70"/>
    <mergeCell ref="D71:H71"/>
    <mergeCell ref="A77:B77"/>
    <mergeCell ref="G76:H76"/>
    <mergeCell ref="A85:B85"/>
    <mergeCell ref="A86:B86"/>
    <mergeCell ref="A81:B81"/>
    <mergeCell ref="A80:B80"/>
    <mergeCell ref="E76:F76"/>
    <mergeCell ref="A83:B83"/>
    <mergeCell ref="A145:B145"/>
    <mergeCell ref="A146:B146"/>
    <mergeCell ref="A147:B147"/>
    <mergeCell ref="A148:B148"/>
    <mergeCell ref="A149:B149"/>
    <mergeCell ref="C146:H146"/>
    <mergeCell ref="A150:H150"/>
    <mergeCell ref="C73:H73"/>
    <mergeCell ref="A71:C71"/>
    <mergeCell ref="F106:H106"/>
    <mergeCell ref="A89:B89"/>
    <mergeCell ref="A96:B96"/>
    <mergeCell ref="G90:H90"/>
    <mergeCell ref="A68:C68"/>
    <mergeCell ref="L150:M150"/>
    <mergeCell ref="C53:H53"/>
    <mergeCell ref="A137:H137"/>
    <mergeCell ref="A138:H138"/>
    <mergeCell ref="A139:B139"/>
    <mergeCell ref="A140:B140"/>
    <mergeCell ref="A141:B141"/>
    <mergeCell ref="A142:B142"/>
    <mergeCell ref="A143:B143"/>
    <mergeCell ref="A144:H144"/>
    <mergeCell ref="G59:H59"/>
    <mergeCell ref="A78:B78"/>
    <mergeCell ref="F104:H104"/>
    <mergeCell ref="A108:E108"/>
    <mergeCell ref="A133:H133"/>
    <mergeCell ref="E120:F120"/>
    <mergeCell ref="A124:H124"/>
    <mergeCell ref="D68:H68"/>
    <mergeCell ref="C75:H75"/>
    <mergeCell ref="A69:C69"/>
    <mergeCell ref="D69:H69"/>
    <mergeCell ref="A72:C72"/>
    <mergeCell ref="D72:H7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6:E127">
      <formula1>"Attached Loft area,Attached Otla area,Attached Mezzanine area"</formula1>
    </dataValidation>
    <dataValidation type="list" allowBlank="1" showInputMessage="1" showErrorMessage="1" sqref="G173:H173">
      <formula1>"Kunal Kadam,Pranita Mhatre,Shruti Fule,Pooja Kawale,Gaurav Panchal,Shruti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B126:B127">
      <formula1>"Shop No. (Sale Plan),Sale / Rehab,Sale / Mhada"</formula1>
    </dataValidation>
    <dataValidation type="list" allowBlank="1" showInputMessage="1" showErrorMessage="1" sqref="B134:B13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4:E135">
      <formula1>"Fungible area,Balcony Area,Chajja Area,Cornice Area,AP Area,WS Area"</formula1>
    </dataValidation>
    <dataValidation type="list" allowBlank="1" showInputMessage="1" showErrorMessage="1" sqref="H127 H13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6 H134">
      <formula1>"Saleable area Loading :,Builder Saleable Area"</formula1>
    </dataValidation>
    <dataValidation type="list" allowBlank="1" showInputMessage="1" showErrorMessage="1" sqref="D126:D127 D134:D13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7" man="1"/>
    <brk id="177" max="16383" man="1"/>
    <brk id="221" max="16383" man="1"/>
    <brk id="26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18" sqref="G1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6" t="s">
        <v>103</v>
      </c>
      <c r="C3" s="246"/>
      <c r="D3" s="246"/>
      <c r="E3" s="246"/>
      <c r="F3" s="246"/>
      <c r="G3" s="246"/>
      <c r="H3" s="246"/>
    </row>
    <row r="4" spans="1:9" x14ac:dyDescent="0.35">
      <c r="A4" s="2"/>
      <c r="B4" s="3" t="s">
        <v>104</v>
      </c>
      <c r="C4" s="3" t="s">
        <v>105</v>
      </c>
      <c r="D4" s="3" t="s">
        <v>65</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3"/>
      <c r="C4" s="53" t="s">
        <v>10</v>
      </c>
      <c r="D4" s="54" t="s">
        <v>174</v>
      </c>
      <c r="E4" s="54" t="s">
        <v>184</v>
      </c>
      <c r="F4" s="54" t="s">
        <v>168</v>
      </c>
      <c r="G4" s="54" t="s">
        <v>189</v>
      </c>
      <c r="H4" s="54" t="s">
        <v>207</v>
      </c>
      <c r="J4" t="s">
        <v>189</v>
      </c>
      <c r="K4" t="s">
        <v>205</v>
      </c>
    </row>
    <row r="5" spans="2:11" x14ac:dyDescent="0.35">
      <c r="B5" s="53"/>
      <c r="C5" s="53"/>
      <c r="D5" s="54" t="s">
        <v>175</v>
      </c>
      <c r="E5" s="54" t="s">
        <v>182</v>
      </c>
      <c r="F5" s="54" t="s">
        <v>204</v>
      </c>
      <c r="G5" s="54" t="s">
        <v>190</v>
      </c>
      <c r="H5" s="54" t="s">
        <v>208</v>
      </c>
    </row>
    <row r="6" spans="2:11" x14ac:dyDescent="0.35">
      <c r="B6" s="53"/>
      <c r="C6" s="53"/>
      <c r="D6" s="54" t="s">
        <v>176</v>
      </c>
      <c r="E6" s="54" t="s">
        <v>183</v>
      </c>
      <c r="F6" s="54" t="s">
        <v>205</v>
      </c>
      <c r="G6" s="54" t="s">
        <v>191</v>
      </c>
      <c r="H6" s="54" t="s">
        <v>221</v>
      </c>
    </row>
    <row r="7" spans="2:11" x14ac:dyDescent="0.35">
      <c r="B7" s="53"/>
      <c r="C7" s="53"/>
      <c r="D7" s="54" t="s">
        <v>177</v>
      </c>
      <c r="E7" s="54" t="s">
        <v>185</v>
      </c>
      <c r="F7" s="54" t="s">
        <v>206</v>
      </c>
      <c r="G7" s="54" t="s">
        <v>192</v>
      </c>
      <c r="H7" s="54" t="s">
        <v>209</v>
      </c>
    </row>
    <row r="8" spans="2:11" x14ac:dyDescent="0.35">
      <c r="B8" s="53"/>
      <c r="C8" s="53"/>
      <c r="D8" s="54" t="s">
        <v>178</v>
      </c>
      <c r="E8" s="54" t="s">
        <v>186</v>
      </c>
      <c r="F8" s="54"/>
      <c r="G8" s="54" t="s">
        <v>193</v>
      </c>
      <c r="H8" s="54" t="s">
        <v>210</v>
      </c>
    </row>
    <row r="9" spans="2:11" x14ac:dyDescent="0.35">
      <c r="B9" s="53"/>
      <c r="C9" s="53"/>
      <c r="D9" s="54" t="s">
        <v>179</v>
      </c>
      <c r="E9" s="54" t="s">
        <v>184</v>
      </c>
      <c r="F9" s="54"/>
      <c r="G9" s="54" t="s">
        <v>194</v>
      </c>
      <c r="H9" s="54" t="s">
        <v>211</v>
      </c>
    </row>
    <row r="10" spans="2:11" x14ac:dyDescent="0.35">
      <c r="B10" s="53"/>
      <c r="C10" s="53"/>
      <c r="D10" s="54" t="s">
        <v>180</v>
      </c>
      <c r="E10" s="54" t="s">
        <v>187</v>
      </c>
      <c r="F10" s="54"/>
      <c r="G10" s="54" t="s">
        <v>195</v>
      </c>
      <c r="H10" s="54" t="s">
        <v>212</v>
      </c>
    </row>
    <row r="11" spans="2:11" x14ac:dyDescent="0.35">
      <c r="B11" s="53"/>
      <c r="C11" s="53"/>
      <c r="D11" s="54" t="s">
        <v>181</v>
      </c>
      <c r="E11" s="54" t="s">
        <v>188</v>
      </c>
      <c r="F11" s="54"/>
      <c r="G11" s="54" t="s">
        <v>196</v>
      </c>
      <c r="H11" s="54" t="s">
        <v>213</v>
      </c>
    </row>
    <row r="12" spans="2:11" x14ac:dyDescent="0.35">
      <c r="B12" s="53"/>
      <c r="C12" s="53"/>
      <c r="D12" s="54"/>
      <c r="E12" s="54"/>
      <c r="F12" s="54"/>
      <c r="G12" s="54" t="s">
        <v>197</v>
      </c>
      <c r="H12" s="54" t="s">
        <v>214</v>
      </c>
    </row>
    <row r="13" spans="2:11" x14ac:dyDescent="0.35">
      <c r="B13" s="53"/>
      <c r="C13" s="53"/>
      <c r="D13" s="54"/>
      <c r="E13" s="54"/>
      <c r="F13" s="54"/>
      <c r="G13" s="54" t="s">
        <v>198</v>
      </c>
      <c r="H13" s="54" t="s">
        <v>215</v>
      </c>
    </row>
    <row r="14" spans="2:11" x14ac:dyDescent="0.35">
      <c r="B14" s="53"/>
      <c r="C14" s="53"/>
      <c r="D14" s="54"/>
      <c r="E14" s="54"/>
      <c r="F14" s="54"/>
      <c r="G14" s="54" t="s">
        <v>199</v>
      </c>
      <c r="H14" s="54" t="s">
        <v>216</v>
      </c>
    </row>
    <row r="15" spans="2:11" x14ac:dyDescent="0.35">
      <c r="B15" s="53"/>
      <c r="C15" s="53"/>
      <c r="D15" s="54"/>
      <c r="E15" s="54"/>
      <c r="F15" s="54"/>
      <c r="G15" s="54" t="s">
        <v>200</v>
      </c>
      <c r="H15" s="54" t="s">
        <v>217</v>
      </c>
    </row>
    <row r="16" spans="2:11" x14ac:dyDescent="0.35">
      <c r="B16" s="53"/>
      <c r="C16" s="53"/>
      <c r="D16" s="54"/>
      <c r="E16" s="54"/>
      <c r="F16" s="54"/>
      <c r="G16" s="54" t="s">
        <v>201</v>
      </c>
      <c r="H16" s="54" t="s">
        <v>218</v>
      </c>
    </row>
    <row r="17" spans="2:8" x14ac:dyDescent="0.35">
      <c r="B17" s="53"/>
      <c r="C17" s="53"/>
      <c r="D17" s="54"/>
      <c r="E17" s="54"/>
      <c r="F17" s="54"/>
      <c r="G17" s="54" t="s">
        <v>202</v>
      </c>
      <c r="H17" s="54" t="s">
        <v>219</v>
      </c>
    </row>
    <row r="18" spans="2:8" x14ac:dyDescent="0.35">
      <c r="B18" s="53"/>
      <c r="C18" s="53"/>
      <c r="D18" s="54"/>
      <c r="E18" s="54"/>
      <c r="F18" s="54"/>
      <c r="G18" s="54" t="s">
        <v>203</v>
      </c>
      <c r="H18" s="54" t="s">
        <v>220</v>
      </c>
    </row>
    <row r="24" spans="2:8" x14ac:dyDescent="0.35">
      <c r="C24" t="s">
        <v>165</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165</v>
      </c>
    </row>
    <row r="33" spans="3:11" x14ac:dyDescent="0.35">
      <c r="J33">
        <v>1</v>
      </c>
      <c r="K33">
        <v>2</v>
      </c>
    </row>
    <row r="34" spans="3:11" x14ac:dyDescent="0.35">
      <c r="C34" s="56" t="s">
        <v>231</v>
      </c>
      <c r="D34" s="54" t="s">
        <v>229</v>
      </c>
      <c r="E34" s="54" t="s">
        <v>234</v>
      </c>
      <c r="F34" s="54" t="s">
        <v>232</v>
      </c>
      <c r="G34" s="54" t="s">
        <v>233</v>
      </c>
      <c r="H34" s="54" t="s">
        <v>235</v>
      </c>
      <c r="J34" t="s">
        <v>189</v>
      </c>
      <c r="K34" t="s">
        <v>205</v>
      </c>
    </row>
    <row r="35" spans="3:11" x14ac:dyDescent="0.35">
      <c r="C35" s="53" t="s">
        <v>230</v>
      </c>
      <c r="D35" s="54" t="s">
        <v>166</v>
      </c>
      <c r="E35" s="54" t="s">
        <v>239</v>
      </c>
      <c r="F35" s="54" t="s">
        <v>241</v>
      </c>
      <c r="G35" s="54" t="s">
        <v>243</v>
      </c>
      <c r="H35" s="54"/>
    </row>
    <row r="36" spans="3:11" x14ac:dyDescent="0.35">
      <c r="C36" s="53"/>
      <c r="D36" s="54" t="s">
        <v>236</v>
      </c>
      <c r="E36" s="54" t="s">
        <v>240</v>
      </c>
      <c r="F36" s="54" t="s">
        <v>242</v>
      </c>
      <c r="G36" s="54" t="s">
        <v>244</v>
      </c>
      <c r="H36" s="54"/>
    </row>
    <row r="37" spans="3:11" x14ac:dyDescent="0.35">
      <c r="C37" s="53"/>
      <c r="D37" s="54" t="s">
        <v>237</v>
      </c>
      <c r="E37" s="54"/>
      <c r="F37" s="54"/>
      <c r="G37" s="54" t="s">
        <v>245</v>
      </c>
      <c r="H37" s="54"/>
    </row>
    <row r="38" spans="3:11" x14ac:dyDescent="0.35">
      <c r="C38" s="53"/>
      <c r="D38" s="54" t="s">
        <v>238</v>
      </c>
      <c r="E38" s="54"/>
      <c r="F38" s="54"/>
      <c r="G38" s="54" t="s">
        <v>245</v>
      </c>
      <c r="H38" s="54"/>
    </row>
    <row r="39" spans="3:11" x14ac:dyDescent="0.35">
      <c r="C39" s="53"/>
      <c r="D39" s="54"/>
      <c r="E39" s="54"/>
      <c r="F39" s="54"/>
      <c r="G39" s="54" t="s">
        <v>246</v>
      </c>
      <c r="H39" s="54"/>
    </row>
    <row r="40" spans="3:11" x14ac:dyDescent="0.35">
      <c r="C40" s="53"/>
      <c r="D40" s="54"/>
      <c r="E40" s="54"/>
      <c r="F40" s="54"/>
      <c r="G40" s="54" t="s">
        <v>247</v>
      </c>
      <c r="H40" s="54"/>
    </row>
    <row r="41" spans="3:11" x14ac:dyDescent="0.35">
      <c r="C41" s="53"/>
      <c r="D41" s="54"/>
      <c r="E41" s="54"/>
      <c r="F41" s="54"/>
      <c r="G41" s="54"/>
      <c r="H41" s="54"/>
    </row>
    <row r="43" spans="3:11" x14ac:dyDescent="0.35">
      <c r="C43" t="s">
        <v>248</v>
      </c>
    </row>
    <row r="44" spans="3:11" x14ac:dyDescent="0.35">
      <c r="C44" t="s">
        <v>168</v>
      </c>
      <c r="D44" t="s">
        <v>249</v>
      </c>
    </row>
    <row r="45" spans="3:11" x14ac:dyDescent="0.35">
      <c r="D45" t="s">
        <v>250</v>
      </c>
    </row>
    <row r="46" spans="3:11" x14ac:dyDescent="0.35">
      <c r="D46" t="s">
        <v>251</v>
      </c>
    </row>
    <row r="47" spans="3:11" x14ac:dyDescent="0.35">
      <c r="D47" t="s">
        <v>252</v>
      </c>
    </row>
    <row r="48" spans="3:11" x14ac:dyDescent="0.35">
      <c r="D48" t="s">
        <v>253</v>
      </c>
    </row>
    <row r="49" spans="3:4" x14ac:dyDescent="0.35">
      <c r="C49" t="s">
        <v>174</v>
      </c>
      <c r="D49" t="s">
        <v>254</v>
      </c>
    </row>
    <row r="50" spans="3:4" x14ac:dyDescent="0.35">
      <c r="D50" t="s">
        <v>255</v>
      </c>
    </row>
    <row r="51" spans="3:4" x14ac:dyDescent="0.35">
      <c r="D51" t="s">
        <v>256</v>
      </c>
    </row>
    <row r="52" spans="3:4" x14ac:dyDescent="0.35">
      <c r="D52" t="s">
        <v>259</v>
      </c>
    </row>
    <row r="53" spans="3:4" x14ac:dyDescent="0.35">
      <c r="D53" t="s">
        <v>257</v>
      </c>
    </row>
    <row r="54" spans="3:4" x14ac:dyDescent="0.35">
      <c r="D54" t="s">
        <v>258</v>
      </c>
    </row>
    <row r="55" spans="3:4" x14ac:dyDescent="0.35">
      <c r="D55" t="s">
        <v>260</v>
      </c>
    </row>
    <row r="56" spans="3:4" x14ac:dyDescent="0.35">
      <c r="D56" t="s">
        <v>261</v>
      </c>
    </row>
    <row r="57" spans="3:4" x14ac:dyDescent="0.35">
      <c r="D57" t="s">
        <v>262</v>
      </c>
    </row>
    <row r="58" spans="3:4" x14ac:dyDescent="0.35">
      <c r="D58" t="s">
        <v>264</v>
      </c>
    </row>
    <row r="59" spans="3:4" x14ac:dyDescent="0.35">
      <c r="D59" t="s">
        <v>273</v>
      </c>
    </row>
    <row r="60" spans="3:4" x14ac:dyDescent="0.35">
      <c r="C60" t="s">
        <v>189</v>
      </c>
      <c r="D60" t="s">
        <v>265</v>
      </c>
    </row>
    <row r="61" spans="3:4" x14ac:dyDescent="0.35">
      <c r="D61" t="s">
        <v>263</v>
      </c>
    </row>
    <row r="62" spans="3:4" x14ac:dyDescent="0.35">
      <c r="D62" t="s">
        <v>253</v>
      </c>
    </row>
    <row r="63" spans="3:4" x14ac:dyDescent="0.35">
      <c r="D63" t="s">
        <v>266</v>
      </c>
    </row>
    <row r="64" spans="3:4" x14ac:dyDescent="0.35">
      <c r="D64" t="s">
        <v>267</v>
      </c>
    </row>
    <row r="65" spans="3:4" x14ac:dyDescent="0.35">
      <c r="D65" t="s">
        <v>268</v>
      </c>
    </row>
    <row r="66" spans="3:4" x14ac:dyDescent="0.35">
      <c r="D66" t="s">
        <v>269</v>
      </c>
    </row>
    <row r="67" spans="3:4" x14ac:dyDescent="0.35">
      <c r="C67" t="s">
        <v>184</v>
      </c>
      <c r="D67" t="s">
        <v>270</v>
      </c>
    </row>
    <row r="68" spans="3:4" x14ac:dyDescent="0.35">
      <c r="D68" t="s">
        <v>271</v>
      </c>
    </row>
    <row r="69" spans="3:4" x14ac:dyDescent="0.3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topLeftCell="A22" workbookViewId="0">
      <selection activeCell="C25" sqref="C25"/>
    </sheetView>
  </sheetViews>
  <sheetFormatPr defaultRowHeight="14.5" x14ac:dyDescent="0.35"/>
  <cols>
    <col min="2" max="2" width="3" bestFit="1" customWidth="1"/>
    <col min="3" max="3" width="155.26953125" customWidth="1"/>
  </cols>
  <sheetData>
    <row r="2" spans="2:3" ht="15" customHeight="1" x14ac:dyDescent="0.35">
      <c r="B2" s="57">
        <v>1</v>
      </c>
      <c r="C2" s="60" t="s">
        <v>278</v>
      </c>
    </row>
    <row r="3" spans="2:3" x14ac:dyDescent="0.35">
      <c r="B3" s="57">
        <v>2</v>
      </c>
      <c r="C3" s="58" t="s">
        <v>279</v>
      </c>
    </row>
    <row r="4" spans="2:3" x14ac:dyDescent="0.35">
      <c r="B4" s="57">
        <v>3</v>
      </c>
      <c r="C4" s="59" t="s">
        <v>280</v>
      </c>
    </row>
    <row r="5" spans="2:3" x14ac:dyDescent="0.35">
      <c r="B5" s="57">
        <v>4</v>
      </c>
      <c r="C5" s="58" t="s">
        <v>281</v>
      </c>
    </row>
    <row r="6" spans="2:3" x14ac:dyDescent="0.35">
      <c r="B6" s="57">
        <v>5</v>
      </c>
      <c r="C6" s="59" t="s">
        <v>282</v>
      </c>
    </row>
    <row r="7" spans="2:3" ht="29" x14ac:dyDescent="0.35">
      <c r="B7" s="57">
        <v>6</v>
      </c>
      <c r="C7" s="58" t="s">
        <v>283</v>
      </c>
    </row>
    <row r="8" spans="2:3" ht="72.5" x14ac:dyDescent="0.35">
      <c r="B8" s="57">
        <v>7</v>
      </c>
      <c r="C8" s="58" t="s">
        <v>284</v>
      </c>
    </row>
    <row r="9" spans="2:3" x14ac:dyDescent="0.35">
      <c r="B9" s="57">
        <v>8</v>
      </c>
      <c r="C9" s="59" t="s">
        <v>285</v>
      </c>
    </row>
    <row r="10" spans="2:3" x14ac:dyDescent="0.35">
      <c r="B10" s="57">
        <v>9</v>
      </c>
      <c r="C10" s="59" t="s">
        <v>286</v>
      </c>
    </row>
    <row r="11" spans="2:3" x14ac:dyDescent="0.35">
      <c r="B11" s="57">
        <v>10</v>
      </c>
      <c r="C11" s="59" t="s">
        <v>287</v>
      </c>
    </row>
    <row r="12" spans="2:3" x14ac:dyDescent="0.35">
      <c r="B12" s="57">
        <v>11</v>
      </c>
      <c r="C12" s="59" t="s">
        <v>288</v>
      </c>
    </row>
    <row r="13" spans="2:3" x14ac:dyDescent="0.35">
      <c r="B13" s="57">
        <v>12</v>
      </c>
      <c r="C13" s="59" t="s">
        <v>289</v>
      </c>
    </row>
    <row r="14" spans="2:3" x14ac:dyDescent="0.35">
      <c r="B14" s="57">
        <v>13</v>
      </c>
      <c r="C14" s="59" t="s">
        <v>290</v>
      </c>
    </row>
    <row r="15" spans="2:3" x14ac:dyDescent="0.35">
      <c r="B15" s="57">
        <v>14</v>
      </c>
      <c r="C15" s="59" t="s">
        <v>280</v>
      </c>
    </row>
    <row r="16" spans="2:3" x14ac:dyDescent="0.35">
      <c r="B16" s="57">
        <v>15</v>
      </c>
      <c r="C16" s="59" t="s">
        <v>292</v>
      </c>
    </row>
    <row r="17" spans="2:3" x14ac:dyDescent="0.35">
      <c r="B17" s="82">
        <v>16</v>
      </c>
      <c r="C17" s="65" t="s">
        <v>293</v>
      </c>
    </row>
    <row r="18" spans="2:3" x14ac:dyDescent="0.35">
      <c r="B18" s="64">
        <v>17</v>
      </c>
      <c r="C18" s="65" t="s">
        <v>294</v>
      </c>
    </row>
    <row r="19" spans="2:3" x14ac:dyDescent="0.35">
      <c r="B19" s="63">
        <v>18</v>
      </c>
      <c r="C19" s="57" t="s">
        <v>295</v>
      </c>
    </row>
    <row r="20" spans="2:3" x14ac:dyDescent="0.35">
      <c r="B20" s="64">
        <v>19</v>
      </c>
      <c r="C20" s="57" t="s">
        <v>331</v>
      </c>
    </row>
    <row r="21" spans="2:3" x14ac:dyDescent="0.35">
      <c r="B21" s="66">
        <v>20</v>
      </c>
      <c r="C21" s="57" t="s">
        <v>296</v>
      </c>
    </row>
    <row r="22" spans="2:3" x14ac:dyDescent="0.35">
      <c r="B22" s="64">
        <v>21</v>
      </c>
      <c r="C22" s="57" t="s">
        <v>295</v>
      </c>
    </row>
    <row r="23" spans="2:3" s="74" customFormat="1" ht="29.25" customHeight="1" x14ac:dyDescent="0.35">
      <c r="B23" s="73">
        <v>22</v>
      </c>
      <c r="C23" s="60" t="s">
        <v>323</v>
      </c>
    </row>
    <row r="24" spans="2:3" s="74" customFormat="1" ht="30.75" customHeight="1" x14ac:dyDescent="0.35">
      <c r="B24" s="75">
        <v>23</v>
      </c>
      <c r="C24" s="60" t="s">
        <v>324</v>
      </c>
    </row>
    <row r="25" spans="2:3" x14ac:dyDescent="0.35">
      <c r="B25" s="66">
        <v>24</v>
      </c>
      <c r="C25" s="57" t="s">
        <v>327</v>
      </c>
    </row>
    <row r="26" spans="2:3" x14ac:dyDescent="0.35">
      <c r="B26" s="64">
        <v>25</v>
      </c>
      <c r="C26" s="57" t="s">
        <v>325</v>
      </c>
    </row>
    <row r="27" spans="2:3" x14ac:dyDescent="0.35">
      <c r="B27" s="75">
        <v>26</v>
      </c>
      <c r="C27" s="66" t="s">
        <v>326</v>
      </c>
    </row>
    <row r="28" spans="2:3" x14ac:dyDescent="0.35">
      <c r="B28" s="76">
        <v>27</v>
      </c>
      <c r="C28" s="57" t="s">
        <v>328</v>
      </c>
    </row>
    <row r="29" spans="2:3" ht="43.5" x14ac:dyDescent="0.35">
      <c r="B29" s="81">
        <v>28</v>
      </c>
      <c r="C29" s="58" t="s">
        <v>329</v>
      </c>
    </row>
    <row r="30" spans="2:3" x14ac:dyDescent="0.35">
      <c r="B30" s="75">
        <v>29</v>
      </c>
      <c r="C30" s="57" t="s">
        <v>330</v>
      </c>
    </row>
    <row r="31" spans="2:3" ht="29" x14ac:dyDescent="0.35">
      <c r="B31" s="83">
        <v>30</v>
      </c>
      <c r="C31" s="58" t="s">
        <v>332</v>
      </c>
    </row>
    <row r="32" spans="2:3" x14ac:dyDescent="0.35">
      <c r="B32" s="75">
        <v>31</v>
      </c>
      <c r="C32" s="57" t="s">
        <v>333</v>
      </c>
    </row>
    <row r="33" spans="2:3" x14ac:dyDescent="0.35">
      <c r="B33" s="75">
        <v>32</v>
      </c>
      <c r="C33" s="57" t="s">
        <v>334</v>
      </c>
    </row>
    <row r="34" spans="2:3" ht="36.75" customHeight="1" x14ac:dyDescent="0.35">
      <c r="B34" s="83">
        <v>33</v>
      </c>
      <c r="C34" s="65" t="s">
        <v>335</v>
      </c>
    </row>
    <row r="35" spans="2:3" x14ac:dyDescent="0.35">
      <c r="B35" s="88">
        <v>34</v>
      </c>
      <c r="C35" s="57" t="s">
        <v>344</v>
      </c>
    </row>
    <row r="36" spans="2:3" ht="58" x14ac:dyDescent="0.35">
      <c r="B36" s="73">
        <v>35</v>
      </c>
      <c r="C36" s="58" t="s">
        <v>347</v>
      </c>
    </row>
    <row r="37" spans="2:3" x14ac:dyDescent="0.35">
      <c r="B37" s="57"/>
      <c r="C37" s="57"/>
    </row>
    <row r="38" spans="2:3" x14ac:dyDescent="0.35">
      <c r="B38" s="57"/>
      <c r="C38" s="57"/>
    </row>
    <row r="39" spans="2:3" x14ac:dyDescent="0.35">
      <c r="B39" s="57"/>
      <c r="C39" s="57"/>
    </row>
    <row r="40" spans="2:3" x14ac:dyDescent="0.35">
      <c r="B40" s="57"/>
      <c r="C40" s="57"/>
    </row>
    <row r="41" spans="2:3" x14ac:dyDescent="0.35">
      <c r="B41" s="57"/>
      <c r="C41" s="57"/>
    </row>
    <row r="42" spans="2:3" x14ac:dyDescent="0.35">
      <c r="B42" s="57"/>
      <c r="C42" s="57"/>
    </row>
    <row r="43" spans="2:3" x14ac:dyDescent="0.35">
      <c r="B43" s="57"/>
      <c r="C43" s="57"/>
    </row>
    <row r="44" spans="2:3" x14ac:dyDescent="0.35">
      <c r="B44" s="57"/>
      <c r="C44"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3"/>
    <col min="2" max="2" width="12.26953125" style="53" customWidth="1"/>
    <col min="3" max="16384" width="9.1796875" style="53"/>
  </cols>
  <sheetData>
    <row r="2" spans="1:12" x14ac:dyDescent="0.35">
      <c r="B2" s="67" t="s">
        <v>297</v>
      </c>
      <c r="C2" s="247"/>
      <c r="D2" s="247"/>
    </row>
    <row r="3" spans="1:12" x14ac:dyDescent="0.35">
      <c r="D3" s="68"/>
      <c r="E3" s="68"/>
      <c r="F3" s="68"/>
      <c r="G3" s="68"/>
      <c r="H3" s="68"/>
      <c r="I3" s="68"/>
    </row>
    <row r="4" spans="1:12" x14ac:dyDescent="0.35">
      <c r="A4" s="67" t="s">
        <v>65</v>
      </c>
      <c r="B4" s="69" t="s">
        <v>298</v>
      </c>
      <c r="C4" s="248" t="s">
        <v>299</v>
      </c>
      <c r="D4" s="248"/>
      <c r="E4" s="248"/>
      <c r="F4" s="69"/>
      <c r="G4" s="249" t="s">
        <v>300</v>
      </c>
      <c r="H4" s="249"/>
      <c r="I4" s="249"/>
      <c r="J4" s="250" t="s">
        <v>301</v>
      </c>
      <c r="K4" s="250"/>
      <c r="L4" s="250"/>
    </row>
    <row r="5" spans="1:12" x14ac:dyDescent="0.35">
      <c r="A5" s="67"/>
      <c r="B5" s="69"/>
      <c r="C5" s="69" t="s">
        <v>302</v>
      </c>
      <c r="D5" s="69" t="s">
        <v>303</v>
      </c>
      <c r="E5" s="69" t="s">
        <v>304</v>
      </c>
      <c r="F5" s="69"/>
      <c r="G5" s="69" t="s">
        <v>302</v>
      </c>
      <c r="H5" s="69" t="s">
        <v>303</v>
      </c>
      <c r="I5" s="69" t="s">
        <v>304</v>
      </c>
      <c r="J5" s="69" t="s">
        <v>302</v>
      </c>
      <c r="K5" s="69" t="s">
        <v>303</v>
      </c>
      <c r="L5" s="69" t="s">
        <v>304</v>
      </c>
    </row>
    <row r="6" spans="1:12" x14ac:dyDescent="0.35">
      <c r="B6" s="54" t="s">
        <v>305</v>
      </c>
      <c r="C6" s="54"/>
      <c r="D6" s="54"/>
      <c r="E6" s="54">
        <f>C6*D6</f>
        <v>0</v>
      </c>
      <c r="F6" s="54" t="s">
        <v>322</v>
      </c>
      <c r="G6" s="54"/>
      <c r="H6" s="54"/>
      <c r="I6" s="54">
        <f>G6*H6</f>
        <v>0</v>
      </c>
      <c r="J6" s="54"/>
      <c r="K6" s="54"/>
      <c r="L6" s="54">
        <f>J6*K6</f>
        <v>0</v>
      </c>
    </row>
    <row r="7" spans="1:12" x14ac:dyDescent="0.35">
      <c r="B7" s="54"/>
      <c r="C7" s="54"/>
      <c r="D7" s="54"/>
      <c r="E7" s="54">
        <f t="shared" ref="E7:E41" si="0">C7*D7</f>
        <v>0</v>
      </c>
      <c r="F7" s="54" t="s">
        <v>322</v>
      </c>
      <c r="G7" s="54"/>
      <c r="H7" s="54"/>
      <c r="I7" s="54">
        <f t="shared" ref="I7:I35" si="1">G7*H7</f>
        <v>0</v>
      </c>
      <c r="J7" s="54"/>
      <c r="K7" s="54"/>
      <c r="L7" s="54">
        <f t="shared" ref="L7:L35" si="2">J7*K7</f>
        <v>0</v>
      </c>
    </row>
    <row r="8" spans="1:12" x14ac:dyDescent="0.35">
      <c r="B8" s="54"/>
      <c r="C8" s="54"/>
      <c r="D8" s="54"/>
      <c r="E8" s="54">
        <f t="shared" si="0"/>
        <v>0</v>
      </c>
      <c r="F8" s="54"/>
      <c r="G8" s="54"/>
      <c r="H8" s="54"/>
      <c r="I8" s="54">
        <f t="shared" si="1"/>
        <v>0</v>
      </c>
      <c r="J8" s="54"/>
      <c r="K8" s="54"/>
      <c r="L8" s="54">
        <f t="shared" si="2"/>
        <v>0</v>
      </c>
    </row>
    <row r="9" spans="1:12" x14ac:dyDescent="0.35">
      <c r="B9" s="54"/>
      <c r="C9" s="54"/>
      <c r="D9" s="54"/>
      <c r="E9" s="54">
        <f t="shared" si="0"/>
        <v>0</v>
      </c>
      <c r="F9" s="54" t="s">
        <v>306</v>
      </c>
      <c r="G9" s="54"/>
      <c r="H9" s="54"/>
      <c r="I9" s="54">
        <f t="shared" si="1"/>
        <v>0</v>
      </c>
      <c r="J9" s="54"/>
      <c r="K9" s="54"/>
      <c r="L9" s="54">
        <f t="shared" si="2"/>
        <v>0</v>
      </c>
    </row>
    <row r="10" spans="1:12" x14ac:dyDescent="0.35">
      <c r="B10" s="54" t="s">
        <v>307</v>
      </c>
      <c r="C10" s="54"/>
      <c r="D10" s="54"/>
      <c r="E10" s="54">
        <f t="shared" si="0"/>
        <v>0</v>
      </c>
      <c r="F10" s="54" t="s">
        <v>306</v>
      </c>
      <c r="G10" s="54"/>
      <c r="H10" s="54"/>
      <c r="I10" s="54">
        <f t="shared" si="1"/>
        <v>0</v>
      </c>
      <c r="J10" s="54"/>
      <c r="K10" s="54"/>
      <c r="L10" s="54">
        <f t="shared" si="2"/>
        <v>0</v>
      </c>
    </row>
    <row r="11" spans="1:12" x14ac:dyDescent="0.35">
      <c r="B11" s="54"/>
      <c r="C11" s="54"/>
      <c r="D11" s="54"/>
      <c r="E11" s="54">
        <f t="shared" si="0"/>
        <v>0</v>
      </c>
      <c r="F11" s="54" t="s">
        <v>308</v>
      </c>
      <c r="G11" s="54"/>
      <c r="H11" s="54"/>
      <c r="I11" s="54">
        <f t="shared" si="1"/>
        <v>0</v>
      </c>
      <c r="J11" s="54"/>
      <c r="K11" s="54"/>
      <c r="L11" s="54">
        <f t="shared" si="2"/>
        <v>0</v>
      </c>
    </row>
    <row r="12" spans="1:12" x14ac:dyDescent="0.35">
      <c r="B12" s="54"/>
      <c r="C12" s="54"/>
      <c r="D12" s="54"/>
      <c r="E12" s="54">
        <f t="shared" si="0"/>
        <v>0</v>
      </c>
      <c r="F12" s="54"/>
      <c r="G12" s="54"/>
      <c r="H12" s="54"/>
      <c r="I12" s="54">
        <f t="shared" si="1"/>
        <v>0</v>
      </c>
      <c r="J12" s="54"/>
      <c r="K12" s="54"/>
      <c r="L12" s="54">
        <f t="shared" si="2"/>
        <v>0</v>
      </c>
    </row>
    <row r="13" spans="1:12" x14ac:dyDescent="0.35">
      <c r="B13" s="54"/>
      <c r="C13" s="54"/>
      <c r="D13" s="54"/>
      <c r="E13" s="54">
        <f t="shared" si="0"/>
        <v>0</v>
      </c>
      <c r="F13" s="54"/>
      <c r="G13" s="54"/>
      <c r="H13" s="54"/>
      <c r="I13" s="54">
        <f t="shared" si="1"/>
        <v>0</v>
      </c>
      <c r="J13" s="54"/>
      <c r="K13" s="54"/>
      <c r="L13" s="54">
        <f t="shared" si="2"/>
        <v>0</v>
      </c>
    </row>
    <row r="14" spans="1:12" x14ac:dyDescent="0.35">
      <c r="B14" s="54" t="s">
        <v>309</v>
      </c>
      <c r="C14" s="54"/>
      <c r="D14" s="54"/>
      <c r="E14" s="54">
        <f t="shared" si="0"/>
        <v>0</v>
      </c>
      <c r="F14" s="54" t="s">
        <v>306</v>
      </c>
      <c r="G14" s="54"/>
      <c r="H14" s="54"/>
      <c r="I14" s="54">
        <f t="shared" si="1"/>
        <v>0</v>
      </c>
      <c r="J14" s="54"/>
      <c r="K14" s="54"/>
      <c r="L14" s="54">
        <f t="shared" si="2"/>
        <v>0</v>
      </c>
    </row>
    <row r="15" spans="1:12" x14ac:dyDescent="0.35">
      <c r="B15" s="54"/>
      <c r="C15" s="54"/>
      <c r="D15" s="54"/>
      <c r="E15" s="54">
        <f t="shared" si="0"/>
        <v>0</v>
      </c>
      <c r="F15" s="54" t="s">
        <v>308</v>
      </c>
      <c r="G15" s="54"/>
      <c r="H15" s="54"/>
      <c r="I15" s="54">
        <f t="shared" si="1"/>
        <v>0</v>
      </c>
      <c r="J15" s="54"/>
      <c r="K15" s="54"/>
      <c r="L15" s="54">
        <f t="shared" si="2"/>
        <v>0</v>
      </c>
    </row>
    <row r="16" spans="1:12" x14ac:dyDescent="0.35">
      <c r="B16" s="54"/>
      <c r="C16" s="54"/>
      <c r="D16" s="54"/>
      <c r="E16" s="54">
        <f t="shared" si="0"/>
        <v>0</v>
      </c>
      <c r="F16" s="54"/>
      <c r="G16" s="54"/>
      <c r="H16" s="54"/>
      <c r="I16" s="54">
        <f t="shared" si="1"/>
        <v>0</v>
      </c>
      <c r="J16" s="54"/>
      <c r="K16" s="54"/>
      <c r="L16" s="54">
        <f t="shared" si="2"/>
        <v>0</v>
      </c>
    </row>
    <row r="17" spans="2:12" x14ac:dyDescent="0.35">
      <c r="B17" s="54"/>
      <c r="C17" s="54"/>
      <c r="D17" s="54"/>
      <c r="E17" s="54">
        <f t="shared" si="0"/>
        <v>0</v>
      </c>
      <c r="F17" s="54"/>
      <c r="G17" s="54"/>
      <c r="H17" s="54"/>
      <c r="I17" s="54">
        <f t="shared" si="1"/>
        <v>0</v>
      </c>
      <c r="J17" s="54"/>
      <c r="K17" s="54"/>
      <c r="L17" s="54">
        <f t="shared" si="2"/>
        <v>0</v>
      </c>
    </row>
    <row r="18" spans="2:12" x14ac:dyDescent="0.35">
      <c r="B18" s="54" t="s">
        <v>310</v>
      </c>
      <c r="C18" s="54"/>
      <c r="D18" s="54"/>
      <c r="E18" s="54">
        <f t="shared" si="0"/>
        <v>0</v>
      </c>
      <c r="F18" s="54" t="s">
        <v>306</v>
      </c>
      <c r="G18" s="54"/>
      <c r="H18" s="54"/>
      <c r="I18" s="54">
        <f t="shared" si="1"/>
        <v>0</v>
      </c>
      <c r="J18" s="54"/>
      <c r="K18" s="54"/>
      <c r="L18" s="54">
        <f t="shared" si="2"/>
        <v>0</v>
      </c>
    </row>
    <row r="19" spans="2:12" x14ac:dyDescent="0.35">
      <c r="B19" s="54"/>
      <c r="C19" s="54"/>
      <c r="D19" s="54"/>
      <c r="E19" s="54">
        <f t="shared" si="0"/>
        <v>0</v>
      </c>
      <c r="F19" s="54" t="s">
        <v>308</v>
      </c>
      <c r="G19" s="54"/>
      <c r="H19" s="54"/>
      <c r="I19" s="54">
        <f t="shared" si="1"/>
        <v>0</v>
      </c>
      <c r="J19" s="54"/>
      <c r="K19" s="54"/>
      <c r="L19" s="54">
        <f t="shared" si="2"/>
        <v>0</v>
      </c>
    </row>
    <row r="20" spans="2:12" x14ac:dyDescent="0.35">
      <c r="B20" s="54"/>
      <c r="C20" s="54"/>
      <c r="D20" s="54"/>
      <c r="E20" s="54">
        <f t="shared" si="0"/>
        <v>0</v>
      </c>
      <c r="F20" s="54"/>
      <c r="G20" s="54"/>
      <c r="H20" s="54"/>
      <c r="I20" s="54">
        <f t="shared" si="1"/>
        <v>0</v>
      </c>
      <c r="J20" s="54"/>
      <c r="K20" s="54"/>
      <c r="L20" s="54">
        <f t="shared" si="2"/>
        <v>0</v>
      </c>
    </row>
    <row r="21" spans="2:12" x14ac:dyDescent="0.35">
      <c r="B21" s="54" t="s">
        <v>311</v>
      </c>
      <c r="C21" s="54"/>
      <c r="D21" s="54"/>
      <c r="E21" s="54">
        <f t="shared" si="0"/>
        <v>0</v>
      </c>
      <c r="F21" s="54" t="s">
        <v>306</v>
      </c>
      <c r="G21" s="54"/>
      <c r="H21" s="54"/>
      <c r="I21" s="54">
        <f t="shared" si="1"/>
        <v>0</v>
      </c>
      <c r="J21" s="54"/>
      <c r="K21" s="54"/>
      <c r="L21" s="54">
        <f t="shared" si="2"/>
        <v>0</v>
      </c>
    </row>
    <row r="22" spans="2:12" x14ac:dyDescent="0.35">
      <c r="B22" s="54"/>
      <c r="C22" s="54"/>
      <c r="D22" s="54"/>
      <c r="E22" s="54">
        <f t="shared" si="0"/>
        <v>0</v>
      </c>
      <c r="F22" s="54" t="s">
        <v>308</v>
      </c>
      <c r="G22" s="54"/>
      <c r="H22" s="54"/>
      <c r="I22" s="54">
        <f t="shared" si="1"/>
        <v>0</v>
      </c>
      <c r="J22" s="54"/>
      <c r="K22" s="54"/>
      <c r="L22" s="54">
        <f t="shared" si="2"/>
        <v>0</v>
      </c>
    </row>
    <row r="23" spans="2:12" x14ac:dyDescent="0.35">
      <c r="B23" s="54"/>
      <c r="C23" s="54"/>
      <c r="D23" s="54"/>
      <c r="E23" s="54">
        <f t="shared" si="0"/>
        <v>0</v>
      </c>
      <c r="F23" s="54"/>
      <c r="G23" s="54"/>
      <c r="H23" s="54"/>
      <c r="I23" s="54">
        <f t="shared" si="1"/>
        <v>0</v>
      </c>
      <c r="J23" s="54"/>
      <c r="K23" s="54"/>
      <c r="L23" s="54">
        <f t="shared" si="2"/>
        <v>0</v>
      </c>
    </row>
    <row r="24" spans="2:12" x14ac:dyDescent="0.35">
      <c r="B24" s="54" t="s">
        <v>312</v>
      </c>
      <c r="C24" s="54"/>
      <c r="D24" s="54"/>
      <c r="E24" s="54">
        <f t="shared" si="0"/>
        <v>0</v>
      </c>
      <c r="F24" s="54" t="s">
        <v>313</v>
      </c>
      <c r="G24" s="54"/>
      <c r="H24" s="54"/>
      <c r="I24" s="54">
        <f t="shared" si="1"/>
        <v>0</v>
      </c>
      <c r="J24" s="54"/>
      <c r="K24" s="54"/>
      <c r="L24" s="54">
        <f t="shared" si="2"/>
        <v>0</v>
      </c>
    </row>
    <row r="25" spans="2:12" x14ac:dyDescent="0.35">
      <c r="B25" s="54"/>
      <c r="C25" s="54"/>
      <c r="D25" s="54"/>
      <c r="E25" s="54">
        <f>C25*D25</f>
        <v>0</v>
      </c>
      <c r="F25" s="54" t="s">
        <v>313</v>
      </c>
      <c r="G25" s="54"/>
      <c r="H25" s="54"/>
      <c r="I25" s="54">
        <f>G25*H25</f>
        <v>0</v>
      </c>
      <c r="J25" s="54"/>
      <c r="K25" s="54"/>
      <c r="L25" s="54">
        <f>J25*K25</f>
        <v>0</v>
      </c>
    </row>
    <row r="26" spans="2:12" x14ac:dyDescent="0.35">
      <c r="B26" s="54"/>
      <c r="C26" s="54"/>
      <c r="D26" s="54"/>
      <c r="E26" s="54">
        <f>C26*D26</f>
        <v>0</v>
      </c>
      <c r="F26" s="54" t="s">
        <v>313</v>
      </c>
      <c r="G26" s="54"/>
      <c r="H26" s="54"/>
      <c r="I26" s="54">
        <f>G26*H26</f>
        <v>0</v>
      </c>
      <c r="J26" s="54"/>
      <c r="K26" s="54"/>
      <c r="L26" s="54">
        <f>J26*K26</f>
        <v>0</v>
      </c>
    </row>
    <row r="27" spans="2:12" x14ac:dyDescent="0.35">
      <c r="B27" s="54"/>
      <c r="C27" s="54"/>
      <c r="D27" s="54"/>
      <c r="E27" s="54">
        <f>C27*D27</f>
        <v>0</v>
      </c>
      <c r="F27" s="54" t="s">
        <v>313</v>
      </c>
      <c r="G27" s="54"/>
      <c r="H27" s="54"/>
      <c r="I27" s="54">
        <f>G27*H27</f>
        <v>0</v>
      </c>
      <c r="J27" s="54"/>
      <c r="K27" s="54"/>
      <c r="L27" s="54">
        <f>J27*K27</f>
        <v>0</v>
      </c>
    </row>
    <row r="28" spans="2:12" x14ac:dyDescent="0.35">
      <c r="B28" s="54" t="s">
        <v>314</v>
      </c>
      <c r="C28" s="54"/>
      <c r="D28" s="54"/>
      <c r="E28" s="54">
        <f t="shared" si="0"/>
        <v>0</v>
      </c>
      <c r="F28" s="54" t="s">
        <v>313</v>
      </c>
      <c r="G28" s="54"/>
      <c r="H28" s="54"/>
      <c r="I28" s="54">
        <f t="shared" si="1"/>
        <v>0</v>
      </c>
      <c r="J28" s="54"/>
      <c r="K28" s="54"/>
      <c r="L28" s="54">
        <f t="shared" si="2"/>
        <v>0</v>
      </c>
    </row>
    <row r="29" spans="2:12" x14ac:dyDescent="0.35">
      <c r="B29" s="54" t="s">
        <v>315</v>
      </c>
      <c r="C29" s="54"/>
      <c r="D29" s="54"/>
      <c r="E29" s="54">
        <f t="shared" si="0"/>
        <v>0</v>
      </c>
      <c r="F29" s="54" t="s">
        <v>313</v>
      </c>
      <c r="G29" s="54"/>
      <c r="H29" s="54"/>
      <c r="I29" s="54">
        <f t="shared" si="1"/>
        <v>0</v>
      </c>
      <c r="J29" s="54"/>
      <c r="K29" s="54"/>
      <c r="L29" s="54">
        <f t="shared" si="2"/>
        <v>0</v>
      </c>
    </row>
    <row r="30" spans="2:12" x14ac:dyDescent="0.35">
      <c r="B30" s="54" t="s">
        <v>319</v>
      </c>
      <c r="C30" s="54"/>
      <c r="D30" s="54"/>
      <c r="E30" s="54">
        <f t="shared" si="0"/>
        <v>0</v>
      </c>
      <c r="F30" s="54"/>
      <c r="G30" s="54"/>
      <c r="H30" s="54"/>
      <c r="I30" s="54">
        <f t="shared" si="1"/>
        <v>0</v>
      </c>
      <c r="J30" s="54"/>
      <c r="K30" s="54"/>
      <c r="L30" s="54">
        <f t="shared" si="2"/>
        <v>0</v>
      </c>
    </row>
    <row r="31" spans="2:12" x14ac:dyDescent="0.35">
      <c r="B31" s="54"/>
      <c r="C31" s="54"/>
      <c r="D31" s="54"/>
      <c r="E31" s="54">
        <f>C31*D31</f>
        <v>0</v>
      </c>
      <c r="F31" s="54"/>
      <c r="G31" s="54"/>
      <c r="H31" s="54"/>
      <c r="I31" s="54">
        <f>G31*H31</f>
        <v>0</v>
      </c>
      <c r="J31" s="54"/>
      <c r="K31" s="54"/>
      <c r="L31" s="54">
        <f>J31*K31</f>
        <v>0</v>
      </c>
    </row>
    <row r="32" spans="2:12" x14ac:dyDescent="0.35">
      <c r="B32" s="54"/>
      <c r="C32" s="54"/>
      <c r="D32" s="54"/>
      <c r="E32" s="54">
        <f>C32*D32</f>
        <v>0</v>
      </c>
      <c r="F32" s="54"/>
      <c r="G32" s="54"/>
      <c r="H32" s="54"/>
      <c r="I32" s="54">
        <f>G32*H32</f>
        <v>0</v>
      </c>
      <c r="J32" s="54"/>
      <c r="K32" s="54"/>
      <c r="L32" s="54">
        <f>J32*K32</f>
        <v>0</v>
      </c>
    </row>
    <row r="33" spans="2:12" x14ac:dyDescent="0.35">
      <c r="B33" s="54" t="s">
        <v>316</v>
      </c>
      <c r="C33" s="54"/>
      <c r="D33" s="54"/>
      <c r="E33" s="54">
        <f t="shared" si="0"/>
        <v>0</v>
      </c>
      <c r="F33" s="54"/>
      <c r="G33" s="54"/>
      <c r="H33" s="54"/>
      <c r="I33" s="54">
        <f t="shared" si="1"/>
        <v>0</v>
      </c>
      <c r="J33" s="54"/>
      <c r="K33" s="54"/>
      <c r="L33" s="54">
        <f t="shared" si="2"/>
        <v>0</v>
      </c>
    </row>
    <row r="34" spans="2:12" x14ac:dyDescent="0.35">
      <c r="B34" s="54" t="s">
        <v>320</v>
      </c>
      <c r="C34" s="54"/>
      <c r="D34" s="54"/>
      <c r="E34" s="54">
        <f t="shared" si="0"/>
        <v>0</v>
      </c>
      <c r="F34" s="54"/>
      <c r="G34" s="54"/>
      <c r="H34" s="54"/>
      <c r="I34" s="54">
        <f t="shared" si="1"/>
        <v>0</v>
      </c>
      <c r="J34" s="54"/>
      <c r="K34" s="54"/>
      <c r="L34" s="54">
        <f t="shared" si="2"/>
        <v>0</v>
      </c>
    </row>
    <row r="35" spans="2:12" x14ac:dyDescent="0.35">
      <c r="B35" s="54" t="s">
        <v>317</v>
      </c>
      <c r="C35" s="54"/>
      <c r="D35" s="54"/>
      <c r="E35" s="54">
        <f t="shared" si="0"/>
        <v>0</v>
      </c>
      <c r="F35" s="54"/>
      <c r="G35" s="54"/>
      <c r="H35" s="54"/>
      <c r="I35" s="54">
        <f t="shared" si="1"/>
        <v>0</v>
      </c>
      <c r="J35" s="54"/>
      <c r="K35" s="54"/>
      <c r="L35" s="54">
        <f t="shared" si="2"/>
        <v>0</v>
      </c>
    </row>
    <row r="36" spans="2:12" x14ac:dyDescent="0.35">
      <c r="B36" s="54" t="s">
        <v>318</v>
      </c>
      <c r="C36" s="54"/>
      <c r="D36" s="54"/>
      <c r="E36" s="54">
        <f t="shared" si="0"/>
        <v>0</v>
      </c>
      <c r="F36" s="54"/>
      <c r="G36" s="54"/>
      <c r="H36" s="54"/>
      <c r="I36" s="54">
        <f t="shared" ref="I36:I41" si="3">G36*H36</f>
        <v>0</v>
      </c>
      <c r="J36" s="54"/>
      <c r="K36" s="54"/>
      <c r="L36" s="54">
        <f t="shared" ref="L36:L41" si="4">J36*K36</f>
        <v>0</v>
      </c>
    </row>
    <row r="37" spans="2:12" x14ac:dyDescent="0.35">
      <c r="B37" s="54"/>
      <c r="C37" s="54"/>
      <c r="D37" s="54"/>
      <c r="E37" s="54">
        <f>C37*D37</f>
        <v>0</v>
      </c>
      <c r="F37" s="54"/>
      <c r="G37" s="54"/>
      <c r="H37" s="54"/>
      <c r="I37" s="54">
        <f t="shared" si="3"/>
        <v>0</v>
      </c>
      <c r="J37" s="54"/>
      <c r="K37" s="54"/>
      <c r="L37" s="54">
        <f t="shared" si="4"/>
        <v>0</v>
      </c>
    </row>
    <row r="38" spans="2:12" x14ac:dyDescent="0.35">
      <c r="B38" s="54" t="s">
        <v>321</v>
      </c>
      <c r="C38" s="54"/>
      <c r="D38" s="54"/>
      <c r="E38" s="54">
        <f>C38*D38</f>
        <v>0</v>
      </c>
      <c r="F38" s="54"/>
      <c r="G38" s="54"/>
      <c r="H38" s="54"/>
      <c r="I38" s="54">
        <f t="shared" si="3"/>
        <v>0</v>
      </c>
      <c r="J38" s="54"/>
      <c r="K38" s="54"/>
      <c r="L38" s="54">
        <f t="shared" si="4"/>
        <v>0</v>
      </c>
    </row>
    <row r="39" spans="2:12" x14ac:dyDescent="0.35">
      <c r="B39" s="54"/>
      <c r="C39" s="54"/>
      <c r="D39" s="54"/>
      <c r="E39" s="54">
        <f t="shared" si="0"/>
        <v>0</v>
      </c>
      <c r="F39" s="54"/>
      <c r="G39" s="54"/>
      <c r="H39" s="54"/>
      <c r="I39" s="54">
        <f t="shared" si="3"/>
        <v>0</v>
      </c>
      <c r="J39" s="54"/>
      <c r="K39" s="54"/>
      <c r="L39" s="54">
        <f t="shared" si="4"/>
        <v>0</v>
      </c>
    </row>
    <row r="40" spans="2:12" x14ac:dyDescent="0.35">
      <c r="B40" s="54"/>
      <c r="C40" s="54"/>
      <c r="D40" s="54"/>
      <c r="E40" s="54">
        <f t="shared" si="0"/>
        <v>0</v>
      </c>
      <c r="F40" s="54"/>
      <c r="G40" s="54"/>
      <c r="H40" s="54"/>
      <c r="I40" s="54">
        <f t="shared" si="3"/>
        <v>0</v>
      </c>
      <c r="J40" s="54"/>
      <c r="K40" s="54"/>
      <c r="L40" s="54">
        <f t="shared" si="4"/>
        <v>0</v>
      </c>
    </row>
    <row r="41" spans="2:12" x14ac:dyDescent="0.35">
      <c r="B41" s="54"/>
      <c r="C41" s="54"/>
      <c r="D41" s="54"/>
      <c r="E41" s="54">
        <f t="shared" si="0"/>
        <v>0</v>
      </c>
      <c r="F41" s="54"/>
      <c r="G41" s="54"/>
      <c r="H41" s="54"/>
      <c r="I41" s="54">
        <f t="shared" si="3"/>
        <v>0</v>
      </c>
      <c r="J41" s="54"/>
      <c r="K41" s="54"/>
      <c r="L41" s="54">
        <f t="shared" si="4"/>
        <v>0</v>
      </c>
    </row>
    <row r="42" spans="2:12" x14ac:dyDescent="0.35">
      <c r="B42" s="54" t="s">
        <v>145</v>
      </c>
      <c r="C42" s="54"/>
      <c r="D42" s="54">
        <f>E42*10.764</f>
        <v>0</v>
      </c>
      <c r="E42" s="72">
        <f>SUM(E6:E41)</f>
        <v>0</v>
      </c>
      <c r="F42" s="54"/>
      <c r="G42" s="54"/>
      <c r="H42" s="54">
        <f>I42*10.764</f>
        <v>0</v>
      </c>
      <c r="I42" s="71">
        <f>SUM(I6:I41)</f>
        <v>0</v>
      </c>
      <c r="J42" s="54"/>
      <c r="K42" s="54">
        <f>L42*10.764</f>
        <v>0</v>
      </c>
      <c r="L42" s="70">
        <f>SUM(L6:L41)</f>
        <v>0</v>
      </c>
    </row>
    <row r="44" spans="2:12" x14ac:dyDescent="0.3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2025-09-24T07:05:05Z</cp:lastPrinted>
  <dcterms:created xsi:type="dcterms:W3CDTF">2019-07-16T09:29:46Z</dcterms:created>
  <dcterms:modified xsi:type="dcterms:W3CDTF">2025-09-24T07:06:24Z</dcterms:modified>
</cp:coreProperties>
</file>