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4-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0" i="1" l="1"/>
  <c r="J233" i="1"/>
  <c r="J221" i="1"/>
  <c r="I156" i="1"/>
  <c r="I155" i="1"/>
  <c r="E199" i="1" l="1"/>
  <c r="E154" i="1"/>
  <c r="E160" i="1"/>
  <c r="E194" i="1"/>
  <c r="D193" i="1"/>
  <c r="E193" i="1"/>
  <c r="D194" i="1"/>
  <c r="D195" i="1"/>
  <c r="E195" i="1"/>
  <c r="D196" i="1"/>
  <c r="D197" i="1"/>
  <c r="E197" i="1"/>
  <c r="D198" i="1"/>
  <c r="E198" i="1"/>
  <c r="D199" i="1"/>
  <c r="E308" i="1"/>
  <c r="D308" i="1"/>
  <c r="E307" i="1"/>
  <c r="D307" i="1"/>
  <c r="F307" i="1" s="1"/>
  <c r="H307" i="1" s="1"/>
  <c r="E306" i="1"/>
  <c r="D306" i="1"/>
  <c r="E305" i="1"/>
  <c r="D305" i="1"/>
  <c r="E304" i="1"/>
  <c r="D304" i="1"/>
  <c r="E302" i="1"/>
  <c r="D302" i="1"/>
  <c r="E301" i="1"/>
  <c r="D301" i="1"/>
  <c r="E299" i="1"/>
  <c r="D299" i="1"/>
  <c r="E298" i="1"/>
  <c r="D298" i="1"/>
  <c r="E297" i="1"/>
  <c r="D297" i="1"/>
  <c r="E296" i="1"/>
  <c r="D296" i="1"/>
  <c r="E295" i="1"/>
  <c r="D295" i="1"/>
  <c r="E294" i="1"/>
  <c r="D294" i="1"/>
  <c r="E293" i="1"/>
  <c r="D293" i="1"/>
  <c r="E292" i="1"/>
  <c r="D292" i="1"/>
  <c r="G286" i="1"/>
  <c r="G285" i="1"/>
  <c r="G284" i="1"/>
  <c r="G283" i="1"/>
  <c r="E290" i="1"/>
  <c r="D290" i="1"/>
  <c r="E289" i="1"/>
  <c r="D289" i="1"/>
  <c r="E288" i="1"/>
  <c r="D288" i="1"/>
  <c r="E287" i="1"/>
  <c r="D287" i="1"/>
  <c r="E286" i="1"/>
  <c r="D286" i="1"/>
  <c r="E285" i="1"/>
  <c r="D285" i="1"/>
  <c r="E284" i="1"/>
  <c r="D284" i="1"/>
  <c r="E283" i="1"/>
  <c r="D283" i="1"/>
  <c r="E279" i="1"/>
  <c r="D279" i="1"/>
  <c r="E278" i="1"/>
  <c r="D278" i="1"/>
  <c r="E277" i="1"/>
  <c r="D277" i="1"/>
  <c r="E276" i="1"/>
  <c r="D276" i="1"/>
  <c r="E275" i="1"/>
  <c r="D275" i="1"/>
  <c r="E274" i="1"/>
  <c r="D274" i="1"/>
  <c r="E273" i="1"/>
  <c r="D273" i="1"/>
  <c r="E272" i="1"/>
  <c r="D272" i="1"/>
  <c r="E271" i="1"/>
  <c r="D271" i="1"/>
  <c r="E269" i="1"/>
  <c r="D269" i="1"/>
  <c r="E268" i="1"/>
  <c r="D268" i="1"/>
  <c r="E266" i="1"/>
  <c r="D266" i="1"/>
  <c r="E265" i="1"/>
  <c r="D265" i="1"/>
  <c r="E264" i="1"/>
  <c r="D264" i="1"/>
  <c r="E263" i="1"/>
  <c r="D263" i="1"/>
  <c r="E262" i="1"/>
  <c r="D262" i="1"/>
  <c r="E261" i="1"/>
  <c r="D261" i="1"/>
  <c r="E260" i="1"/>
  <c r="D260" i="1"/>
  <c r="E259" i="1"/>
  <c r="D259" i="1"/>
  <c r="E258" i="1"/>
  <c r="D258" i="1"/>
  <c r="E257" i="1"/>
  <c r="D257" i="1"/>
  <c r="F257" i="1" s="1"/>
  <c r="H257" i="1" s="1"/>
  <c r="E256" i="1"/>
  <c r="D256" i="1"/>
  <c r="E255" i="1"/>
  <c r="D255" i="1"/>
  <c r="G247" i="1"/>
  <c r="G246" i="1"/>
  <c r="G245" i="1"/>
  <c r="G244" i="1"/>
  <c r="G243" i="1"/>
  <c r="G242" i="1"/>
  <c r="E253" i="1"/>
  <c r="D253" i="1"/>
  <c r="E252" i="1"/>
  <c r="D252" i="1"/>
  <c r="E251" i="1"/>
  <c r="D251" i="1"/>
  <c r="E250" i="1"/>
  <c r="D250" i="1"/>
  <c r="E249" i="1"/>
  <c r="D249" i="1"/>
  <c r="E248" i="1"/>
  <c r="D248" i="1"/>
  <c r="E247" i="1"/>
  <c r="D247" i="1"/>
  <c r="E246" i="1"/>
  <c r="D246" i="1"/>
  <c r="E245" i="1"/>
  <c r="D245" i="1"/>
  <c r="E244" i="1"/>
  <c r="D244" i="1"/>
  <c r="E243" i="1"/>
  <c r="D243" i="1"/>
  <c r="E242" i="1"/>
  <c r="D242" i="1"/>
  <c r="E238" i="1"/>
  <c r="D238" i="1"/>
  <c r="E237" i="1"/>
  <c r="D237" i="1"/>
  <c r="E236" i="1"/>
  <c r="D236" i="1"/>
  <c r="E235" i="1"/>
  <c r="D235" i="1"/>
  <c r="E234" i="1"/>
  <c r="D234" i="1"/>
  <c r="E232" i="1"/>
  <c r="D232" i="1"/>
  <c r="E231" i="1"/>
  <c r="D231" i="1"/>
  <c r="F231" i="1" s="1"/>
  <c r="H231" i="1" s="1"/>
  <c r="J231" i="1" s="1"/>
  <c r="E229" i="1"/>
  <c r="D229" i="1"/>
  <c r="E228" i="1"/>
  <c r="D228" i="1"/>
  <c r="E227" i="1"/>
  <c r="D227" i="1"/>
  <c r="E226" i="1"/>
  <c r="D226" i="1"/>
  <c r="E225" i="1"/>
  <c r="D225" i="1"/>
  <c r="E224" i="1"/>
  <c r="D224" i="1"/>
  <c r="E223" i="1"/>
  <c r="D223" i="1"/>
  <c r="E222" i="1"/>
  <c r="D222" i="1"/>
  <c r="G216" i="1"/>
  <c r="G215" i="1"/>
  <c r="G214" i="1"/>
  <c r="G213" i="1"/>
  <c r="E220" i="1"/>
  <c r="D220" i="1"/>
  <c r="E219" i="1"/>
  <c r="D219" i="1"/>
  <c r="E218" i="1"/>
  <c r="D218" i="1"/>
  <c r="E217" i="1"/>
  <c r="D217" i="1"/>
  <c r="E216" i="1"/>
  <c r="D216" i="1"/>
  <c r="E215" i="1"/>
  <c r="D215" i="1"/>
  <c r="E214" i="1"/>
  <c r="D214" i="1"/>
  <c r="E213" i="1"/>
  <c r="D213" i="1"/>
  <c r="D206" i="1"/>
  <c r="F206" i="1" s="1"/>
  <c r="H206" i="1" s="1"/>
  <c r="D205" i="1"/>
  <c r="D204" i="1"/>
  <c r="D203" i="1"/>
  <c r="F203" i="1" s="1"/>
  <c r="H203" i="1" s="1"/>
  <c r="D202" i="1"/>
  <c r="F202" i="1" s="1"/>
  <c r="H202" i="1" s="1"/>
  <c r="D201" i="1"/>
  <c r="D189" i="1"/>
  <c r="F189" i="1" s="1"/>
  <c r="H189" i="1" s="1"/>
  <c r="D188" i="1"/>
  <c r="F188" i="1" s="1"/>
  <c r="H188" i="1" s="1"/>
  <c r="D187" i="1"/>
  <c r="F187" i="1" s="1"/>
  <c r="H187" i="1" s="1"/>
  <c r="D186" i="1"/>
  <c r="D185" i="1"/>
  <c r="D184" i="1"/>
  <c r="D183" i="1"/>
  <c r="D182" i="1"/>
  <c r="D181" i="1"/>
  <c r="E179" i="1"/>
  <c r="D179" i="1"/>
  <c r="E178" i="1"/>
  <c r="D178" i="1"/>
  <c r="E177" i="1"/>
  <c r="D177" i="1"/>
  <c r="E176" i="1"/>
  <c r="D176" i="1"/>
  <c r="E175" i="1"/>
  <c r="D175" i="1"/>
  <c r="E174" i="1"/>
  <c r="D174" i="1"/>
  <c r="E173" i="1"/>
  <c r="D173" i="1"/>
  <c r="E172" i="1"/>
  <c r="D172" i="1"/>
  <c r="E171" i="1"/>
  <c r="D171" i="1"/>
  <c r="D167" i="1"/>
  <c r="D166" i="1"/>
  <c r="D165" i="1"/>
  <c r="D164" i="1"/>
  <c r="D163" i="1"/>
  <c r="D162" i="1"/>
  <c r="D160" i="1"/>
  <c r="E159" i="1"/>
  <c r="D159" i="1"/>
  <c r="E158" i="1"/>
  <c r="D158" i="1"/>
  <c r="D157" i="1"/>
  <c r="E156" i="1"/>
  <c r="D156" i="1"/>
  <c r="E155" i="1"/>
  <c r="D155" i="1"/>
  <c r="D154" i="1"/>
  <c r="A273" i="1"/>
  <c r="A274" i="1" s="1"/>
  <c r="A275" i="1" s="1"/>
  <c r="A276" i="1" s="1"/>
  <c r="A277" i="1" s="1"/>
  <c r="A278" i="1" s="1"/>
  <c r="A279" i="1" s="1"/>
  <c r="A269" i="1"/>
  <c r="A270" i="1" s="1"/>
  <c r="A271" i="1" s="1"/>
  <c r="A306" i="1"/>
  <c r="A307" i="1" s="1"/>
  <c r="A308" i="1" s="1"/>
  <c r="A302" i="1"/>
  <c r="A303" i="1" s="1"/>
  <c r="A304" i="1" s="1"/>
  <c r="A236" i="1"/>
  <c r="A237" i="1" s="1"/>
  <c r="A238" i="1" s="1"/>
  <c r="F235" i="1"/>
  <c r="H235" i="1" s="1"/>
  <c r="J235" i="1" s="1"/>
  <c r="A232" i="1"/>
  <c r="A233" i="1" s="1"/>
  <c r="A234" i="1" s="1"/>
  <c r="A260" i="1"/>
  <c r="A261" i="1" s="1"/>
  <c r="A262" i="1" s="1"/>
  <c r="A263" i="1" s="1"/>
  <c r="A264" i="1" s="1"/>
  <c r="A265" i="1" s="1"/>
  <c r="A266" i="1" s="1"/>
  <c r="A256" i="1"/>
  <c r="A257" i="1" s="1"/>
  <c r="A258" i="1" s="1"/>
  <c r="A297" i="1"/>
  <c r="A298" i="1" s="1"/>
  <c r="A299" i="1" s="1"/>
  <c r="A293" i="1"/>
  <c r="A294" i="1" s="1"/>
  <c r="A295" i="1" s="1"/>
  <c r="A227" i="1"/>
  <c r="A228" i="1" s="1"/>
  <c r="A229" i="1" s="1"/>
  <c r="A223" i="1"/>
  <c r="A224" i="1" s="1"/>
  <c r="A225" i="1" s="1"/>
  <c r="A247" i="1"/>
  <c r="A248" i="1" s="1"/>
  <c r="A249" i="1" s="1"/>
  <c r="A250" i="1" s="1"/>
  <c r="A251" i="1" s="1"/>
  <c r="A252" i="1" s="1"/>
  <c r="A253" i="1" s="1"/>
  <c r="A243" i="1"/>
  <c r="A244" i="1" s="1"/>
  <c r="A245" i="1" s="1"/>
  <c r="A288" i="1"/>
  <c r="A289" i="1" s="1"/>
  <c r="A290" i="1" s="1"/>
  <c r="A284" i="1"/>
  <c r="A285" i="1" s="1"/>
  <c r="A286" i="1" s="1"/>
  <c r="I210" i="1"/>
  <c r="A218" i="1"/>
  <c r="A219" i="1" s="1"/>
  <c r="A220" i="1" s="1"/>
  <c r="F205" i="1"/>
  <c r="H205" i="1" s="1"/>
  <c r="F204" i="1"/>
  <c r="H204" i="1" s="1"/>
  <c r="F201" i="1"/>
  <c r="H201" i="1" s="1"/>
  <c r="A206" i="1"/>
  <c r="A202" i="1"/>
  <c r="A203" i="1" s="1"/>
  <c r="A204" i="1" s="1"/>
  <c r="C135" i="1" l="1"/>
  <c r="F268" i="1"/>
  <c r="H268" i="1" s="1"/>
  <c r="C142" i="1"/>
  <c r="C143" i="1"/>
  <c r="C137" i="1"/>
  <c r="C134" i="1"/>
  <c r="C136" i="1"/>
  <c r="C133" i="1"/>
  <c r="C144" i="1"/>
  <c r="F277" i="1"/>
  <c r="H277" i="1" s="1"/>
  <c r="C138" i="1"/>
  <c r="E138" i="1"/>
  <c r="G138" i="1"/>
  <c r="F273" i="1"/>
  <c r="H273" i="1" s="1"/>
  <c r="F275" i="1"/>
  <c r="H275" i="1" s="1"/>
  <c r="F279" i="1"/>
  <c r="H279" i="1" s="1"/>
  <c r="F246" i="1"/>
  <c r="H246" i="1" s="1"/>
  <c r="F227" i="1"/>
  <c r="H227" i="1" s="1"/>
  <c r="J227" i="1" s="1"/>
  <c r="F258" i="1"/>
  <c r="H258" i="1" s="1"/>
  <c r="F232" i="1"/>
  <c r="H232" i="1" s="1"/>
  <c r="J232" i="1" s="1"/>
  <c r="F237" i="1"/>
  <c r="H237" i="1" s="1"/>
  <c r="J237" i="1" s="1"/>
  <c r="F306" i="1"/>
  <c r="H306" i="1" s="1"/>
  <c r="F274" i="1"/>
  <c r="H274" i="1" s="1"/>
  <c r="F259" i="1"/>
  <c r="H259" i="1" s="1"/>
  <c r="F260" i="1"/>
  <c r="H260" i="1" s="1"/>
  <c r="F266" i="1"/>
  <c r="H266" i="1" s="1"/>
  <c r="F236" i="1"/>
  <c r="H236" i="1" s="1"/>
  <c r="J236" i="1" s="1"/>
  <c r="F238" i="1"/>
  <c r="H238" i="1" s="1"/>
  <c r="J238" i="1" s="1"/>
  <c r="F301" i="1"/>
  <c r="H301" i="1" s="1"/>
  <c r="F305" i="1"/>
  <c r="H305" i="1" s="1"/>
  <c r="F308" i="1"/>
  <c r="H308" i="1" s="1"/>
  <c r="F272" i="1"/>
  <c r="H272" i="1" s="1"/>
  <c r="F261" i="1"/>
  <c r="H261" i="1" s="1"/>
  <c r="F278" i="1"/>
  <c r="H278" i="1" s="1"/>
  <c r="F269" i="1"/>
  <c r="H269" i="1" s="1"/>
  <c r="F271" i="1"/>
  <c r="H271" i="1" s="1"/>
  <c r="F276" i="1"/>
  <c r="H276" i="1" s="1"/>
  <c r="F304" i="1"/>
  <c r="H304" i="1" s="1"/>
  <c r="F255" i="1"/>
  <c r="H255" i="1" s="1"/>
  <c r="F294" i="1"/>
  <c r="H294" i="1" s="1"/>
  <c r="F302" i="1"/>
  <c r="H302" i="1" s="1"/>
  <c r="F234" i="1"/>
  <c r="H234" i="1" s="1"/>
  <c r="J234" i="1" s="1"/>
  <c r="F263" i="1"/>
  <c r="H263" i="1" s="1"/>
  <c r="F222" i="1"/>
  <c r="H222" i="1" s="1"/>
  <c r="J222" i="1" s="1"/>
  <c r="F226" i="1"/>
  <c r="H226" i="1" s="1"/>
  <c r="J226" i="1" s="1"/>
  <c r="F256" i="1"/>
  <c r="H256" i="1" s="1"/>
  <c r="F262" i="1"/>
  <c r="H262" i="1" s="1"/>
  <c r="F293" i="1"/>
  <c r="H293" i="1" s="1"/>
  <c r="F296" i="1"/>
  <c r="H296" i="1" s="1"/>
  <c r="F299" i="1"/>
  <c r="H299" i="1" s="1"/>
  <c r="F264" i="1"/>
  <c r="H264" i="1" s="1"/>
  <c r="F225" i="1"/>
  <c r="H225" i="1" s="1"/>
  <c r="J225" i="1" s="1"/>
  <c r="F223" i="1"/>
  <c r="H223" i="1" s="1"/>
  <c r="J223" i="1" s="1"/>
  <c r="F295" i="1"/>
  <c r="H295" i="1" s="1"/>
  <c r="F297" i="1"/>
  <c r="H297" i="1" s="1"/>
  <c r="F265" i="1"/>
  <c r="H265" i="1" s="1"/>
  <c r="F287" i="1"/>
  <c r="H287" i="1" s="1"/>
  <c r="F228" i="1"/>
  <c r="H228" i="1" s="1"/>
  <c r="J228" i="1" s="1"/>
  <c r="F292" i="1"/>
  <c r="H292" i="1" s="1"/>
  <c r="F298" i="1"/>
  <c r="H298" i="1" s="1"/>
  <c r="F229" i="1"/>
  <c r="H229" i="1" s="1"/>
  <c r="J229" i="1" s="1"/>
  <c r="F216" i="1"/>
  <c r="F285" i="1"/>
  <c r="H285" i="1" s="1"/>
  <c r="F218" i="1"/>
  <c r="H218" i="1" s="1"/>
  <c r="J218" i="1" s="1"/>
  <c r="F224" i="1"/>
  <c r="H224" i="1" s="1"/>
  <c r="J224" i="1" s="1"/>
  <c r="F283" i="1"/>
  <c r="F289" i="1"/>
  <c r="H289" i="1" s="1"/>
  <c r="F249" i="1"/>
  <c r="F288" i="1"/>
  <c r="H288" i="1" s="1"/>
  <c r="F219" i="1"/>
  <c r="H219" i="1" s="1"/>
  <c r="J219" i="1" s="1"/>
  <c r="F284" i="1"/>
  <c r="H284" i="1" s="1"/>
  <c r="F217" i="1"/>
  <c r="H217" i="1" s="1"/>
  <c r="J217" i="1" s="1"/>
  <c r="F248" i="1"/>
  <c r="F220" i="1"/>
  <c r="H220" i="1" s="1"/>
  <c r="J220" i="1" s="1"/>
  <c r="F286" i="1"/>
  <c r="H286" i="1" s="1"/>
  <c r="F290" i="1"/>
  <c r="H290" i="1" s="1"/>
  <c r="F253" i="1"/>
  <c r="H253" i="1" s="1"/>
  <c r="F247" i="1"/>
  <c r="F252" i="1"/>
  <c r="H252" i="1" s="1"/>
  <c r="F250" i="1"/>
  <c r="F251" i="1"/>
  <c r="F186" i="1"/>
  <c r="H186" i="1" s="1"/>
  <c r="A186" i="1"/>
  <c r="A187" i="1" s="1"/>
  <c r="A188" i="1" s="1"/>
  <c r="A189" i="1" s="1"/>
  <c r="F185" i="1"/>
  <c r="H185" i="1" s="1"/>
  <c r="F184" i="1"/>
  <c r="H184" i="1" s="1"/>
  <c r="F183" i="1"/>
  <c r="H183" i="1" s="1"/>
  <c r="F182" i="1"/>
  <c r="H182" i="1" s="1"/>
  <c r="A182" i="1"/>
  <c r="A183" i="1" s="1"/>
  <c r="A184" i="1" s="1"/>
  <c r="F181" i="1"/>
  <c r="F167" i="1"/>
  <c r="H167" i="1" s="1"/>
  <c r="F166" i="1"/>
  <c r="H166" i="1" s="1"/>
  <c r="F165" i="1"/>
  <c r="H165" i="1" s="1"/>
  <c r="F164" i="1"/>
  <c r="H164" i="1" s="1"/>
  <c r="F163" i="1"/>
  <c r="H163" i="1" s="1"/>
  <c r="F162" i="1"/>
  <c r="A167" i="1"/>
  <c r="A163" i="1"/>
  <c r="A164" i="1" s="1"/>
  <c r="A165" i="1" s="1"/>
  <c r="I176" i="1"/>
  <c r="F196" i="1"/>
  <c r="H196" i="1" s="1"/>
  <c r="A198" i="1"/>
  <c r="A199" i="1" s="1"/>
  <c r="A194" i="1"/>
  <c r="A195" i="1" s="1"/>
  <c r="A196" i="1" s="1"/>
  <c r="F158" i="1"/>
  <c r="H158" i="1" s="1"/>
  <c r="I151" i="1"/>
  <c r="A176" i="1"/>
  <c r="A177" i="1" s="1"/>
  <c r="A178" i="1" s="1"/>
  <c r="A179" i="1" s="1"/>
  <c r="A172" i="1"/>
  <c r="A173" i="1" s="1"/>
  <c r="A174" i="1" s="1"/>
  <c r="A159" i="1"/>
  <c r="A160" i="1" s="1"/>
  <c r="C139" i="1" l="1"/>
  <c r="C146" i="1" s="1"/>
  <c r="C145" i="1"/>
  <c r="H162" i="1"/>
  <c r="G134" i="1" s="1"/>
  <c r="E134" i="1"/>
  <c r="H283" i="1"/>
  <c r="E144" i="1"/>
  <c r="H181" i="1"/>
  <c r="G136" i="1" s="1"/>
  <c r="E136" i="1"/>
  <c r="G144" i="1"/>
  <c r="F174" i="1"/>
  <c r="H174" i="1" s="1"/>
  <c r="F194" i="1"/>
  <c r="H194" i="1" s="1"/>
  <c r="F195" i="1"/>
  <c r="H195" i="1" s="1"/>
  <c r="F199" i="1"/>
  <c r="H199" i="1" s="1"/>
  <c r="F193" i="1"/>
  <c r="F198" i="1"/>
  <c r="H198" i="1" s="1"/>
  <c r="F197" i="1"/>
  <c r="H197" i="1" s="1"/>
  <c r="F177" i="1"/>
  <c r="H177" i="1" s="1"/>
  <c r="F172" i="1"/>
  <c r="H172" i="1" s="1"/>
  <c r="F178" i="1"/>
  <c r="H178" i="1" s="1"/>
  <c r="F173" i="1"/>
  <c r="H173" i="1" s="1"/>
  <c r="F179" i="1"/>
  <c r="H179" i="1" s="1"/>
  <c r="F176" i="1"/>
  <c r="H176" i="1" s="1"/>
  <c r="F175" i="1"/>
  <c r="H175" i="1" s="1"/>
  <c r="F171" i="1"/>
  <c r="F160" i="1"/>
  <c r="F159" i="1"/>
  <c r="H159" i="1" s="1"/>
  <c r="G51" i="1"/>
  <c r="G52" i="1" s="1"/>
  <c r="E43" i="1"/>
  <c r="H171" i="1" l="1"/>
  <c r="G135" i="1" s="1"/>
  <c r="E135" i="1"/>
  <c r="H160" i="1"/>
  <c r="H193" i="1"/>
  <c r="G137" i="1" s="1"/>
  <c r="E137" i="1"/>
  <c r="C103" i="1"/>
  <c r="C89" i="1"/>
  <c r="F154" i="1" l="1"/>
  <c r="H154" i="1" l="1"/>
  <c r="E31" i="1"/>
  <c r="E26" i="1"/>
  <c r="F213" i="1" l="1"/>
  <c r="H213" i="1" l="1"/>
  <c r="J213"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D44" i="7" s="1"/>
  <c r="I42" i="7"/>
  <c r="H42" i="7" s="1"/>
  <c r="L42" i="7"/>
  <c r="K42" i="7" s="1"/>
  <c r="E44" i="7" l="1"/>
  <c r="B311" i="1"/>
  <c r="F155" i="1" l="1"/>
  <c r="F156" i="1"/>
  <c r="H156" i="1" s="1"/>
  <c r="F157" i="1"/>
  <c r="H157" i="1" s="1"/>
  <c r="H155" i="1" l="1"/>
  <c r="G133" i="1" s="1"/>
  <c r="G139" i="1" s="1"/>
  <c r="E133" i="1"/>
  <c r="E139" i="1" s="1"/>
  <c r="G58" i="1"/>
  <c r="C58" i="1"/>
  <c r="G56" i="1"/>
  <c r="C56" i="1"/>
  <c r="C54" i="1"/>
  <c r="S33" i="1" l="1"/>
  <c r="F11" i="5" l="1"/>
  <c r="G11" i="5" s="1"/>
  <c r="F10" i="5"/>
  <c r="G10" i="5" s="1"/>
  <c r="F9" i="5"/>
  <c r="G9" i="5" s="1"/>
  <c r="F8" i="5"/>
  <c r="G8" i="5" s="1"/>
  <c r="F7" i="5"/>
  <c r="G7" i="5" s="1"/>
  <c r="G6" i="5"/>
  <c r="F6" i="5"/>
  <c r="F5" i="5"/>
  <c r="G5" i="5" s="1"/>
  <c r="G12" i="5" s="1"/>
  <c r="D334" i="1"/>
  <c r="B312" i="1"/>
  <c r="H251" i="1"/>
  <c r="H250" i="1"/>
  <c r="H249" i="1"/>
  <c r="H248" i="1"/>
  <c r="J248" i="1" s="1"/>
  <c r="H247" i="1"/>
  <c r="F245" i="1"/>
  <c r="H245" i="1" s="1"/>
  <c r="F244" i="1"/>
  <c r="H244" i="1" s="1"/>
  <c r="F243" i="1"/>
  <c r="H243" i="1" s="1"/>
  <c r="F242" i="1"/>
  <c r="H216" i="1"/>
  <c r="J216" i="1" s="1"/>
  <c r="F215" i="1"/>
  <c r="H215" i="1" s="1"/>
  <c r="J215" i="1" s="1"/>
  <c r="F214" i="1"/>
  <c r="A214" i="1"/>
  <c r="A215" i="1" s="1"/>
  <c r="A216" i="1" s="1"/>
  <c r="A155" i="1"/>
  <c r="A156" i="1" s="1"/>
  <c r="A157" i="1" s="1"/>
  <c r="F130" i="1"/>
  <c r="C75" i="1"/>
  <c r="B76" i="1" s="1"/>
  <c r="D62" i="1"/>
  <c r="C51" i="1"/>
  <c r="E44" i="1"/>
  <c r="E45" i="1" s="1"/>
  <c r="E28" i="1"/>
  <c r="C16" i="1"/>
  <c r="I15" i="1"/>
  <c r="Z13" i="1"/>
  <c r="E3" i="1"/>
  <c r="D69" i="1" s="1"/>
  <c r="H242" i="1" l="1"/>
  <c r="G143" i="1" s="1"/>
  <c r="E143" i="1"/>
  <c r="H214" i="1"/>
  <c r="J214" i="1" s="1"/>
  <c r="E142" i="1"/>
  <c r="H76" i="1"/>
  <c r="G142" i="1" l="1"/>
  <c r="G145" i="1" s="1"/>
  <c r="G146" i="1" s="1"/>
  <c r="E145" i="1"/>
  <c r="E146" i="1" s="1"/>
  <c r="J79" i="1"/>
  <c r="D81" i="1"/>
  <c r="J80" i="1"/>
  <c r="C79" i="1" s="1"/>
  <c r="D79" i="1" s="1"/>
  <c r="D86" i="1"/>
  <c r="D88" i="1"/>
  <c r="J75" i="1"/>
  <c r="J77" i="1" s="1"/>
  <c r="D82" i="1"/>
  <c r="J78" i="1"/>
  <c r="D87" i="1"/>
  <c r="D83" i="1"/>
  <c r="J81" i="1"/>
  <c r="J82" i="1" s="1"/>
  <c r="D85" i="1"/>
  <c r="D84" i="1"/>
  <c r="J85" i="1"/>
  <c r="J83" i="1"/>
  <c r="J84" i="1"/>
  <c r="J86" i="1"/>
  <c r="J87" i="1" l="1"/>
  <c r="J88" i="1" s="1"/>
  <c r="C80" i="1" s="1"/>
  <c r="J76" i="1" s="1"/>
  <c r="B90" i="1"/>
  <c r="H90" i="1"/>
  <c r="G79" i="1" l="1"/>
  <c r="D73" i="1" s="1"/>
  <c r="F74" i="1" s="1"/>
  <c r="D80" i="1"/>
  <c r="I76" i="1" s="1"/>
  <c r="I77" i="1" s="1"/>
  <c r="I75" i="1" s="1"/>
  <c r="C77" i="1" s="1"/>
  <c r="E79" i="1"/>
  <c r="J92" i="1"/>
  <c r="D102" i="1"/>
  <c r="D96" i="1"/>
  <c r="J94" i="1"/>
  <c r="C93" i="1" s="1"/>
  <c r="D100" i="1"/>
  <c r="J89" i="1"/>
  <c r="J91" i="1" s="1"/>
  <c r="D97" i="1"/>
  <c r="D101" i="1"/>
  <c r="D95" i="1"/>
  <c r="D99" i="1"/>
  <c r="J93" i="1"/>
  <c r="D98" i="1"/>
  <c r="J95" i="1"/>
  <c r="J100" i="1"/>
  <c r="J99" i="1"/>
  <c r="J98" i="1"/>
  <c r="J97" i="1"/>
  <c r="D74" i="1" l="1"/>
  <c r="J96" i="1"/>
  <c r="J101" i="1" s="1"/>
  <c r="J102" i="1" s="1"/>
  <c r="C94" i="1" s="1"/>
  <c r="D94" i="1" s="1"/>
  <c r="B104" i="1"/>
  <c r="D93" i="1"/>
  <c r="H104" i="1"/>
  <c r="G93" i="1" l="1"/>
  <c r="E93" i="1"/>
  <c r="J106" i="1"/>
  <c r="D115" i="1"/>
  <c r="J108" i="1"/>
  <c r="C107" i="1" s="1"/>
  <c r="D114" i="1"/>
  <c r="D113" i="1"/>
  <c r="J107" i="1"/>
  <c r="J103" i="1"/>
  <c r="J105" i="1" s="1"/>
  <c r="D111" i="1"/>
  <c r="D116" i="1"/>
  <c r="D110" i="1"/>
  <c r="D109" i="1"/>
  <c r="D112" i="1"/>
  <c r="I90" i="1"/>
  <c r="I91" i="1" s="1"/>
  <c r="J113" i="1"/>
  <c r="J111" i="1"/>
  <c r="J109" i="1"/>
  <c r="J110" i="1" s="1"/>
  <c r="J114" i="1"/>
  <c r="J112" i="1"/>
  <c r="J90" i="1"/>
  <c r="J115" i="1" l="1"/>
  <c r="J116" i="1" s="1"/>
  <c r="C108" i="1"/>
  <c r="E107" i="1" s="1"/>
  <c r="D107" i="1"/>
  <c r="I89" i="1"/>
  <c r="C91" i="1" s="1"/>
  <c r="G107" i="1" l="1"/>
  <c r="J104" i="1"/>
  <c r="D108" i="1"/>
  <c r="I104" i="1" s="1"/>
  <c r="I105" i="1" s="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<sst xmlns="http://schemas.openxmlformats.org/spreadsheetml/2006/main" count="834" uniqueCount="413">
  <si>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</si>
  <si>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</si>
  <si>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</si>
  <si>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</si>
  <si>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</si>
  <si>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</si>
  <si>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</si>
  <si>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</si>
  <si>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</si>
  <si>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</si>
  <si>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</si>
  <si>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</si>
  <si>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</si>
  <si>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</si>
  <si>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</si>
  <si>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</si>
  <si>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</si>
  <si>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</si>
  <si>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</si>
  <si>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</si>
  <si>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</si>
  <si>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</si>
  <si>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</si>
  <si>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</si>
  <si>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</si>
  <si>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</si>
  <si>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</si>
  <si>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</si>
  <si>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</si>
  <si>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</si>
  <si>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</si>
  <si>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</si>
  <si>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</si>
  <si>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</si>
  <si>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</si>
  <si>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</si>
  <si>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</si>
  <si>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</si>
  <si>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</si>
  <si>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</si>
  <si>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</si>
  <si>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</si>
  <si>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</si>
  <si>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</si>
  <si>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</si>
  <si>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</si>
  <si>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</si>
  <si>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</si>
  <si>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</si>
  <si>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</si>
  <si>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</si>
  <si>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</si>
  <si>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</si>
  <si>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</si>
  <si>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</si>
  <si>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</si>
  <si>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</si>
  <si>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</si>
  <si>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</si>
  <si>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</si>
  <si>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</si>
  <si>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</si>
  <si>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</si>
  <si>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</si>
  <si>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</si>
  <si>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</si>
  <si>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</si>
  <si>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</si>
  <si>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</si>
  <si>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</si>
  <si>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</si>
  <si>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</si>
  <si>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</si>
  <si>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</si>
  <si>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</si>
  <si>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</si>
  <si>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</si>
  <si>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</si>
  <si>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</si>
  <si>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</si>
  <si>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</si>
  <si>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</si>
  <si>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</si>
  <si>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</si>
  <si>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</si>
  <si>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</si>
  <si>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</si>
  <si>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</si>
  <si>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</si>
  <si>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</si>
  <si>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</si>
  <si>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</si>
  <si>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</si>
  <si>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</si>
  <si>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</si>
  <si>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</si>
  <si>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</si>
  <si>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</si>
  <si>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</si>
  <si>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</si>
  <si>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</si>
  <si>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</si>
  <si>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</si>
  <si>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</si>
  <si>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</si>
  <si>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</si>
  <si>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</si>
  <si>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</si>
  <si>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</si>
  <si>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</si>
  <si>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</si>
  <si>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</si>
  <si>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</si>
  <si>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</si>
  <si>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</si>
  <si>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</si>
  <si>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</si>
  <si>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</si>
  <si>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</si>
  <si>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</si>
  <si>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</si>
  <si>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</si>
  <si>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</si>
  <si>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</si>
  <si>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</si>
  <si>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</si>
  <si>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</si>
  <si>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</si>
  <si>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</si>
  <si>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</si>
  <si>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</si>
  <si>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</si>
  <si>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</si>
  <si>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</si>
  <si>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</si>
  <si>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</si>
  <si>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</si>
  <si>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</si>
  <si>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</si>
  <si>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</si>
  <si>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</si>
  <si>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</si>
  <si>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</si>
  <si>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</si>
  <si>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</si>
  <si>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</si>
  <si>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</si>
  <si>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</si>
  <si>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</si>
  <si>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</si>
  <si>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</si>
  <si>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</si>
  <si>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</si>
  <si>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</si>
  <si>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</si>
  <si>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</si>
  <si>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</si>
  <si>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</si>
  <si>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</si>
  <si>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</si>
  <si>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</si>
  <si>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</si>
  <si>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</si>
  <si>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</si>
  <si>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</si>
  <si>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</si>
  <si>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</si>
  <si>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</si>
  <si>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</si>
  <si>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</si>
  <si>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</si>
  <si>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</si>
  <si>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</si>
  <si>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</si>
  <si>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</si>
  <si>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</si>
  <si>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</si>
  <si>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</si>
  <si>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</si>
  <si>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</si>
  <si>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</si>
  <si>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</si>
  <si>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</si>
  <si>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</si>
  <si>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</si>
  <si>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</si>
  <si>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</si>
  <si>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</si>
  <si>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</si>
  <si>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</si>
  <si>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</si>
  <si>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</si>
  <si>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</si>
  <si>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</si>
  <si>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</si>
  <si>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</si>
  <si>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</si>
  <si>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</si>
  <si>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</si>
  <si>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</si>
  <si>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</si>
  <si>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</si>
  <si>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</si>
  <si>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</si>
  <si>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</si>
  <si>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</si>
  <si>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</si>
  <si>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</si>
  <si>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</si>
  <si>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</si>
  <si>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</si>
  <si>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</si>
  <si>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</si>
  <si>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</si>
  <si>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</si>
  <si>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</si>
  <si>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</si>
  <si>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</si>
  <si>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</si>
  <si>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</si>
  <si>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</si>
  <si>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</si>
  <si>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</si>
  <si>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</si>
  <si>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</si>
  <si>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</si>
  <si>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</si>
  <si>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</si>
  <si>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</si>
  <si>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</si>
  <si>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</si>
  <si>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</si>
  <si>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</si>
  <si>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</si>
  <si>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</si>
  <si>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</si>
  <si>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</si>
  <si>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</si>
  <si>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</si>
  <si>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</si>
  <si>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</si>
  <si>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</si>
  <si>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</si>
  <si>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</si>
  <si>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</si>
  <si>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</si>
  <si>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</si>
  <si>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</si>
  <si>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</si>
  <si>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</si>
  <si>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</si>
  <si>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</si>
  <si>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</si>
  <si>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</si>
  <si>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</si>
  <si>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</si>
  <si>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</si>
  <si>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</si>
  <si>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</si>
  <si>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</si>
  <si>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</si>
  <si>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</si>
  <si>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</si>
  <si>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</si>
  <si>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</si>
  <si>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</si>
  <si>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</si>
  <si>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</si>
  <si>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</si>
  <si>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</si>
  <si>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</si>
  <si>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</si>
  <si>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</si>
  <si>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</si>
  <si>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</si>
  <si>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</si>
  <si>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</si>
  <si>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</si>
  <si>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</si>
  <si>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</si>
  <si>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</si>
  <si>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</si>
  <si>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</si>
  <si>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</si>
  <si>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</si>
  <si>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</si>
  <si>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</si>
  <si>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</si>
  <si>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</si>
  <si>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</si>
  <si>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</si>
  <si>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</si>
  <si>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</si>
  <si>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</si>
  <si>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</si>
  <si>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</si>
  <si>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</si>
  <si>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</si>
  <si>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</si>
  <si>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</si>
  <si>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</si>
  <si>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</si>
  <si>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</si>
  <si>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</si>
  <si>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</si>
  <si>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</si>
  <si>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</si>
  <si>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</si>
  <si>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</si>
  <si>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</si>
  <si>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</si>
  <si>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</si>
  <si>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</si>
  <si>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</si>
  <si>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</si>
  <si>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</si>
  <si>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</si>
  <si>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</si>
  <si>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</si>
  <si>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</si>
  <si>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</si>
  <si>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</si>
  <si>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</si>
  <si>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</si>
  <si>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</si>
  <si>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</si>
  <si>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</si>
  <si>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</si>
  <si>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</si>
  <si>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</si>
  <si>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</si>
  <si>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</si>
  <si>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</si>
  <si>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</si>
  <si>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</si>
  <si>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</si>
  <si>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</si>
  <si>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</si>
  <si>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</si>
  <si>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</si>
  <si>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</si>
  <si>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</si>
  <si>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Siyara Realty Private Limited</t>
  </si>
  <si>
    <t>P51700076976</t>
  </si>
  <si>
    <t>Shakti Group</t>
  </si>
  <si>
    <t>Siyara Avenue</t>
  </si>
  <si>
    <t>Mr. Vijay Samble 9967100973</t>
  </si>
  <si>
    <t>Approved Plans, CC &amp; Sale Plans</t>
  </si>
  <si>
    <t>https://maps.app.goo.gl/4SrPa6QbPCR9BHTt6</t>
  </si>
  <si>
    <t>Mangesh Laxman Bapardekar</t>
  </si>
  <si>
    <t>4.6 KM from Bhiwandi Road Railway Station</t>
  </si>
  <si>
    <t>Bhiwandi Road East</t>
  </si>
  <si>
    <t>Survey No</t>
  </si>
  <si>
    <t>11 &amp; 14, CTS No.700(P), 706(P), Final Plot No.126-A</t>
  </si>
  <si>
    <t>Kaneri</t>
  </si>
  <si>
    <t>Prabhukunj Society</t>
  </si>
  <si>
    <t>Ashok Nagar Road</t>
  </si>
  <si>
    <t>Patidar Bhavan</t>
  </si>
  <si>
    <t>Open Plot</t>
  </si>
  <si>
    <t>Building No.22B</t>
  </si>
  <si>
    <t>12.0 Mt Wide Road</t>
  </si>
  <si>
    <t>Other Plot</t>
  </si>
  <si>
    <t>03 Building</t>
  </si>
  <si>
    <t>Total land area of the project in Sq. Mt. (Plot A)</t>
  </si>
  <si>
    <t>Total Approved Builtup area of the project (Sq.Mt) 
(Plot A)</t>
  </si>
  <si>
    <t>Approved Builtup Area of Building A, B &amp; C (Sq.Mt)</t>
  </si>
  <si>
    <t>BPK(24)2023-2024 J.K NRV 628</t>
  </si>
  <si>
    <t>BPK/24/2023-2024 J.K NRV 628</t>
  </si>
  <si>
    <t>Siyara Avenue B = 1B + Gr/Mezz. + 1st to 23rd Floor</t>
  </si>
  <si>
    <t>Siyara Avenue C = 1B + Gr/Mezz. + 1st to 23rd Floor</t>
  </si>
  <si>
    <t>As per RERA - 31/03/2029</t>
  </si>
  <si>
    <t>Construction work is in process at the time of Visit (labour found)</t>
  </si>
  <si>
    <t xml:space="preserve">
Construction work was not active at the time of Visit. (labour Not found)
All work completed. Wait for OC / OC received.
Work not yet Started.</t>
  </si>
  <si>
    <t>Siyara Avenue A = 1B + Gr/Mezz. + 1st to 23rd Floor
Siyara Avenue B = 1B + Gr/Mezz. + 1st to 23rd Floor
Siyara Avenue C = 1B + Gr/Mezz. + 1st to 23rd Floor</t>
  </si>
  <si>
    <t>Siyara Avenue A = 1B + Gr/Mezz. + 1st to 23rd Floor</t>
  </si>
  <si>
    <r>
      <t xml:space="preserve">Proposed Amenities :                                                                                                                                                                                                                         </t>
    </r>
    <r>
      <rPr>
        <b/>
        <sz val="12"/>
        <rFont val="Times New Roman"/>
        <family val="1"/>
      </rPr>
      <t xml:space="preserve">                                               </t>
    </r>
  </si>
  <si>
    <t>Siyara Avenue A</t>
  </si>
  <si>
    <t>Basement Floor For Parking</t>
  </si>
  <si>
    <t>Shop</t>
  </si>
  <si>
    <t>Attached Mezzanine area</t>
  </si>
  <si>
    <t>Siyara Avenue B</t>
  </si>
  <si>
    <t>Siyara Avenue C</t>
  </si>
  <si>
    <t>Office</t>
  </si>
  <si>
    <t>1st Floor For Commercial &amp; Parking</t>
  </si>
  <si>
    <t>2nd Floor For Club House &amp; Parking</t>
  </si>
  <si>
    <t>2nd Floor For Society Office &amp; Parking</t>
  </si>
  <si>
    <t>3rd Floor For Residential</t>
  </si>
  <si>
    <t>2BHK</t>
  </si>
  <si>
    <t>1BHK</t>
  </si>
  <si>
    <t>RERA Carpet area</t>
  </si>
  <si>
    <t>Balcony Area</t>
  </si>
  <si>
    <t>4th to 6th, 8th to 11th, 13th to 16th, 18th to 21st &amp; 23rd Floor</t>
  </si>
  <si>
    <t>7th, 12th, 17th &amp; 22nd Floor Part Refuge Area</t>
  </si>
  <si>
    <t>-</t>
  </si>
  <si>
    <t>Refuge Area</t>
  </si>
  <si>
    <t>We considered Gross carpet area = RERA Carpet + Balcony Area.</t>
  </si>
  <si>
    <t xml:space="preserve">Shop </t>
  </si>
  <si>
    <t>Building Details Floor Wise</t>
  </si>
  <si>
    <t xml:space="preserve">Please check for Fire Noc &amp; Environment Clearance Certificate.
</t>
  </si>
  <si>
    <t>Ground Floor For Commercial, Driver Room, Meter Room &amp; Parking</t>
  </si>
  <si>
    <t>Flats - 576 , Shops - 23, Offices - 21</t>
  </si>
  <si>
    <t>Parking, Lift, Childern Play Area, Club House, Society Office, Driver Room, Meter Room etc.</t>
  </si>
  <si>
    <t>19.296056,73.066222</t>
  </si>
  <si>
    <t>Siyara Avenue A, B &amp; C</t>
  </si>
  <si>
    <t>Siyara Avenue A = 1B + Gr/Mezzanine + 1st to 23rd Floor
Siyara Avenue B = 1B + Gr/Mezzanine + 1st to 23rd Floor
Siyara Avenue C = 1B + Gr/Mezzanine + 1st to 23rd Floor</t>
  </si>
  <si>
    <t>Ashok Nagar</t>
  </si>
  <si>
    <t>6K</t>
  </si>
  <si>
    <t>Fire Noc &amp; Environment Clearance Certificate. Has been removed by sakshi on 28/11/2024</t>
  </si>
  <si>
    <t>Mr. Avinash 9527498893
Mr. Abhishek : 9892919121</t>
  </si>
  <si>
    <t>Pooja Kawale</t>
  </si>
  <si>
    <t>rate 5200 + oc 300000 by abhishek verbal &amp; from costsheet on 06/10/2025</t>
  </si>
  <si>
    <t>Other Charges</t>
  </si>
  <si>
    <t>Recommended Rates &amp; Other charges of the Property have been revised on 06/10/2025.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</si>
</sst>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0" xfId="0" applyFont="1" applyAlignment="1">
      <alignment horizontal="center" vertical="center"/>
    </xf>
    <xf numFmtId="1" fontId="13" fillId="0" borderId="3"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24" fillId="0" borderId="31" xfId="0" applyFont="1" applyBorder="1"/>
    <xf numFmtId="0" fontId="24" fillId="0" borderId="1" xfId="0" applyFont="1" applyBorder="1"/>
    <xf numFmtId="0" fontId="24" fillId="0" borderId="5" xfId="0" applyFont="1" applyBorder="1"/>
    <xf numFmtId="0" fontId="14" fillId="0" borderId="0" xfId="0" applyFont="1" applyProtection="1">
      <protection hidden="1"/>
    </xf>
    <xf numFmtId="0" fontId="12" fillId="0" borderId="10" xfId="1" applyFont="1" applyBorder="1"/>
    <xf numFmtId="0" fontId="14" fillId="0" borderId="10" xfId="0" applyFont="1" applyBorder="1" applyProtection="1">
      <protection hidden="1"/>
    </xf>
    <xf numFmtId="1" fontId="24" fillId="0" borderId="10" xfId="0" applyNumberFormat="1" applyFont="1" applyBorder="1"/>
    <xf numFmtId="1" fontId="24" fillId="0" borderId="10" xfId="0" applyNumberFormat="1" applyFont="1" applyBorder="1" applyAlignment="1">
      <alignment horizontal="right"/>
    </xf>
    <xf numFmtId="0" fontId="14" fillId="0" borderId="11" xfId="0" applyFont="1" applyBorder="1" applyProtection="1">
      <protection hidden="1"/>
    </xf>
    <xf numFmtId="1" fontId="24" fillId="0" borderId="12" xfId="0" applyNumberFormat="1" applyFont="1" applyBorder="1"/>
    <xf numFmtId="2" fontId="7" fillId="0" borderId="0" xfId="1" applyNumberFormat="1" applyFont="1" applyAlignment="1">
      <alignment horizontal="center" vertical="center"/>
    </xf>
    <xf numFmtId="1" fontId="10" fillId="0" borderId="3" xfId="1" applyNumberFormat="1" applyFont="1" applyBorder="1" applyAlignment="1" applyProtection="1">
      <alignment horizontal="center" vertical="top" wrapText="1"/>
      <protection locked="0"/>
    </xf>
    <xf numFmtId="9" fontId="10" fillId="0" borderId="16" xfId="8" applyFont="1" applyFill="1" applyBorder="1" applyAlignment="1" applyProtection="1">
      <alignment horizontal="center" vertical="top" wrapText="1"/>
      <protection locked="0"/>
    </xf>
    <xf numFmtId="0" fontId="15" fillId="2" borderId="0" xfId="1" applyFont="1" applyFill="1"/>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6" fillId="0" borderId="1" xfId="1" applyFont="1" applyBorder="1" applyAlignment="1" applyProtection="1">
      <alignmen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B50B9D"/>
      <color rgb="FF0A0AB6"/>
      <color rgb="FF6600FF"/>
      <color rgb="FF23B5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png"/><Relationship Id="rId18" Type="http://schemas.openxmlformats.org/officeDocument/2006/relationships/image" Target="../media/image17.pn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png"/><Relationship Id="rId10" Type="http://schemas.openxmlformats.org/officeDocument/2006/relationships/image" Target="../media/image9.jpeg"/><Relationship Id="rId4" Type="http://schemas.microsoft.com/office/2007/relationships/hdphoto" Target="../media/hdphoto1.wdp"/><Relationship Id="rId9" Type="http://schemas.openxmlformats.org/officeDocument/2006/relationships/image" Target="../media/image8.jpe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106012</xdr:colOff>
      <xdr:row>421</xdr:row>
      <xdr:rowOff>174666</xdr:rowOff>
    </xdr:from>
    <xdr:to>
      <xdr:col>6</xdr:col>
      <xdr:colOff>216745</xdr:colOff>
      <xdr:row>437</xdr:row>
      <xdr:rowOff>140031</xdr:rowOff>
    </xdr:to>
    <xdr:pic>
      <xdr:nvPicPr>
        <xdr:cNvPr id="3" name="Picture 2"/>
        <xdr:cNvPicPr>
          <a:picLocks noChangeAspect="1"/>
        </xdr:cNvPicPr>
      </xdr:nvPicPr>
      <xdr:blipFill>
        <a:blip xmlns:r="http://schemas.openxmlformats.org/officeDocument/2006/relationships" r:embed="rId1"/>
        <a:stretch>
          <a:fillRect/>
        </a:stretch>
      </xdr:blipFill>
      <xdr:spPr>
        <a:xfrm>
          <a:off x="868012" y="85537716"/>
          <a:ext cx="4196958" cy="3165765"/>
        </a:xfrm>
        <a:prstGeom prst="rect">
          <a:avLst/>
        </a:prstGeom>
        <a:ln>
          <a:solidFill>
            <a:sysClr val="windowText" lastClr="000000"/>
          </a:solidFill>
        </a:ln>
      </xdr:spPr>
    </xdr:pic>
    <xdr:clientData/>
  </xdr:twoCellAnchor>
  <xdr:twoCellAnchor editAs="oneCell">
    <xdr:from>
      <xdr:col>8</xdr:col>
      <xdr:colOff>175591</xdr:colOff>
      <xdr:row>11</xdr:row>
      <xdr:rowOff>130865</xdr:rowOff>
    </xdr:from>
    <xdr:to>
      <xdr:col>13</xdr:col>
      <xdr:colOff>23776</xdr:colOff>
      <xdr:row>22</xdr:row>
      <xdr:rowOff>11145</xdr:rowOff>
    </xdr:to>
    <xdr:pic>
      <xdr:nvPicPr>
        <xdr:cNvPr id="4" name="Picture 3"/>
        <xdr:cNvPicPr>
          <a:picLocks noChangeAspect="1"/>
        </xdr:cNvPicPr>
      </xdr:nvPicPr>
      <xdr:blipFill>
        <a:blip xmlns:r="http://schemas.openxmlformats.org/officeDocument/2006/relationships" r:embed="rId2"/>
        <a:stretch>
          <a:fillRect/>
        </a:stretch>
      </xdr:blipFill>
      <xdr:spPr>
        <a:xfrm>
          <a:off x="6495221" y="2698474"/>
          <a:ext cx="4188272" cy="2696367"/>
        </a:xfrm>
        <a:prstGeom prst="rect">
          <a:avLst/>
        </a:prstGeom>
      </xdr:spPr>
    </xdr:pic>
    <xdr:clientData/>
  </xdr:twoCellAnchor>
  <xdr:twoCellAnchor>
    <xdr:from>
      <xdr:col>1</xdr:col>
      <xdr:colOff>229762</xdr:colOff>
      <xdr:row>378</xdr:row>
      <xdr:rowOff>54429</xdr:rowOff>
    </xdr:from>
    <xdr:to>
      <xdr:col>6</xdr:col>
      <xdr:colOff>625928</xdr:colOff>
      <xdr:row>419</xdr:row>
      <xdr:rowOff>82550</xdr:rowOff>
    </xdr:to>
    <xdr:grpSp>
      <xdr:nvGrpSpPr>
        <xdr:cNvPr id="37" name="Group 36"/>
        <xdr:cNvGrpSpPr/>
      </xdr:nvGrpSpPr>
      <xdr:grpSpPr>
        <a:xfrm>
          <a:off x="1029862" y="74787579"/>
          <a:ext cx="4682416" cy="8098971"/>
          <a:chOff x="1069198" y="56772361"/>
          <a:chExt cx="4086531" cy="8061789"/>
        </a:xfrm>
      </xdr:grpSpPr>
      <xdr:grpSp>
        <xdr:nvGrpSpPr>
          <xdr:cNvPr id="31" name="Group 30"/>
          <xdr:cNvGrpSpPr/>
        </xdr:nvGrpSpPr>
        <xdr:grpSpPr>
          <a:xfrm>
            <a:off x="1069198" y="56772361"/>
            <a:ext cx="4086531" cy="8061789"/>
            <a:chOff x="1046858" y="57422302"/>
            <a:chExt cx="4093280" cy="8181643"/>
          </a:xfrm>
        </xdr:grpSpPr>
        <xdr:grpSp>
          <xdr:nvGrpSpPr>
            <xdr:cNvPr id="23" name="Group 22"/>
            <xdr:cNvGrpSpPr/>
          </xdr:nvGrpSpPr>
          <xdr:grpSpPr>
            <a:xfrm>
              <a:off x="1046858" y="57422302"/>
              <a:ext cx="4093280" cy="8181643"/>
              <a:chOff x="1027858" y="56921399"/>
              <a:chExt cx="4089308" cy="8112727"/>
            </a:xfrm>
          </xdr:grpSpPr>
          <xdr:grpSp>
            <xdr:nvGrpSpPr>
              <xdr:cNvPr id="19" name="Group 18"/>
              <xdr:cNvGrpSpPr/>
            </xdr:nvGrpSpPr>
            <xdr:grpSpPr>
              <a:xfrm>
                <a:off x="1027858" y="56921399"/>
                <a:ext cx="4089308" cy="8112727"/>
                <a:chOff x="1027858" y="56921399"/>
                <a:chExt cx="4089308" cy="8112727"/>
              </a:xfrm>
            </xdr:grpSpPr>
            <xdr:grpSp>
              <xdr:nvGrpSpPr>
                <xdr:cNvPr id="13" name="Group 12"/>
                <xdr:cNvGrpSpPr/>
              </xdr:nvGrpSpPr>
              <xdr:grpSpPr>
                <a:xfrm>
                  <a:off x="1079498" y="56921399"/>
                  <a:ext cx="4037668" cy="8112727"/>
                  <a:chOff x="1079498" y="56635649"/>
                  <a:chExt cx="4034769" cy="8063031"/>
                </a:xfrm>
              </xdr:grpSpPr>
              <xdr:grpSp>
                <xdr:nvGrpSpPr>
                  <xdr:cNvPr id="11" name="Group 10"/>
                  <xdr:cNvGrpSpPr/>
                </xdr:nvGrpSpPr>
                <xdr:grpSpPr>
                  <a:xfrm>
                    <a:off x="1079498" y="56635649"/>
                    <a:ext cx="4034769" cy="8063031"/>
                    <a:chOff x="1079498" y="57778649"/>
                    <a:chExt cx="4033586" cy="8276013"/>
                  </a:xfrm>
                </xdr:grpSpPr>
                <xdr:pic>
                  <xdr:nvPicPr>
                    <xdr:cNvPr id="5" name="Picture 4"/>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contrast="40000"/>
                              </a14:imgEffect>
                            </a14:imgLayer>
                          </a14:imgProps>
                        </a:ext>
                      </a:extLst>
                    </a:blip>
                    <a:stretch>
                      <a:fillRect/>
                    </a:stretch>
                  </xdr:blipFill>
                  <xdr:spPr>
                    <a:xfrm rot="5400000">
                      <a:off x="-1041716" y="59899863"/>
                      <a:ext cx="8276013" cy="4033586"/>
                    </a:xfrm>
                    <a:prstGeom prst="rect">
                      <a:avLst/>
                    </a:prstGeom>
                    <a:ln>
                      <a:solidFill>
                        <a:sysClr val="windowText" lastClr="000000"/>
                      </a:solidFill>
                    </a:ln>
                  </xdr:spPr>
                </xdr:pic>
                <xdr:grpSp>
                  <xdr:nvGrpSpPr>
                    <xdr:cNvPr id="8" name="Group 7"/>
                    <xdr:cNvGrpSpPr/>
                  </xdr:nvGrpSpPr>
                  <xdr:grpSpPr>
                    <a:xfrm rot="3520121">
                      <a:off x="1905001" y="58918927"/>
                      <a:ext cx="336177" cy="604147"/>
                      <a:chOff x="0" y="0"/>
                      <a:chExt cx="336177" cy="604147"/>
                    </a:xfrm>
                  </xdr:grpSpPr>
                  <xdr:sp macro="" textlink="">
                    <xdr:nvSpPr>
                      <xdr:cNvPr id="9" name="TextBox 7"/>
                      <xdr:cNvSpPr txBox="1"/>
                    </xdr:nvSpPr>
                    <xdr:spPr>
                      <a:xfrm>
                        <a:off x="0" y="0"/>
                        <a:ext cx="336177" cy="34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10" name="Straight Arrow Connector 9"/>
                      <xdr:cNvCxnSpPr/>
                    </xdr:nvCxnSpPr>
                    <xdr:spPr>
                      <a:xfrm flipV="1">
                        <a:off x="156883" y="28014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 name="Rectangle 11"/>
                  <xdr:cNvSpPr/>
                </xdr:nvSpPr>
                <xdr:spPr>
                  <a:xfrm>
                    <a:off x="1809225" y="61103910"/>
                    <a:ext cx="552054" cy="87093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5" name="Rectangle 14"/>
                  <xdr:cNvSpPr/>
                </xdr:nvSpPr>
                <xdr:spPr>
                  <a:xfrm>
                    <a:off x="1790188" y="61995401"/>
                    <a:ext cx="561572" cy="1020773"/>
                  </a:xfrm>
                  <a:prstGeom prst="rect">
                    <a:avLst/>
                  </a:prstGeom>
                  <a:noFill/>
                  <a:ln w="28575">
                    <a:solidFill>
                      <a:srgbClr val="0A0AB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6" name="Rectangle 15"/>
                  <xdr:cNvSpPr/>
                </xdr:nvSpPr>
                <xdr:spPr>
                  <a:xfrm>
                    <a:off x="1790188" y="63025641"/>
                    <a:ext cx="552054" cy="823599"/>
                  </a:xfrm>
                  <a:prstGeom prst="rect">
                    <a:avLst/>
                  </a:prstGeom>
                  <a:noFill/>
                  <a:ln w="28575">
                    <a:solidFill>
                      <a:srgbClr val="B50B9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14" name="TextBox 12"/>
                <xdr:cNvSpPr txBox="1"/>
              </xdr:nvSpPr>
              <xdr:spPr>
                <a:xfrm>
                  <a:off x="1274213" y="61169784"/>
                  <a:ext cx="1584148" cy="21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C00000"/>
                      </a:solidFill>
                      <a:latin typeface="Times New Roman" panose="02020603050405020304" pitchFamily="18" charset="0"/>
                      <a:cs typeface="Times New Roman" panose="02020603050405020304" pitchFamily="18" charset="0"/>
                    </a:rPr>
                    <a:t>Siyara Avenue A</a:t>
                  </a:r>
                </a:p>
              </xdr:txBody>
            </xdr:sp>
            <xdr:sp macro="" textlink="">
              <xdr:nvSpPr>
                <xdr:cNvPr id="17" name="TextBox 12"/>
                <xdr:cNvSpPr txBox="1"/>
              </xdr:nvSpPr>
              <xdr:spPr>
                <a:xfrm rot="16200000">
                  <a:off x="859509" y="62713406"/>
                  <a:ext cx="1594501" cy="20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A0AB6"/>
                      </a:solidFill>
                      <a:latin typeface="Times New Roman" panose="02020603050405020304" pitchFamily="18" charset="0"/>
                      <a:cs typeface="Times New Roman" panose="02020603050405020304" pitchFamily="18" charset="0"/>
                    </a:rPr>
                    <a:t>Siyara Avenue B</a:t>
                  </a:r>
                </a:p>
              </xdr:txBody>
            </xdr:sp>
            <xdr:sp macro="" textlink="">
              <xdr:nvSpPr>
                <xdr:cNvPr id="18" name="TextBox 12"/>
                <xdr:cNvSpPr txBox="1"/>
              </xdr:nvSpPr>
              <xdr:spPr>
                <a:xfrm>
                  <a:off x="1364685" y="64178186"/>
                  <a:ext cx="1584148" cy="21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B50B9D"/>
                      </a:solidFill>
                      <a:latin typeface="Times New Roman" panose="02020603050405020304" pitchFamily="18" charset="0"/>
                      <a:cs typeface="Times New Roman" panose="02020603050405020304" pitchFamily="18" charset="0"/>
                    </a:rPr>
                    <a:t>Siyara Avenue C</a:t>
                  </a:r>
                </a:p>
              </xdr:txBody>
            </xdr:sp>
            <xdr:sp macro="" textlink="">
              <xdr:nvSpPr>
                <xdr:cNvPr id="22" name="TextBox 12"/>
                <xdr:cNvSpPr txBox="1"/>
              </xdr:nvSpPr>
              <xdr:spPr>
                <a:xfrm rot="5400000">
                  <a:off x="2264813" y="62322309"/>
                  <a:ext cx="1584148" cy="21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ysClr val="windowText" lastClr="000000"/>
                      </a:solidFill>
                      <a:latin typeface="Times New Roman" panose="02020603050405020304" pitchFamily="18" charset="0"/>
                      <a:cs typeface="Times New Roman" panose="02020603050405020304" pitchFamily="18" charset="0"/>
                    </a:rPr>
                    <a:t>Siyara Business</a:t>
                  </a:r>
                  <a:r>
                    <a:rPr lang="en-IN" sz="1200" b="1" baseline="0">
                      <a:solidFill>
                        <a:sysClr val="windowText" lastClr="000000"/>
                      </a:solidFill>
                      <a:latin typeface="Times New Roman" panose="02020603050405020304" pitchFamily="18" charset="0"/>
                      <a:cs typeface="Times New Roman" panose="02020603050405020304" pitchFamily="18" charset="0"/>
                    </a:rPr>
                    <a:t> Park</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sp macro="" textlink="">
              <xdr:nvSpPr>
                <xdr:cNvPr id="24" name="TextBox 12"/>
                <xdr:cNvSpPr txBox="1"/>
              </xdr:nvSpPr>
              <xdr:spPr>
                <a:xfrm>
                  <a:off x="3964977" y="62353294"/>
                  <a:ext cx="1021312" cy="45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ysClr val="windowText" lastClr="000000"/>
                      </a:solidFill>
                      <a:latin typeface="Times New Roman" panose="02020603050405020304" pitchFamily="18" charset="0"/>
                      <a:cs typeface="Times New Roman" panose="02020603050405020304" pitchFamily="18" charset="0"/>
                    </a:rPr>
                    <a:t>Siyara Crown</a:t>
                  </a:r>
                </a:p>
              </xdr:txBody>
            </xdr:sp>
            <xdr:sp macro="" textlink="">
              <xdr:nvSpPr>
                <xdr:cNvPr id="30" name="TextBox 12"/>
                <xdr:cNvSpPr txBox="1"/>
              </xdr:nvSpPr>
              <xdr:spPr>
                <a:xfrm>
                  <a:off x="2551711" y="59856361"/>
                  <a:ext cx="1021312" cy="45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100" b="1">
                      <a:solidFill>
                        <a:sysClr val="windowText" lastClr="000000"/>
                      </a:solidFill>
                      <a:latin typeface="Times New Roman" panose="02020603050405020304" pitchFamily="18" charset="0"/>
                      <a:cs typeface="Times New Roman" panose="02020603050405020304" pitchFamily="18" charset="0"/>
                    </a:rPr>
                    <a:t>Post Office Building</a:t>
                  </a:r>
                </a:p>
              </xdr:txBody>
            </xdr:sp>
            <xdr:sp macro="" textlink="">
              <xdr:nvSpPr>
                <xdr:cNvPr id="36" name="TextBox 12"/>
                <xdr:cNvSpPr txBox="1"/>
              </xdr:nvSpPr>
              <xdr:spPr>
                <a:xfrm>
                  <a:off x="1027858" y="59133221"/>
                  <a:ext cx="1021312" cy="45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chemeClr val="tx1"/>
                      </a:solidFill>
                      <a:latin typeface="Times New Roman" panose="02020603050405020304" pitchFamily="18" charset="0"/>
                      <a:cs typeface="Times New Roman" panose="02020603050405020304" pitchFamily="18" charset="0"/>
                    </a:rPr>
                    <a:t>A</a:t>
                  </a:r>
                  <a:r>
                    <a:rPr lang="en-IN" sz="1600" b="1" baseline="0">
                      <a:solidFill>
                        <a:schemeClr val="tx1"/>
                      </a:solidFill>
                      <a:latin typeface="Times New Roman" panose="02020603050405020304" pitchFamily="18" charset="0"/>
                      <a:cs typeface="Times New Roman" panose="02020603050405020304" pitchFamily="18" charset="0"/>
                    </a:rPr>
                    <a:t> Plot</a:t>
                  </a:r>
                  <a:endParaRPr lang="en-IN" sz="1600" b="1">
                    <a:solidFill>
                      <a:schemeClr val="tx1"/>
                    </a:solidFill>
                    <a:latin typeface="Times New Roman" panose="02020603050405020304" pitchFamily="18" charset="0"/>
                    <a:cs typeface="Times New Roman" panose="02020603050405020304" pitchFamily="18" charset="0"/>
                  </a:endParaRPr>
                </a:p>
              </xdr:txBody>
            </xdr:sp>
          </xdr:grpSp>
          <xdr:sp macro="" textlink="">
            <xdr:nvSpPr>
              <xdr:cNvPr id="20" name="Freeform 19"/>
              <xdr:cNvSpPr/>
            </xdr:nvSpPr>
            <xdr:spPr>
              <a:xfrm>
                <a:off x="2819400" y="60950475"/>
                <a:ext cx="1123950" cy="2733675"/>
              </a:xfrm>
              <a:custGeom>
                <a:avLst/>
                <a:gdLst>
                  <a:gd name="connsiteX0" fmla="*/ 771525 w 1057275"/>
                  <a:gd name="connsiteY0" fmla="*/ 0 h 2705100"/>
                  <a:gd name="connsiteX1" fmla="*/ 47625 w 1057275"/>
                  <a:gd name="connsiteY1" fmla="*/ 390525 h 2705100"/>
                  <a:gd name="connsiteX2" fmla="*/ 0 w 1057275"/>
                  <a:gd name="connsiteY2" fmla="*/ 2705100 h 2705100"/>
                  <a:gd name="connsiteX3" fmla="*/ 409575 w 1057275"/>
                  <a:gd name="connsiteY3" fmla="*/ 2705100 h 2705100"/>
                  <a:gd name="connsiteX4" fmla="*/ 514350 w 1057275"/>
                  <a:gd name="connsiteY4" fmla="*/ 781050 h 2705100"/>
                  <a:gd name="connsiteX5" fmla="*/ 1057275 w 1057275"/>
                  <a:gd name="connsiteY5" fmla="*/ 504825 h 2705100"/>
                  <a:gd name="connsiteX6" fmla="*/ 771525 w 1057275"/>
                  <a:gd name="connsiteY6" fmla="*/ 0 h 2705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57275" h="2705100">
                    <a:moveTo>
                      <a:pt x="771525" y="0"/>
                    </a:moveTo>
                    <a:lnTo>
                      <a:pt x="47625" y="390525"/>
                    </a:lnTo>
                    <a:lnTo>
                      <a:pt x="0" y="2705100"/>
                    </a:lnTo>
                    <a:lnTo>
                      <a:pt x="409575" y="2705100"/>
                    </a:lnTo>
                    <a:lnTo>
                      <a:pt x="514350" y="781050"/>
                    </a:lnTo>
                    <a:lnTo>
                      <a:pt x="1057275" y="504825"/>
                    </a:lnTo>
                    <a:lnTo>
                      <a:pt x="771525" y="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Freeform 20"/>
              <xdr:cNvSpPr/>
            </xdr:nvSpPr>
            <xdr:spPr>
              <a:xfrm>
                <a:off x="3600450" y="62331600"/>
                <a:ext cx="971550" cy="1095375"/>
              </a:xfrm>
              <a:custGeom>
                <a:avLst/>
                <a:gdLst>
                  <a:gd name="connsiteX0" fmla="*/ 0 w 971550"/>
                  <a:gd name="connsiteY0" fmla="*/ 152400 h 1095375"/>
                  <a:gd name="connsiteX1" fmla="*/ 295275 w 971550"/>
                  <a:gd name="connsiteY1" fmla="*/ 0 h 1095375"/>
                  <a:gd name="connsiteX2" fmla="*/ 523875 w 971550"/>
                  <a:gd name="connsiteY2" fmla="*/ 381000 h 1095375"/>
                  <a:gd name="connsiteX3" fmla="*/ 971550 w 971550"/>
                  <a:gd name="connsiteY3" fmla="*/ 409575 h 1095375"/>
                  <a:gd name="connsiteX4" fmla="*/ 942975 w 971550"/>
                  <a:gd name="connsiteY4" fmla="*/ 733425 h 1095375"/>
                  <a:gd name="connsiteX5" fmla="*/ 590550 w 971550"/>
                  <a:gd name="connsiteY5" fmla="*/ 742950 h 1095375"/>
                  <a:gd name="connsiteX6" fmla="*/ 476250 w 971550"/>
                  <a:gd name="connsiteY6" fmla="*/ 876300 h 1095375"/>
                  <a:gd name="connsiteX7" fmla="*/ 295275 w 971550"/>
                  <a:gd name="connsiteY7" fmla="*/ 1095375 h 1095375"/>
                  <a:gd name="connsiteX8" fmla="*/ 9525 w 971550"/>
                  <a:gd name="connsiteY8" fmla="*/ 962025 h 1095375"/>
                  <a:gd name="connsiteX9" fmla="*/ 219075 w 971550"/>
                  <a:gd name="connsiteY9" fmla="*/ 647700 h 1095375"/>
                  <a:gd name="connsiteX10" fmla="*/ 0 w 971550"/>
                  <a:gd name="connsiteY10" fmla="*/ 152400 h 1095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971550" h="1095375">
                    <a:moveTo>
                      <a:pt x="0" y="152400"/>
                    </a:moveTo>
                    <a:lnTo>
                      <a:pt x="295275" y="0"/>
                    </a:lnTo>
                    <a:lnTo>
                      <a:pt x="523875" y="381000"/>
                    </a:lnTo>
                    <a:lnTo>
                      <a:pt x="971550" y="409575"/>
                    </a:lnTo>
                    <a:lnTo>
                      <a:pt x="942975" y="733425"/>
                    </a:lnTo>
                    <a:lnTo>
                      <a:pt x="590550" y="742950"/>
                    </a:lnTo>
                    <a:lnTo>
                      <a:pt x="476250" y="876300"/>
                    </a:lnTo>
                    <a:lnTo>
                      <a:pt x="295275" y="1095375"/>
                    </a:lnTo>
                    <a:lnTo>
                      <a:pt x="9525" y="962025"/>
                    </a:lnTo>
                    <a:lnTo>
                      <a:pt x="219075" y="647700"/>
                    </a:lnTo>
                    <a:lnTo>
                      <a:pt x="0" y="15240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25" name="Freeform 24"/>
            <xdr:cNvSpPr/>
          </xdr:nvSpPr>
          <xdr:spPr>
            <a:xfrm>
              <a:off x="2815113" y="60804092"/>
              <a:ext cx="430696" cy="522292"/>
            </a:xfrm>
            <a:custGeom>
              <a:avLst/>
              <a:gdLst>
                <a:gd name="connsiteX0" fmla="*/ 0 w 430696"/>
                <a:gd name="connsiteY0" fmla="*/ 0 h 513522"/>
                <a:gd name="connsiteX1" fmla="*/ 430696 w 430696"/>
                <a:gd name="connsiteY1" fmla="*/ 16566 h 513522"/>
                <a:gd name="connsiteX2" fmla="*/ 405848 w 430696"/>
                <a:gd name="connsiteY2" fmla="*/ 306457 h 513522"/>
                <a:gd name="connsiteX3" fmla="*/ 157370 w 430696"/>
                <a:gd name="connsiteY3" fmla="*/ 513522 h 513522"/>
                <a:gd name="connsiteX4" fmla="*/ 74543 w 430696"/>
                <a:gd name="connsiteY4" fmla="*/ 480392 h 513522"/>
                <a:gd name="connsiteX5" fmla="*/ 24848 w 430696"/>
                <a:gd name="connsiteY5" fmla="*/ 422414 h 513522"/>
                <a:gd name="connsiteX6" fmla="*/ 24848 w 430696"/>
                <a:gd name="connsiteY6" fmla="*/ 265044 h 513522"/>
                <a:gd name="connsiteX7" fmla="*/ 0 w 430696"/>
                <a:gd name="connsiteY7" fmla="*/ 0 h 51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30696" h="513522">
                  <a:moveTo>
                    <a:pt x="0" y="0"/>
                  </a:moveTo>
                  <a:lnTo>
                    <a:pt x="430696" y="16566"/>
                  </a:lnTo>
                  <a:lnTo>
                    <a:pt x="405848" y="306457"/>
                  </a:lnTo>
                  <a:lnTo>
                    <a:pt x="157370" y="513522"/>
                  </a:lnTo>
                  <a:lnTo>
                    <a:pt x="74543" y="480392"/>
                  </a:lnTo>
                  <a:lnTo>
                    <a:pt x="24848" y="422414"/>
                  </a:lnTo>
                  <a:lnTo>
                    <a:pt x="24848" y="265044"/>
                  </a:lnTo>
                  <a:lnTo>
                    <a:pt x="0" y="0"/>
                  </a:lnTo>
                  <a:close/>
                </a:path>
              </a:pathLst>
            </a:cu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33" name="Freeform 32"/>
          <xdr:cNvSpPr/>
        </xdr:nvSpPr>
        <xdr:spPr>
          <a:xfrm>
            <a:off x="1402773" y="58566326"/>
            <a:ext cx="1091584" cy="6179580"/>
          </a:xfrm>
          <a:custGeom>
            <a:avLst/>
            <a:gdLst>
              <a:gd name="connsiteX0" fmla="*/ 1021773 w 1316182"/>
              <a:gd name="connsiteY0" fmla="*/ 0 h 6130637"/>
              <a:gd name="connsiteX1" fmla="*/ 606136 w 1316182"/>
              <a:gd name="connsiteY1" fmla="*/ 138546 h 6130637"/>
              <a:gd name="connsiteX2" fmla="*/ 796636 w 1316182"/>
              <a:gd name="connsiteY2" fmla="*/ 2234046 h 6130637"/>
              <a:gd name="connsiteX3" fmla="*/ 242454 w 1316182"/>
              <a:gd name="connsiteY3" fmla="*/ 2909455 h 6130637"/>
              <a:gd name="connsiteX4" fmla="*/ 0 w 1316182"/>
              <a:gd name="connsiteY4" fmla="*/ 6130637 h 6130637"/>
              <a:gd name="connsiteX5" fmla="*/ 1316182 w 1316182"/>
              <a:gd name="connsiteY5" fmla="*/ 5628409 h 6130637"/>
              <a:gd name="connsiteX6" fmla="*/ 1021773 w 1316182"/>
              <a:gd name="connsiteY6" fmla="*/ 0 h 6130637"/>
              <a:gd name="connsiteX0" fmla="*/ 1039091 w 1333500"/>
              <a:gd name="connsiteY0" fmla="*/ 0 h 6459683"/>
              <a:gd name="connsiteX1" fmla="*/ 623454 w 1333500"/>
              <a:gd name="connsiteY1" fmla="*/ 138546 h 6459683"/>
              <a:gd name="connsiteX2" fmla="*/ 813954 w 1333500"/>
              <a:gd name="connsiteY2" fmla="*/ 2234046 h 6459683"/>
              <a:gd name="connsiteX3" fmla="*/ 259772 w 1333500"/>
              <a:gd name="connsiteY3" fmla="*/ 2909455 h 6459683"/>
              <a:gd name="connsiteX4" fmla="*/ 0 w 1333500"/>
              <a:gd name="connsiteY4" fmla="*/ 6459683 h 6459683"/>
              <a:gd name="connsiteX5" fmla="*/ 1333500 w 1333500"/>
              <a:gd name="connsiteY5" fmla="*/ 5628409 h 6459683"/>
              <a:gd name="connsiteX6" fmla="*/ 1039091 w 1333500"/>
              <a:gd name="connsiteY6" fmla="*/ 0 h 6459683"/>
              <a:gd name="connsiteX0" fmla="*/ 1039091 w 1333500"/>
              <a:gd name="connsiteY0" fmla="*/ 0 h 6459683"/>
              <a:gd name="connsiteX1" fmla="*/ 623454 w 1333500"/>
              <a:gd name="connsiteY1" fmla="*/ 138546 h 6459683"/>
              <a:gd name="connsiteX2" fmla="*/ 813954 w 1333500"/>
              <a:gd name="connsiteY2" fmla="*/ 2234046 h 6459683"/>
              <a:gd name="connsiteX3" fmla="*/ 259772 w 1333500"/>
              <a:gd name="connsiteY3" fmla="*/ 2909455 h 6459683"/>
              <a:gd name="connsiteX4" fmla="*/ 0 w 1333500"/>
              <a:gd name="connsiteY4" fmla="*/ 6459683 h 6459683"/>
              <a:gd name="connsiteX5" fmla="*/ 1333500 w 1333500"/>
              <a:gd name="connsiteY5" fmla="*/ 5697682 h 6459683"/>
              <a:gd name="connsiteX6" fmla="*/ 1039091 w 1333500"/>
              <a:gd name="connsiteY6" fmla="*/ 0 h 6459683"/>
              <a:gd name="connsiteX0" fmla="*/ 1039091 w 1088799"/>
              <a:gd name="connsiteY0" fmla="*/ 0 h 6459683"/>
              <a:gd name="connsiteX1" fmla="*/ 623454 w 1088799"/>
              <a:gd name="connsiteY1" fmla="*/ 138546 h 6459683"/>
              <a:gd name="connsiteX2" fmla="*/ 813954 w 1088799"/>
              <a:gd name="connsiteY2" fmla="*/ 2234046 h 6459683"/>
              <a:gd name="connsiteX3" fmla="*/ 259772 w 1088799"/>
              <a:gd name="connsiteY3" fmla="*/ 2909455 h 6459683"/>
              <a:gd name="connsiteX4" fmla="*/ 0 w 1088799"/>
              <a:gd name="connsiteY4" fmla="*/ 6459683 h 6459683"/>
              <a:gd name="connsiteX5" fmla="*/ 1088799 w 1088799"/>
              <a:gd name="connsiteY5" fmla="*/ 5891637 h 6459683"/>
              <a:gd name="connsiteX6" fmla="*/ 1039091 w 1088799"/>
              <a:gd name="connsiteY6" fmla="*/ 0 h 64596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88799" h="6459683">
                <a:moveTo>
                  <a:pt x="1039091" y="0"/>
                </a:moveTo>
                <a:lnTo>
                  <a:pt x="623454" y="138546"/>
                </a:lnTo>
                <a:lnTo>
                  <a:pt x="813954" y="2234046"/>
                </a:lnTo>
                <a:lnTo>
                  <a:pt x="259772" y="2909455"/>
                </a:lnTo>
                <a:lnTo>
                  <a:pt x="0" y="6459683"/>
                </a:lnTo>
                <a:lnTo>
                  <a:pt x="1088799" y="5891637"/>
                </a:lnTo>
                <a:lnTo>
                  <a:pt x="1039091" y="0"/>
                </a:lnTo>
                <a:close/>
              </a:path>
            </a:pathLst>
          </a:cu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34" name="Straight Arrow Connector 33"/>
          <xdr:cNvCxnSpPr/>
        </xdr:nvCxnSpPr>
        <xdr:spPr>
          <a:xfrm>
            <a:off x="1782161" y="59297749"/>
            <a:ext cx="308524" cy="31786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219075</xdr:colOff>
      <xdr:row>43</xdr:row>
      <xdr:rowOff>76200</xdr:rowOff>
    </xdr:from>
    <xdr:to>
      <xdr:col>16</xdr:col>
      <xdr:colOff>134283</xdr:colOff>
      <xdr:row>60</xdr:row>
      <xdr:rowOff>33964</xdr:rowOff>
    </xdr:to>
    <xdr:pic>
      <xdr:nvPicPr>
        <xdr:cNvPr id="38" name="Picture 37"/>
        <xdr:cNvPicPr>
          <a:picLocks noChangeAspect="1"/>
        </xdr:cNvPicPr>
      </xdr:nvPicPr>
      <xdr:blipFill>
        <a:blip xmlns:r="http://schemas.openxmlformats.org/officeDocument/2006/relationships" r:embed="rId5"/>
        <a:stretch>
          <a:fillRect/>
        </a:stretch>
      </xdr:blipFill>
      <xdr:spPr>
        <a:xfrm>
          <a:off x="6534150" y="9686925"/>
          <a:ext cx="6687483" cy="3005764"/>
        </a:xfrm>
        <a:prstGeom prst="rect">
          <a:avLst/>
        </a:prstGeom>
      </xdr:spPr>
    </xdr:pic>
    <xdr:clientData/>
  </xdr:twoCellAnchor>
  <xdr:twoCellAnchor>
    <xdr:from>
      <xdr:col>8</xdr:col>
      <xdr:colOff>222527</xdr:colOff>
      <xdr:row>334</xdr:row>
      <xdr:rowOff>86992</xdr:rowOff>
    </xdr:from>
    <xdr:to>
      <xdr:col>15</xdr:col>
      <xdr:colOff>107606</xdr:colOff>
      <xdr:row>375</xdr:row>
      <xdr:rowOff>198694</xdr:rowOff>
    </xdr:to>
    <xdr:grpSp>
      <xdr:nvGrpSpPr>
        <xdr:cNvPr id="27" name="Group 26"/>
        <xdr:cNvGrpSpPr/>
      </xdr:nvGrpSpPr>
      <xdr:grpSpPr>
        <a:xfrm>
          <a:off x="6845577" y="67142992"/>
          <a:ext cx="6158879" cy="7393308"/>
          <a:chOff x="193952" y="67504942"/>
          <a:chExt cx="5876304" cy="8312727"/>
        </a:xfrm>
      </xdr:grpSpPr>
      <xdr:pic>
        <xdr:nvPicPr>
          <xdr:cNvPr id="39" name="Picture 38" descr="https://vsjcllp.vsjadon.com/upload/insp-199757-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8647" y="73652870"/>
            <a:ext cx="1611887" cy="21647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199757-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7798" y="67504942"/>
            <a:ext cx="4933162" cy="37230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199757-84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180721" y="73652872"/>
            <a:ext cx="1610354" cy="216479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199757-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84226" y="71376157"/>
            <a:ext cx="2886030" cy="217366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199757-86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3952" y="71369583"/>
            <a:ext cx="2873606" cy="21711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44" name="Group 43"/>
          <xdr:cNvGrpSpPr/>
        </xdr:nvGrpSpPr>
        <xdr:grpSpPr>
          <a:xfrm>
            <a:off x="3582641" y="68187822"/>
            <a:ext cx="981075" cy="892035"/>
            <a:chOff x="5235707" y="3931417"/>
            <a:chExt cx="981075" cy="687173"/>
          </a:xfrm>
        </xdr:grpSpPr>
        <xdr:sp macro="" textlink="">
          <xdr:nvSpPr>
            <xdr:cNvPr id="45" name="TextBox 35"/>
            <xdr:cNvSpPr txBox="1"/>
          </xdr:nvSpPr>
          <xdr:spPr>
            <a:xfrm>
              <a:off x="5235707" y="3931417"/>
              <a:ext cx="981075" cy="220409"/>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Building </a:t>
              </a:r>
              <a:r>
                <a:rPr lang="en-US" sz="1200" b="1" baseline="0">
                  <a:latin typeface="Times New Roman" panose="02020603050405020304" pitchFamily="18" charset="0"/>
                  <a:cs typeface="Times New Roman" panose="02020603050405020304" pitchFamily="18" charset="0"/>
                </a:rPr>
                <a:t> A</a:t>
              </a:r>
              <a:endParaRPr lang="en-IN" sz="1200" b="1">
                <a:latin typeface="Times New Roman" panose="02020603050405020304" pitchFamily="18" charset="0"/>
                <a:cs typeface="Times New Roman" panose="02020603050405020304" pitchFamily="18" charset="0"/>
              </a:endParaRPr>
            </a:p>
          </xdr:txBody>
        </xdr:sp>
        <xdr:cxnSp macro="">
          <xdr:nvCxnSpPr>
            <xdr:cNvPr id="46" name="Straight Arrow Connector 45"/>
            <xdr:cNvCxnSpPr/>
          </xdr:nvCxnSpPr>
          <xdr:spPr>
            <a:xfrm flipH="1">
              <a:off x="5425032" y="4136994"/>
              <a:ext cx="265354" cy="48159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8" name="Group 47"/>
          <xdr:cNvGrpSpPr/>
        </xdr:nvGrpSpPr>
        <xdr:grpSpPr>
          <a:xfrm>
            <a:off x="2000249" y="69170549"/>
            <a:ext cx="1095376" cy="600071"/>
            <a:chOff x="5082086" y="3864715"/>
            <a:chExt cx="1095376" cy="559324"/>
          </a:xfrm>
        </xdr:grpSpPr>
        <xdr:sp macro="" textlink="">
          <xdr:nvSpPr>
            <xdr:cNvPr id="49" name="TextBox 35"/>
            <xdr:cNvSpPr txBox="1"/>
          </xdr:nvSpPr>
          <xdr:spPr>
            <a:xfrm>
              <a:off x="5082086" y="3864715"/>
              <a:ext cx="981075" cy="247041"/>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a:t>
              </a:r>
              <a:r>
                <a:rPr lang="en-US" sz="1200" b="1" baseline="0">
                  <a:latin typeface="Times New Roman" panose="02020603050405020304" pitchFamily="18" charset="0"/>
                  <a:cs typeface="Times New Roman" panose="02020603050405020304" pitchFamily="18" charset="0"/>
                </a:rPr>
                <a:t> B</a:t>
              </a:r>
              <a:endParaRPr lang="en-IN" sz="1200" b="1">
                <a:latin typeface="Times New Roman" panose="02020603050405020304" pitchFamily="18" charset="0"/>
                <a:cs typeface="Times New Roman" panose="02020603050405020304" pitchFamily="18" charset="0"/>
              </a:endParaRPr>
            </a:p>
          </xdr:txBody>
        </xdr:sp>
        <xdr:cxnSp macro="">
          <xdr:nvCxnSpPr>
            <xdr:cNvPr id="50" name="Straight Arrow Connector 49"/>
            <xdr:cNvCxnSpPr/>
          </xdr:nvCxnSpPr>
          <xdr:spPr>
            <a:xfrm>
              <a:off x="5634537" y="4104423"/>
              <a:ext cx="542925" cy="31961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55" name="Group 54"/>
          <xdr:cNvGrpSpPr/>
        </xdr:nvGrpSpPr>
        <xdr:grpSpPr>
          <a:xfrm>
            <a:off x="2933699" y="70094476"/>
            <a:ext cx="981075" cy="847724"/>
            <a:chOff x="5244011" y="3873591"/>
            <a:chExt cx="981075" cy="674743"/>
          </a:xfrm>
        </xdr:grpSpPr>
        <xdr:sp macro="" textlink="">
          <xdr:nvSpPr>
            <xdr:cNvPr id="56" name="TextBox 35"/>
            <xdr:cNvSpPr txBox="1"/>
          </xdr:nvSpPr>
          <xdr:spPr>
            <a:xfrm>
              <a:off x="5244011" y="3873591"/>
              <a:ext cx="981075" cy="220409"/>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a:t>
              </a:r>
              <a:r>
                <a:rPr lang="en-US" sz="1200" b="1" baseline="0">
                  <a:latin typeface="Times New Roman" panose="02020603050405020304" pitchFamily="18" charset="0"/>
                  <a:cs typeface="Times New Roman" panose="02020603050405020304" pitchFamily="18" charset="0"/>
                </a:rPr>
                <a:t>C</a:t>
              </a:r>
              <a:endParaRPr lang="en-IN" sz="1200" b="1">
                <a:latin typeface="Times New Roman" panose="02020603050405020304" pitchFamily="18" charset="0"/>
                <a:cs typeface="Times New Roman" panose="02020603050405020304" pitchFamily="18" charset="0"/>
              </a:endParaRPr>
            </a:p>
          </xdr:txBody>
        </xdr:sp>
        <xdr:cxnSp macro="">
          <xdr:nvCxnSpPr>
            <xdr:cNvPr id="57" name="Straight Arrow Connector 56"/>
            <xdr:cNvCxnSpPr/>
          </xdr:nvCxnSpPr>
          <xdr:spPr>
            <a:xfrm flipH="1">
              <a:off x="5303943" y="4136994"/>
              <a:ext cx="386442" cy="4113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58" name="TextBox 35"/>
          <xdr:cNvSpPr txBox="1"/>
        </xdr:nvSpPr>
        <xdr:spPr>
          <a:xfrm>
            <a:off x="1026883" y="73148386"/>
            <a:ext cx="983456" cy="276914"/>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a:t>
            </a:r>
            <a:r>
              <a:rPr lang="en-US" sz="1200" b="1" baseline="0">
                <a:latin typeface="Times New Roman" panose="02020603050405020304" pitchFamily="18" charset="0"/>
                <a:cs typeface="Times New Roman" panose="02020603050405020304" pitchFamily="18" charset="0"/>
              </a:rPr>
              <a:t>B</a:t>
            </a:r>
            <a:endParaRPr lang="en-IN" sz="1200" b="1">
              <a:latin typeface="Times New Roman" panose="02020603050405020304" pitchFamily="18" charset="0"/>
              <a:cs typeface="Times New Roman" panose="02020603050405020304" pitchFamily="18" charset="0"/>
            </a:endParaRPr>
          </a:p>
        </xdr:txBody>
      </xdr:sp>
      <xdr:sp macro="" textlink="">
        <xdr:nvSpPr>
          <xdr:cNvPr id="60" name="TextBox 35"/>
          <xdr:cNvSpPr txBox="1"/>
        </xdr:nvSpPr>
        <xdr:spPr>
          <a:xfrm>
            <a:off x="4118824" y="73249590"/>
            <a:ext cx="985426" cy="276914"/>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a:t>
            </a:r>
            <a:r>
              <a:rPr lang="en-US" sz="1200" b="1" baseline="0">
                <a:latin typeface="Times New Roman" panose="02020603050405020304" pitchFamily="18" charset="0"/>
                <a:cs typeface="Times New Roman" panose="02020603050405020304" pitchFamily="18" charset="0"/>
              </a:rPr>
              <a:t>C</a:t>
            </a:r>
            <a:endParaRPr lang="en-IN" sz="1200" b="1">
              <a:latin typeface="Times New Roman" panose="02020603050405020304" pitchFamily="18" charset="0"/>
              <a:cs typeface="Times New Roman" panose="02020603050405020304" pitchFamily="18" charset="0"/>
            </a:endParaRPr>
          </a:p>
        </xdr:txBody>
      </xdr:sp>
      <xdr:grpSp>
        <xdr:nvGrpSpPr>
          <xdr:cNvPr id="63" name="Group 62"/>
          <xdr:cNvGrpSpPr/>
        </xdr:nvGrpSpPr>
        <xdr:grpSpPr>
          <a:xfrm>
            <a:off x="1217543" y="71538551"/>
            <a:ext cx="960367" cy="799683"/>
            <a:chOff x="5235707" y="3931417"/>
            <a:chExt cx="981075" cy="687173"/>
          </a:xfrm>
        </xdr:grpSpPr>
        <xdr:sp macro="" textlink="">
          <xdr:nvSpPr>
            <xdr:cNvPr id="64" name="TextBox 35"/>
            <xdr:cNvSpPr txBox="1"/>
          </xdr:nvSpPr>
          <xdr:spPr>
            <a:xfrm>
              <a:off x="5235707" y="3931417"/>
              <a:ext cx="981075" cy="220409"/>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latin typeface="Times New Roman" panose="02020603050405020304" pitchFamily="18" charset="0"/>
                  <a:cs typeface="Times New Roman" panose="02020603050405020304" pitchFamily="18" charset="0"/>
                </a:rPr>
                <a:t>Building </a:t>
              </a:r>
              <a:r>
                <a:rPr lang="en-US" sz="1200" b="1" baseline="0">
                  <a:latin typeface="Times New Roman" panose="02020603050405020304" pitchFamily="18" charset="0"/>
                  <a:cs typeface="Times New Roman" panose="02020603050405020304" pitchFamily="18" charset="0"/>
                </a:rPr>
                <a:t> A</a:t>
              </a:r>
              <a:endParaRPr lang="en-IN" sz="1200" b="1">
                <a:latin typeface="Times New Roman" panose="02020603050405020304" pitchFamily="18" charset="0"/>
                <a:cs typeface="Times New Roman" panose="02020603050405020304" pitchFamily="18" charset="0"/>
              </a:endParaRPr>
            </a:p>
          </xdr:txBody>
        </xdr:sp>
        <xdr:cxnSp macro="">
          <xdr:nvCxnSpPr>
            <xdr:cNvPr id="65" name="Straight Arrow Connector 64"/>
            <xdr:cNvCxnSpPr/>
          </xdr:nvCxnSpPr>
          <xdr:spPr>
            <a:xfrm flipH="1">
              <a:off x="5425032" y="4136994"/>
              <a:ext cx="265354" cy="48159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244337</xdr:colOff>
      <xdr:row>438</xdr:row>
      <xdr:rowOff>88513</xdr:rowOff>
    </xdr:from>
    <xdr:to>
      <xdr:col>7</xdr:col>
      <xdr:colOff>355145</xdr:colOff>
      <xdr:row>461</xdr:row>
      <xdr:rowOff>186418</xdr:rowOff>
    </xdr:to>
    <xdr:grpSp>
      <xdr:nvGrpSpPr>
        <xdr:cNvPr id="26" name="Group 25"/>
        <xdr:cNvGrpSpPr/>
      </xdr:nvGrpSpPr>
      <xdr:grpSpPr>
        <a:xfrm>
          <a:off x="244337" y="86632663"/>
          <a:ext cx="5965508" cy="4625455"/>
          <a:chOff x="311012" y="88747213"/>
          <a:chExt cx="5692458" cy="4698480"/>
        </a:xfrm>
      </xdr:grpSpPr>
      <xdr:grpSp>
        <xdr:nvGrpSpPr>
          <xdr:cNvPr id="7" name="Group 6"/>
          <xdr:cNvGrpSpPr/>
        </xdr:nvGrpSpPr>
        <xdr:grpSpPr>
          <a:xfrm>
            <a:off x="311012" y="88747213"/>
            <a:ext cx="5692458" cy="4698480"/>
            <a:chOff x="379049" y="68711109"/>
            <a:chExt cx="5483087" cy="4366348"/>
          </a:xfrm>
        </xdr:grpSpPr>
        <xdr:pic>
          <xdr:nvPicPr>
            <xdr:cNvPr id="2" name="Picture 1"/>
            <xdr:cNvPicPr>
              <a:picLocks noChangeAspect="1"/>
            </xdr:cNvPicPr>
          </xdr:nvPicPr>
          <xdr:blipFill rotWithShape="1">
            <a:blip xmlns:r="http://schemas.openxmlformats.org/officeDocument/2006/relationships" r:embed="rId11"/>
            <a:srcRect l="6165" t="10452" r="10994" b="10644"/>
            <a:stretch/>
          </xdr:blipFill>
          <xdr:spPr>
            <a:xfrm>
              <a:off x="379049" y="68711109"/>
              <a:ext cx="5483087" cy="4366348"/>
            </a:xfrm>
            <a:prstGeom prst="rect">
              <a:avLst/>
            </a:prstGeom>
            <a:ln>
              <a:solidFill>
                <a:sysClr val="windowText" lastClr="000000"/>
              </a:solidFill>
            </a:ln>
          </xdr:spPr>
        </xdr:pic>
        <xdr:sp macro="" textlink="">
          <xdr:nvSpPr>
            <xdr:cNvPr id="6" name="Rectangle 5"/>
            <xdr:cNvSpPr/>
          </xdr:nvSpPr>
          <xdr:spPr>
            <a:xfrm rot="19185280">
              <a:off x="3042506" y="70192429"/>
              <a:ext cx="365607" cy="141874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54" name="TextBox 12"/>
          <xdr:cNvSpPr txBox="1"/>
        </xdr:nvSpPr>
        <xdr:spPr>
          <a:xfrm rot="2866677">
            <a:off x="2114550" y="91173301"/>
            <a:ext cx="1834254" cy="35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600" b="1">
                <a:solidFill>
                  <a:srgbClr val="FFFF00"/>
                </a:solidFill>
                <a:latin typeface="Times New Roman" panose="02020603050405020304" pitchFamily="18" charset="0"/>
                <a:cs typeface="Times New Roman" panose="02020603050405020304" pitchFamily="18" charset="0"/>
              </a:rPr>
              <a:t>Siyara Avenue </a:t>
            </a:r>
            <a:endParaRPr lang="en-IN" sz="16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xdr:from>
      <xdr:col>2</xdr:col>
      <xdr:colOff>228600</xdr:colOff>
      <xdr:row>403</xdr:row>
      <xdr:rowOff>19050</xdr:rowOff>
    </xdr:from>
    <xdr:to>
      <xdr:col>3</xdr:col>
      <xdr:colOff>114300</xdr:colOff>
      <xdr:row>404</xdr:row>
      <xdr:rowOff>133350</xdr:rowOff>
    </xdr:to>
    <xdr:sp macro="" textlink="">
      <xdr:nvSpPr>
        <xdr:cNvPr id="59" name="TextBox 12"/>
        <xdr:cNvSpPr txBox="1"/>
      </xdr:nvSpPr>
      <xdr:spPr>
        <a:xfrm>
          <a:off x="1790700" y="82867500"/>
          <a:ext cx="7334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C00000"/>
              </a:solidFill>
              <a:latin typeface="Times New Roman" panose="02020603050405020304" pitchFamily="18" charset="0"/>
              <a:cs typeface="Times New Roman" panose="02020603050405020304" pitchFamily="18" charset="0"/>
            </a:rPr>
            <a:t>A</a:t>
          </a:r>
        </a:p>
      </xdr:txBody>
    </xdr:sp>
    <xdr:clientData/>
  </xdr:twoCellAnchor>
  <xdr:twoCellAnchor>
    <xdr:from>
      <xdr:col>2</xdr:col>
      <xdr:colOff>171450</xdr:colOff>
      <xdr:row>407</xdr:row>
      <xdr:rowOff>190500</xdr:rowOff>
    </xdr:from>
    <xdr:to>
      <xdr:col>3</xdr:col>
      <xdr:colOff>57150</xdr:colOff>
      <xdr:row>409</xdr:row>
      <xdr:rowOff>104775</xdr:rowOff>
    </xdr:to>
    <xdr:sp macro="" textlink="">
      <xdr:nvSpPr>
        <xdr:cNvPr id="61" name="TextBox 12"/>
        <xdr:cNvSpPr txBox="1"/>
      </xdr:nvSpPr>
      <xdr:spPr>
        <a:xfrm>
          <a:off x="1733550" y="83839050"/>
          <a:ext cx="7334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A0AB6"/>
              </a:solidFill>
              <a:latin typeface="Times New Roman" panose="02020603050405020304" pitchFamily="18" charset="0"/>
              <a:cs typeface="Times New Roman" panose="02020603050405020304" pitchFamily="18" charset="0"/>
            </a:rPr>
            <a:t>B</a:t>
          </a:r>
        </a:p>
      </xdr:txBody>
    </xdr:sp>
    <xdr:clientData/>
  </xdr:twoCellAnchor>
  <xdr:twoCellAnchor>
    <xdr:from>
      <xdr:col>2</xdr:col>
      <xdr:colOff>200025</xdr:colOff>
      <xdr:row>412</xdr:row>
      <xdr:rowOff>133350</xdr:rowOff>
    </xdr:from>
    <xdr:to>
      <xdr:col>3</xdr:col>
      <xdr:colOff>85725</xdr:colOff>
      <xdr:row>414</xdr:row>
      <xdr:rowOff>47625</xdr:rowOff>
    </xdr:to>
    <xdr:sp macro="" textlink="">
      <xdr:nvSpPr>
        <xdr:cNvPr id="62" name="TextBox 12"/>
        <xdr:cNvSpPr txBox="1"/>
      </xdr:nvSpPr>
      <xdr:spPr>
        <a:xfrm>
          <a:off x="1762125" y="84782025"/>
          <a:ext cx="7334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B50B9D"/>
              </a:solidFill>
              <a:latin typeface="Times New Roman" panose="02020603050405020304" pitchFamily="18" charset="0"/>
              <a:cs typeface="Times New Roman" panose="02020603050405020304" pitchFamily="18" charset="0"/>
            </a:rPr>
            <a:t>C</a:t>
          </a:r>
        </a:p>
      </xdr:txBody>
    </xdr:sp>
    <xdr:clientData/>
  </xdr:twoCellAnchor>
  <xdr:twoCellAnchor>
    <xdr:from>
      <xdr:col>2</xdr:col>
      <xdr:colOff>523875</xdr:colOff>
      <xdr:row>416</xdr:row>
      <xdr:rowOff>104775</xdr:rowOff>
    </xdr:from>
    <xdr:to>
      <xdr:col>3</xdr:col>
      <xdr:colOff>795635</xdr:colOff>
      <xdr:row>418</xdr:row>
      <xdr:rowOff>180045</xdr:rowOff>
    </xdr:to>
    <xdr:sp macro="" textlink="">
      <xdr:nvSpPr>
        <xdr:cNvPr id="66" name="TextBox 12"/>
        <xdr:cNvSpPr txBox="1"/>
      </xdr:nvSpPr>
      <xdr:spPr>
        <a:xfrm>
          <a:off x="2162175" y="81924525"/>
          <a:ext cx="1160760" cy="468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chemeClr val="tx1"/>
              </a:solidFill>
              <a:latin typeface="Times New Roman" panose="02020603050405020304" pitchFamily="18" charset="0"/>
              <a:cs typeface="Times New Roman" panose="02020603050405020304" pitchFamily="18" charset="0"/>
            </a:rPr>
            <a:t>A</a:t>
          </a:r>
          <a:r>
            <a:rPr lang="en-IN" sz="1600" b="1" baseline="0">
              <a:solidFill>
                <a:schemeClr val="tx1"/>
              </a:solidFill>
              <a:latin typeface="Times New Roman" panose="02020603050405020304" pitchFamily="18" charset="0"/>
              <a:cs typeface="Times New Roman" panose="02020603050405020304" pitchFamily="18" charset="0"/>
            </a:rPr>
            <a:t> Plot</a:t>
          </a:r>
          <a:endParaRPr lang="en-IN" sz="1600" b="1">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552451</xdr:colOff>
      <xdr:row>417</xdr:row>
      <xdr:rowOff>85725</xdr:rowOff>
    </xdr:from>
    <xdr:to>
      <xdr:col>2</xdr:col>
      <xdr:colOff>800100</xdr:colOff>
      <xdr:row>419</xdr:row>
      <xdr:rowOff>9525</xdr:rowOff>
    </xdr:to>
    <xdr:cxnSp macro="">
      <xdr:nvCxnSpPr>
        <xdr:cNvPr id="67" name="Straight Arrow Connector 66"/>
        <xdr:cNvCxnSpPr/>
      </xdr:nvCxnSpPr>
      <xdr:spPr>
        <a:xfrm flipH="1" flipV="1">
          <a:off x="2114551" y="85734525"/>
          <a:ext cx="247649" cy="32385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387</xdr:row>
      <xdr:rowOff>161925</xdr:rowOff>
    </xdr:from>
    <xdr:to>
      <xdr:col>4</xdr:col>
      <xdr:colOff>367010</xdr:colOff>
      <xdr:row>390</xdr:row>
      <xdr:rowOff>37170</xdr:rowOff>
    </xdr:to>
    <xdr:sp macro="" textlink="">
      <xdr:nvSpPr>
        <xdr:cNvPr id="68" name="TextBox 12"/>
        <xdr:cNvSpPr txBox="1"/>
      </xdr:nvSpPr>
      <xdr:spPr>
        <a:xfrm>
          <a:off x="2571750" y="79809975"/>
          <a:ext cx="1119485" cy="47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chemeClr val="tx1"/>
              </a:solidFill>
              <a:latin typeface="Times New Roman" panose="02020603050405020304" pitchFamily="18" charset="0"/>
              <a:cs typeface="Times New Roman" panose="02020603050405020304" pitchFamily="18" charset="0"/>
            </a:rPr>
            <a:t>C</a:t>
          </a:r>
          <a:r>
            <a:rPr lang="en-IN" sz="1600" b="1" baseline="0">
              <a:solidFill>
                <a:schemeClr val="tx1"/>
              </a:solidFill>
              <a:latin typeface="Times New Roman" panose="02020603050405020304" pitchFamily="18" charset="0"/>
              <a:cs typeface="Times New Roman" panose="02020603050405020304" pitchFamily="18" charset="0"/>
            </a:rPr>
            <a:t> Plot</a:t>
          </a:r>
          <a:endParaRPr lang="en-IN" sz="1600" b="1">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10</xdr:col>
      <xdr:colOff>20027</xdr:colOff>
      <xdr:row>391</xdr:row>
      <xdr:rowOff>142733</xdr:rowOff>
    </xdr:from>
    <xdr:to>
      <xdr:col>10</xdr:col>
      <xdr:colOff>358438</xdr:colOff>
      <xdr:row>393</xdr:row>
      <xdr:rowOff>75404</xdr:rowOff>
    </xdr:to>
    <xdr:cxnSp macro="">
      <xdr:nvCxnSpPr>
        <xdr:cNvPr id="69" name="Straight Arrow Connector 68"/>
        <xdr:cNvCxnSpPr/>
      </xdr:nvCxnSpPr>
      <xdr:spPr>
        <a:xfrm>
          <a:off x="8259152" y="80590883"/>
          <a:ext cx="338411" cy="33272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403</xdr:row>
      <xdr:rowOff>123825</xdr:rowOff>
    </xdr:from>
    <xdr:to>
      <xdr:col>5</xdr:col>
      <xdr:colOff>557510</xdr:colOff>
      <xdr:row>405</xdr:row>
      <xdr:rowOff>199095</xdr:rowOff>
    </xdr:to>
    <xdr:sp macro="" textlink="">
      <xdr:nvSpPr>
        <xdr:cNvPr id="70" name="TextBox 12"/>
        <xdr:cNvSpPr txBox="1"/>
      </xdr:nvSpPr>
      <xdr:spPr>
        <a:xfrm>
          <a:off x="3543300" y="82972275"/>
          <a:ext cx="1119485" cy="475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chemeClr val="tx1"/>
              </a:solidFill>
              <a:latin typeface="Times New Roman" panose="02020603050405020304" pitchFamily="18" charset="0"/>
              <a:cs typeface="Times New Roman" panose="02020603050405020304" pitchFamily="18" charset="0"/>
            </a:rPr>
            <a:t>B </a:t>
          </a:r>
          <a:r>
            <a:rPr lang="en-IN" sz="1600" b="1" baseline="0">
              <a:solidFill>
                <a:schemeClr val="tx1"/>
              </a:solidFill>
              <a:latin typeface="Times New Roman" panose="02020603050405020304" pitchFamily="18" charset="0"/>
              <a:cs typeface="Times New Roman" panose="02020603050405020304" pitchFamily="18" charset="0"/>
            </a:rPr>
            <a:t>Plot</a:t>
          </a:r>
          <a:endParaRPr lang="en-IN" sz="1600" b="1">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120650</xdr:colOff>
      <xdr:row>334</xdr:row>
      <xdr:rowOff>76200</xdr:rowOff>
    </xdr:from>
    <xdr:to>
      <xdr:col>7</xdr:col>
      <xdr:colOff>693582</xdr:colOff>
      <xdr:row>370</xdr:row>
      <xdr:rowOff>32836</xdr:rowOff>
    </xdr:to>
    <xdr:grpSp>
      <xdr:nvGrpSpPr>
        <xdr:cNvPr id="32" name="Group 31"/>
        <xdr:cNvGrpSpPr/>
      </xdr:nvGrpSpPr>
      <xdr:grpSpPr>
        <a:xfrm>
          <a:off x="120650" y="67132200"/>
          <a:ext cx="6427632" cy="7043236"/>
          <a:chOff x="120650" y="66738500"/>
          <a:chExt cx="6427632" cy="7043236"/>
        </a:xfrm>
      </xdr:grpSpPr>
      <xdr:pic>
        <xdr:nvPicPr>
          <xdr:cNvPr id="71" name="Picture 7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29969" y="71621736"/>
            <a:ext cx="1618313" cy="216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20650" y="71621736"/>
            <a:ext cx="2877714" cy="216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155010" y="71621736"/>
            <a:ext cx="1618313" cy="2160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88487" y="66738500"/>
            <a:ext cx="3117524" cy="234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20650" y="66738500"/>
            <a:ext cx="3117524" cy="234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20650" y="69180118"/>
            <a:ext cx="3117524" cy="2340000"/>
          </a:xfrm>
          <a:prstGeom prst="rect">
            <a:avLst/>
          </a:prstGeom>
          <a:ln>
            <a:solidFill>
              <a:schemeClr val="tx1"/>
            </a:solidFill>
          </a:ln>
        </xdr:spPr>
      </xdr:pic>
      <xdr:pic>
        <xdr:nvPicPr>
          <xdr:cNvPr id="83" name="Picture 8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88487" y="69180118"/>
            <a:ext cx="3117524" cy="2340000"/>
          </a:xfrm>
          <a:prstGeom prst="rect">
            <a:avLst/>
          </a:prstGeom>
          <a:ln>
            <a:solidFill>
              <a:schemeClr val="tx1"/>
            </a:solidFill>
          </a:ln>
        </xdr:spPr>
      </xdr:pic>
      <xdr:sp macro="" textlink="">
        <xdr:nvSpPr>
          <xdr:cNvPr id="29" name="TextBox 28"/>
          <xdr:cNvSpPr txBox="1"/>
        </xdr:nvSpPr>
        <xdr:spPr>
          <a:xfrm>
            <a:off x="4419600" y="70592950"/>
            <a:ext cx="10334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Building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392206</xdr:colOff>
      <xdr:row>7</xdr:row>
      <xdr:rowOff>156882</xdr:rowOff>
    </xdr:from>
    <xdr:to>
      <xdr:col>11</xdr:col>
      <xdr:colOff>238124</xdr:colOff>
      <xdr:row>40</xdr:row>
      <xdr:rowOff>79841</xdr:rowOff>
    </xdr:to>
    <xdr:pic>
      <xdr:nvPicPr>
        <xdr:cNvPr id="3" name="Picture 2" descr="insp-199757-922.jpg (959×1280)"/>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220" b="49070"/>
        <a:stretch/>
      </xdr:blipFill>
      <xdr:spPr bwMode="auto">
        <a:xfrm>
          <a:off x="2454088" y="1501588"/>
          <a:ext cx="8945095" cy="6209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4SrPa6QbPCR9BHTt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21"/>
  <sheetViews>
    <sheetView tabSelected="1" view="pageBreakPreview" zoomScaleNormal="100" zoomScaleSheetLayoutView="100" zoomScalePageLayoutView="85" workbookViewId="0">
      <selection activeCell="K325" sqref="K325"/>
    </sheetView>
  </sheetViews>
  <sheetFormatPr defaultColWidth="9.1796875" defaultRowHeight="15.5" x14ac:dyDescent="0.35"/>
  <cols>
    <col min="1" max="1" width="11.453125" style="30" customWidth="1"/>
    <col min="2" max="2" width="12" style="30" customWidth="1"/>
    <col min="3" max="3" width="12.7265625" style="30" customWidth="1"/>
    <col min="4" max="4" width="13.7265625" style="30" customWidth="1"/>
    <col min="5" max="5" width="11.7265625" style="30" customWidth="1"/>
    <col min="6" max="6" width="11.1796875" style="30" customWidth="1"/>
    <col min="7" max="8" width="11" style="30"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207" t="s">
        <v>157</v>
      </c>
      <c r="B1" s="207"/>
      <c r="C1" s="207"/>
      <c r="D1" s="207"/>
      <c r="E1" s="207"/>
      <c r="F1" s="207"/>
      <c r="G1" s="207"/>
      <c r="H1" s="207"/>
    </row>
    <row r="2" spans="1:26" ht="16.5" customHeight="1" x14ac:dyDescent="0.35">
      <c r="A2" s="160" t="s">
        <v>0</v>
      </c>
      <c r="B2" s="160"/>
      <c r="C2" s="160"/>
      <c r="D2" s="160"/>
      <c r="E2" s="160"/>
      <c r="F2" s="160"/>
      <c r="G2" s="160"/>
      <c r="H2" s="160"/>
    </row>
    <row r="3" spans="1:26" x14ac:dyDescent="0.35">
      <c r="A3" s="179" t="s">
        <v>1</v>
      </c>
      <c r="B3" s="179"/>
      <c r="C3" s="179"/>
      <c r="D3" s="179"/>
      <c r="E3" s="179" t="str">
        <f ca="1">TEXT(TODAY(),"DD/MM/YYYY")</f>
        <v>06/10/2025</v>
      </c>
      <c r="F3" s="179"/>
      <c r="G3" s="179"/>
      <c r="H3" s="179"/>
      <c r="K3" s="42" t="s">
        <v>228</v>
      </c>
      <c r="L3" s="39" t="s">
        <v>226</v>
      </c>
      <c r="M3" s="39" t="s">
        <v>231</v>
      </c>
      <c r="N3" s="39" t="s">
        <v>229</v>
      </c>
      <c r="O3" s="39" t="s">
        <v>334</v>
      </c>
      <c r="P3" s="39" t="s">
        <v>232</v>
      </c>
    </row>
    <row r="4" spans="1:26" ht="15" customHeight="1" x14ac:dyDescent="0.35">
      <c r="A4" s="179" t="s">
        <v>225</v>
      </c>
      <c r="B4" s="179"/>
      <c r="C4" s="179"/>
      <c r="D4" s="179"/>
      <c r="E4" s="179" t="s">
        <v>226</v>
      </c>
      <c r="F4" s="179"/>
      <c r="G4" s="179"/>
      <c r="H4" s="179"/>
      <c r="K4" s="38" t="s">
        <v>227</v>
      </c>
      <c r="L4" s="39" t="s">
        <v>163</v>
      </c>
      <c r="M4" s="39" t="s">
        <v>236</v>
      </c>
      <c r="N4" s="39" t="s">
        <v>238</v>
      </c>
      <c r="O4" s="39" t="s">
        <v>335</v>
      </c>
      <c r="P4" s="39"/>
    </row>
    <row r="5" spans="1:26" ht="15" customHeight="1" x14ac:dyDescent="0.35">
      <c r="A5" s="179" t="s">
        <v>2</v>
      </c>
      <c r="B5" s="179"/>
      <c r="C5" s="179"/>
      <c r="D5" s="179"/>
      <c r="E5" s="179" t="s">
        <v>233</v>
      </c>
      <c r="F5" s="179"/>
      <c r="G5" s="179"/>
      <c r="H5" s="179"/>
      <c r="K5" s="38"/>
      <c r="L5" s="39" t="s">
        <v>233</v>
      </c>
      <c r="M5" s="39" t="s">
        <v>237</v>
      </c>
      <c r="N5" s="39" t="s">
        <v>239</v>
      </c>
      <c r="O5" s="39" t="s">
        <v>336</v>
      </c>
      <c r="P5" s="39"/>
    </row>
    <row r="6" spans="1:26" x14ac:dyDescent="0.35">
      <c r="A6" s="179" t="s">
        <v>3</v>
      </c>
      <c r="B6" s="179"/>
      <c r="C6" s="179"/>
      <c r="D6" s="179"/>
      <c r="E6" s="208">
        <v>45924</v>
      </c>
      <c r="F6" s="179"/>
      <c r="G6" s="179"/>
      <c r="H6" s="179"/>
      <c r="K6" s="38"/>
      <c r="L6" s="39" t="s">
        <v>234</v>
      </c>
      <c r="M6" s="39"/>
      <c r="N6" s="39"/>
      <c r="O6" s="39" t="s">
        <v>337</v>
      </c>
      <c r="P6" s="39"/>
    </row>
    <row r="7" spans="1:26" ht="16.5" customHeight="1" x14ac:dyDescent="0.35">
      <c r="A7" s="179" t="s">
        <v>4</v>
      </c>
      <c r="B7" s="179"/>
      <c r="C7" s="179"/>
      <c r="D7" s="179"/>
      <c r="E7" s="179" t="s">
        <v>344</v>
      </c>
      <c r="F7" s="179"/>
      <c r="G7" s="179"/>
      <c r="H7" s="179"/>
      <c r="K7" s="38"/>
      <c r="L7" s="39" t="s">
        <v>235</v>
      </c>
      <c r="M7" s="39"/>
      <c r="N7" s="39"/>
      <c r="O7" s="39" t="s">
        <v>337</v>
      </c>
      <c r="P7" s="39"/>
    </row>
    <row r="8" spans="1:26" ht="15" customHeight="1" x14ac:dyDescent="0.35">
      <c r="A8" s="179" t="s">
        <v>5</v>
      </c>
      <c r="B8" s="179"/>
      <c r="C8" s="179"/>
      <c r="D8" s="179"/>
      <c r="E8" s="179" t="s">
        <v>342</v>
      </c>
      <c r="F8" s="179"/>
      <c r="G8" s="179"/>
      <c r="H8" s="179"/>
      <c r="K8" s="38"/>
      <c r="L8" s="39"/>
      <c r="M8" s="39"/>
      <c r="N8" s="39"/>
      <c r="O8" s="39" t="s">
        <v>338</v>
      </c>
      <c r="P8" s="39"/>
    </row>
    <row r="9" spans="1:26" x14ac:dyDescent="0.35">
      <c r="A9" s="179" t="s">
        <v>6</v>
      </c>
      <c r="B9" s="179"/>
      <c r="C9" s="179"/>
      <c r="D9" s="179"/>
      <c r="E9" s="125" t="s">
        <v>345</v>
      </c>
      <c r="F9" s="125"/>
      <c r="G9" s="125"/>
      <c r="H9" s="125"/>
      <c r="K9" s="38"/>
      <c r="L9" s="39"/>
      <c r="M9" s="39"/>
      <c r="N9" s="39"/>
      <c r="O9" s="39" t="s">
        <v>339</v>
      </c>
      <c r="P9" s="39"/>
    </row>
    <row r="10" spans="1:26" x14ac:dyDescent="0.35">
      <c r="A10" s="179" t="s">
        <v>160</v>
      </c>
      <c r="B10" s="179"/>
      <c r="C10" s="179"/>
      <c r="D10" s="179"/>
      <c r="E10" s="179" t="s">
        <v>346</v>
      </c>
      <c r="F10" s="179"/>
      <c r="G10" s="179"/>
      <c r="H10" s="179"/>
      <c r="K10" s="38"/>
      <c r="L10" s="39"/>
      <c r="M10" s="39"/>
      <c r="N10" s="39"/>
      <c r="O10" s="39" t="s">
        <v>340</v>
      </c>
      <c r="P10" s="39"/>
    </row>
    <row r="11" spans="1:26" ht="32" customHeight="1" x14ac:dyDescent="0.35">
      <c r="A11" s="179" t="s">
        <v>161</v>
      </c>
      <c r="B11" s="179"/>
      <c r="C11" s="179"/>
      <c r="D11" s="179"/>
      <c r="E11" s="152" t="s">
        <v>408</v>
      </c>
      <c r="F11" s="179"/>
      <c r="G11" s="179"/>
      <c r="H11" s="179"/>
      <c r="O11" s="39" t="s">
        <v>341</v>
      </c>
    </row>
    <row r="12" spans="1:26" x14ac:dyDescent="0.35">
      <c r="A12" s="179" t="s">
        <v>7</v>
      </c>
      <c r="B12" s="179"/>
      <c r="C12" s="179"/>
      <c r="D12" s="179"/>
      <c r="E12" s="179" t="s">
        <v>403</v>
      </c>
      <c r="F12" s="179"/>
      <c r="G12" s="179"/>
      <c r="H12" s="179"/>
    </row>
    <row r="13" spans="1:26" x14ac:dyDescent="0.35">
      <c r="A13" s="179" t="s">
        <v>164</v>
      </c>
      <c r="B13" s="179"/>
      <c r="C13" s="179"/>
      <c r="D13" s="179"/>
      <c r="E13" s="179" t="s">
        <v>28</v>
      </c>
      <c r="F13" s="179"/>
      <c r="G13" s="179"/>
      <c r="H13" s="179"/>
      <c r="S13" s="39" t="s">
        <v>173</v>
      </c>
      <c r="T13" s="39" t="s">
        <v>182</v>
      </c>
      <c r="U13" s="39" t="s">
        <v>165</v>
      </c>
      <c r="V13" s="39" t="s">
        <v>187</v>
      </c>
      <c r="W13" s="39" t="s">
        <v>205</v>
      </c>
      <c r="X13"/>
      <c r="Y13" t="s">
        <v>187</v>
      </c>
      <c r="Z13" t="e">
        <f ca="1">OFFSET($S$13,1,MATCH($G20,$S$13:$W$13,0)-1,15,1)</f>
        <v>#VALUE!</v>
      </c>
    </row>
    <row r="14" spans="1:26" x14ac:dyDescent="0.35">
      <c r="A14" s="106" t="s">
        <v>271</v>
      </c>
      <c r="B14" s="106"/>
      <c r="C14" s="106"/>
      <c r="D14" s="106"/>
      <c r="E14" s="152" t="s">
        <v>347</v>
      </c>
      <c r="F14" s="152"/>
      <c r="G14" s="152"/>
      <c r="H14" s="152"/>
      <c r="S14" s="39" t="s">
        <v>173</v>
      </c>
      <c r="T14" s="39" t="s">
        <v>180</v>
      </c>
      <c r="U14" s="39" t="s">
        <v>202</v>
      </c>
      <c r="V14" s="39" t="s">
        <v>188</v>
      </c>
      <c r="W14" s="39" t="s">
        <v>206</v>
      </c>
      <c r="X14"/>
      <c r="Y14"/>
      <c r="Z14"/>
    </row>
    <row r="15" spans="1:26" x14ac:dyDescent="0.35">
      <c r="A15" s="106" t="s">
        <v>8</v>
      </c>
      <c r="B15" s="106"/>
      <c r="C15" s="106"/>
      <c r="D15" s="106"/>
      <c r="E15" s="152" t="s">
        <v>343</v>
      </c>
      <c r="F15" s="179"/>
      <c r="G15" s="179"/>
      <c r="H15" s="179"/>
      <c r="I15" s="229" t="e">
        <f ca="1">OFFSET($D$5,1,MATCH($J13,$D$5:$H$5,0)-1,15,1)</f>
        <v>#N/A</v>
      </c>
      <c r="J15" s="230"/>
      <c r="K15" s="230"/>
      <c r="L15" s="230"/>
      <c r="M15" s="230"/>
      <c r="N15" s="230"/>
      <c r="O15" s="230"/>
      <c r="P15" s="230"/>
      <c r="S15" s="39" t="s">
        <v>174</v>
      </c>
      <c r="T15" s="39" t="s">
        <v>181</v>
      </c>
      <c r="U15" s="39" t="s">
        <v>203</v>
      </c>
      <c r="V15" s="39" t="s">
        <v>189</v>
      </c>
      <c r="W15" s="39" t="s">
        <v>219</v>
      </c>
      <c r="X15"/>
      <c r="Y15"/>
      <c r="Z15"/>
    </row>
    <row r="16" spans="1:26" ht="48.75" customHeight="1" x14ac:dyDescent="0.35">
      <c r="A16" s="178" t="s">
        <v>9</v>
      </c>
      <c r="B16" s="178"/>
      <c r="C16" s="178" t="str">
        <f>CONCATENATE((IF(OR(E9="",E9="NA"),"",E9)),", ",(IF(OR(A17="",A17="NA"),"",A17)),".",(IF(OR(C17="",C17="NA"),"",C17)),", near ",(IF(OR(C22="",C22="NA"),"",C22)),", ",(IF(OR(C19="",C19="NA"),"",C19)),", ",(IF(OR(C18="",C18="NA"),"",C18)),", ",(IF(OR(G19="",G19="NA"),"",G19)),", ",(IF(OR(C20="",C20="NA"),"",C20)),", ",(IF(OR(C21="",C21="NA"),"",C21)),", ",(IF(OR(G20="",G20="NA"),"",G20))," - ",(IF(OR(G21="",G21="NA"),"",G21)),".")</f>
        <v>Siyara Avenue, Survey No.11 &amp; 14, CTS No.700(P), 706(P), Final Plot No.126-A, near Prabhukunj Society, Ashok Nagar Road, Ashok Nagar, Kaneri, Bhiwandi Road East, Bhiwandi, Thane - 421302.</v>
      </c>
      <c r="D16" s="178"/>
      <c r="E16" s="178"/>
      <c r="F16" s="178"/>
      <c r="G16" s="178"/>
      <c r="H16" s="178"/>
      <c r="S16" s="39" t="s">
        <v>175</v>
      </c>
      <c r="T16" s="39" t="s">
        <v>183</v>
      </c>
      <c r="U16" s="39" t="s">
        <v>204</v>
      </c>
      <c r="V16" s="39" t="s">
        <v>190</v>
      </c>
      <c r="W16" s="39" t="s">
        <v>207</v>
      </c>
      <c r="X16"/>
      <c r="Y16"/>
      <c r="Z16"/>
    </row>
    <row r="17" spans="1:26" x14ac:dyDescent="0.35">
      <c r="A17" s="152" t="s">
        <v>352</v>
      </c>
      <c r="B17" s="152"/>
      <c r="C17" s="152" t="s">
        <v>353</v>
      </c>
      <c r="D17" s="152"/>
      <c r="E17" s="152"/>
      <c r="F17" s="152"/>
      <c r="G17" s="152"/>
      <c r="H17" s="152"/>
      <c r="S17" s="39" t="s">
        <v>176</v>
      </c>
      <c r="T17" s="39" t="s">
        <v>184</v>
      </c>
      <c r="U17" s="39" t="s">
        <v>165</v>
      </c>
      <c r="V17" s="39" t="s">
        <v>191</v>
      </c>
      <c r="W17" s="39" t="s">
        <v>208</v>
      </c>
      <c r="X17"/>
      <c r="Y17"/>
      <c r="Z17"/>
    </row>
    <row r="18" spans="1:26" ht="15.75" customHeight="1" x14ac:dyDescent="0.35">
      <c r="A18" s="152" t="s">
        <v>155</v>
      </c>
      <c r="B18" s="152"/>
      <c r="C18" s="152" t="s">
        <v>405</v>
      </c>
      <c r="D18" s="152"/>
      <c r="E18" s="152"/>
      <c r="F18" s="152"/>
      <c r="G18" s="152"/>
      <c r="H18" s="152"/>
      <c r="S18" s="39" t="s">
        <v>177</v>
      </c>
      <c r="T18" s="39" t="s">
        <v>182</v>
      </c>
      <c r="U18" s="39"/>
      <c r="V18" s="39" t="s">
        <v>192</v>
      </c>
      <c r="W18" s="39" t="s">
        <v>209</v>
      </c>
      <c r="X18"/>
      <c r="Y18"/>
      <c r="Z18"/>
    </row>
    <row r="19" spans="1:26" ht="15.75" customHeight="1" x14ac:dyDescent="0.35">
      <c r="A19" s="178" t="s">
        <v>10</v>
      </c>
      <c r="B19" s="178"/>
      <c r="C19" s="179" t="s">
        <v>356</v>
      </c>
      <c r="D19" s="179"/>
      <c r="E19" s="178" t="s">
        <v>68</v>
      </c>
      <c r="F19" s="178"/>
      <c r="G19" s="152" t="s">
        <v>354</v>
      </c>
      <c r="H19" s="152"/>
      <c r="S19" s="39" t="s">
        <v>178</v>
      </c>
      <c r="T19" s="39" t="s">
        <v>185</v>
      </c>
      <c r="U19" s="39"/>
      <c r="V19" s="39" t="s">
        <v>193</v>
      </c>
      <c r="W19" s="39" t="s">
        <v>210</v>
      </c>
      <c r="X19"/>
      <c r="Y19"/>
      <c r="Z19"/>
    </row>
    <row r="20" spans="1:26" x14ac:dyDescent="0.35">
      <c r="A20" s="106" t="s">
        <v>12</v>
      </c>
      <c r="B20" s="106"/>
      <c r="C20" s="152" t="s">
        <v>351</v>
      </c>
      <c r="D20" s="152"/>
      <c r="E20" s="152" t="s">
        <v>11</v>
      </c>
      <c r="F20" s="152"/>
      <c r="G20" s="206" t="s">
        <v>173</v>
      </c>
      <c r="H20" s="206"/>
      <c r="S20" s="39" t="s">
        <v>179</v>
      </c>
      <c r="T20" s="39" t="s">
        <v>186</v>
      </c>
      <c r="U20" s="39"/>
      <c r="V20" s="39" t="s">
        <v>194</v>
      </c>
      <c r="W20" s="39" t="s">
        <v>211</v>
      </c>
      <c r="X20"/>
      <c r="Y20"/>
      <c r="Z20"/>
    </row>
    <row r="21" spans="1:26" x14ac:dyDescent="0.35">
      <c r="A21" s="106" t="s">
        <v>69</v>
      </c>
      <c r="B21" s="106"/>
      <c r="C21" s="152" t="s">
        <v>176</v>
      </c>
      <c r="D21" s="152"/>
      <c r="E21" s="178" t="s">
        <v>13</v>
      </c>
      <c r="F21" s="178"/>
      <c r="G21" s="152">
        <v>421302</v>
      </c>
      <c r="H21" s="152"/>
      <c r="S21" s="39"/>
      <c r="T21" s="39"/>
      <c r="U21" s="39"/>
      <c r="V21" s="39" t="s">
        <v>195</v>
      </c>
      <c r="W21" s="39" t="s">
        <v>212</v>
      </c>
      <c r="X21"/>
      <c r="Y21"/>
      <c r="Z21"/>
    </row>
    <row r="22" spans="1:26" ht="32.25" customHeight="1" x14ac:dyDescent="0.35">
      <c r="A22" s="106" t="s">
        <v>115</v>
      </c>
      <c r="B22" s="106"/>
      <c r="C22" s="152" t="s">
        <v>355</v>
      </c>
      <c r="D22" s="152"/>
      <c r="E22" s="178" t="s">
        <v>14</v>
      </c>
      <c r="F22" s="178"/>
      <c r="G22" s="152" t="s">
        <v>350</v>
      </c>
      <c r="H22" s="152"/>
      <c r="S22" s="39"/>
      <c r="T22" s="39"/>
      <c r="U22" s="39"/>
      <c r="V22" s="39" t="s">
        <v>196</v>
      </c>
      <c r="W22" s="39" t="s">
        <v>213</v>
      </c>
      <c r="X22"/>
      <c r="Y22"/>
      <c r="Z22"/>
    </row>
    <row r="23" spans="1:26" ht="15" customHeight="1" x14ac:dyDescent="0.35">
      <c r="A23" s="178" t="s">
        <v>71</v>
      </c>
      <c r="B23" s="178"/>
      <c r="C23" s="178"/>
      <c r="D23" s="178"/>
      <c r="E23" s="179" t="s">
        <v>15</v>
      </c>
      <c r="F23" s="179"/>
      <c r="G23" s="179"/>
      <c r="H23" s="179"/>
      <c r="S23" s="39"/>
      <c r="T23" s="39"/>
      <c r="U23" s="39"/>
      <c r="V23" s="39" t="s">
        <v>197</v>
      </c>
      <c r="W23" s="39" t="s">
        <v>214</v>
      </c>
      <c r="X23"/>
      <c r="Y23"/>
      <c r="Z23"/>
    </row>
    <row r="24" spans="1:26" ht="18.75" customHeight="1" x14ac:dyDescent="0.35">
      <c r="A24" s="178"/>
      <c r="B24" s="178"/>
      <c r="C24" s="178"/>
      <c r="D24" s="178"/>
      <c r="E24" s="179"/>
      <c r="F24" s="179"/>
      <c r="G24" s="179"/>
      <c r="H24" s="179"/>
      <c r="S24" s="39"/>
      <c r="T24" s="39"/>
      <c r="U24" s="39"/>
      <c r="V24" s="39" t="s">
        <v>198</v>
      </c>
      <c r="W24" s="39" t="s">
        <v>215</v>
      </c>
      <c r="X24"/>
      <c r="Y24"/>
      <c r="Z24"/>
    </row>
    <row r="25" spans="1:26" ht="15" customHeight="1" x14ac:dyDescent="0.35">
      <c r="A25" s="178" t="s">
        <v>16</v>
      </c>
      <c r="B25" s="178"/>
      <c r="C25" s="178"/>
      <c r="D25" s="178"/>
      <c r="E25" s="152" t="s">
        <v>17</v>
      </c>
      <c r="F25" s="152"/>
      <c r="G25" s="152"/>
      <c r="H25" s="152"/>
      <c r="S25" s="39"/>
      <c r="T25" s="39"/>
      <c r="U25" s="39"/>
      <c r="V25" s="39" t="s">
        <v>199</v>
      </c>
      <c r="W25" s="39" t="s">
        <v>216</v>
      </c>
      <c r="X25"/>
      <c r="Y25"/>
      <c r="Z25"/>
    </row>
    <row r="26" spans="1:26" ht="15" customHeight="1" x14ac:dyDescent="0.35">
      <c r="A26" s="106" t="s">
        <v>18</v>
      </c>
      <c r="B26" s="106"/>
      <c r="C26" s="106"/>
      <c r="D26" s="106"/>
      <c r="E26" s="152" t="str">
        <f>IF(AND(G20="Mumbai"),"Upper Class","Middle Class")</f>
        <v>Middle Class</v>
      </c>
      <c r="F26" s="152"/>
      <c r="G26" s="152"/>
      <c r="H26" s="152"/>
      <c r="S26" s="39"/>
      <c r="T26" s="39"/>
      <c r="U26" s="39"/>
      <c r="V26" s="39" t="s">
        <v>200</v>
      </c>
      <c r="W26" s="39" t="s">
        <v>217</v>
      </c>
      <c r="X26"/>
      <c r="Y26"/>
      <c r="Z26"/>
    </row>
    <row r="27" spans="1:26" x14ac:dyDescent="0.35">
      <c r="A27" s="106" t="s">
        <v>19</v>
      </c>
      <c r="B27" s="106"/>
      <c r="C27" s="106"/>
      <c r="D27" s="106"/>
      <c r="E27" s="152" t="s">
        <v>20</v>
      </c>
      <c r="F27" s="152"/>
      <c r="G27" s="152"/>
      <c r="H27" s="152"/>
      <c r="S27" s="39"/>
      <c r="T27" s="39"/>
      <c r="U27" s="39"/>
      <c r="V27" s="39" t="s">
        <v>201</v>
      </c>
      <c r="W27" s="39" t="s">
        <v>218</v>
      </c>
      <c r="X27"/>
      <c r="Y27"/>
      <c r="Z27"/>
    </row>
    <row r="28" spans="1:26" ht="15.75" customHeight="1" x14ac:dyDescent="0.35">
      <c r="A28" s="106" t="s">
        <v>21</v>
      </c>
      <c r="B28" s="106"/>
      <c r="C28" s="106"/>
      <c r="D28" s="106"/>
      <c r="E28" s="152" t="str">
        <f>IF(AND(G20="Mumbai"),"Developed","Developing")</f>
        <v>Developing</v>
      </c>
      <c r="F28" s="152"/>
      <c r="G28" s="152"/>
      <c r="H28" s="152"/>
    </row>
    <row r="29" spans="1:26" x14ac:dyDescent="0.35">
      <c r="A29" s="106" t="s">
        <v>22</v>
      </c>
      <c r="B29" s="106"/>
      <c r="C29" s="106"/>
      <c r="D29" s="106"/>
      <c r="E29" s="152" t="s">
        <v>23</v>
      </c>
      <c r="F29" s="152"/>
      <c r="G29" s="152"/>
      <c r="H29" s="152"/>
    </row>
    <row r="30" spans="1:26" ht="15.75" customHeight="1" x14ac:dyDescent="0.35">
      <c r="A30" s="106" t="s">
        <v>76</v>
      </c>
      <c r="B30" s="106"/>
      <c r="C30" s="106"/>
      <c r="D30" s="106"/>
      <c r="E30" s="152" t="s">
        <v>77</v>
      </c>
      <c r="F30" s="152"/>
      <c r="G30" s="152"/>
      <c r="H30" s="152"/>
    </row>
    <row r="31" spans="1:26" ht="15" customHeight="1" x14ac:dyDescent="0.35">
      <c r="A31" s="106" t="s">
        <v>30</v>
      </c>
      <c r="B31" s="106"/>
      <c r="C31" s="106"/>
      <c r="D31" s="106"/>
      <c r="E31" s="15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52"/>
      <c r="G31" s="152"/>
      <c r="H31" s="152"/>
    </row>
    <row r="32" spans="1:26" ht="15.75" customHeight="1" x14ac:dyDescent="0.35">
      <c r="A32" s="106" t="s">
        <v>86</v>
      </c>
      <c r="B32" s="106"/>
      <c r="C32" s="106"/>
      <c r="D32" s="106"/>
      <c r="E32" s="152" t="s">
        <v>31</v>
      </c>
      <c r="F32" s="152"/>
      <c r="G32" s="152"/>
      <c r="H32" s="152"/>
    </row>
    <row r="33" spans="1:19" s="17" customFormat="1" x14ac:dyDescent="0.35">
      <c r="A33" s="205" t="s">
        <v>87</v>
      </c>
      <c r="B33" s="205"/>
      <c r="C33" s="204" t="s">
        <v>166</v>
      </c>
      <c r="D33" s="204"/>
      <c r="E33" s="204"/>
      <c r="F33" s="204" t="s">
        <v>29</v>
      </c>
      <c r="G33" s="204"/>
      <c r="H33" s="204"/>
      <c r="S33" s="17" t="e">
        <f ca="1">OFFSET($S$13,1,MATCH($G20,$S$13:$W$13,0)-1,15,1)</f>
        <v>#VALUE!</v>
      </c>
    </row>
    <row r="34" spans="1:19" s="17" customFormat="1" x14ac:dyDescent="0.35">
      <c r="A34" s="161" t="s">
        <v>24</v>
      </c>
      <c r="B34" s="161" t="s">
        <v>28</v>
      </c>
      <c r="C34" s="162" t="s">
        <v>361</v>
      </c>
      <c r="D34" s="162"/>
      <c r="E34" s="162"/>
      <c r="F34" s="162" t="s">
        <v>359</v>
      </c>
      <c r="G34" s="162"/>
      <c r="H34" s="162"/>
    </row>
    <row r="35" spans="1:19" x14ac:dyDescent="0.35">
      <c r="A35" s="161" t="s">
        <v>25</v>
      </c>
      <c r="B35" s="161" t="s">
        <v>28</v>
      </c>
      <c r="C35" s="162" t="s">
        <v>361</v>
      </c>
      <c r="D35" s="162"/>
      <c r="E35" s="162"/>
      <c r="F35" s="162" t="s">
        <v>357</v>
      </c>
      <c r="G35" s="162"/>
      <c r="H35" s="162"/>
      <c r="I35" s="236" t="s">
        <v>359</v>
      </c>
      <c r="J35" s="237"/>
      <c r="K35" s="238"/>
    </row>
    <row r="36" spans="1:19" s="17" customFormat="1" x14ac:dyDescent="0.35">
      <c r="A36" s="161" t="s">
        <v>27</v>
      </c>
      <c r="B36" s="161" t="s">
        <v>28</v>
      </c>
      <c r="C36" s="162" t="s">
        <v>360</v>
      </c>
      <c r="D36" s="162"/>
      <c r="E36" s="162"/>
      <c r="F36" s="162" t="s">
        <v>356</v>
      </c>
      <c r="G36" s="162"/>
      <c r="H36" s="162"/>
    </row>
    <row r="37" spans="1:19" x14ac:dyDescent="0.35">
      <c r="A37" s="161" t="s">
        <v>26</v>
      </c>
      <c r="B37" s="161" t="s">
        <v>28</v>
      </c>
      <c r="C37" s="162" t="s">
        <v>361</v>
      </c>
      <c r="D37" s="162"/>
      <c r="E37" s="162"/>
      <c r="F37" s="162" t="s">
        <v>358</v>
      </c>
      <c r="G37" s="162"/>
      <c r="H37" s="162"/>
    </row>
    <row r="38" spans="1:19" x14ac:dyDescent="0.35">
      <c r="A38" s="106" t="s">
        <v>272</v>
      </c>
      <c r="B38" s="106"/>
      <c r="C38" s="106"/>
      <c r="D38" s="106"/>
      <c r="E38" s="106"/>
      <c r="F38" s="106"/>
      <c r="G38" s="106"/>
      <c r="H38" s="106"/>
    </row>
    <row r="39" spans="1:19" ht="15.75" customHeight="1" x14ac:dyDescent="0.35">
      <c r="A39" s="106" t="s">
        <v>158</v>
      </c>
      <c r="B39" s="106"/>
      <c r="C39" s="164" t="s">
        <v>402</v>
      </c>
      <c r="D39" s="164"/>
      <c r="E39" s="164"/>
      <c r="F39" s="164"/>
      <c r="G39" s="164"/>
      <c r="H39" s="164"/>
    </row>
    <row r="40" spans="1:19" x14ac:dyDescent="0.35">
      <c r="A40" s="106" t="s">
        <v>154</v>
      </c>
      <c r="B40" s="106"/>
      <c r="C40" s="151" t="s">
        <v>348</v>
      </c>
      <c r="D40" s="152"/>
      <c r="E40" s="152"/>
      <c r="F40" s="152"/>
      <c r="G40" s="152"/>
      <c r="H40" s="152"/>
    </row>
    <row r="41" spans="1:19" x14ac:dyDescent="0.35">
      <c r="A41" s="164" t="s">
        <v>32</v>
      </c>
      <c r="B41" s="164"/>
      <c r="C41" s="164"/>
      <c r="D41" s="164"/>
      <c r="E41" s="164"/>
      <c r="F41" s="164"/>
      <c r="G41" s="164"/>
      <c r="H41" s="164"/>
    </row>
    <row r="42" spans="1:19" x14ac:dyDescent="0.35">
      <c r="A42" s="106" t="s">
        <v>363</v>
      </c>
      <c r="B42" s="106"/>
      <c r="C42" s="106"/>
      <c r="D42" s="106"/>
      <c r="E42" s="163">
        <v>6736.12</v>
      </c>
      <c r="F42" s="163"/>
      <c r="G42" s="163"/>
      <c r="H42" s="163"/>
    </row>
    <row r="43" spans="1:19" x14ac:dyDescent="0.35">
      <c r="A43" s="106" t="s">
        <v>33</v>
      </c>
      <c r="B43" s="106"/>
      <c r="C43" s="106"/>
      <c r="D43" s="106"/>
      <c r="E43" s="193">
        <f>7409.73/E42</f>
        <v>1.0999997030931752</v>
      </c>
      <c r="F43" s="193"/>
      <c r="G43" s="193"/>
      <c r="H43" s="193"/>
    </row>
    <row r="44" spans="1:19" x14ac:dyDescent="0.35">
      <c r="A44" s="106" t="s">
        <v>34</v>
      </c>
      <c r="B44" s="106"/>
      <c r="C44" s="106"/>
      <c r="D44" s="106"/>
      <c r="E44" s="193">
        <f>E46/E42-E43</f>
        <v>5.3277881035373476</v>
      </c>
      <c r="F44" s="193"/>
      <c r="G44" s="193"/>
      <c r="H44" s="193"/>
    </row>
    <row r="45" spans="1:19" x14ac:dyDescent="0.35">
      <c r="A45" s="106" t="s">
        <v>35</v>
      </c>
      <c r="B45" s="106"/>
      <c r="C45" s="106"/>
      <c r="D45" s="106"/>
      <c r="E45" s="193">
        <f>E43+E44</f>
        <v>6.4277878066305227</v>
      </c>
      <c r="F45" s="193"/>
      <c r="G45" s="193"/>
      <c r="H45" s="193"/>
    </row>
    <row r="46" spans="1:19" ht="32.25" customHeight="1" x14ac:dyDescent="0.35">
      <c r="A46" s="178" t="s">
        <v>364</v>
      </c>
      <c r="B46" s="106"/>
      <c r="C46" s="106"/>
      <c r="D46" s="106"/>
      <c r="E46" s="194">
        <v>43298.35</v>
      </c>
      <c r="F46" s="194"/>
      <c r="G46" s="194"/>
      <c r="H46" s="194"/>
    </row>
    <row r="47" spans="1:19" x14ac:dyDescent="0.35">
      <c r="A47" s="179" t="s">
        <v>36</v>
      </c>
      <c r="B47" s="179"/>
      <c r="C47" s="179"/>
      <c r="D47" s="179"/>
      <c r="E47" s="179" t="s">
        <v>362</v>
      </c>
      <c r="F47" s="179"/>
      <c r="G47" s="179"/>
      <c r="H47" s="179"/>
    </row>
    <row r="48" spans="1:19" x14ac:dyDescent="0.35">
      <c r="A48" s="164" t="s">
        <v>37</v>
      </c>
      <c r="B48" s="164"/>
      <c r="C48" s="164"/>
      <c r="D48" s="164"/>
      <c r="E48" s="164"/>
      <c r="F48" s="164"/>
      <c r="G48" s="164"/>
      <c r="H48" s="164"/>
    </row>
    <row r="49" spans="1:24" ht="33.75" customHeight="1" x14ac:dyDescent="0.35">
      <c r="A49" s="166" t="s">
        <v>144</v>
      </c>
      <c r="B49" s="168"/>
      <c r="C49" s="198" t="s">
        <v>259</v>
      </c>
      <c r="D49" s="199"/>
      <c r="E49" s="199"/>
      <c r="F49" s="199"/>
      <c r="G49" s="199"/>
      <c r="H49" s="200"/>
      <c r="R49" t="s">
        <v>245</v>
      </c>
      <c r="S49" s="43" t="s">
        <v>165</v>
      </c>
      <c r="T49" s="43" t="s">
        <v>173</v>
      </c>
      <c r="U49" s="43" t="s">
        <v>187</v>
      </c>
      <c r="V49" s="43" t="s">
        <v>182</v>
      </c>
    </row>
    <row r="50" spans="1:24" ht="15.75" customHeight="1" x14ac:dyDescent="0.35">
      <c r="A50" s="166" t="s">
        <v>38</v>
      </c>
      <c r="B50" s="168"/>
      <c r="C50" s="166" t="s">
        <v>366</v>
      </c>
      <c r="D50" s="167"/>
      <c r="E50" s="168"/>
      <c r="F50" s="15" t="s">
        <v>39</v>
      </c>
      <c r="G50" s="169">
        <v>45370</v>
      </c>
      <c r="H50" s="168"/>
      <c r="R50"/>
      <c r="S50" s="43" t="s">
        <v>246</v>
      </c>
      <c r="T50" s="43" t="s">
        <v>251</v>
      </c>
      <c r="U50" s="43" t="s">
        <v>262</v>
      </c>
      <c r="V50" s="43" t="s">
        <v>267</v>
      </c>
    </row>
    <row r="51" spans="1:24" x14ac:dyDescent="0.35">
      <c r="A51" s="166" t="s">
        <v>40</v>
      </c>
      <c r="B51" s="168"/>
      <c r="C51" s="166" t="str">
        <f>C50</f>
        <v>BPK(24)2023-2024 J.K NRV 628</v>
      </c>
      <c r="D51" s="167"/>
      <c r="E51" s="168"/>
      <c r="F51" s="15" t="s">
        <v>39</v>
      </c>
      <c r="G51" s="169">
        <f>G50</f>
        <v>45370</v>
      </c>
      <c r="H51" s="168"/>
      <c r="R51"/>
      <c r="S51" s="43" t="s">
        <v>247</v>
      </c>
      <c r="T51" s="43" t="s">
        <v>252</v>
      </c>
      <c r="U51" s="43" t="s">
        <v>260</v>
      </c>
      <c r="V51" s="43" t="s">
        <v>268</v>
      </c>
    </row>
    <row r="52" spans="1:24" s="18" customFormat="1" ht="15.75" customHeight="1" x14ac:dyDescent="0.35">
      <c r="A52" s="174" t="s">
        <v>148</v>
      </c>
      <c r="B52" s="175"/>
      <c r="C52" s="166" t="s">
        <v>367</v>
      </c>
      <c r="D52" s="167"/>
      <c r="E52" s="168"/>
      <c r="F52" s="15" t="s">
        <v>39</v>
      </c>
      <c r="G52" s="169">
        <f>G51</f>
        <v>45370</v>
      </c>
      <c r="H52" s="168"/>
      <c r="R52"/>
      <c r="S52" s="43" t="s">
        <v>248</v>
      </c>
      <c r="T52" s="43" t="s">
        <v>253</v>
      </c>
      <c r="U52" s="43" t="s">
        <v>250</v>
      </c>
      <c r="V52" s="43" t="s">
        <v>269</v>
      </c>
    </row>
    <row r="53" spans="1:24" s="18" customFormat="1" ht="48" customHeight="1" x14ac:dyDescent="0.35">
      <c r="A53" s="176"/>
      <c r="B53" s="177"/>
      <c r="C53" s="166" t="s">
        <v>404</v>
      </c>
      <c r="D53" s="167"/>
      <c r="E53" s="167"/>
      <c r="F53" s="167"/>
      <c r="G53" s="167"/>
      <c r="H53" s="168"/>
      <c r="R53"/>
      <c r="S53" s="43" t="s">
        <v>249</v>
      </c>
      <c r="T53" s="43" t="s">
        <v>256</v>
      </c>
      <c r="U53" s="43" t="s">
        <v>263</v>
      </c>
      <c r="V53" s="63"/>
    </row>
    <row r="54" spans="1:24" s="18" customFormat="1" hidden="1" x14ac:dyDescent="0.35">
      <c r="A54" s="170" t="s">
        <v>273</v>
      </c>
      <c r="B54" s="171"/>
      <c r="C54" s="166" t="str">
        <f>C53</f>
        <v>Siyara Avenue A = 1B + Gr/Mezzanine + 1st to 23rd Floor
Siyara Avenue B = 1B + Gr/Mezzanine + 1st to 23rd Floor
Siyara Avenue C = 1B + Gr/Mezzanine + 1st to 23rd Floor</v>
      </c>
      <c r="D54" s="167"/>
      <c r="E54" s="168"/>
      <c r="F54" s="15" t="s">
        <v>39</v>
      </c>
      <c r="G54" s="166"/>
      <c r="H54" s="168"/>
      <c r="R54"/>
      <c r="S54" s="43" t="s">
        <v>248</v>
      </c>
      <c r="T54" s="43" t="s">
        <v>253</v>
      </c>
      <c r="U54" s="43" t="s">
        <v>250</v>
      </c>
      <c r="V54" s="43" t="s">
        <v>269</v>
      </c>
    </row>
    <row r="55" spans="1:24" s="18" customFormat="1" ht="32.25" hidden="1" customHeight="1" x14ac:dyDescent="0.35">
      <c r="A55" s="172"/>
      <c r="B55" s="173"/>
      <c r="C55" s="155"/>
      <c r="D55" s="156"/>
      <c r="E55" s="156"/>
      <c r="F55" s="156"/>
      <c r="G55" s="156"/>
      <c r="H55" s="157"/>
      <c r="R55"/>
      <c r="S55" s="43" t="s">
        <v>250</v>
      </c>
      <c r="T55" s="43" t="s">
        <v>254</v>
      </c>
      <c r="U55" s="43" t="s">
        <v>264</v>
      </c>
      <c r="V55" s="64"/>
      <c r="W55" s="16"/>
      <c r="X55" s="16"/>
    </row>
    <row r="56" spans="1:24" s="18" customFormat="1" ht="34.5" hidden="1" customHeight="1" x14ac:dyDescent="0.35">
      <c r="A56" s="170" t="s">
        <v>274</v>
      </c>
      <c r="B56" s="171"/>
      <c r="C56" s="166">
        <f>C55</f>
        <v>0</v>
      </c>
      <c r="D56" s="167"/>
      <c r="E56" s="168"/>
      <c r="F56" s="15" t="s">
        <v>39</v>
      </c>
      <c r="G56" s="166">
        <f>G55</f>
        <v>0</v>
      </c>
      <c r="H56" s="168"/>
      <c r="R56"/>
      <c r="S56" s="64"/>
      <c r="T56" s="43" t="s">
        <v>255</v>
      </c>
      <c r="U56" s="43" t="s">
        <v>265</v>
      </c>
      <c r="V56" s="64"/>
      <c r="W56" s="16"/>
      <c r="X56" s="16"/>
    </row>
    <row r="57" spans="1:24" s="18" customFormat="1" ht="41.25" hidden="1" customHeight="1" x14ac:dyDescent="0.35">
      <c r="A57" s="172"/>
      <c r="B57" s="173"/>
      <c r="C57" s="166"/>
      <c r="D57" s="167"/>
      <c r="E57" s="167"/>
      <c r="F57" s="167"/>
      <c r="G57" s="167"/>
      <c r="H57" s="168"/>
      <c r="R57"/>
      <c r="S57" s="64"/>
      <c r="T57" s="43" t="s">
        <v>257</v>
      </c>
      <c r="U57" s="43" t="s">
        <v>266</v>
      </c>
      <c r="V57" s="64"/>
      <c r="W57" s="16"/>
      <c r="X57" s="16"/>
    </row>
    <row r="58" spans="1:24" s="18" customFormat="1" ht="15.75" hidden="1" customHeight="1" x14ac:dyDescent="0.35">
      <c r="A58" s="170" t="s">
        <v>275</v>
      </c>
      <c r="B58" s="171"/>
      <c r="C58" s="166">
        <f>C57</f>
        <v>0</v>
      </c>
      <c r="D58" s="167"/>
      <c r="E58" s="168"/>
      <c r="F58" s="15" t="s">
        <v>39</v>
      </c>
      <c r="G58" s="166">
        <f>G57</f>
        <v>0</v>
      </c>
      <c r="H58" s="168"/>
      <c r="R58"/>
      <c r="S58" s="64"/>
      <c r="T58" s="43" t="s">
        <v>258</v>
      </c>
      <c r="U58" s="64" t="s">
        <v>289</v>
      </c>
      <c r="V58" s="64"/>
      <c r="W58" s="16"/>
      <c r="X58" s="16"/>
    </row>
    <row r="59" spans="1:24" s="18" customFormat="1" ht="33.75" hidden="1" customHeight="1" x14ac:dyDescent="0.35">
      <c r="A59" s="172"/>
      <c r="B59" s="173"/>
      <c r="C59" s="166"/>
      <c r="D59" s="167"/>
      <c r="E59" s="167"/>
      <c r="F59" s="167"/>
      <c r="G59" s="167"/>
      <c r="H59" s="168"/>
      <c r="R59"/>
      <c r="S59" s="64"/>
      <c r="T59" s="43" t="s">
        <v>259</v>
      </c>
      <c r="U59" s="64"/>
      <c r="V59" s="64"/>
      <c r="W59" s="16"/>
      <c r="X59" s="16"/>
    </row>
    <row r="60" spans="1:24" x14ac:dyDescent="0.35">
      <c r="A60" s="231" t="s">
        <v>41</v>
      </c>
      <c r="B60" s="232"/>
      <c r="C60" s="231" t="s">
        <v>99</v>
      </c>
      <c r="D60" s="233"/>
      <c r="E60" s="232"/>
      <c r="F60" s="33" t="s">
        <v>39</v>
      </c>
      <c r="G60" s="234" t="s">
        <v>28</v>
      </c>
      <c r="H60" s="235"/>
      <c r="R60"/>
      <c r="S60" s="64"/>
      <c r="T60" s="43" t="s">
        <v>261</v>
      </c>
      <c r="U60" s="64"/>
      <c r="V60" s="64"/>
    </row>
    <row r="61" spans="1:24" x14ac:dyDescent="0.35">
      <c r="A61" s="192" t="s">
        <v>43</v>
      </c>
      <c r="B61" s="192"/>
      <c r="C61" s="192"/>
      <c r="D61" s="192"/>
      <c r="E61" s="192"/>
      <c r="F61" s="192"/>
      <c r="G61" s="192"/>
      <c r="H61" s="192"/>
      <c r="S61" s="64"/>
      <c r="T61" s="43" t="s">
        <v>270</v>
      </c>
      <c r="U61" s="64"/>
      <c r="V61" s="64"/>
    </row>
    <row r="62" spans="1:24" ht="30.75" customHeight="1" x14ac:dyDescent="0.35">
      <c r="A62" s="178" t="s">
        <v>365</v>
      </c>
      <c r="B62" s="178"/>
      <c r="C62" s="178"/>
      <c r="D62" s="106">
        <f>E46</f>
        <v>43298.35</v>
      </c>
      <c r="E62" s="106"/>
      <c r="F62" s="106"/>
      <c r="G62" s="106"/>
      <c r="H62" s="106"/>
      <c r="R62"/>
    </row>
    <row r="63" spans="1:24" x14ac:dyDescent="0.35">
      <c r="A63" s="152" t="s">
        <v>44</v>
      </c>
      <c r="B63" s="179"/>
      <c r="C63" s="179"/>
      <c r="D63" s="179" t="s">
        <v>400</v>
      </c>
      <c r="E63" s="179"/>
      <c r="F63" s="179"/>
      <c r="G63" s="179"/>
      <c r="H63" s="179"/>
      <c r="I63" s="19"/>
      <c r="R63"/>
    </row>
    <row r="64" spans="1:24" ht="48.75" customHeight="1" x14ac:dyDescent="0.35">
      <c r="A64" s="180" t="s">
        <v>45</v>
      </c>
      <c r="B64" s="181"/>
      <c r="C64" s="197"/>
      <c r="D64" s="195" t="s">
        <v>373</v>
      </c>
      <c r="E64" s="196"/>
      <c r="F64" s="196"/>
      <c r="G64" s="196"/>
      <c r="H64" s="196"/>
      <c r="R64"/>
    </row>
    <row r="65" spans="1:19" ht="15.75" customHeight="1" x14ac:dyDescent="0.35">
      <c r="A65" s="180" t="s">
        <v>84</v>
      </c>
      <c r="B65" s="181"/>
      <c r="C65" s="181"/>
      <c r="D65" s="186" t="s">
        <v>374</v>
      </c>
      <c r="E65" s="187"/>
      <c r="F65" s="187"/>
      <c r="G65" s="187"/>
      <c r="H65" s="188"/>
      <c r="R65"/>
    </row>
    <row r="66" spans="1:19" ht="15.75" customHeight="1" x14ac:dyDescent="0.35">
      <c r="A66" s="182"/>
      <c r="B66" s="183"/>
      <c r="C66" s="183"/>
      <c r="D66" s="189" t="s">
        <v>368</v>
      </c>
      <c r="E66" s="190"/>
      <c r="F66" s="190"/>
      <c r="G66" s="190"/>
      <c r="H66" s="191"/>
      <c r="R66"/>
    </row>
    <row r="67" spans="1:19" ht="15.75" customHeight="1" x14ac:dyDescent="0.35">
      <c r="A67" s="184"/>
      <c r="B67" s="185"/>
      <c r="C67" s="185"/>
      <c r="D67" s="239" t="s">
        <v>369</v>
      </c>
      <c r="E67" s="240"/>
      <c r="F67" s="240"/>
      <c r="G67" s="240"/>
      <c r="H67" s="241"/>
      <c r="S67"/>
    </row>
    <row r="68" spans="1:19" ht="15.75" customHeight="1" x14ac:dyDescent="0.35">
      <c r="A68" s="106" t="s">
        <v>42</v>
      </c>
      <c r="B68" s="106"/>
      <c r="C68" s="106"/>
      <c r="D68" s="165" t="s">
        <v>370</v>
      </c>
      <c r="E68" s="165"/>
      <c r="F68" s="165"/>
      <c r="G68" s="165"/>
      <c r="H68" s="165"/>
      <c r="J68" s="20"/>
      <c r="K68" s="19"/>
      <c r="N68" s="19"/>
      <c r="S68"/>
    </row>
    <row r="69" spans="1:19" ht="15.75" customHeight="1" x14ac:dyDescent="0.35">
      <c r="A69" s="106" t="s">
        <v>82</v>
      </c>
      <c r="B69" s="106"/>
      <c r="C69" s="106"/>
      <c r="D69" s="203" t="str">
        <f>(IF(G60="NA","60 Years After Completion",IF(G60&lt;&gt;"NA",""&amp;60-ROUNDDOWN((E3-G60)/360,0)&amp;" Years"," ")))</f>
        <v>60 Years After Completion</v>
      </c>
      <c r="E69" s="203"/>
      <c r="F69" s="203"/>
      <c r="G69" s="203"/>
      <c r="H69" s="203"/>
      <c r="N69" s="19"/>
      <c r="S69"/>
    </row>
    <row r="70" spans="1:19" ht="15.75" customHeight="1" x14ac:dyDescent="0.35">
      <c r="A70" s="106" t="s">
        <v>83</v>
      </c>
      <c r="B70" s="106"/>
      <c r="C70" s="106"/>
      <c r="D70" s="178" t="s">
        <v>23</v>
      </c>
      <c r="E70" s="178"/>
      <c r="F70" s="178"/>
      <c r="G70" s="178"/>
      <c r="H70" s="178"/>
      <c r="J70" s="21"/>
      <c r="K70" s="21"/>
      <c r="S70"/>
    </row>
    <row r="71" spans="1:19" ht="33.75" customHeight="1" x14ac:dyDescent="0.35">
      <c r="A71" s="179" t="s">
        <v>375</v>
      </c>
      <c r="B71" s="179"/>
      <c r="C71" s="179"/>
      <c r="D71" s="152" t="s">
        <v>401</v>
      </c>
      <c r="E71" s="178"/>
      <c r="F71" s="178"/>
      <c r="G71" s="178"/>
      <c r="H71" s="178"/>
      <c r="S71"/>
    </row>
    <row r="72" spans="1:19" x14ac:dyDescent="0.35">
      <c r="A72" s="178" t="s">
        <v>141</v>
      </c>
      <c r="B72" s="178"/>
      <c r="C72" s="178"/>
      <c r="D72" s="178" t="s">
        <v>28</v>
      </c>
      <c r="E72" s="178"/>
      <c r="F72" s="178"/>
      <c r="G72" s="178"/>
      <c r="H72" s="178"/>
      <c r="I72" s="22"/>
      <c r="J72" s="22"/>
      <c r="K72" s="22"/>
      <c r="L72" s="22"/>
      <c r="M72" s="22"/>
      <c r="N72" s="22"/>
    </row>
    <row r="73" spans="1:19" ht="15.75" customHeight="1" x14ac:dyDescent="0.35">
      <c r="A73" s="202" t="s">
        <v>81</v>
      </c>
      <c r="B73" s="202"/>
      <c r="C73" s="202"/>
      <c r="D73" s="195" t="str">
        <f ca="1">(IF(G79&gt;95%,"Nothing",IF(G79&gt;0%,"Cement, Aggregate, Steel, etc",IF(G79=0%,"Work not yet Started"))))</f>
        <v>Cement, Aggregate, Steel, etc</v>
      </c>
      <c r="E73" s="195"/>
      <c r="F73" s="195"/>
      <c r="G73" s="195"/>
      <c r="H73" s="195"/>
      <c r="J73" s="21"/>
      <c r="S73"/>
    </row>
    <row r="74" spans="1:19" ht="33.75" customHeight="1" thickBot="1" x14ac:dyDescent="0.4">
      <c r="A74" s="201" t="s">
        <v>112</v>
      </c>
      <c r="B74" s="201"/>
      <c r="C74" s="201"/>
      <c r="D74" s="195" t="str">
        <f ca="1">(IF(D73="Nothing","Yes",IF(D73="Cement, Aggregate, Steel, etc","Under Construction",IF(D73="Work not yet Started","Work not yet Started"))))</f>
        <v>Under Construction</v>
      </c>
      <c r="E74" s="195"/>
      <c r="F74" s="195" t="str">
        <f ca="1">(IF(D73="Nothing","Yes",IF(D73="Cement, Aggregate, Steel, etc","Under Construction",IF(D73="Work not yet Started","Work not yet Started"))))</f>
        <v>Under Construction</v>
      </c>
      <c r="G74" s="195"/>
      <c r="H74" s="195"/>
      <c r="S74"/>
    </row>
    <row r="75" spans="1:19" ht="15.75" customHeight="1" x14ac:dyDescent="0.35">
      <c r="A75" s="119" t="s">
        <v>133</v>
      </c>
      <c r="B75" s="120"/>
      <c r="C75" s="121" t="str">
        <f>D65</f>
        <v>Siyara Avenue A = 1B + Gr/Mezz. + 1st to 23rd Floor</v>
      </c>
      <c r="D75" s="122"/>
      <c r="E75" s="122"/>
      <c r="F75" s="122"/>
      <c r="G75" s="122"/>
      <c r="H75" s="123"/>
      <c r="I75" s="35" t="str">
        <f ca="1">IF(D88=100%,"All work Completed. Possession granted to the Building.",IF(D87=100%,"All work Completed, Waiting for OC",I76&amp;""&amp;I77&amp;""&amp;J76&amp;""&amp;J75&amp;" "&amp;J77))</f>
        <v>Excavation, Plinth Completed, RCC upto 3 Slab Completed</v>
      </c>
      <c r="J75" s="7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x14ac:dyDescent="0.35">
      <c r="A76" s="13" t="s">
        <v>135</v>
      </c>
      <c r="B76" s="36">
        <f>IF(AND(ISNUMBER(SEARCH("1B",C75))),1,IF(AND(ISNUMBER(SEARCH("2B",C75))),2,IF(AND(ISNUMBER(SEARCH("3B",C75))),3,IF(AND(ISNUMBER(SEARCH("4B",C75))),4,IF(ISNUMBER(SEARCH("5B",C75)),5,0)))))</f>
        <v>1</v>
      </c>
      <c r="C76" s="36" t="s">
        <v>67</v>
      </c>
      <c r="D76" s="36">
        <v>1</v>
      </c>
      <c r="E76" s="36" t="s">
        <v>66</v>
      </c>
      <c r="F76" s="36">
        <v>0</v>
      </c>
      <c r="G76" s="36" t="s">
        <v>75</v>
      </c>
      <c r="H76" s="14">
        <f ca="1">--TRIM(RIGHT(SUBSTITUTE(LEFT(C75,_xlfn.AGGREGATE(16,6,FIND({0,1,2,3,4,5,6,7,8,9},C75,ROW(INDIRECT("1:"&amp;LEN(C75)))),1))," ",REPT(" ",LEN(C75))),LEN(C75)))</f>
        <v>23</v>
      </c>
      <c r="I76" s="80" t="str">
        <f ca="1">IF(D79=100%,"Excavation","")&amp;IF(D80=100%,", Plinth","")&amp;IF(D81=100%,", RCC Slab","")&amp;IF(D82=100%,", Brickwork","")&amp;IF(D83=100%,", Internal Plaster","")&amp;IF(D84=100%,", External Plaster","")&amp;IF(D85=100%,", Flooring","")&amp;IF(D86=100%,", Painting","")&amp;IF(D87=100%,", Building common Amenities","")</f>
        <v>Excavation, Plinth</v>
      </c>
      <c r="J76" s="8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5">
      <c r="A77" s="124" t="s">
        <v>85</v>
      </c>
      <c r="B77" s="125"/>
      <c r="C77" s="126" t="str">
        <f ca="1">I75</f>
        <v>Excavation, Plinth Completed, RCC upto 3 Slab Completed</v>
      </c>
      <c r="D77" s="126"/>
      <c r="E77" s="126"/>
      <c r="F77" s="126"/>
      <c r="G77" s="126"/>
      <c r="H77" s="127"/>
      <c r="I77" s="80" t="str">
        <f ca="1">IF(I76&lt;&gt;""," Completed","")</f>
        <v xml:space="preserve"> Completed</v>
      </c>
      <c r="J77" s="81" t="str">
        <f ca="1">IF(J75&lt;&gt;"","Completed","")</f>
        <v>Completed</v>
      </c>
      <c r="S77"/>
    </row>
    <row r="78" spans="1:19" ht="15.75" customHeight="1" x14ac:dyDescent="0.35">
      <c r="A78" s="112" t="s">
        <v>46</v>
      </c>
      <c r="B78" s="102"/>
      <c r="C78" s="71" t="s">
        <v>132</v>
      </c>
      <c r="D78" s="71" t="s">
        <v>78</v>
      </c>
      <c r="E78" s="102" t="s">
        <v>80</v>
      </c>
      <c r="F78" s="102"/>
      <c r="G78" s="102" t="s">
        <v>79</v>
      </c>
      <c r="H78" s="128"/>
      <c r="I78" s="82" t="s">
        <v>134</v>
      </c>
      <c r="J78" s="83">
        <f ca="1">H76*25%</f>
        <v>5.75</v>
      </c>
      <c r="S78"/>
    </row>
    <row r="79" spans="1:19" x14ac:dyDescent="0.35">
      <c r="A79" s="112" t="s">
        <v>121</v>
      </c>
      <c r="B79" s="102"/>
      <c r="C79" s="71">
        <f ca="1">J80</f>
        <v>23</v>
      </c>
      <c r="D79" s="72">
        <f ca="1">((100/H76)*C79)/100</f>
        <v>1</v>
      </c>
      <c r="E79" s="113">
        <f ca="1">(((C80/H76*10)+(40/(D76+F76+H76)*C81)+(7.5/(H76)*C82)+(7.5/(H76)*C83)+(10/H76*C84)+(10/H76*C85)+(5/H76*C86)+(5/H76*C87)+(5/H76*C88))/100)</f>
        <v>0.15</v>
      </c>
      <c r="F79" s="114"/>
      <c r="G79" s="113">
        <f ca="1">((((C79/H76)*20)+((C80/H76)*25)+(30/(H76+F76+D76)*C81)+(5/H76*C82)+(5/H76*C83)+(5/H76*C84)+(5/H76*C85)+(0/H76*C86)+(0/H76*C87)+(5/H76*C88))/100)</f>
        <v>0.48749999999999999</v>
      </c>
      <c r="H79" s="131"/>
      <c r="I79" s="82" t="s">
        <v>94</v>
      </c>
      <c r="J79" s="84">
        <f ca="1">H76*50%</f>
        <v>11.5</v>
      </c>
    </row>
    <row r="80" spans="1:19" x14ac:dyDescent="0.35">
      <c r="A80" s="112" t="s">
        <v>47</v>
      </c>
      <c r="B80" s="102"/>
      <c r="C80" s="75">
        <f ca="1">J88</f>
        <v>23</v>
      </c>
      <c r="D80" s="72">
        <f ca="1">((100/H76)*C80)/100</f>
        <v>1</v>
      </c>
      <c r="E80" s="115"/>
      <c r="F80" s="116"/>
      <c r="G80" s="115"/>
      <c r="H80" s="132"/>
      <c r="I80" s="82" t="s">
        <v>95</v>
      </c>
      <c r="J80" s="84">
        <f ca="1">H76</f>
        <v>23</v>
      </c>
      <c r="S80"/>
    </row>
    <row r="81" spans="1:19" ht="15.75" customHeight="1" x14ac:dyDescent="0.35">
      <c r="A81" s="112" t="s">
        <v>122</v>
      </c>
      <c r="B81" s="102"/>
      <c r="C81" s="71">
        <v>3</v>
      </c>
      <c r="D81" s="72">
        <f ca="1">((100/(D76+F76+H76))*C81)/100</f>
        <v>0.125</v>
      </c>
      <c r="E81" s="115"/>
      <c r="F81" s="116"/>
      <c r="G81" s="115"/>
      <c r="H81" s="132"/>
      <c r="I81" s="82" t="s">
        <v>96</v>
      </c>
      <c r="J81" s="85">
        <f ca="1">(IF(B76&gt;1,(H76/(B76+2)),H76/4))</f>
        <v>5.75</v>
      </c>
      <c r="S81"/>
    </row>
    <row r="82" spans="1:19" ht="15.75" customHeight="1" x14ac:dyDescent="0.35">
      <c r="A82" s="112" t="s">
        <v>129</v>
      </c>
      <c r="B82" s="102" t="s">
        <v>123</v>
      </c>
      <c r="C82" s="71">
        <v>0</v>
      </c>
      <c r="D82" s="72">
        <f ca="1">((100/H76)*C82)/100</f>
        <v>0</v>
      </c>
      <c r="E82" s="115"/>
      <c r="F82" s="116"/>
      <c r="G82" s="115"/>
      <c r="H82" s="132"/>
      <c r="I82" s="82" t="s">
        <v>97</v>
      </c>
      <c r="J82" s="85">
        <f ca="1">(IF(B76&gt;1,(H76/(B76+2)+J81),H76/4+J81))</f>
        <v>11.5</v>
      </c>
    </row>
    <row r="83" spans="1:19" ht="15.75" customHeight="1" x14ac:dyDescent="0.35">
      <c r="A83" s="112" t="s">
        <v>130</v>
      </c>
      <c r="B83" s="102" t="s">
        <v>123</v>
      </c>
      <c r="C83" s="71">
        <v>0</v>
      </c>
      <c r="D83" s="72">
        <f ca="1">((100/H76)*C83)/100</f>
        <v>0</v>
      </c>
      <c r="E83" s="115"/>
      <c r="F83" s="116"/>
      <c r="G83" s="115"/>
      <c r="H83" s="132"/>
      <c r="I83" s="82" t="s">
        <v>139</v>
      </c>
      <c r="J83" s="85">
        <f>(IF(B76&gt;1,(H76/(B76+2)+J82),0))</f>
        <v>0</v>
      </c>
    </row>
    <row r="84" spans="1:19" ht="15" customHeight="1" x14ac:dyDescent="0.35">
      <c r="A84" s="112" t="s">
        <v>128</v>
      </c>
      <c r="B84" s="102" t="s">
        <v>125</v>
      </c>
      <c r="C84" s="71">
        <v>0</v>
      </c>
      <c r="D84" s="72">
        <f ca="1">((100/(H76))*C84)/100</f>
        <v>0</v>
      </c>
      <c r="E84" s="115"/>
      <c r="F84" s="116"/>
      <c r="G84" s="115"/>
      <c r="H84" s="132"/>
      <c r="I84" s="82" t="s">
        <v>136</v>
      </c>
      <c r="J84" s="85">
        <f>(IF(B76&gt;2,(H76/(B76+2)+J83),0))</f>
        <v>0</v>
      </c>
    </row>
    <row r="85" spans="1:19" ht="15.75" customHeight="1" x14ac:dyDescent="0.35">
      <c r="A85" s="112" t="s">
        <v>124</v>
      </c>
      <c r="B85" s="102" t="s">
        <v>124</v>
      </c>
      <c r="C85" s="71">
        <v>0</v>
      </c>
      <c r="D85" s="72">
        <f ca="1">((100/H76)*C85)/100</f>
        <v>0</v>
      </c>
      <c r="E85" s="115"/>
      <c r="F85" s="116"/>
      <c r="G85" s="115"/>
      <c r="H85" s="132"/>
      <c r="I85" s="82" t="s">
        <v>137</v>
      </c>
      <c r="J85" s="86">
        <f>(IF(B76&gt;3,(H76/(B76+2)+J84),0))</f>
        <v>0</v>
      </c>
    </row>
    <row r="86" spans="1:19" ht="15.75" customHeight="1" x14ac:dyDescent="0.35">
      <c r="A86" s="112" t="s">
        <v>131</v>
      </c>
      <c r="B86" s="102"/>
      <c r="C86" s="71">
        <v>0</v>
      </c>
      <c r="D86" s="72">
        <f ca="1">((100/H76)*C86)/100</f>
        <v>0</v>
      </c>
      <c r="E86" s="115"/>
      <c r="F86" s="116"/>
      <c r="G86" s="115"/>
      <c r="H86" s="132"/>
      <c r="I86" s="82" t="s">
        <v>138</v>
      </c>
      <c r="J86" s="85">
        <f>(IF(B76&gt;4,(H76/(B76+2)+J85),0))</f>
        <v>0</v>
      </c>
    </row>
    <row r="87" spans="1:19" ht="15.75" customHeight="1" x14ac:dyDescent="0.35">
      <c r="A87" s="112" t="s">
        <v>126</v>
      </c>
      <c r="B87" s="102" t="s">
        <v>126</v>
      </c>
      <c r="C87" s="71">
        <v>0</v>
      </c>
      <c r="D87" s="72">
        <f ca="1">((100/(H76))*C87)/100</f>
        <v>0</v>
      </c>
      <c r="E87" s="115"/>
      <c r="F87" s="116"/>
      <c r="G87" s="115"/>
      <c r="H87" s="132"/>
      <c r="I87" s="82" t="s">
        <v>140</v>
      </c>
      <c r="J87" s="85">
        <f ca="1">(IF(B76=1,(H76/(B76+3)+J82),IF(B76=0,(H76/4+J82),IF(B76&gt;1,0))))</f>
        <v>17.25</v>
      </c>
    </row>
    <row r="88" spans="1:19" ht="16" thickBot="1" x14ac:dyDescent="0.4">
      <c r="A88" s="222" t="s">
        <v>127</v>
      </c>
      <c r="B88" s="223"/>
      <c r="C88" s="73">
        <v>0</v>
      </c>
      <c r="D88" s="74">
        <f ca="1">((100/(H76))*C88)/100</f>
        <v>0</v>
      </c>
      <c r="E88" s="117"/>
      <c r="F88" s="118"/>
      <c r="G88" s="117"/>
      <c r="H88" s="133"/>
      <c r="I88" s="87" t="s">
        <v>98</v>
      </c>
      <c r="J88" s="88">
        <f ca="1">(IF(B76&gt;1.5,(H76/(B76+2)+J82+MAX(0,J83-J82)+MAX(0,J84-J83)+MAX(0,J85-J84)+MAX(0,J86-J85)+MAX(0,J87-J86)),IF(B76=1,(H76/(B76+3)+J87),IF(B76=0,H76/4+J87))))</f>
        <v>23</v>
      </c>
    </row>
    <row r="89" spans="1:19" ht="15.75" customHeight="1" x14ac:dyDescent="0.35">
      <c r="A89" s="119" t="s">
        <v>133</v>
      </c>
      <c r="B89" s="120"/>
      <c r="C89" s="121" t="str">
        <f>D66</f>
        <v>Siyara Avenue B = 1B + Gr/Mezz. + 1st to 23rd Floor</v>
      </c>
      <c r="D89" s="122"/>
      <c r="E89" s="122"/>
      <c r="F89" s="122"/>
      <c r="G89" s="122"/>
      <c r="H89" s="123"/>
      <c r="I89" s="35" t="str">
        <f ca="1">IF(D102=100%,"All work Completed. Possession granted to the Building.",IF(D101=100%,"All work Completed, Waiting for OC",I90&amp;""&amp;I91&amp;""&amp;J90&amp;""&amp;J89&amp;" "&amp;J91))</f>
        <v>Excavation, Plinth Completed, RCC upto 3 Slab Completed</v>
      </c>
      <c r="J89" s="7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3 Slab</v>
      </c>
      <c r="S89"/>
    </row>
    <row r="90" spans="1:19" x14ac:dyDescent="0.35">
      <c r="A90" s="13" t="s">
        <v>135</v>
      </c>
      <c r="B90" s="36">
        <f>IF(AND(ISNUMBER(SEARCH("1B",C89))),1,IF(AND(ISNUMBER(SEARCH("2B",C89))),2,IF(AND(ISNUMBER(SEARCH("3B",C89))),3,IF(AND(ISNUMBER(SEARCH("4B",C89))),4,IF(ISNUMBER(SEARCH("5B",C89)),5,0)))))</f>
        <v>1</v>
      </c>
      <c r="C90" s="36" t="s">
        <v>67</v>
      </c>
      <c r="D90" s="36">
        <v>1</v>
      </c>
      <c r="E90" s="36" t="s">
        <v>66</v>
      </c>
      <c r="F90" s="36">
        <v>0</v>
      </c>
      <c r="G90" s="36" t="s">
        <v>75</v>
      </c>
      <c r="H90" s="14">
        <f ca="1">--TRIM(RIGHT(SUBSTITUTE(LEFT(C89,_xlfn.AGGREGATE(16,6,FIND({0,1,2,3,4,5,6,7,8,9},C89,ROW(INDIRECT("1:"&amp;LEN(C89)))),1))," ",REPT(" ",LEN(C89))),LEN(C89)))</f>
        <v>23</v>
      </c>
      <c r="I90" s="80" t="str">
        <f ca="1">IF(D93=100%,"Excavation","")&amp;IF(D94=100%,", Plinth","")&amp;IF(D95=100%,", RCC Slab","")&amp;IF(D96=100%,", Brickwork","")&amp;IF(D97=100%,", Internal Plaster","")&amp;IF(D98=100%,", External Plaster","")&amp;IF(D99=100%,", Flooring","")&amp;IF(D100=100%,", Painting","")&amp;IF(D101=100%,", Building common Amenities","")</f>
        <v>Excavation, Plinth</v>
      </c>
      <c r="J90" s="8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5">
      <c r="A91" s="124" t="s">
        <v>85</v>
      </c>
      <c r="B91" s="125"/>
      <c r="C91" s="126" t="str">
        <f ca="1">I89</f>
        <v>Excavation, Plinth Completed, RCC upto 3 Slab Completed</v>
      </c>
      <c r="D91" s="126"/>
      <c r="E91" s="126"/>
      <c r="F91" s="126"/>
      <c r="G91" s="126"/>
      <c r="H91" s="127"/>
      <c r="I91" s="80" t="str">
        <f ca="1">IF(I90&lt;&gt;""," Completed","")</f>
        <v xml:space="preserve"> Completed</v>
      </c>
      <c r="J91" s="81" t="str">
        <f ca="1">IF(J89&lt;&gt;"","Completed","")</f>
        <v>Completed</v>
      </c>
      <c r="S91"/>
    </row>
    <row r="92" spans="1:19" ht="15.75" customHeight="1" x14ac:dyDescent="0.35">
      <c r="A92" s="112" t="s">
        <v>46</v>
      </c>
      <c r="B92" s="102"/>
      <c r="C92" s="71" t="s">
        <v>132</v>
      </c>
      <c r="D92" s="71" t="s">
        <v>78</v>
      </c>
      <c r="E92" s="102" t="s">
        <v>80</v>
      </c>
      <c r="F92" s="102"/>
      <c r="G92" s="102" t="s">
        <v>79</v>
      </c>
      <c r="H92" s="128"/>
      <c r="I92" s="82" t="s">
        <v>134</v>
      </c>
      <c r="J92" s="83">
        <f ca="1">H90*25%</f>
        <v>5.75</v>
      </c>
      <c r="S92"/>
    </row>
    <row r="93" spans="1:19" x14ac:dyDescent="0.35">
      <c r="A93" s="112" t="s">
        <v>121</v>
      </c>
      <c r="B93" s="102"/>
      <c r="C93" s="71">
        <f ca="1">J94</f>
        <v>23</v>
      </c>
      <c r="D93" s="72">
        <f ca="1">((100/H90)*C93)/100</f>
        <v>1</v>
      </c>
      <c r="E93" s="113">
        <f ca="1">(((C94/H90*10)+(40/(D90+F90+H90)*C95)+(7.5/(H90)*C96)+(7.5/(H90)*C97)+(10/H90*C98)+(10/H90*C99)+(5/H90*C100)+(5/H90*C101)+(5/H90*C102))/100)</f>
        <v>0.15</v>
      </c>
      <c r="F93" s="114"/>
      <c r="G93" s="113">
        <f ca="1">((((C93/H90)*20)+((C94/H90)*25)+(30/(H90+F90+D90)*C95)+(5/H90*C96)+(5/H90*C97)+(5/H90*C98)+(5/H90*C99)+(0/H90*C100)+(0/H90*C101)+(5/H90*C102))/100)</f>
        <v>0.48749999999999999</v>
      </c>
      <c r="H93" s="131"/>
      <c r="I93" s="82" t="s">
        <v>94</v>
      </c>
      <c r="J93" s="84">
        <f ca="1">H90*50%</f>
        <v>11.5</v>
      </c>
    </row>
    <row r="94" spans="1:19" x14ac:dyDescent="0.35">
      <c r="A94" s="112" t="s">
        <v>47</v>
      </c>
      <c r="B94" s="102"/>
      <c r="C94" s="75">
        <f ca="1">J102</f>
        <v>23</v>
      </c>
      <c r="D94" s="72">
        <f ca="1">((100/H90)*C94)/100</f>
        <v>1</v>
      </c>
      <c r="E94" s="115"/>
      <c r="F94" s="116"/>
      <c r="G94" s="115"/>
      <c r="H94" s="132"/>
      <c r="I94" s="82" t="s">
        <v>95</v>
      </c>
      <c r="J94" s="84">
        <f ca="1">H90</f>
        <v>23</v>
      </c>
      <c r="S94"/>
    </row>
    <row r="95" spans="1:19" ht="15.75" customHeight="1" x14ac:dyDescent="0.35">
      <c r="A95" s="112" t="s">
        <v>122</v>
      </c>
      <c r="B95" s="102"/>
      <c r="C95" s="71">
        <v>3</v>
      </c>
      <c r="D95" s="72">
        <f ca="1">((100/(D90+F90+H90))*C95)/100</f>
        <v>0.125</v>
      </c>
      <c r="E95" s="115"/>
      <c r="F95" s="116"/>
      <c r="G95" s="115"/>
      <c r="H95" s="132"/>
      <c r="I95" s="82" t="s">
        <v>96</v>
      </c>
      <c r="J95" s="85">
        <f ca="1">(IF(B90&gt;1,(H90/(B90+2)),H90/4))</f>
        <v>5.75</v>
      </c>
      <c r="S95"/>
    </row>
    <row r="96" spans="1:19" ht="15.75" customHeight="1" x14ac:dyDescent="0.35">
      <c r="A96" s="112" t="s">
        <v>129</v>
      </c>
      <c r="B96" s="102" t="s">
        <v>123</v>
      </c>
      <c r="C96" s="71">
        <v>0</v>
      </c>
      <c r="D96" s="72">
        <f ca="1">((100/H90)*C96)/100</f>
        <v>0</v>
      </c>
      <c r="E96" s="115"/>
      <c r="F96" s="116"/>
      <c r="G96" s="115"/>
      <c r="H96" s="132"/>
      <c r="I96" s="82" t="s">
        <v>97</v>
      </c>
      <c r="J96" s="85">
        <f ca="1">(IF(B90&gt;1,(H90/(B90+2)+J95),H90/4+J95))</f>
        <v>11.5</v>
      </c>
    </row>
    <row r="97" spans="1:19" ht="15.75" customHeight="1" x14ac:dyDescent="0.35">
      <c r="A97" s="112" t="s">
        <v>130</v>
      </c>
      <c r="B97" s="102" t="s">
        <v>123</v>
      </c>
      <c r="C97" s="71">
        <v>0</v>
      </c>
      <c r="D97" s="72">
        <f ca="1">((100/H90)*C97)/100</f>
        <v>0</v>
      </c>
      <c r="E97" s="115"/>
      <c r="F97" s="116"/>
      <c r="G97" s="115"/>
      <c r="H97" s="132"/>
      <c r="I97" s="82" t="s">
        <v>139</v>
      </c>
      <c r="J97" s="85">
        <f>(IF(B90&gt;1,(H90/(B90+2)+J96),0))</f>
        <v>0</v>
      </c>
    </row>
    <row r="98" spans="1:19" ht="15" customHeight="1" x14ac:dyDescent="0.35">
      <c r="A98" s="112" t="s">
        <v>128</v>
      </c>
      <c r="B98" s="102" t="s">
        <v>125</v>
      </c>
      <c r="C98" s="71">
        <v>0</v>
      </c>
      <c r="D98" s="72">
        <f ca="1">((100/(H90))*C98)/100</f>
        <v>0</v>
      </c>
      <c r="E98" s="115"/>
      <c r="F98" s="116"/>
      <c r="G98" s="115"/>
      <c r="H98" s="132"/>
      <c r="I98" s="82" t="s">
        <v>136</v>
      </c>
      <c r="J98" s="85">
        <f>(IF(B90&gt;2,(H90/(B90+2)+J97),0))</f>
        <v>0</v>
      </c>
    </row>
    <row r="99" spans="1:19" ht="15.75" customHeight="1" x14ac:dyDescent="0.35">
      <c r="A99" s="112" t="s">
        <v>124</v>
      </c>
      <c r="B99" s="102" t="s">
        <v>124</v>
      </c>
      <c r="C99" s="71">
        <v>0</v>
      </c>
      <c r="D99" s="72">
        <f ca="1">((100/H90)*C99)/100</f>
        <v>0</v>
      </c>
      <c r="E99" s="115"/>
      <c r="F99" s="116"/>
      <c r="G99" s="115"/>
      <c r="H99" s="132"/>
      <c r="I99" s="82" t="s">
        <v>137</v>
      </c>
      <c r="J99" s="86">
        <f>(IF(B90&gt;3,(H90/(B90+2)+J98),0))</f>
        <v>0</v>
      </c>
    </row>
    <row r="100" spans="1:19" ht="15.75" customHeight="1" x14ac:dyDescent="0.35">
      <c r="A100" s="112" t="s">
        <v>131</v>
      </c>
      <c r="B100" s="102"/>
      <c r="C100" s="71">
        <v>0</v>
      </c>
      <c r="D100" s="72">
        <f ca="1">((100/H90)*C100)/100</f>
        <v>0</v>
      </c>
      <c r="E100" s="115"/>
      <c r="F100" s="116"/>
      <c r="G100" s="115"/>
      <c r="H100" s="132"/>
      <c r="I100" s="82" t="s">
        <v>138</v>
      </c>
      <c r="J100" s="85">
        <f>(IF(B90&gt;4,(H90/(B90+2)+J99),0))</f>
        <v>0</v>
      </c>
    </row>
    <row r="101" spans="1:19" ht="15.75" customHeight="1" x14ac:dyDescent="0.35">
      <c r="A101" s="112" t="s">
        <v>126</v>
      </c>
      <c r="B101" s="102" t="s">
        <v>126</v>
      </c>
      <c r="C101" s="71">
        <v>0</v>
      </c>
      <c r="D101" s="72">
        <f ca="1">((100/(H90))*C101)/100</f>
        <v>0</v>
      </c>
      <c r="E101" s="115"/>
      <c r="F101" s="116"/>
      <c r="G101" s="115"/>
      <c r="H101" s="132"/>
      <c r="I101" s="82" t="s">
        <v>140</v>
      </c>
      <c r="J101" s="85">
        <f ca="1">(IF(B90=1,(H90/(B90+3)+J96),IF(B90=0,(H90/4+J96),IF(B90&gt;1,0))))</f>
        <v>17.25</v>
      </c>
    </row>
    <row r="102" spans="1:19" ht="16" thickBot="1" x14ac:dyDescent="0.4">
      <c r="A102" s="222" t="s">
        <v>127</v>
      </c>
      <c r="B102" s="223"/>
      <c r="C102" s="73">
        <v>0</v>
      </c>
      <c r="D102" s="74">
        <f ca="1">((100/(H90))*C102)/100</f>
        <v>0</v>
      </c>
      <c r="E102" s="117"/>
      <c r="F102" s="118"/>
      <c r="G102" s="117"/>
      <c r="H102" s="133"/>
      <c r="I102" s="87" t="s">
        <v>98</v>
      </c>
      <c r="J102" s="88">
        <f ca="1">(IF(B90&gt;1.5,(H90/(B90+2)+J96+MAX(0,J97-J96)+MAX(0,J98-J97)+MAX(0,J99-J98)+MAX(0,J100-J99)+MAX(0,J101-J100)),IF(B90=1,(H90/(B90+3)+J101),IF(B90=0,H90/4+J101))))</f>
        <v>23</v>
      </c>
    </row>
    <row r="103" spans="1:19" ht="15.75" customHeight="1" x14ac:dyDescent="0.35">
      <c r="A103" s="119" t="s">
        <v>133</v>
      </c>
      <c r="B103" s="120"/>
      <c r="C103" s="121" t="str">
        <f>D67</f>
        <v>Siyara Avenue C = 1B + Gr/Mezz. + 1st to 23rd Floor</v>
      </c>
      <c r="D103" s="122"/>
      <c r="E103" s="122"/>
      <c r="F103" s="122"/>
      <c r="G103" s="122"/>
      <c r="H103" s="123"/>
      <c r="I103" s="35" t="str">
        <f ca="1">IF(D116=100%,"All work Completed. Possession granted to the Building.",IF(D115=100%,"All work Completed, Waiting for OC",I104&amp;""&amp;I105&amp;""&amp;J104&amp;""&amp;J103&amp;" "&amp;J105))</f>
        <v xml:space="preserve">Excavation Completed, Footing work Completed </v>
      </c>
      <c r="J103" s="7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x14ac:dyDescent="0.35">
      <c r="A104" s="13" t="s">
        <v>135</v>
      </c>
      <c r="B104" s="36">
        <f>IF(AND(ISNUMBER(SEARCH("1B",C103))),1,IF(AND(ISNUMBER(SEARCH("2B",C103))),2,IF(AND(ISNUMBER(SEARCH("3B",C103))),3,IF(AND(ISNUMBER(SEARCH("4B",C103))),4,IF(ISNUMBER(SEARCH("5B",C103)),5,0)))))</f>
        <v>1</v>
      </c>
      <c r="C104" s="36" t="s">
        <v>67</v>
      </c>
      <c r="D104" s="36">
        <v>1</v>
      </c>
      <c r="E104" s="36" t="s">
        <v>66</v>
      </c>
      <c r="F104" s="36">
        <v>0</v>
      </c>
      <c r="G104" s="36" t="s">
        <v>75</v>
      </c>
      <c r="H104" s="14">
        <f ca="1">--TRIM(RIGHT(SUBSTITUTE(LEFT(C103,_xlfn.AGGREGATE(16,6,FIND({0,1,2,3,4,5,6,7,8,9},C103,ROW(INDIRECT("1:"&amp;LEN(C103)))),1))," ",REPT(" ",LEN(C103))),LEN(C103)))</f>
        <v>23</v>
      </c>
      <c r="I104" s="80" t="str">
        <f ca="1">IF(D107=100%,"Excavation","")&amp;IF(D108=100%,", Plinth","")&amp;IF(D109=100%,", RCC Slab","")&amp;IF(D110=100%,", Brickwork","")&amp;IF(D111=100%,", Internal Plaster","")&amp;IF(D112=100%,", External Plaster","")&amp;IF(D113=100%,", Flooring","")&amp;IF(D114=100%,", Painting","")&amp;IF(D115=100%,", Building common Amenities","")</f>
        <v>Excavation</v>
      </c>
      <c r="J104" s="8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Footing work Completed</v>
      </c>
      <c r="S104"/>
    </row>
    <row r="105" spans="1:19" x14ac:dyDescent="0.35">
      <c r="A105" s="124" t="s">
        <v>85</v>
      </c>
      <c r="B105" s="125"/>
      <c r="C105" s="126" t="str">
        <f ca="1">I103</f>
        <v xml:space="preserve">Excavation Completed, Footing work Completed </v>
      </c>
      <c r="D105" s="126"/>
      <c r="E105" s="126"/>
      <c r="F105" s="126"/>
      <c r="G105" s="126"/>
      <c r="H105" s="127"/>
      <c r="I105" s="80" t="str">
        <f ca="1">IF(I104&lt;&gt;""," Completed","")</f>
        <v xml:space="preserve"> Completed</v>
      </c>
      <c r="J105" s="81" t="str">
        <f ca="1">IF(J103&lt;&gt;"","Completed","")</f>
        <v/>
      </c>
      <c r="S105"/>
    </row>
    <row r="106" spans="1:19" ht="15.75" customHeight="1" x14ac:dyDescent="0.35">
      <c r="A106" s="112" t="s">
        <v>46</v>
      </c>
      <c r="B106" s="102"/>
      <c r="C106" s="71" t="s">
        <v>132</v>
      </c>
      <c r="D106" s="71" t="s">
        <v>78</v>
      </c>
      <c r="E106" s="102" t="s">
        <v>80</v>
      </c>
      <c r="F106" s="102"/>
      <c r="G106" s="102" t="s">
        <v>79</v>
      </c>
      <c r="H106" s="128"/>
      <c r="I106" s="82" t="s">
        <v>134</v>
      </c>
      <c r="J106" s="83">
        <f ca="1">H104*25%</f>
        <v>5.75</v>
      </c>
      <c r="S106"/>
    </row>
    <row r="107" spans="1:19" x14ac:dyDescent="0.35">
      <c r="A107" s="102" t="s">
        <v>121</v>
      </c>
      <c r="B107" s="102"/>
      <c r="C107" s="75">
        <f ca="1">J108</f>
        <v>23</v>
      </c>
      <c r="D107" s="72">
        <f ca="1">((100/H104)*C107)/100</f>
        <v>1</v>
      </c>
      <c r="E107" s="220">
        <f ca="1">(((C108/H104*10)+(40/(D104+F104+H104)*C109)+(7.5/(H104)*C110)+(7.5/(H104)*C111)+(10/H104*C112)+(10/H104*C113)+(5/H104*C114)+(5/H104*C115)+(5/H104*C116))/100)</f>
        <v>0.05</v>
      </c>
      <c r="F107" s="220"/>
      <c r="G107" s="220">
        <f ca="1">((((C107/H104)*20)+((C108/H104)*25)+(30/(H104+F104+D104)*C109)+(5/H104*C110)+(5/H104*C111)+(5/H104*C112)+(5/H104*C113)+(0/H104*C114)+(0/H104*C115)+(5/H104*C116))/100)</f>
        <v>0.32500000000000001</v>
      </c>
      <c r="H107" s="220"/>
      <c r="I107" s="82" t="s">
        <v>94</v>
      </c>
      <c r="J107" s="84">
        <f ca="1">H104*50%</f>
        <v>11.5</v>
      </c>
    </row>
    <row r="108" spans="1:19" x14ac:dyDescent="0.35">
      <c r="A108" s="102" t="s">
        <v>47</v>
      </c>
      <c r="B108" s="102"/>
      <c r="C108" s="75">
        <f ca="1">J110</f>
        <v>11.5</v>
      </c>
      <c r="D108" s="72">
        <f ca="1">((100/H104)*C108)/100</f>
        <v>0.5</v>
      </c>
      <c r="E108" s="220"/>
      <c r="F108" s="220"/>
      <c r="G108" s="220"/>
      <c r="H108" s="220"/>
      <c r="I108" s="82" t="s">
        <v>95</v>
      </c>
      <c r="J108" s="84">
        <f ca="1">H104</f>
        <v>23</v>
      </c>
      <c r="S108"/>
    </row>
    <row r="109" spans="1:19" ht="15.75" customHeight="1" x14ac:dyDescent="0.35">
      <c r="A109" s="102" t="s">
        <v>122</v>
      </c>
      <c r="B109" s="102"/>
      <c r="C109" s="93">
        <v>0</v>
      </c>
      <c r="D109" s="72">
        <f ca="1">((100/(D104+F104+H104))*C109)/100</f>
        <v>0</v>
      </c>
      <c r="E109" s="220"/>
      <c r="F109" s="220"/>
      <c r="G109" s="220"/>
      <c r="H109" s="220"/>
      <c r="I109" s="82" t="s">
        <v>96</v>
      </c>
      <c r="J109" s="85">
        <f ca="1">(IF(B104&gt;1,(H104/(B104+2)),H104/4))</f>
        <v>5.75</v>
      </c>
      <c r="S109"/>
    </row>
    <row r="110" spans="1:19" ht="15.75" customHeight="1" x14ac:dyDescent="0.35">
      <c r="A110" s="102" t="s">
        <v>129</v>
      </c>
      <c r="B110" s="102" t="s">
        <v>123</v>
      </c>
      <c r="C110" s="93">
        <v>0</v>
      </c>
      <c r="D110" s="72">
        <f ca="1">((100/H104)*C110)/100</f>
        <v>0</v>
      </c>
      <c r="E110" s="220"/>
      <c r="F110" s="220"/>
      <c r="G110" s="220"/>
      <c r="H110" s="220"/>
      <c r="I110" s="82" t="s">
        <v>97</v>
      </c>
      <c r="J110" s="85">
        <f ca="1">(IF(B104&gt;1,(H104/(B104+2)+J109),H104/4+J109))</f>
        <v>11.5</v>
      </c>
    </row>
    <row r="111" spans="1:19" ht="15.75" customHeight="1" x14ac:dyDescent="0.35">
      <c r="A111" s="102" t="s">
        <v>130</v>
      </c>
      <c r="B111" s="102" t="s">
        <v>123</v>
      </c>
      <c r="C111" s="93">
        <v>0</v>
      </c>
      <c r="D111" s="72">
        <f ca="1">((100/H104)*C111)/100</f>
        <v>0</v>
      </c>
      <c r="E111" s="220"/>
      <c r="F111" s="220"/>
      <c r="G111" s="220"/>
      <c r="H111" s="220"/>
      <c r="I111" s="82" t="s">
        <v>139</v>
      </c>
      <c r="J111" s="85">
        <f>(IF(B104&gt;1,(H104/(B104+2)+J110),0))</f>
        <v>0</v>
      </c>
    </row>
    <row r="112" spans="1:19" ht="15" customHeight="1" x14ac:dyDescent="0.35">
      <c r="A112" s="102" t="s">
        <v>128</v>
      </c>
      <c r="B112" s="102" t="s">
        <v>125</v>
      </c>
      <c r="C112" s="93">
        <v>0</v>
      </c>
      <c r="D112" s="72">
        <f ca="1">((100/(H104))*C112)/100</f>
        <v>0</v>
      </c>
      <c r="E112" s="220"/>
      <c r="F112" s="220"/>
      <c r="G112" s="220"/>
      <c r="H112" s="220"/>
      <c r="I112" s="82" t="s">
        <v>136</v>
      </c>
      <c r="J112" s="85">
        <f>(IF(B104&gt;2,(H104/(B104+2)+J111),0))</f>
        <v>0</v>
      </c>
    </row>
    <row r="113" spans="1:22" ht="15.75" customHeight="1" x14ac:dyDescent="0.35">
      <c r="A113" s="102" t="s">
        <v>124</v>
      </c>
      <c r="B113" s="102" t="s">
        <v>124</v>
      </c>
      <c r="C113" s="93">
        <v>0</v>
      </c>
      <c r="D113" s="72">
        <f ca="1">((100/H104)*C113)/100</f>
        <v>0</v>
      </c>
      <c r="E113" s="220"/>
      <c r="F113" s="220"/>
      <c r="G113" s="220"/>
      <c r="H113" s="220"/>
      <c r="I113" s="82" t="s">
        <v>137</v>
      </c>
      <c r="J113" s="86">
        <f>(IF(B104&gt;3,(H104/(B104+2)+J112),0))</f>
        <v>0</v>
      </c>
    </row>
    <row r="114" spans="1:22" ht="15.75" customHeight="1" x14ac:dyDescent="0.35">
      <c r="A114" s="102" t="s">
        <v>131</v>
      </c>
      <c r="B114" s="102"/>
      <c r="C114" s="93">
        <v>0</v>
      </c>
      <c r="D114" s="72">
        <f ca="1">((100/H104)*C114)/100</f>
        <v>0</v>
      </c>
      <c r="E114" s="220"/>
      <c r="F114" s="220"/>
      <c r="G114" s="220"/>
      <c r="H114" s="220"/>
      <c r="I114" s="82" t="s">
        <v>138</v>
      </c>
      <c r="J114" s="85">
        <f>(IF(B104&gt;4,(H104/(B104+2)+J113),0))</f>
        <v>0</v>
      </c>
    </row>
    <row r="115" spans="1:22" ht="15.75" customHeight="1" x14ac:dyDescent="0.35">
      <c r="A115" s="102" t="s">
        <v>126</v>
      </c>
      <c r="B115" s="102" t="s">
        <v>126</v>
      </c>
      <c r="C115" s="93">
        <v>0</v>
      </c>
      <c r="D115" s="72">
        <f ca="1">((100/(H104))*C115)/100</f>
        <v>0</v>
      </c>
      <c r="E115" s="220"/>
      <c r="F115" s="220"/>
      <c r="G115" s="220"/>
      <c r="H115" s="220"/>
      <c r="I115" s="82" t="s">
        <v>140</v>
      </c>
      <c r="J115" s="85">
        <f ca="1">(IF(B104=1,(H104/(B104+3)+J110),IF(B104=0,(H104/4+J110),IF(B104&gt;1,0))))</f>
        <v>17.25</v>
      </c>
    </row>
    <row r="116" spans="1:22" ht="16" thickBot="1" x14ac:dyDescent="0.4">
      <c r="A116" s="102" t="s">
        <v>127</v>
      </c>
      <c r="B116" s="102"/>
      <c r="C116" s="93">
        <v>0</v>
      </c>
      <c r="D116" s="72">
        <f ca="1">((100/(H104))*C116)/100</f>
        <v>0</v>
      </c>
      <c r="E116" s="220"/>
      <c r="F116" s="220"/>
      <c r="G116" s="220"/>
      <c r="H116" s="220"/>
      <c r="I116" s="87" t="s">
        <v>98</v>
      </c>
      <c r="J116" s="88">
        <f ca="1">(IF(B104&gt;1.5,(H104/(B104+2)+J110+MAX(0,J111-J110)+MAX(0,J112-J111)+MAX(0,J113-J112)+MAX(0,J114-J113)+MAX(0,J115-J114)),IF(B104=1,(H104/(B104+3)+J115),IF(B104=0,H104/4+J115))))</f>
        <v>23</v>
      </c>
    </row>
    <row r="117" spans="1:22" x14ac:dyDescent="0.35">
      <c r="A117" s="164" t="s">
        <v>149</v>
      </c>
      <c r="B117" s="164"/>
      <c r="C117" s="164"/>
      <c r="D117" s="164"/>
      <c r="E117" s="164"/>
      <c r="F117" s="160" t="s">
        <v>153</v>
      </c>
      <c r="G117" s="160"/>
      <c r="H117" s="160"/>
      <c r="R117" t="s">
        <v>245</v>
      </c>
      <c r="S117" t="s">
        <v>165</v>
      </c>
      <c r="T117" t="s">
        <v>173</v>
      </c>
      <c r="U117" t="s">
        <v>187</v>
      </c>
      <c r="V117" t="s">
        <v>182</v>
      </c>
    </row>
    <row r="118" spans="1:22" x14ac:dyDescent="0.35">
      <c r="A118" s="106" t="s">
        <v>151</v>
      </c>
      <c r="B118" s="106"/>
      <c r="C118" s="106"/>
      <c r="D118" s="106"/>
      <c r="E118" s="106"/>
      <c r="F118" s="105">
        <v>5200</v>
      </c>
      <c r="G118" s="105"/>
      <c r="H118" s="105"/>
      <c r="I118" s="16" t="s">
        <v>406</v>
      </c>
      <c r="J118" s="16" t="s">
        <v>410</v>
      </c>
      <c r="R118"/>
      <c r="S118">
        <v>800000</v>
      </c>
      <c r="T118">
        <v>150000</v>
      </c>
      <c r="U118">
        <v>100000</v>
      </c>
      <c r="V118">
        <v>100000</v>
      </c>
    </row>
    <row r="119" spans="1:22" x14ac:dyDescent="0.35">
      <c r="A119" s="106" t="s">
        <v>150</v>
      </c>
      <c r="B119" s="106"/>
      <c r="C119" s="106"/>
      <c r="D119" s="106"/>
      <c r="E119" s="106"/>
      <c r="F119" s="105">
        <v>12000</v>
      </c>
      <c r="G119" s="105"/>
      <c r="H119" s="105"/>
      <c r="R119"/>
      <c r="S119">
        <v>900000</v>
      </c>
      <c r="T119">
        <v>200000</v>
      </c>
      <c r="U119">
        <v>150000</v>
      </c>
      <c r="V119">
        <v>150000</v>
      </c>
    </row>
    <row r="120" spans="1:22" x14ac:dyDescent="0.35">
      <c r="A120" s="106" t="s">
        <v>152</v>
      </c>
      <c r="B120" s="106"/>
      <c r="C120" s="106"/>
      <c r="D120" s="106"/>
      <c r="E120" s="106"/>
      <c r="F120" s="105">
        <v>9000</v>
      </c>
      <c r="G120" s="105"/>
      <c r="H120" s="105"/>
      <c r="R120"/>
      <c r="S120">
        <v>1000000</v>
      </c>
      <c r="T120">
        <v>250000</v>
      </c>
      <c r="U120">
        <v>200000</v>
      </c>
      <c r="V120">
        <v>200000</v>
      </c>
    </row>
    <row r="121" spans="1:22" s="23" customFormat="1" hidden="1" x14ac:dyDescent="0.35">
      <c r="A121" s="106" t="s">
        <v>168</v>
      </c>
      <c r="B121" s="106"/>
      <c r="C121" s="106"/>
      <c r="D121" s="106"/>
      <c r="E121" s="106"/>
      <c r="F121" s="105"/>
      <c r="G121" s="105"/>
      <c r="H121" s="105"/>
      <c r="R121"/>
      <c r="S121">
        <v>1100000</v>
      </c>
      <c r="T121">
        <v>300000</v>
      </c>
      <c r="U121">
        <v>250000</v>
      </c>
      <c r="V121" s="18">
        <v>250000</v>
      </c>
    </row>
    <row r="122" spans="1:22" s="23" customFormat="1" x14ac:dyDescent="0.35">
      <c r="A122" s="106" t="s">
        <v>411</v>
      </c>
      <c r="B122" s="106"/>
      <c r="C122" s="106"/>
      <c r="D122" s="106"/>
      <c r="E122" s="106"/>
      <c r="F122" s="105">
        <v>300000</v>
      </c>
      <c r="G122" s="105"/>
      <c r="H122" s="105"/>
      <c r="R122"/>
      <c r="S122">
        <v>1300000</v>
      </c>
      <c r="T122">
        <v>400000</v>
      </c>
      <c r="U122">
        <v>350000</v>
      </c>
      <c r="V122" s="18">
        <v>400000</v>
      </c>
    </row>
    <row r="123" spans="1:22" s="23" customFormat="1" hidden="1" x14ac:dyDescent="0.35">
      <c r="A123" s="106" t="s">
        <v>88</v>
      </c>
      <c r="B123" s="106"/>
      <c r="C123" s="106"/>
      <c r="D123" s="106"/>
      <c r="E123" s="106"/>
      <c r="F123" s="105"/>
      <c r="G123" s="105"/>
      <c r="H123" s="105"/>
      <c r="R123"/>
      <c r="S123">
        <v>1200000</v>
      </c>
      <c r="T123">
        <v>350000</v>
      </c>
      <c r="U123">
        <v>300000</v>
      </c>
      <c r="V123">
        <v>300000</v>
      </c>
    </row>
    <row r="124" spans="1:22" s="23" customFormat="1" hidden="1" x14ac:dyDescent="0.35">
      <c r="A124" s="106" t="s">
        <v>89</v>
      </c>
      <c r="B124" s="106"/>
      <c r="C124" s="106"/>
      <c r="D124" s="106"/>
      <c r="E124" s="106"/>
      <c r="F124" s="105"/>
      <c r="G124" s="105"/>
      <c r="H124" s="105"/>
      <c r="R124"/>
      <c r="S124">
        <v>1300000</v>
      </c>
      <c r="T124">
        <v>400000</v>
      </c>
      <c r="U124">
        <v>350000</v>
      </c>
      <c r="V124" s="18">
        <v>400000</v>
      </c>
    </row>
    <row r="125" spans="1:22" s="23" customFormat="1" hidden="1" x14ac:dyDescent="0.35">
      <c r="A125" s="106" t="s">
        <v>90</v>
      </c>
      <c r="B125" s="106"/>
      <c r="C125" s="106"/>
      <c r="D125" s="106"/>
      <c r="E125" s="106"/>
      <c r="F125" s="105"/>
      <c r="G125" s="105"/>
      <c r="H125" s="105"/>
      <c r="R125"/>
      <c r="S125">
        <v>1400000</v>
      </c>
      <c r="T125">
        <v>500000</v>
      </c>
      <c r="U125">
        <v>400000</v>
      </c>
      <c r="V125"/>
    </row>
    <row r="126" spans="1:22" s="23" customFormat="1" hidden="1" x14ac:dyDescent="0.35">
      <c r="A126" s="106" t="s">
        <v>91</v>
      </c>
      <c r="B126" s="106"/>
      <c r="C126" s="106"/>
      <c r="D126" s="106"/>
      <c r="E126" s="106"/>
      <c r="F126" s="105"/>
      <c r="G126" s="105"/>
      <c r="H126" s="105"/>
      <c r="R126"/>
      <c r="S126">
        <v>1500000</v>
      </c>
      <c r="T126">
        <v>600000</v>
      </c>
      <c r="U126">
        <v>500000</v>
      </c>
      <c r="V126" s="18"/>
    </row>
    <row r="127" spans="1:22" s="23" customFormat="1" hidden="1" x14ac:dyDescent="0.35">
      <c r="A127" s="106" t="s">
        <v>92</v>
      </c>
      <c r="B127" s="106"/>
      <c r="C127" s="106"/>
      <c r="D127" s="106"/>
      <c r="E127" s="106"/>
      <c r="F127" s="105"/>
      <c r="G127" s="105"/>
      <c r="H127" s="105"/>
      <c r="R127"/>
      <c r="S127">
        <v>1600000</v>
      </c>
      <c r="T127">
        <v>700000</v>
      </c>
      <c r="U127">
        <v>600000</v>
      </c>
      <c r="V127"/>
    </row>
    <row r="128" spans="1:22" s="23" customFormat="1" hidden="1" x14ac:dyDescent="0.35">
      <c r="A128" s="106" t="s">
        <v>93</v>
      </c>
      <c r="B128" s="106"/>
      <c r="C128" s="106"/>
      <c r="D128" s="106"/>
      <c r="E128" s="106"/>
      <c r="F128" s="105"/>
      <c r="G128" s="105"/>
      <c r="H128" s="105"/>
      <c r="R128"/>
      <c r="S128">
        <v>1700000</v>
      </c>
      <c r="T128">
        <v>800000</v>
      </c>
      <c r="U128"/>
      <c r="V128" s="18"/>
    </row>
    <row r="129" spans="1:22" x14ac:dyDescent="0.35">
      <c r="A129" s="106" t="s">
        <v>48</v>
      </c>
      <c r="B129" s="106"/>
      <c r="C129" s="106"/>
      <c r="D129" s="106"/>
      <c r="E129" s="106"/>
      <c r="F129" s="211">
        <v>200000</v>
      </c>
      <c r="G129" s="211"/>
      <c r="H129" s="211"/>
      <c r="R129"/>
      <c r="S129">
        <v>1800000</v>
      </c>
      <c r="T129">
        <v>900000</v>
      </c>
      <c r="U129"/>
    </row>
    <row r="130" spans="1:22" s="24" customFormat="1" x14ac:dyDescent="0.35">
      <c r="A130" s="164" t="s">
        <v>49</v>
      </c>
      <c r="B130" s="164"/>
      <c r="C130" s="164"/>
      <c r="D130" s="164"/>
      <c r="E130" s="164"/>
      <c r="F130" s="105">
        <f>F118*0.8</f>
        <v>4160</v>
      </c>
      <c r="G130" s="105"/>
      <c r="H130" s="105"/>
      <c r="R130" s="16"/>
      <c r="S130" s="16"/>
      <c r="T130">
        <v>1000000</v>
      </c>
      <c r="U130"/>
      <c r="V130" s="16"/>
    </row>
    <row r="131" spans="1:22" s="25" customFormat="1" ht="15.75" customHeight="1" x14ac:dyDescent="0.35">
      <c r="A131" s="141" t="s">
        <v>70</v>
      </c>
      <c r="B131" s="141"/>
      <c r="C131" s="141"/>
      <c r="D131" s="141"/>
      <c r="E131" s="141"/>
      <c r="F131" s="141"/>
      <c r="G131" s="141"/>
      <c r="H131" s="141"/>
      <c r="R131"/>
      <c r="S131" s="16"/>
      <c r="T131"/>
      <c r="U131"/>
      <c r="V131" s="16"/>
    </row>
    <row r="132" spans="1:22" s="25" customFormat="1" ht="15.75" customHeight="1" x14ac:dyDescent="0.35">
      <c r="A132" s="146" t="s">
        <v>50</v>
      </c>
      <c r="B132" s="146"/>
      <c r="C132" s="143" t="s">
        <v>73</v>
      </c>
      <c r="D132" s="143"/>
      <c r="E132" s="145" t="s">
        <v>51</v>
      </c>
      <c r="F132" s="145"/>
      <c r="G132" s="146" t="s">
        <v>52</v>
      </c>
      <c r="H132" s="146"/>
      <c r="R132"/>
      <c r="S132" s="16"/>
      <c r="T132"/>
      <c r="U132" s="16"/>
      <c r="V132" s="16"/>
    </row>
    <row r="133" spans="1:22" s="25" customFormat="1" ht="15.75" customHeight="1" x14ac:dyDescent="0.35">
      <c r="A133" s="107" t="s">
        <v>376</v>
      </c>
      <c r="B133" s="68" t="s">
        <v>396</v>
      </c>
      <c r="C133" s="95">
        <f>COUNT(D154:D160)</f>
        <v>7</v>
      </c>
      <c r="D133" s="95"/>
      <c r="E133" s="95">
        <f>SUM(F154:F160)</f>
        <v>5185.5465948000001</v>
      </c>
      <c r="F133" s="95"/>
      <c r="G133" s="95">
        <f>SUM(H154:H160)</f>
        <v>7778.3198921999992</v>
      </c>
      <c r="H133" s="95"/>
      <c r="R133"/>
      <c r="S133" s="16"/>
      <c r="T133"/>
      <c r="U133" s="16"/>
      <c r="V133" s="16"/>
    </row>
    <row r="134" spans="1:22" s="25" customFormat="1" ht="15.75" customHeight="1" x14ac:dyDescent="0.35">
      <c r="A134" s="108"/>
      <c r="B134" s="68" t="s">
        <v>382</v>
      </c>
      <c r="C134" s="110">
        <f>COUNT(D162:D167)</f>
        <v>6</v>
      </c>
      <c r="D134" s="111"/>
      <c r="E134" s="110">
        <f>SUM(F162:F167)</f>
        <v>2042.2214280000001</v>
      </c>
      <c r="F134" s="111"/>
      <c r="G134" s="95">
        <f>SUM(H162:H167)</f>
        <v>3063.3321420000002</v>
      </c>
      <c r="H134" s="95"/>
      <c r="R134"/>
      <c r="S134" s="16"/>
      <c r="T134"/>
      <c r="U134" s="16"/>
      <c r="V134" s="16"/>
    </row>
    <row r="135" spans="1:22" s="25" customFormat="1" ht="15.75" customHeight="1" x14ac:dyDescent="0.35">
      <c r="A135" s="107" t="s">
        <v>380</v>
      </c>
      <c r="B135" s="68" t="s">
        <v>396</v>
      </c>
      <c r="C135" s="95">
        <f>COUNT(D171:D179)</f>
        <v>9</v>
      </c>
      <c r="D135" s="95"/>
      <c r="E135" s="95">
        <f>SUM(F171:F179)</f>
        <v>8199.3514200000009</v>
      </c>
      <c r="F135" s="95"/>
      <c r="G135" s="95">
        <f>SUM(H171:H179)</f>
        <v>12299.027129999999</v>
      </c>
      <c r="H135" s="95"/>
      <c r="R135"/>
      <c r="S135" s="16"/>
      <c r="T135"/>
      <c r="U135" s="16"/>
      <c r="V135" s="16"/>
    </row>
    <row r="136" spans="1:22" s="25" customFormat="1" x14ac:dyDescent="0.35">
      <c r="A136" s="108"/>
      <c r="B136" s="68" t="s">
        <v>382</v>
      </c>
      <c r="C136" s="95">
        <f>COUNT(D181:D189)</f>
        <v>9</v>
      </c>
      <c r="D136" s="95"/>
      <c r="E136" s="95">
        <f>SUM(F181:F189)</f>
        <v>2894.33196</v>
      </c>
      <c r="F136" s="95"/>
      <c r="G136" s="95">
        <f>SUM(H181:H189)</f>
        <v>4341.4979399999993</v>
      </c>
      <c r="H136" s="95"/>
      <c r="R136"/>
      <c r="S136" s="16"/>
      <c r="T136"/>
      <c r="U136" s="16"/>
      <c r="V136" s="16"/>
    </row>
    <row r="137" spans="1:22" s="25" customFormat="1" x14ac:dyDescent="0.35">
      <c r="A137" s="107" t="s">
        <v>381</v>
      </c>
      <c r="B137" s="68" t="s">
        <v>396</v>
      </c>
      <c r="C137" s="95">
        <f>COUNT(D193:D199)</f>
        <v>7</v>
      </c>
      <c r="D137" s="95"/>
      <c r="E137" s="95">
        <f>SUM(F193:F199)</f>
        <v>5185.5150204000001</v>
      </c>
      <c r="F137" s="95"/>
      <c r="G137" s="95">
        <f>SUM(H193:H199)</f>
        <v>7778.2725305999993</v>
      </c>
      <c r="H137" s="95"/>
      <c r="T137"/>
    </row>
    <row r="138" spans="1:22" s="25" customFormat="1" ht="15.75" customHeight="1" x14ac:dyDescent="0.35">
      <c r="A138" s="108"/>
      <c r="B138" s="68" t="s">
        <v>382</v>
      </c>
      <c r="C138" s="95">
        <f>COUNT(D201:D206)</f>
        <v>6</v>
      </c>
      <c r="D138" s="95"/>
      <c r="E138" s="95">
        <f>SUM(F201:F206)</f>
        <v>2042.2214280000001</v>
      </c>
      <c r="F138" s="95"/>
      <c r="G138" s="95">
        <f>SUM(H201:H206)</f>
        <v>3063.3321420000002</v>
      </c>
      <c r="H138" s="95"/>
      <c r="T138"/>
    </row>
    <row r="139" spans="1:22" s="25" customFormat="1" x14ac:dyDescent="0.35">
      <c r="A139" s="141" t="s">
        <v>143</v>
      </c>
      <c r="B139" s="141"/>
      <c r="C139" s="142">
        <f t="shared" ref="C139:G139" si="0">SUM(C133:D138)</f>
        <v>44</v>
      </c>
      <c r="D139" s="143"/>
      <c r="E139" s="144">
        <f t="shared" si="0"/>
        <v>25549.1878512</v>
      </c>
      <c r="F139" s="145"/>
      <c r="G139" s="146">
        <f t="shared" si="0"/>
        <v>38323.781776799995</v>
      </c>
      <c r="H139" s="146"/>
      <c r="T139"/>
    </row>
    <row r="140" spans="1:22" s="25" customFormat="1" x14ac:dyDescent="0.35">
      <c r="A140" s="141" t="s">
        <v>65</v>
      </c>
      <c r="B140" s="141"/>
      <c r="C140" s="141"/>
      <c r="D140" s="141"/>
      <c r="E140" s="141"/>
      <c r="F140" s="141"/>
      <c r="G140" s="141"/>
      <c r="H140" s="141"/>
      <c r="T140"/>
    </row>
    <row r="141" spans="1:22" s="25" customFormat="1" x14ac:dyDescent="0.35">
      <c r="A141" s="146" t="s">
        <v>50</v>
      </c>
      <c r="B141" s="146"/>
      <c r="C141" s="143" t="s">
        <v>73</v>
      </c>
      <c r="D141" s="143"/>
      <c r="E141" s="145" t="s">
        <v>51</v>
      </c>
      <c r="F141" s="145"/>
      <c r="G141" s="146" t="s">
        <v>52</v>
      </c>
      <c r="H141" s="146"/>
      <c r="T141"/>
    </row>
    <row r="142" spans="1:22" s="25" customFormat="1" x14ac:dyDescent="0.35">
      <c r="A142" s="109" t="s">
        <v>376</v>
      </c>
      <c r="B142" s="109"/>
      <c r="C142" s="95">
        <f>COUNT(D213:D220)+COUNT(D222:D229)*16+COUNT(D231:D232,D234:D238)*4</f>
        <v>164</v>
      </c>
      <c r="D142" s="95"/>
      <c r="E142" s="95">
        <f>SUM(F213:F220)+SUM(F222:F229)*16+SUM(F231:F232,F234:F238)*4</f>
        <v>95670.475055999996</v>
      </c>
      <c r="F142" s="95"/>
      <c r="G142" s="95">
        <f>SUM(H213:H220)+SUM(H222:H229)*16+SUM(H231:H232,H234:H238)*4</f>
        <v>143835.665064</v>
      </c>
      <c r="H142" s="95"/>
      <c r="T142"/>
    </row>
    <row r="143" spans="1:22" s="25" customFormat="1" x14ac:dyDescent="0.35">
      <c r="A143" s="109" t="s">
        <v>380</v>
      </c>
      <c r="B143" s="109"/>
      <c r="C143" s="95">
        <f>COUNT(D242:D253)+COUNT(D255:D266)*16+COUNT(D268:D269,D271:D279)*4</f>
        <v>248</v>
      </c>
      <c r="D143" s="95"/>
      <c r="E143" s="95">
        <f>SUM(F242:F253)+SUM(F255:F266)*16+SUM(F268:F269,F271:F279)*4</f>
        <v>113992.69752</v>
      </c>
      <c r="F143" s="95"/>
      <c r="G143" s="95">
        <f>SUM(H242:H253)+SUM(H255:H266)*16+SUM(H268:H269,H271:H279)*4</f>
        <v>171504.42659999998</v>
      </c>
      <c r="H143" s="95"/>
      <c r="T143"/>
    </row>
    <row r="144" spans="1:22" s="24" customFormat="1" x14ac:dyDescent="0.35">
      <c r="A144" s="109" t="s">
        <v>381</v>
      </c>
      <c r="B144" s="109"/>
      <c r="C144" s="95">
        <f>COUNT(D283:D290)+COUNT(D292:D299)*16+COUNT(D301:D302,D304:D308)*4</f>
        <v>164</v>
      </c>
      <c r="D144" s="95"/>
      <c r="E144" s="95">
        <f>SUM(F283:F290)+SUM(F292:F299)*16+SUM(F301:F302,F304:F308)*4</f>
        <v>95670.475055999996</v>
      </c>
      <c r="F144" s="95"/>
      <c r="G144" s="95">
        <f>SUM(H283:H290)+SUM(H292:H299)*16+SUM(H301:H302,H304:H308)*4</f>
        <v>143835.665064</v>
      </c>
      <c r="H144" s="95"/>
      <c r="T144" s="25"/>
    </row>
    <row r="145" spans="1:20" ht="16" thickBot="1" x14ac:dyDescent="0.4">
      <c r="A145" s="137" t="s">
        <v>143</v>
      </c>
      <c r="B145" s="137"/>
      <c r="C145" s="224">
        <f>SUM(C142:D144)</f>
        <v>576</v>
      </c>
      <c r="D145" s="225"/>
      <c r="E145" s="138">
        <f t="shared" ref="E145:G145" si="1">SUM(E142:F144)</f>
        <v>305333.64763199998</v>
      </c>
      <c r="F145" s="139"/>
      <c r="G145" s="140">
        <f t="shared" si="1"/>
        <v>459175.75672799995</v>
      </c>
      <c r="H145" s="140"/>
      <c r="T145" s="25"/>
    </row>
    <row r="146" spans="1:20" ht="16" thickBot="1" x14ac:dyDescent="0.4">
      <c r="A146" s="215" t="s">
        <v>159</v>
      </c>
      <c r="B146" s="216"/>
      <c r="C146" s="217">
        <f>C139+C145</f>
        <v>620</v>
      </c>
      <c r="D146" s="218"/>
      <c r="E146" s="219">
        <f>E139+E145</f>
        <v>330882.83548319997</v>
      </c>
      <c r="F146" s="219"/>
      <c r="G146" s="153">
        <f>G139+G145</f>
        <v>497499.53850479994</v>
      </c>
      <c r="H146" s="154"/>
      <c r="T146" s="25"/>
    </row>
    <row r="147" spans="1:20" s="27" customFormat="1" x14ac:dyDescent="0.35">
      <c r="A147" s="226" t="s">
        <v>397</v>
      </c>
      <c r="B147" s="226"/>
      <c r="C147" s="226"/>
      <c r="D147" s="226"/>
      <c r="E147" s="226"/>
      <c r="F147" s="226"/>
      <c r="G147" s="226"/>
      <c r="H147" s="226"/>
      <c r="T147" s="25"/>
    </row>
    <row r="148" spans="1:20" s="27" customFormat="1" x14ac:dyDescent="0.35">
      <c r="A148" s="204" t="s">
        <v>167</v>
      </c>
      <c r="B148" s="204"/>
      <c r="C148" s="204"/>
      <c r="D148" s="204"/>
      <c r="E148" s="204"/>
      <c r="F148" s="204"/>
      <c r="G148" s="204"/>
      <c r="H148" s="204"/>
      <c r="I148" s="78">
        <v>10.763999999999999</v>
      </c>
      <c r="J148" s="26"/>
      <c r="T148" s="25"/>
    </row>
    <row r="149" spans="1:20" s="27" customFormat="1" ht="55.5" customHeight="1" x14ac:dyDescent="0.35">
      <c r="A149" s="103" t="s">
        <v>113</v>
      </c>
      <c r="B149" s="103" t="s">
        <v>169</v>
      </c>
      <c r="C149" s="103" t="s">
        <v>53</v>
      </c>
      <c r="D149" s="158" t="s">
        <v>389</v>
      </c>
      <c r="E149" s="129" t="s">
        <v>379</v>
      </c>
      <c r="F149" s="103" t="s">
        <v>54</v>
      </c>
      <c r="G149" s="129" t="s">
        <v>55</v>
      </c>
      <c r="H149" s="77" t="s">
        <v>142</v>
      </c>
      <c r="I149" s="26"/>
      <c r="L149" s="150"/>
      <c r="M149" s="150"/>
      <c r="N149" s="26"/>
      <c r="T149" s="25"/>
    </row>
    <row r="150" spans="1:20" s="27" customFormat="1" ht="15.75" customHeight="1" x14ac:dyDescent="0.35">
      <c r="A150" s="104"/>
      <c r="B150" s="104"/>
      <c r="C150" s="104"/>
      <c r="D150" s="159"/>
      <c r="E150" s="130"/>
      <c r="F150" s="104"/>
      <c r="G150" s="130"/>
      <c r="H150" s="91">
        <v>0.5</v>
      </c>
      <c r="I150" s="26"/>
      <c r="L150" s="150"/>
      <c r="M150" s="150"/>
      <c r="N150" s="26"/>
      <c r="T150" s="24"/>
    </row>
    <row r="151" spans="1:20" s="27" customFormat="1" ht="15.75" customHeight="1" x14ac:dyDescent="0.35">
      <c r="A151" s="98" t="s">
        <v>376</v>
      </c>
      <c r="B151" s="99"/>
      <c r="C151" s="99"/>
      <c r="D151" s="99"/>
      <c r="E151" s="99"/>
      <c r="F151" s="99"/>
      <c r="G151" s="99"/>
      <c r="H151" s="100"/>
      <c r="I151" s="26">
        <f>5.28*5.6</f>
        <v>29.567999999999998</v>
      </c>
      <c r="L151" s="150"/>
      <c r="M151" s="150"/>
      <c r="N151" s="26"/>
      <c r="T151" s="16"/>
    </row>
    <row r="152" spans="1:20" s="27" customFormat="1" ht="15.75" customHeight="1" x14ac:dyDescent="0.35">
      <c r="A152" s="98" t="s">
        <v>377</v>
      </c>
      <c r="B152" s="99"/>
      <c r="C152" s="99"/>
      <c r="D152" s="99"/>
      <c r="E152" s="99"/>
      <c r="F152" s="99"/>
      <c r="G152" s="99"/>
      <c r="H152" s="100"/>
      <c r="I152" s="26"/>
      <c r="L152" s="150"/>
      <c r="M152" s="150"/>
      <c r="N152" s="26"/>
      <c r="T152" s="16"/>
    </row>
    <row r="153" spans="1:20" s="27" customFormat="1" x14ac:dyDescent="0.35">
      <c r="A153" s="98" t="s">
        <v>399</v>
      </c>
      <c r="B153" s="99"/>
      <c r="C153" s="99"/>
      <c r="D153" s="99"/>
      <c r="E153" s="99"/>
      <c r="F153" s="99"/>
      <c r="G153" s="99"/>
      <c r="H153" s="100"/>
      <c r="I153" s="26"/>
      <c r="N153" s="26"/>
    </row>
    <row r="154" spans="1:20" x14ac:dyDescent="0.35">
      <c r="A154" s="96">
        <v>1</v>
      </c>
      <c r="B154" s="97"/>
      <c r="C154" s="32" t="s">
        <v>378</v>
      </c>
      <c r="D154" s="78">
        <f>(107.9)*10.764</f>
        <v>1161.4356</v>
      </c>
      <c r="E154" s="78">
        <f>(5.68*9.37)*10.764</f>
        <v>572.87730239999996</v>
      </c>
      <c r="F154" s="47">
        <f>D154+(IF(E154&lt;201,E154,IF(E154&lt;301,E154/2,E154/3)))</f>
        <v>1352.3947008</v>
      </c>
      <c r="G154" s="48">
        <v>0</v>
      </c>
      <c r="H154" s="47">
        <f>(F154+(IF(G154&lt;101,G154,IF(G154&lt;201,G154/2,IF(G154&lt;=301,G154/3,G154/4)))))*(($H$150)+1)</f>
        <v>2028.5920512</v>
      </c>
      <c r="I154" s="26"/>
      <c r="T154" s="27"/>
    </row>
    <row r="155" spans="1:20" s="27" customFormat="1" x14ac:dyDescent="0.35">
      <c r="A155" s="96">
        <f>A154+1</f>
        <v>2</v>
      </c>
      <c r="B155" s="97"/>
      <c r="C155" s="70" t="s">
        <v>378</v>
      </c>
      <c r="D155" s="78">
        <f>(30.27)*10.764</f>
        <v>325.82628</v>
      </c>
      <c r="E155" s="78">
        <f>(5.28*2.8)*10.764</f>
        <v>159.13497599999997</v>
      </c>
      <c r="F155" s="47">
        <f t="shared" ref="F155:F157" si="2">D155+(IF(E155&lt;201,E155,IF(E155&lt;301,E155/2,E155/3)))</f>
        <v>484.96125599999993</v>
      </c>
      <c r="G155" s="40">
        <v>0</v>
      </c>
      <c r="H155" s="47">
        <f t="shared" ref="H155:H157" si="3">(F155+(IF(G155&lt;101,G155,IF(G155&lt;201,G155/2,IF(G155&lt;=301,G155/3,G155/4)))))*(($H$150)+1)</f>
        <v>727.44188399999985</v>
      </c>
      <c r="I155" s="89">
        <f>5.28*5.6</f>
        <v>29.567999999999998</v>
      </c>
    </row>
    <row r="156" spans="1:20" s="27" customFormat="1" x14ac:dyDescent="0.35">
      <c r="A156" s="96">
        <f>A155+1</f>
        <v>3</v>
      </c>
      <c r="B156" s="97"/>
      <c r="C156" s="70" t="s">
        <v>378</v>
      </c>
      <c r="D156" s="78">
        <f>(51.58)*10.764</f>
        <v>555.20711999999992</v>
      </c>
      <c r="E156" s="78">
        <f>((6.8*3.93-0.9*1.5))*10.764</f>
        <v>273.12573599999996</v>
      </c>
      <c r="F156" s="47">
        <f t="shared" si="2"/>
        <v>691.7699879999999</v>
      </c>
      <c r="G156" s="40">
        <v>0</v>
      </c>
      <c r="H156" s="47">
        <f t="shared" si="3"/>
        <v>1037.6549819999998</v>
      </c>
      <c r="I156" s="27">
        <f>5.3*8.75+1.5*3</f>
        <v>50.875</v>
      </c>
      <c r="J156" s="26"/>
    </row>
    <row r="157" spans="1:20" s="27" customFormat="1" ht="15.75" customHeight="1" x14ac:dyDescent="0.35">
      <c r="A157" s="96">
        <f>A156+1</f>
        <v>4</v>
      </c>
      <c r="B157" s="97"/>
      <c r="C157" s="70" t="s">
        <v>378</v>
      </c>
      <c r="D157" s="78">
        <f>(17.58)*10.764</f>
        <v>189.23111999999998</v>
      </c>
      <c r="E157" s="78">
        <v>0</v>
      </c>
      <c r="F157" s="47">
        <f t="shared" si="2"/>
        <v>189.23111999999998</v>
      </c>
      <c r="G157" s="40">
        <v>0</v>
      </c>
      <c r="H157" s="47">
        <f t="shared" si="3"/>
        <v>283.84667999999999</v>
      </c>
      <c r="I157" s="26"/>
      <c r="L157" s="150"/>
      <c r="M157" s="150"/>
      <c r="N157" s="26"/>
    </row>
    <row r="158" spans="1:20" s="27" customFormat="1" ht="15.75" customHeight="1" x14ac:dyDescent="0.35">
      <c r="A158" s="96">
        <v>5</v>
      </c>
      <c r="B158" s="97"/>
      <c r="C158" s="70" t="s">
        <v>378</v>
      </c>
      <c r="D158" s="78">
        <f>(51.58)*10.764</f>
        <v>555.20711999999992</v>
      </c>
      <c r="E158" s="78">
        <f>((6.8*3.93-0.9*1.5))*10.764</f>
        <v>273.12573599999996</v>
      </c>
      <c r="F158" s="70">
        <f>D158+(IF(E158&lt;201,E158,IF(E158&lt;301,E158/2,E158/3)))</f>
        <v>691.7699879999999</v>
      </c>
      <c r="G158" s="48">
        <v>0</v>
      </c>
      <c r="H158" s="70">
        <f>(F158+(IF(G158&lt;101,G158,IF(G158&lt;201,G158/2,IF(G158&lt;=301,G158/3,G158/4)))))*(($H$150)+1)</f>
        <v>1037.6549819999998</v>
      </c>
      <c r="I158" s="26"/>
      <c r="L158" s="150"/>
      <c r="M158" s="150"/>
      <c r="N158" s="26"/>
    </row>
    <row r="159" spans="1:20" s="27" customFormat="1" ht="15.75" customHeight="1" x14ac:dyDescent="0.35">
      <c r="A159" s="96">
        <f>A158+1</f>
        <v>6</v>
      </c>
      <c r="B159" s="97"/>
      <c r="C159" s="70" t="s">
        <v>378</v>
      </c>
      <c r="D159" s="78">
        <f>(30.27)*10.764</f>
        <v>325.82628</v>
      </c>
      <c r="E159" s="78">
        <f>(5.28*2.8)*10.764</f>
        <v>159.13497599999997</v>
      </c>
      <c r="F159" s="70">
        <f t="shared" ref="F159:F160" si="4">D159+(IF(E159&lt;201,E159,IF(E159&lt;301,E159/2,E159/3)))</f>
        <v>484.96125599999993</v>
      </c>
      <c r="G159" s="70">
        <v>0</v>
      </c>
      <c r="H159" s="70">
        <f t="shared" ref="H159:H160" si="5">(F159+(IF(G159&lt;101,G159,IF(G159&lt;201,G159/2,IF(G159&lt;=301,G159/3,G159/4)))))*(($H$150)+1)</f>
        <v>727.44188399999985</v>
      </c>
      <c r="I159" s="26"/>
      <c r="L159" s="150"/>
      <c r="M159" s="150"/>
      <c r="N159" s="26"/>
    </row>
    <row r="160" spans="1:20" s="27" customFormat="1" ht="15.75" customHeight="1" x14ac:dyDescent="0.35">
      <c r="A160" s="96">
        <f>A159+1</f>
        <v>7</v>
      </c>
      <c r="B160" s="97"/>
      <c r="C160" s="70" t="s">
        <v>378</v>
      </c>
      <c r="D160" s="78">
        <f>(107.1)*10.764</f>
        <v>1152.8244</v>
      </c>
      <c r="E160" s="78">
        <f>((6.21*6.95-1.5*3.2))*10.764</f>
        <v>412.90165799999994</v>
      </c>
      <c r="F160" s="70">
        <f t="shared" si="4"/>
        <v>1290.458286</v>
      </c>
      <c r="G160" s="70">
        <v>0</v>
      </c>
      <c r="H160" s="70">
        <f t="shared" si="5"/>
        <v>1935.6874290000001</v>
      </c>
      <c r="I160" s="26"/>
      <c r="L160" s="150"/>
      <c r="M160" s="150"/>
      <c r="N160" s="26"/>
      <c r="T160" s="16"/>
    </row>
    <row r="161" spans="1:14" s="27" customFormat="1" x14ac:dyDescent="0.35">
      <c r="A161" s="98" t="s">
        <v>383</v>
      </c>
      <c r="B161" s="99"/>
      <c r="C161" s="99"/>
      <c r="D161" s="99"/>
      <c r="E161" s="99"/>
      <c r="F161" s="99"/>
      <c r="G161" s="99"/>
      <c r="H161" s="100"/>
      <c r="I161" s="26"/>
      <c r="L161" s="150"/>
      <c r="M161" s="150"/>
    </row>
    <row r="162" spans="1:14" s="27" customFormat="1" x14ac:dyDescent="0.35">
      <c r="A162" s="96">
        <v>1</v>
      </c>
      <c r="B162" s="97"/>
      <c r="C162" s="70" t="s">
        <v>382</v>
      </c>
      <c r="D162" s="78">
        <f>(6.21*5.65)*10.764</f>
        <v>377.671086</v>
      </c>
      <c r="E162" s="70">
        <v>0</v>
      </c>
      <c r="F162" s="70">
        <f>D162+(IF(E162&lt;201,E162,IF(E162&lt;301,E162/2,E162/3)))</f>
        <v>377.671086</v>
      </c>
      <c r="G162" s="48">
        <v>0</v>
      </c>
      <c r="H162" s="70">
        <f>(F162+(IF(G162&lt;101,G162,IF(G162&lt;201,G162/2,IF(G162&lt;=301,G162/3,G162/4)))))*(($H$150)+1)</f>
        <v>566.50662899999998</v>
      </c>
      <c r="I162" s="26"/>
      <c r="N162" s="26"/>
    </row>
    <row r="163" spans="1:14" s="27" customFormat="1" x14ac:dyDescent="0.35">
      <c r="A163" s="96">
        <f>A162+1</f>
        <v>2</v>
      </c>
      <c r="B163" s="97"/>
      <c r="C163" s="70" t="s">
        <v>382</v>
      </c>
      <c r="D163" s="78">
        <f>(5.28*5.65)*10.764</f>
        <v>321.111648</v>
      </c>
      <c r="E163" s="70">
        <v>0</v>
      </c>
      <c r="F163" s="70">
        <f t="shared" ref="F163:F165" si="6">D163+(IF(E163&lt;201,E163,IF(E163&lt;301,E163/2,E163/3)))</f>
        <v>321.111648</v>
      </c>
      <c r="G163" s="70">
        <v>0</v>
      </c>
      <c r="H163" s="70">
        <f t="shared" ref="H163:H165" si="7">(F163+(IF(G163&lt;101,G163,IF(G163&lt;201,G163/2,IF(G163&lt;=301,G163/3,G163/4)))))*(($H$150)+1)</f>
        <v>481.66747199999998</v>
      </c>
      <c r="I163" s="26"/>
      <c r="N163" s="26"/>
    </row>
    <row r="164" spans="1:14" s="27" customFormat="1" x14ac:dyDescent="0.35">
      <c r="A164" s="96">
        <f>A163+1</f>
        <v>3</v>
      </c>
      <c r="B164" s="97"/>
      <c r="C164" s="70" t="s">
        <v>382</v>
      </c>
      <c r="D164" s="78">
        <f>(5.3*5.65)*10.764</f>
        <v>322.32797999999997</v>
      </c>
      <c r="E164" s="70">
        <v>0</v>
      </c>
      <c r="F164" s="70">
        <f t="shared" si="6"/>
        <v>322.32797999999997</v>
      </c>
      <c r="G164" s="70">
        <v>0</v>
      </c>
      <c r="H164" s="70">
        <f t="shared" si="7"/>
        <v>483.49196999999992</v>
      </c>
      <c r="I164" s="26"/>
      <c r="N164" s="26"/>
    </row>
    <row r="165" spans="1:14" s="27" customFormat="1" x14ac:dyDescent="0.35">
      <c r="A165" s="96">
        <f>A164+1</f>
        <v>4</v>
      </c>
      <c r="B165" s="97"/>
      <c r="C165" s="70" t="s">
        <v>382</v>
      </c>
      <c r="D165" s="78">
        <f>(5.3*5.65)*10.764</f>
        <v>322.32797999999997</v>
      </c>
      <c r="E165" s="70">
        <v>0</v>
      </c>
      <c r="F165" s="70">
        <f t="shared" si="6"/>
        <v>322.32797999999997</v>
      </c>
      <c r="G165" s="70">
        <v>0</v>
      </c>
      <c r="H165" s="70">
        <f t="shared" si="7"/>
        <v>483.49196999999992</v>
      </c>
      <c r="I165" s="26"/>
      <c r="N165" s="26"/>
    </row>
    <row r="166" spans="1:14" s="27" customFormat="1" ht="15.75" customHeight="1" x14ac:dyDescent="0.35">
      <c r="A166" s="96">
        <v>5</v>
      </c>
      <c r="B166" s="97"/>
      <c r="C166" s="70" t="s">
        <v>382</v>
      </c>
      <c r="D166" s="78">
        <f>(5.28*5.65)*10.764</f>
        <v>321.111648</v>
      </c>
      <c r="E166" s="70">
        <v>0</v>
      </c>
      <c r="F166" s="70">
        <f>D166+(IF(E166&lt;201,E166,IF(E166&lt;301,E166/2,E166/3)))</f>
        <v>321.111648</v>
      </c>
      <c r="G166" s="48">
        <v>0</v>
      </c>
      <c r="H166" s="70">
        <f>(F166+(IF(G166&lt;101,G166,IF(G166&lt;201,G166/2,IF(G166&lt;=301,G166/3,G166/4)))))*(($H$150)+1)</f>
        <v>481.66747199999998</v>
      </c>
      <c r="I166" s="26"/>
    </row>
    <row r="167" spans="1:14" s="27" customFormat="1" ht="15.75" customHeight="1" x14ac:dyDescent="0.35">
      <c r="A167" s="96">
        <f>A166+1</f>
        <v>6</v>
      </c>
      <c r="B167" s="97"/>
      <c r="C167" s="70" t="s">
        <v>382</v>
      </c>
      <c r="D167" s="78">
        <f>(6.21*5.65)*10.764</f>
        <v>377.671086</v>
      </c>
      <c r="E167" s="70">
        <v>0</v>
      </c>
      <c r="F167" s="70">
        <f t="shared" ref="F167" si="8">D167+(IF(E167&lt;201,E167,IF(E167&lt;301,E167/2,E167/3)))</f>
        <v>377.671086</v>
      </c>
      <c r="G167" s="70">
        <v>0</v>
      </c>
      <c r="H167" s="70">
        <f t="shared" ref="H167" si="9">(F167+(IF(G167&lt;101,G167,IF(G167&lt;201,G167/2,IF(G167&lt;=301,G167/3,G167/4)))))*(($H$150)+1)</f>
        <v>566.50662899999998</v>
      </c>
      <c r="I167" s="26"/>
    </row>
    <row r="168" spans="1:14" s="69" customFormat="1" ht="15.75" customHeight="1" x14ac:dyDescent="0.35">
      <c r="A168" s="98" t="s">
        <v>380</v>
      </c>
      <c r="B168" s="99"/>
      <c r="C168" s="99"/>
      <c r="D168" s="99"/>
      <c r="E168" s="99"/>
      <c r="F168" s="99"/>
      <c r="G168" s="99"/>
      <c r="H168" s="100"/>
      <c r="I168" s="26"/>
    </row>
    <row r="169" spans="1:14" s="27" customFormat="1" ht="15.75" customHeight="1" x14ac:dyDescent="0.35">
      <c r="A169" s="98" t="s">
        <v>377</v>
      </c>
      <c r="B169" s="99"/>
      <c r="C169" s="99"/>
      <c r="D169" s="99"/>
      <c r="E169" s="99"/>
      <c r="F169" s="99"/>
      <c r="G169" s="99"/>
      <c r="H169" s="100"/>
      <c r="I169" s="26"/>
    </row>
    <row r="170" spans="1:14" s="27" customFormat="1" ht="15.75" customHeight="1" x14ac:dyDescent="0.35">
      <c r="A170" s="98" t="s">
        <v>399</v>
      </c>
      <c r="B170" s="99"/>
      <c r="C170" s="99"/>
      <c r="D170" s="99"/>
      <c r="E170" s="99"/>
      <c r="F170" s="99"/>
      <c r="G170" s="99"/>
      <c r="H170" s="100"/>
      <c r="I170" s="26"/>
    </row>
    <row r="171" spans="1:14" s="27" customFormat="1" ht="15.75" customHeight="1" x14ac:dyDescent="0.35">
      <c r="A171" s="96">
        <v>8</v>
      </c>
      <c r="B171" s="97"/>
      <c r="C171" s="70" t="s">
        <v>378</v>
      </c>
      <c r="D171" s="78">
        <f>(150.74)*10.764</f>
        <v>1622.5653600000001</v>
      </c>
      <c r="E171" s="78">
        <f>(5.3*6.95)*10.764</f>
        <v>396.49194</v>
      </c>
      <c r="F171" s="70">
        <f>D171+(IF(E171&lt;201,E171,IF(E171&lt;301,E171/2,E171/3)))</f>
        <v>1754.7293400000001</v>
      </c>
      <c r="G171" s="48">
        <v>0</v>
      </c>
      <c r="H171" s="70">
        <f>(F171+(IF(G171&lt;101,G171,IF(G171&lt;201,G171/2,IF(G171&lt;=301,G171/3,G171/4)))))*(($H$150)+1)</f>
        <v>2632.0940100000003</v>
      </c>
      <c r="I171" s="26"/>
    </row>
    <row r="172" spans="1:14" s="27" customFormat="1" ht="15.75" customHeight="1" x14ac:dyDescent="0.35">
      <c r="A172" s="96">
        <f>A171+1</f>
        <v>9</v>
      </c>
      <c r="B172" s="97"/>
      <c r="C172" s="70" t="s">
        <v>378</v>
      </c>
      <c r="D172" s="78">
        <f>(88.54)*10.764</f>
        <v>953.04456000000005</v>
      </c>
      <c r="E172" s="78">
        <f>(5.95*6.95-(2*3.2))*10.764</f>
        <v>376.22870999999998</v>
      </c>
      <c r="F172" s="70">
        <f t="shared" ref="F172:F174" si="10">D172+(IF(E172&lt;201,E172,IF(E172&lt;301,E172/2,E172/3)))</f>
        <v>1078.4541300000001</v>
      </c>
      <c r="G172" s="70">
        <v>0</v>
      </c>
      <c r="H172" s="70">
        <f t="shared" ref="H172:H174" si="11">(F172+(IF(G172&lt;101,G172,IF(G172&lt;201,G172/2,IF(G172&lt;=301,G172/3,G172/4)))))*(($H$150)+1)</f>
        <v>1617.6811950000001</v>
      </c>
      <c r="I172" s="26"/>
    </row>
    <row r="173" spans="1:14" s="27" customFormat="1" x14ac:dyDescent="0.35">
      <c r="A173" s="96">
        <f>A172+1</f>
        <v>10</v>
      </c>
      <c r="B173" s="97"/>
      <c r="C173" s="70" t="s">
        <v>378</v>
      </c>
      <c r="D173" s="78">
        <f>(30.38)*10.764</f>
        <v>327.01031999999998</v>
      </c>
      <c r="E173" s="78">
        <f>(5.3*2.8)*10.764</f>
        <v>159.73775999999998</v>
      </c>
      <c r="F173" s="70">
        <f t="shared" si="10"/>
        <v>486.74807999999996</v>
      </c>
      <c r="G173" s="70">
        <v>0</v>
      </c>
      <c r="H173" s="70">
        <f t="shared" si="11"/>
        <v>730.12212</v>
      </c>
      <c r="I173" s="26"/>
    </row>
    <row r="174" spans="1:14" s="27" customFormat="1" ht="15.75" customHeight="1" x14ac:dyDescent="0.35">
      <c r="A174" s="96">
        <f>A173+1</f>
        <v>11</v>
      </c>
      <c r="B174" s="97"/>
      <c r="C174" s="70" t="s">
        <v>378</v>
      </c>
      <c r="D174" s="78">
        <f>(48.46)*10.764</f>
        <v>521.62343999999996</v>
      </c>
      <c r="E174" s="78">
        <f>(5.83*3+5.4*1.2)*10.764</f>
        <v>258.01308</v>
      </c>
      <c r="F174" s="70">
        <f t="shared" si="10"/>
        <v>650.62997999999993</v>
      </c>
      <c r="G174" s="70">
        <v>0</v>
      </c>
      <c r="H174" s="70">
        <f t="shared" si="11"/>
        <v>975.9449699999999</v>
      </c>
      <c r="I174" s="26"/>
    </row>
    <row r="175" spans="1:14" s="27" customFormat="1" ht="15.75" customHeight="1" x14ac:dyDescent="0.35">
      <c r="A175" s="96">
        <v>12</v>
      </c>
      <c r="B175" s="97"/>
      <c r="C175" s="70" t="s">
        <v>378</v>
      </c>
      <c r="D175" s="78">
        <f>(16.01)*10.764</f>
        <v>172.33163999999999</v>
      </c>
      <c r="E175" s="78">
        <f>(2.8*2.85)*10.764</f>
        <v>85.896719999999988</v>
      </c>
      <c r="F175" s="70">
        <f>D175+(IF(E175&lt;201,E175,IF(E175&lt;301,E175/2,E175/3)))</f>
        <v>258.22835999999995</v>
      </c>
      <c r="G175" s="48">
        <v>0</v>
      </c>
      <c r="H175" s="70">
        <f>(F175+(IF(G175&lt;101,G175,IF(G175&lt;201,G175/2,IF(G175&lt;=301,G175/3,G175/4)))))*(($H$150)+1)</f>
        <v>387.34253999999993</v>
      </c>
      <c r="I175" s="26"/>
    </row>
    <row r="176" spans="1:14" s="27" customFormat="1" ht="15.75" customHeight="1" x14ac:dyDescent="0.35">
      <c r="A176" s="96">
        <f>A175+1</f>
        <v>13</v>
      </c>
      <c r="B176" s="97"/>
      <c r="C176" s="70" t="s">
        <v>378</v>
      </c>
      <c r="D176" s="78">
        <f>(48.46)*10.764</f>
        <v>521.62343999999996</v>
      </c>
      <c r="E176" s="78">
        <f>(5.83*3+5.4*1.2)*10.764</f>
        <v>258.01308</v>
      </c>
      <c r="F176" s="70">
        <f t="shared" ref="F176:F178" si="12">D176+(IF(E176&lt;201,E176,IF(E176&lt;301,E176/2,E176/3)))</f>
        <v>650.62997999999993</v>
      </c>
      <c r="G176" s="70">
        <v>0</v>
      </c>
      <c r="H176" s="70">
        <f t="shared" ref="H176:H178" si="13">(F176+(IF(G176&lt;101,G176,IF(G176&lt;201,G176/2,IF(G176&lt;=301,G176/3,G176/4)))))*(($H$150)+1)</f>
        <v>975.9449699999999</v>
      </c>
      <c r="I176" s="26">
        <f>5.3*8.75+1.5*3</f>
        <v>50.875</v>
      </c>
    </row>
    <row r="177" spans="1:20" s="27" customFormat="1" ht="15.75" customHeight="1" x14ac:dyDescent="0.35">
      <c r="A177" s="96">
        <f>A176+1</f>
        <v>14</v>
      </c>
      <c r="B177" s="97"/>
      <c r="C177" s="70" t="s">
        <v>378</v>
      </c>
      <c r="D177" s="78">
        <f>(30.38)*10.764</f>
        <v>327.01031999999998</v>
      </c>
      <c r="E177" s="78">
        <f>(5.3*2.8)*10.764</f>
        <v>159.73775999999998</v>
      </c>
      <c r="F177" s="70">
        <f t="shared" si="12"/>
        <v>486.74807999999996</v>
      </c>
      <c r="G177" s="70">
        <v>0</v>
      </c>
      <c r="H177" s="70">
        <f t="shared" si="13"/>
        <v>730.12212</v>
      </c>
      <c r="I177" s="26"/>
    </row>
    <row r="178" spans="1:20" s="27" customFormat="1" ht="15.75" customHeight="1" x14ac:dyDescent="0.35">
      <c r="A178" s="96">
        <f>A177+1</f>
        <v>15</v>
      </c>
      <c r="B178" s="97"/>
      <c r="C178" s="70" t="s">
        <v>378</v>
      </c>
      <c r="D178" s="78">
        <f>(88.54)*10.764</f>
        <v>953.04456000000005</v>
      </c>
      <c r="E178" s="78">
        <f>(5.95*6.95-(2*3.2))*10.764</f>
        <v>376.22870999999998</v>
      </c>
      <c r="F178" s="70">
        <f t="shared" si="12"/>
        <v>1078.4541300000001</v>
      </c>
      <c r="G178" s="70">
        <v>0</v>
      </c>
      <c r="H178" s="70">
        <f t="shared" si="13"/>
        <v>1617.6811950000001</v>
      </c>
      <c r="I178" s="26"/>
    </row>
    <row r="179" spans="1:20" s="27" customFormat="1" ht="15.75" customHeight="1" x14ac:dyDescent="0.35">
      <c r="A179" s="96">
        <f>A178+1</f>
        <v>16</v>
      </c>
      <c r="B179" s="97"/>
      <c r="C179" s="70" t="s">
        <v>378</v>
      </c>
      <c r="D179" s="78">
        <f>(150.74)*10.764</f>
        <v>1622.5653600000001</v>
      </c>
      <c r="E179" s="78">
        <f>(5.3*6.95)*10.764</f>
        <v>396.49194</v>
      </c>
      <c r="F179" s="70">
        <f t="shared" ref="F179" si="14">D179+(IF(E179&lt;201,E179,IF(E179&lt;301,E179/2,E179/3)))</f>
        <v>1754.7293400000001</v>
      </c>
      <c r="G179" s="70">
        <v>0</v>
      </c>
      <c r="H179" s="70">
        <f t="shared" ref="H179" si="15">(F179+(IF(G179&lt;101,G179,IF(G179&lt;201,G179/2,IF(G179&lt;=301,G179/3,G179/4)))))*(($H$150)+1)</f>
        <v>2632.0940100000003</v>
      </c>
      <c r="I179" s="26"/>
    </row>
    <row r="180" spans="1:20" s="27" customFormat="1" x14ac:dyDescent="0.35">
      <c r="A180" s="98" t="s">
        <v>383</v>
      </c>
      <c r="B180" s="99"/>
      <c r="C180" s="99"/>
      <c r="D180" s="99"/>
      <c r="E180" s="99"/>
      <c r="F180" s="99"/>
      <c r="G180" s="99"/>
      <c r="H180" s="100"/>
      <c r="I180" s="26"/>
    </row>
    <row r="181" spans="1:20" s="27" customFormat="1" ht="15.75" customHeight="1" x14ac:dyDescent="0.35">
      <c r="A181" s="96">
        <v>7</v>
      </c>
      <c r="B181" s="97"/>
      <c r="C181" s="70" t="s">
        <v>382</v>
      </c>
      <c r="D181" s="78">
        <f>(30.65)*10.764</f>
        <v>329.91659999999996</v>
      </c>
      <c r="E181" s="70">
        <v>0</v>
      </c>
      <c r="F181" s="70">
        <f>D181+(IF(E181&lt;201,E181,IF(E181&lt;301,E181/2,E181/3)))</f>
        <v>329.91659999999996</v>
      </c>
      <c r="G181" s="48">
        <v>0</v>
      </c>
      <c r="H181" s="70">
        <f>(F181+(IF(G181&lt;101,G181,IF(G181&lt;201,G181/2,IF(G181&lt;=301,G181/3,G181/4)))))*(($H$150)+1)</f>
        <v>494.87489999999991</v>
      </c>
      <c r="I181" s="26"/>
    </row>
    <row r="182" spans="1:20" s="27" customFormat="1" ht="15.75" customHeight="1" x14ac:dyDescent="0.35">
      <c r="A182" s="96">
        <f>A181+1</f>
        <v>8</v>
      </c>
      <c r="B182" s="97"/>
      <c r="C182" s="70" t="s">
        <v>382</v>
      </c>
      <c r="D182" s="78">
        <f>(34.42)*10.764</f>
        <v>370.49687999999998</v>
      </c>
      <c r="E182" s="70">
        <v>0</v>
      </c>
      <c r="F182" s="70">
        <f t="shared" ref="F182:F184" si="16">D182+(IF(E182&lt;201,E182,IF(E182&lt;301,E182/2,E182/3)))</f>
        <v>370.49687999999998</v>
      </c>
      <c r="G182" s="70">
        <v>0</v>
      </c>
      <c r="H182" s="70">
        <f t="shared" ref="H182:H184" si="17">(F182+(IF(G182&lt;101,G182,IF(G182&lt;201,G182/2,IF(G182&lt;=301,G182/3,G182/4)))))*(($H$150)+1)</f>
        <v>555.74531999999999</v>
      </c>
      <c r="I182" s="26"/>
    </row>
    <row r="183" spans="1:20" s="27" customFormat="1" ht="15.75" customHeight="1" x14ac:dyDescent="0.35">
      <c r="A183" s="96">
        <f>A182+1</f>
        <v>9</v>
      </c>
      <c r="B183" s="97"/>
      <c r="C183" s="70" t="s">
        <v>382</v>
      </c>
      <c r="D183" s="78">
        <f>(30.65)*10.764</f>
        <v>329.91659999999996</v>
      </c>
      <c r="E183" s="70">
        <v>0</v>
      </c>
      <c r="F183" s="70">
        <f t="shared" si="16"/>
        <v>329.91659999999996</v>
      </c>
      <c r="G183" s="70">
        <v>0</v>
      </c>
      <c r="H183" s="70">
        <f t="shared" si="17"/>
        <v>494.87489999999991</v>
      </c>
      <c r="I183" s="26"/>
    </row>
    <row r="184" spans="1:20" s="69" customFormat="1" ht="15.75" customHeight="1" x14ac:dyDescent="0.35">
      <c r="A184" s="96">
        <f>A183+1</f>
        <v>10</v>
      </c>
      <c r="B184" s="97"/>
      <c r="C184" s="70" t="s">
        <v>382</v>
      </c>
      <c r="D184" s="78">
        <f>(30.65)*10.764</f>
        <v>329.91659999999996</v>
      </c>
      <c r="E184" s="70">
        <v>0</v>
      </c>
      <c r="F184" s="70">
        <f t="shared" si="16"/>
        <v>329.91659999999996</v>
      </c>
      <c r="G184" s="70">
        <v>0</v>
      </c>
      <c r="H184" s="70">
        <f t="shared" si="17"/>
        <v>494.87489999999991</v>
      </c>
      <c r="I184" s="26"/>
    </row>
    <row r="185" spans="1:20" s="69" customFormat="1" ht="15.75" customHeight="1" x14ac:dyDescent="0.35">
      <c r="A185" s="96">
        <v>11</v>
      </c>
      <c r="B185" s="97"/>
      <c r="C185" s="70" t="s">
        <v>382</v>
      </c>
      <c r="D185" s="78">
        <f>(16.15)*10.764</f>
        <v>173.83859999999999</v>
      </c>
      <c r="E185" s="70">
        <v>0</v>
      </c>
      <c r="F185" s="70">
        <f>D185+(IF(E185&lt;201,E185,IF(E185&lt;301,E185/2,E185/3)))</f>
        <v>173.83859999999999</v>
      </c>
      <c r="G185" s="48">
        <v>0</v>
      </c>
      <c r="H185" s="70">
        <f>(F185+(IF(G185&lt;101,G185,IF(G185&lt;201,G185/2,IF(G185&lt;=301,G185/3,G185/4)))))*(($H$150)+1)</f>
        <v>260.75789999999995</v>
      </c>
      <c r="I185" s="26"/>
    </row>
    <row r="186" spans="1:20" s="69" customFormat="1" ht="15.75" customHeight="1" x14ac:dyDescent="0.35">
      <c r="A186" s="96">
        <f>A185+1</f>
        <v>12</v>
      </c>
      <c r="B186" s="97"/>
      <c r="C186" s="70" t="s">
        <v>382</v>
      </c>
      <c r="D186" s="78">
        <f>(30.65)*10.764</f>
        <v>329.91659999999996</v>
      </c>
      <c r="E186" s="70">
        <v>0</v>
      </c>
      <c r="F186" s="70">
        <f t="shared" ref="F186" si="18">D186+(IF(E186&lt;201,E186,IF(E186&lt;301,E186/2,E186/3)))</f>
        <v>329.91659999999996</v>
      </c>
      <c r="G186" s="70">
        <v>0</v>
      </c>
      <c r="H186" s="70">
        <f t="shared" ref="H186" si="19">(F186+(IF(G186&lt;101,G186,IF(G186&lt;201,G186/2,IF(G186&lt;=301,G186/3,G186/4)))))*(($H$150)+1)</f>
        <v>494.87489999999991</v>
      </c>
      <c r="I186" s="26"/>
    </row>
    <row r="187" spans="1:20" s="25" customFormat="1" x14ac:dyDescent="0.35">
      <c r="A187" s="96">
        <f>A186+1</f>
        <v>13</v>
      </c>
      <c r="B187" s="97"/>
      <c r="C187" s="70" t="s">
        <v>382</v>
      </c>
      <c r="D187" s="78">
        <f>(30.65)*10.764</f>
        <v>329.91659999999996</v>
      </c>
      <c r="E187" s="70">
        <v>0</v>
      </c>
      <c r="F187" s="70">
        <f t="shared" ref="F187" si="20">D187+(IF(E187&lt;201,E187,IF(E187&lt;301,E187/2,E187/3)))</f>
        <v>329.91659999999996</v>
      </c>
      <c r="G187" s="70">
        <v>0</v>
      </c>
      <c r="H187" s="70">
        <f t="shared" ref="H187" si="21">(F187+(IF(G187&lt;101,G187,IF(G187&lt;201,G187/2,IF(G187&lt;=301,G187/3,G187/4)))))*(($H$150)+1)</f>
        <v>494.87489999999991</v>
      </c>
      <c r="T187" s="27"/>
    </row>
    <row r="188" spans="1:20" s="25" customFormat="1" x14ac:dyDescent="0.35">
      <c r="A188" s="96">
        <f>A187+1</f>
        <v>14</v>
      </c>
      <c r="B188" s="97"/>
      <c r="C188" s="70" t="s">
        <v>382</v>
      </c>
      <c r="D188" s="78">
        <f>(34.42)*10.764</f>
        <v>370.49687999999998</v>
      </c>
      <c r="E188" s="70">
        <v>0</v>
      </c>
      <c r="F188" s="70">
        <f t="shared" ref="F188" si="22">D188+(IF(E188&lt;201,E188,IF(E188&lt;301,E188/2,E188/3)))</f>
        <v>370.49687999999998</v>
      </c>
      <c r="G188" s="70">
        <v>0</v>
      </c>
      <c r="H188" s="70">
        <f t="shared" ref="H188" si="23">(F188+(IF(G188&lt;101,G188,IF(G188&lt;201,G188/2,IF(G188&lt;=301,G188/3,G188/4)))))*(($H$150)+1)</f>
        <v>555.74531999999999</v>
      </c>
      <c r="I188" s="25" t="s">
        <v>372</v>
      </c>
      <c r="T188" s="27"/>
    </row>
    <row r="189" spans="1:20" s="25" customFormat="1" x14ac:dyDescent="0.35">
      <c r="A189" s="96">
        <f>A188+1</f>
        <v>15</v>
      </c>
      <c r="B189" s="97"/>
      <c r="C189" s="70" t="s">
        <v>382</v>
      </c>
      <c r="D189" s="78">
        <f>(30.65)*10.764</f>
        <v>329.91659999999996</v>
      </c>
      <c r="E189" s="70">
        <v>0</v>
      </c>
      <c r="F189" s="70">
        <f t="shared" ref="F189" si="24">D189+(IF(E189&lt;201,E189,IF(E189&lt;301,E189/2,E189/3)))</f>
        <v>329.91659999999996</v>
      </c>
      <c r="G189" s="70">
        <v>0</v>
      </c>
      <c r="H189" s="70">
        <f t="shared" ref="H189" si="25">(F189+(IF(G189&lt;101,G189,IF(G189&lt;201,G189/2,IF(G189&lt;=301,G189/3,G189/4)))))*(($H$150)+1)</f>
        <v>494.87489999999991</v>
      </c>
      <c r="T189" s="27"/>
    </row>
    <row r="190" spans="1:20" s="25" customFormat="1" x14ac:dyDescent="0.35">
      <c r="A190" s="98" t="s">
        <v>381</v>
      </c>
      <c r="B190" s="99"/>
      <c r="C190" s="99"/>
      <c r="D190" s="99"/>
      <c r="E190" s="99"/>
      <c r="F190" s="99"/>
      <c r="G190" s="99"/>
      <c r="H190" s="100"/>
      <c r="T190" s="27"/>
    </row>
    <row r="191" spans="1:20" s="25" customFormat="1" x14ac:dyDescent="0.35">
      <c r="A191" s="98" t="s">
        <v>377</v>
      </c>
      <c r="B191" s="99"/>
      <c r="C191" s="99"/>
      <c r="D191" s="99"/>
      <c r="E191" s="99"/>
      <c r="F191" s="99"/>
      <c r="G191" s="99"/>
      <c r="H191" s="100"/>
      <c r="T191" s="27"/>
    </row>
    <row r="192" spans="1:20" s="25" customFormat="1" ht="15.75" customHeight="1" x14ac:dyDescent="0.35">
      <c r="A192" s="98" t="s">
        <v>399</v>
      </c>
      <c r="B192" s="99"/>
      <c r="C192" s="99"/>
      <c r="D192" s="99"/>
      <c r="E192" s="99"/>
      <c r="F192" s="99"/>
      <c r="G192" s="99"/>
      <c r="H192" s="100"/>
      <c r="T192" s="27"/>
    </row>
    <row r="193" spans="1:20" s="25" customFormat="1" x14ac:dyDescent="0.35">
      <c r="A193" s="96">
        <v>17</v>
      </c>
      <c r="B193" s="97"/>
      <c r="C193" s="70" t="s">
        <v>378</v>
      </c>
      <c r="D193" s="78">
        <f>(107.1)*10.764</f>
        <v>1152.8244</v>
      </c>
      <c r="E193" s="78">
        <f>((6.21*6.95-1.5*3.2))*10.764</f>
        <v>412.90165799999994</v>
      </c>
      <c r="F193" s="70">
        <f>D193+(IF(E193&lt;201,E193,IF(E193&lt;301,E193/2,E193/3)))</f>
        <v>1290.458286</v>
      </c>
      <c r="G193" s="48">
        <v>0</v>
      </c>
      <c r="H193" s="70">
        <f>(F193+(IF(G193&lt;101,G193,IF(G193&lt;201,G193/2,IF(G193&lt;=301,G193/3,G193/4)))))*(($H$150)+1)</f>
        <v>1935.6874290000001</v>
      </c>
    </row>
    <row r="194" spans="1:20" s="25" customFormat="1" x14ac:dyDescent="0.35">
      <c r="A194" s="96">
        <f>A193+1</f>
        <v>18</v>
      </c>
      <c r="B194" s="97"/>
      <c r="C194" s="70" t="s">
        <v>378</v>
      </c>
      <c r="D194" s="78">
        <f>(30.27)*10.764</f>
        <v>325.82628</v>
      </c>
      <c r="E194" s="78">
        <f>(5.28*2.8)*10.764</f>
        <v>159.13497599999997</v>
      </c>
      <c r="F194" s="70">
        <f t="shared" ref="F194:F196" si="26">D194+(IF(E194&lt;201,E194,IF(E194&lt;301,E194/2,E194/3)))</f>
        <v>484.96125599999993</v>
      </c>
      <c r="G194" s="70">
        <v>0</v>
      </c>
      <c r="H194" s="70">
        <f t="shared" ref="H194:H196" si="27">(F194+(IF(G194&lt;101,G194,IF(G194&lt;201,G194/2,IF(G194&lt;=301,G194/3,G194/4)))))*(($H$150)+1)</f>
        <v>727.44188399999985</v>
      </c>
      <c r="K194" s="76"/>
    </row>
    <row r="195" spans="1:20" s="25" customFormat="1" x14ac:dyDescent="0.35">
      <c r="A195" s="96">
        <f>A194+1</f>
        <v>19</v>
      </c>
      <c r="B195" s="97"/>
      <c r="C195" s="70" t="s">
        <v>378</v>
      </c>
      <c r="D195" s="78">
        <f>(51.58)*10.764</f>
        <v>555.20711999999992</v>
      </c>
      <c r="E195" s="78">
        <f>((6.8*3.93-0.9*1.5))*10.764</f>
        <v>273.12573599999996</v>
      </c>
      <c r="F195" s="70">
        <f t="shared" si="26"/>
        <v>691.7699879999999</v>
      </c>
      <c r="G195" s="70">
        <v>0</v>
      </c>
      <c r="H195" s="70">
        <f t="shared" si="27"/>
        <v>1037.6549819999998</v>
      </c>
    </row>
    <row r="196" spans="1:20" s="25" customFormat="1" x14ac:dyDescent="0.35">
      <c r="A196" s="96">
        <f>A195+1</f>
        <v>20</v>
      </c>
      <c r="B196" s="97"/>
      <c r="C196" s="70" t="s">
        <v>378</v>
      </c>
      <c r="D196" s="78">
        <f>(17.58)*10.764</f>
        <v>189.23111999999998</v>
      </c>
      <c r="E196" s="78">
        <v>0</v>
      </c>
      <c r="F196" s="70">
        <f t="shared" si="26"/>
        <v>189.23111999999998</v>
      </c>
      <c r="G196" s="70">
        <v>0</v>
      </c>
      <c r="H196" s="70">
        <f t="shared" si="27"/>
        <v>283.84667999999999</v>
      </c>
    </row>
    <row r="197" spans="1:20" s="25" customFormat="1" x14ac:dyDescent="0.35">
      <c r="A197" s="96">
        <v>21</v>
      </c>
      <c r="B197" s="97"/>
      <c r="C197" s="70" t="s">
        <v>378</v>
      </c>
      <c r="D197" s="78">
        <f>(51.58)*10.764</f>
        <v>555.20711999999992</v>
      </c>
      <c r="E197" s="78">
        <f>((6.8*3.93-0.9*1.5))*10.764</f>
        <v>273.12573599999996</v>
      </c>
      <c r="F197" s="70">
        <f>D197+(IF(E197&lt;201,E197,IF(E197&lt;301,E197/2,E197/3)))</f>
        <v>691.7699879999999</v>
      </c>
      <c r="G197" s="48">
        <v>0</v>
      </c>
      <c r="H197" s="70">
        <f>(F197+(IF(G197&lt;101,G197,IF(G197&lt;201,G197/2,IF(G197&lt;=301,G197/3,G197/4)))))*(($H$150)+1)</f>
        <v>1037.6549819999998</v>
      </c>
    </row>
    <row r="198" spans="1:20" s="25" customFormat="1" x14ac:dyDescent="0.35">
      <c r="A198" s="96">
        <f>A197+1</f>
        <v>22</v>
      </c>
      <c r="B198" s="97"/>
      <c r="C198" s="70" t="s">
        <v>378</v>
      </c>
      <c r="D198" s="78">
        <f>(30.27)*10.764</f>
        <v>325.82628</v>
      </c>
      <c r="E198" s="78">
        <f>(5.28*2.8)*10.764</f>
        <v>159.13497599999997</v>
      </c>
      <c r="F198" s="70">
        <f t="shared" ref="F198:F199" si="28">D198+(IF(E198&lt;201,E198,IF(E198&lt;301,E198/2,E198/3)))</f>
        <v>484.96125599999993</v>
      </c>
      <c r="G198" s="70">
        <v>0</v>
      </c>
      <c r="H198" s="70">
        <f t="shared" ref="H198:H199" si="29">(F198+(IF(G198&lt;101,G198,IF(G198&lt;201,G198/2,IF(G198&lt;=301,G198/3,G198/4)))))*(($H$150)+1)</f>
        <v>727.44188399999985</v>
      </c>
    </row>
    <row r="199" spans="1:20" x14ac:dyDescent="0.35">
      <c r="A199" s="96">
        <f>A198+1</f>
        <v>23</v>
      </c>
      <c r="B199" s="97"/>
      <c r="C199" s="70" t="s">
        <v>378</v>
      </c>
      <c r="D199" s="78">
        <f>(107.9)*10.764</f>
        <v>1161.4356</v>
      </c>
      <c r="E199" s="78">
        <f>(4.74*9.72+0.9*4.2+1.6*2.1)*10.764</f>
        <v>572.7825792000001</v>
      </c>
      <c r="F199" s="70">
        <f t="shared" si="28"/>
        <v>1352.3631264000001</v>
      </c>
      <c r="G199" s="70">
        <v>0</v>
      </c>
      <c r="H199" s="70">
        <f t="shared" si="29"/>
        <v>2028.5446896000001</v>
      </c>
      <c r="T199" s="25"/>
    </row>
    <row r="200" spans="1:20" x14ac:dyDescent="0.35">
      <c r="A200" s="98" t="s">
        <v>383</v>
      </c>
      <c r="B200" s="99"/>
      <c r="C200" s="99"/>
      <c r="D200" s="99"/>
      <c r="E200" s="99"/>
      <c r="F200" s="99"/>
      <c r="G200" s="99"/>
      <c r="H200" s="100"/>
      <c r="T200" s="25"/>
    </row>
    <row r="201" spans="1:20" ht="15.75" customHeight="1" x14ac:dyDescent="0.35">
      <c r="A201" s="96">
        <v>16</v>
      </c>
      <c r="B201" s="97"/>
      <c r="C201" s="70" t="s">
        <v>382</v>
      </c>
      <c r="D201" s="78">
        <f>(6.21*5.65)*10.764</f>
        <v>377.671086</v>
      </c>
      <c r="E201" s="70">
        <v>0</v>
      </c>
      <c r="F201" s="70">
        <f>D201+(IF(E201&lt;201,E201,IF(E201&lt;301,E201/2,E201/3)))</f>
        <v>377.671086</v>
      </c>
      <c r="G201" s="48">
        <v>0</v>
      </c>
      <c r="H201" s="70">
        <f>(F201+(IF(G201&lt;101,G201,IF(G201&lt;201,G201/2,IF(G201&lt;=301,G201/3,G201/4)))))*(($H$150)+1)</f>
        <v>566.50662899999998</v>
      </c>
      <c r="T201" s="25"/>
    </row>
    <row r="202" spans="1:20" x14ac:dyDescent="0.35">
      <c r="A202" s="96">
        <f>A201+1</f>
        <v>17</v>
      </c>
      <c r="B202" s="97"/>
      <c r="C202" s="70" t="s">
        <v>382</v>
      </c>
      <c r="D202" s="78">
        <f>(5.28*5.65)*10.764</f>
        <v>321.111648</v>
      </c>
      <c r="E202" s="70">
        <v>0</v>
      </c>
      <c r="F202" s="70">
        <f t="shared" ref="F202:F204" si="30">D202+(IF(E202&lt;201,E202,IF(E202&lt;301,E202/2,E202/3)))</f>
        <v>321.111648</v>
      </c>
      <c r="G202" s="70">
        <v>0</v>
      </c>
      <c r="H202" s="70">
        <f t="shared" ref="H202:H204" si="31">(F202+(IF(G202&lt;101,G202,IF(G202&lt;201,G202/2,IF(G202&lt;=301,G202/3,G202/4)))))*(($H$150)+1)</f>
        <v>481.66747199999998</v>
      </c>
      <c r="T202" s="25"/>
    </row>
    <row r="203" spans="1:20" x14ac:dyDescent="0.35">
      <c r="A203" s="96">
        <f>A202+1</f>
        <v>18</v>
      </c>
      <c r="B203" s="97"/>
      <c r="C203" s="70" t="s">
        <v>382</v>
      </c>
      <c r="D203" s="78">
        <f>(5.3*5.65)*10.764</f>
        <v>322.32797999999997</v>
      </c>
      <c r="E203" s="70">
        <v>0</v>
      </c>
      <c r="F203" s="70">
        <f t="shared" si="30"/>
        <v>322.32797999999997</v>
      </c>
      <c r="G203" s="70">
        <v>0</v>
      </c>
      <c r="H203" s="70">
        <f t="shared" si="31"/>
        <v>483.49196999999992</v>
      </c>
      <c r="T203" s="25"/>
    </row>
    <row r="204" spans="1:20" x14ac:dyDescent="0.35">
      <c r="A204" s="96">
        <f>A203+1</f>
        <v>19</v>
      </c>
      <c r="B204" s="97"/>
      <c r="C204" s="70" t="s">
        <v>382</v>
      </c>
      <c r="D204" s="78">
        <f>(5.3*5.65)*10.764</f>
        <v>322.32797999999997</v>
      </c>
      <c r="E204" s="70">
        <v>0</v>
      </c>
      <c r="F204" s="70">
        <f t="shared" si="30"/>
        <v>322.32797999999997</v>
      </c>
      <c r="G204" s="70">
        <v>0</v>
      </c>
      <c r="H204" s="70">
        <f t="shared" si="31"/>
        <v>483.49196999999992</v>
      </c>
    </row>
    <row r="205" spans="1:20" x14ac:dyDescent="0.35">
      <c r="A205" s="96">
        <v>20</v>
      </c>
      <c r="B205" s="97"/>
      <c r="C205" s="70" t="s">
        <v>382</v>
      </c>
      <c r="D205" s="78">
        <f>(5.28*5.65)*10.764</f>
        <v>321.111648</v>
      </c>
      <c r="E205" s="70">
        <v>0</v>
      </c>
      <c r="F205" s="70">
        <f>D205+(IF(E205&lt;201,E205,IF(E205&lt;301,E205/2,E205/3)))</f>
        <v>321.111648</v>
      </c>
      <c r="G205" s="48">
        <v>0</v>
      </c>
      <c r="H205" s="70">
        <f>(F205+(IF(G205&lt;101,G205,IF(G205&lt;201,G205/2,IF(G205&lt;=301,G205/3,G205/4)))))*(($H$150)+1)</f>
        <v>481.66747199999998</v>
      </c>
    </row>
    <row r="206" spans="1:20" x14ac:dyDescent="0.35">
      <c r="A206" s="96">
        <f>A205+1</f>
        <v>21</v>
      </c>
      <c r="B206" s="97"/>
      <c r="C206" s="70" t="s">
        <v>382</v>
      </c>
      <c r="D206" s="78">
        <f>(6.21*5.65)*10.764</f>
        <v>377.671086</v>
      </c>
      <c r="E206" s="70">
        <v>0</v>
      </c>
      <c r="F206" s="70">
        <f t="shared" ref="F206" si="32">D206+(IF(E206&lt;201,E206,IF(E206&lt;301,E206/2,E206/3)))</f>
        <v>377.671086</v>
      </c>
      <c r="G206" s="70">
        <v>0</v>
      </c>
      <c r="H206" s="70">
        <f t="shared" ref="H206" si="33">(F206+(IF(G206&lt;101,G206,IF(G206&lt;201,G206/2,IF(G206&lt;=301,G206/3,G206/4)))))*(($H$150)+1)</f>
        <v>566.50662899999998</v>
      </c>
    </row>
    <row r="207" spans="1:20" ht="15.75" customHeight="1" x14ac:dyDescent="0.35">
      <c r="A207" s="96"/>
      <c r="B207" s="101"/>
      <c r="C207" s="101"/>
      <c r="D207" s="101"/>
      <c r="E207" s="101"/>
      <c r="F207" s="101"/>
      <c r="G207" s="101"/>
      <c r="H207" s="97"/>
    </row>
    <row r="208" spans="1:20" ht="45" x14ac:dyDescent="0.35">
      <c r="A208" s="227" t="s">
        <v>114</v>
      </c>
      <c r="B208" s="103" t="s">
        <v>170</v>
      </c>
      <c r="C208" s="103" t="s">
        <v>53</v>
      </c>
      <c r="D208" s="158" t="s">
        <v>389</v>
      </c>
      <c r="E208" s="103" t="s">
        <v>390</v>
      </c>
      <c r="F208" s="103" t="s">
        <v>54</v>
      </c>
      <c r="G208" s="129" t="s">
        <v>55</v>
      </c>
      <c r="H208" s="90" t="s">
        <v>142</v>
      </c>
    </row>
    <row r="209" spans="1:10" x14ac:dyDescent="0.35">
      <c r="A209" s="228"/>
      <c r="B209" s="104"/>
      <c r="C209" s="104"/>
      <c r="D209" s="159"/>
      <c r="E209" s="104"/>
      <c r="F209" s="104"/>
      <c r="G209" s="130"/>
      <c r="H209" s="91">
        <v>0.5</v>
      </c>
    </row>
    <row r="210" spans="1:10" x14ac:dyDescent="0.35">
      <c r="A210" s="98" t="s">
        <v>376</v>
      </c>
      <c r="B210" s="99"/>
      <c r="C210" s="99"/>
      <c r="D210" s="99"/>
      <c r="E210" s="99"/>
      <c r="F210" s="99"/>
      <c r="G210" s="99"/>
      <c r="H210" s="100"/>
      <c r="I210" s="16">
        <f>3.03*4.4+2.25*2.25+2.1*3.2+3.03*3.2+3.03*4.25+1.7*0.6+2.1*1.2*2+3.4*0.9</f>
        <v>56.808</v>
      </c>
    </row>
    <row r="211" spans="1:10" ht="15" customHeight="1" x14ac:dyDescent="0.35">
      <c r="A211" s="98" t="s">
        <v>385</v>
      </c>
      <c r="B211" s="99"/>
      <c r="C211" s="99"/>
      <c r="D211" s="99"/>
      <c r="E211" s="99"/>
      <c r="F211" s="99"/>
      <c r="G211" s="99"/>
      <c r="H211" s="100"/>
    </row>
    <row r="212" spans="1:10" x14ac:dyDescent="0.35">
      <c r="A212" s="98" t="s">
        <v>386</v>
      </c>
      <c r="B212" s="99"/>
      <c r="C212" s="99"/>
      <c r="D212" s="99"/>
      <c r="E212" s="99"/>
      <c r="F212" s="99"/>
      <c r="G212" s="99"/>
      <c r="H212" s="100"/>
      <c r="J212" s="16">
        <v>5000</v>
      </c>
    </row>
    <row r="213" spans="1:10" x14ac:dyDescent="0.35">
      <c r="A213" s="96">
        <v>1</v>
      </c>
      <c r="B213" s="97"/>
      <c r="C213" s="32" t="s">
        <v>387</v>
      </c>
      <c r="D213" s="78">
        <f>(60.76)*10.764</f>
        <v>654.02063999999996</v>
      </c>
      <c r="E213" s="78">
        <f>(3.03*1.2)*10.764</f>
        <v>39.137903999999992</v>
      </c>
      <c r="F213" s="32">
        <f t="shared" ref="F213:F220" si="34">D213+E213</f>
        <v>693.15854399999989</v>
      </c>
      <c r="G213" s="78">
        <f>(11.6*1.9)*10.764</f>
        <v>237.23855999999998</v>
      </c>
      <c r="H213" s="40">
        <f t="shared" ref="H213:H220" si="35">F213*(($H$209)+1)+(IF(G213&lt;101,G213,IF(G213&lt;201,G213/2,IF(G213&lt;=301,G213/3,G213/4))))</f>
        <v>1118.8173359999998</v>
      </c>
      <c r="J213" s="16">
        <f>J$212*H213</f>
        <v>5594086.6799999988</v>
      </c>
    </row>
    <row r="214" spans="1:10" x14ac:dyDescent="0.35">
      <c r="A214" s="96">
        <f>A213+1</f>
        <v>2</v>
      </c>
      <c r="B214" s="97"/>
      <c r="C214" s="70" t="s">
        <v>388</v>
      </c>
      <c r="D214" s="78">
        <f>(41.28)*10.764</f>
        <v>444.33792</v>
      </c>
      <c r="E214" s="78">
        <f>(2.9*1.2)*10.764</f>
        <v>37.45872</v>
      </c>
      <c r="F214" s="40">
        <f t="shared" si="34"/>
        <v>481.79664000000002</v>
      </c>
      <c r="G214" s="78">
        <f>(8.4*1.9)*10.764</f>
        <v>171.79343999999998</v>
      </c>
      <c r="H214" s="40">
        <f t="shared" si="35"/>
        <v>808.59168</v>
      </c>
      <c r="J214" s="16">
        <f t="shared" ref="J214:J237" si="36">J$212*H214</f>
        <v>4042958.4</v>
      </c>
    </row>
    <row r="215" spans="1:10" x14ac:dyDescent="0.35">
      <c r="A215" s="96">
        <f>A214+1</f>
        <v>3</v>
      </c>
      <c r="B215" s="97"/>
      <c r="C215" s="70" t="s">
        <v>388</v>
      </c>
      <c r="D215" s="78">
        <f>(41.28)*10.764</f>
        <v>444.33792</v>
      </c>
      <c r="E215" s="78">
        <f>(2.9*1.2)*10.764</f>
        <v>37.45872</v>
      </c>
      <c r="F215" s="40">
        <f t="shared" si="34"/>
        <v>481.79664000000002</v>
      </c>
      <c r="G215" s="78">
        <f>(8.4*1.9)*10.764</f>
        <v>171.79343999999998</v>
      </c>
      <c r="H215" s="40">
        <f t="shared" si="35"/>
        <v>808.59168</v>
      </c>
      <c r="J215" s="16">
        <f t="shared" si="36"/>
        <v>4042958.4</v>
      </c>
    </row>
    <row r="216" spans="1:10" x14ac:dyDescent="0.35">
      <c r="A216" s="96">
        <f>A215+1</f>
        <v>4</v>
      </c>
      <c r="B216" s="97"/>
      <c r="C216" s="70" t="s">
        <v>387</v>
      </c>
      <c r="D216" s="78">
        <f>(60.76)*10.764</f>
        <v>654.02063999999996</v>
      </c>
      <c r="E216" s="78">
        <f>(3.03*1.2)*10.764</f>
        <v>39.137903999999992</v>
      </c>
      <c r="F216" s="70">
        <f t="shared" si="34"/>
        <v>693.15854399999989</v>
      </c>
      <c r="G216" s="78">
        <f>(11.6*1.9)*10.764</f>
        <v>237.23855999999998</v>
      </c>
      <c r="H216" s="40">
        <f t="shared" si="35"/>
        <v>1118.8173359999998</v>
      </c>
      <c r="J216" s="16">
        <f t="shared" si="36"/>
        <v>5594086.6799999988</v>
      </c>
    </row>
    <row r="217" spans="1:10" x14ac:dyDescent="0.35">
      <c r="A217" s="96">
        <v>5</v>
      </c>
      <c r="B217" s="97"/>
      <c r="C217" s="70" t="s">
        <v>387</v>
      </c>
      <c r="D217" s="78">
        <f>(60.76)*10.764</f>
        <v>654.02063999999996</v>
      </c>
      <c r="E217" s="78">
        <f>(3.03*1.2)*10.764</f>
        <v>39.137903999999992</v>
      </c>
      <c r="F217" s="70">
        <f t="shared" si="34"/>
        <v>693.15854399999989</v>
      </c>
      <c r="G217" s="78">
        <v>0</v>
      </c>
      <c r="H217" s="70">
        <f t="shared" si="35"/>
        <v>1039.7378159999998</v>
      </c>
      <c r="J217" s="16">
        <f t="shared" si="36"/>
        <v>5198689.0799999991</v>
      </c>
    </row>
    <row r="218" spans="1:10" x14ac:dyDescent="0.35">
      <c r="A218" s="96">
        <f>A217+1</f>
        <v>6</v>
      </c>
      <c r="B218" s="97"/>
      <c r="C218" s="70" t="s">
        <v>388</v>
      </c>
      <c r="D218" s="78">
        <f>(38.85)*10.764</f>
        <v>418.1814</v>
      </c>
      <c r="E218" s="78">
        <f>(2.9*1.2)*10.764</f>
        <v>37.45872</v>
      </c>
      <c r="F218" s="70">
        <f t="shared" si="34"/>
        <v>455.64012000000002</v>
      </c>
      <c r="G218" s="78">
        <v>0</v>
      </c>
      <c r="H218" s="70">
        <f t="shared" si="35"/>
        <v>683.46018000000004</v>
      </c>
      <c r="J218" s="16">
        <f t="shared" si="36"/>
        <v>3417300.9000000004</v>
      </c>
    </row>
    <row r="219" spans="1:10" ht="15.75" customHeight="1" x14ac:dyDescent="0.35">
      <c r="A219" s="96">
        <f>A218+1</f>
        <v>7</v>
      </c>
      <c r="B219" s="97"/>
      <c r="C219" s="70" t="s">
        <v>388</v>
      </c>
      <c r="D219" s="78">
        <f>(38.85)*10.764</f>
        <v>418.1814</v>
      </c>
      <c r="E219" s="78">
        <f>(2.9*1.2)*10.764</f>
        <v>37.45872</v>
      </c>
      <c r="F219" s="70">
        <f t="shared" si="34"/>
        <v>455.64012000000002</v>
      </c>
      <c r="G219" s="70">
        <v>0</v>
      </c>
      <c r="H219" s="70">
        <f t="shared" si="35"/>
        <v>683.46018000000004</v>
      </c>
      <c r="J219" s="16">
        <f t="shared" si="36"/>
        <v>3417300.9000000004</v>
      </c>
    </row>
    <row r="220" spans="1:10" ht="15.75" customHeight="1" x14ac:dyDescent="0.35">
      <c r="A220" s="96">
        <f>A219+1</f>
        <v>8</v>
      </c>
      <c r="B220" s="97"/>
      <c r="C220" s="70" t="s">
        <v>387</v>
      </c>
      <c r="D220" s="78">
        <f>(60.76)*10.764</f>
        <v>654.02063999999996</v>
      </c>
      <c r="E220" s="78">
        <f>(3.03*1.2)*10.764</f>
        <v>39.137903999999992</v>
      </c>
      <c r="F220" s="70">
        <f t="shared" si="34"/>
        <v>693.15854399999989</v>
      </c>
      <c r="G220" s="70">
        <v>0</v>
      </c>
      <c r="H220" s="70">
        <f t="shared" si="35"/>
        <v>1039.7378159999998</v>
      </c>
      <c r="J220" s="16">
        <f t="shared" si="36"/>
        <v>5198689.0799999991</v>
      </c>
    </row>
    <row r="221" spans="1:10" x14ac:dyDescent="0.35">
      <c r="A221" s="98" t="s">
        <v>391</v>
      </c>
      <c r="B221" s="99"/>
      <c r="C221" s="99"/>
      <c r="D221" s="99"/>
      <c r="E221" s="99"/>
      <c r="F221" s="99"/>
      <c r="G221" s="99"/>
      <c r="H221" s="100"/>
      <c r="J221" s="16">
        <f>J$212*H221</f>
        <v>0</v>
      </c>
    </row>
    <row r="222" spans="1:10" x14ac:dyDescent="0.35">
      <c r="A222" s="96">
        <v>1</v>
      </c>
      <c r="B222" s="97"/>
      <c r="C222" s="70" t="s">
        <v>387</v>
      </c>
      <c r="D222" s="78">
        <f>(60.76)*10.764</f>
        <v>654.02063999999996</v>
      </c>
      <c r="E222" s="78">
        <f>(3.03*1.2)*10.764</f>
        <v>39.137903999999992</v>
      </c>
      <c r="F222" s="70">
        <f t="shared" ref="F222:F229" si="37">D222+E222</f>
        <v>693.15854399999989</v>
      </c>
      <c r="G222" s="70">
        <v>0</v>
      </c>
      <c r="H222" s="70">
        <f t="shared" ref="H222:H229" si="38">F222*(($H$209)+1)+(IF(G222&lt;101,G222,IF(G222&lt;201,G222/2,IF(G222&lt;=301,G222/3,G222/4))))</f>
        <v>1039.7378159999998</v>
      </c>
      <c r="J222" s="16">
        <f t="shared" si="36"/>
        <v>5198689.0799999991</v>
      </c>
    </row>
    <row r="223" spans="1:10" x14ac:dyDescent="0.35">
      <c r="A223" s="96">
        <f>A222+1</f>
        <v>2</v>
      </c>
      <c r="B223" s="97"/>
      <c r="C223" s="70" t="s">
        <v>388</v>
      </c>
      <c r="D223" s="78">
        <f>(41.28)*10.764</f>
        <v>444.33792</v>
      </c>
      <c r="E223" s="78">
        <f>(2.9*1.2)*10.764</f>
        <v>37.45872</v>
      </c>
      <c r="F223" s="70">
        <f t="shared" si="37"/>
        <v>481.79664000000002</v>
      </c>
      <c r="G223" s="70">
        <v>0</v>
      </c>
      <c r="H223" s="70">
        <f t="shared" si="38"/>
        <v>722.69496000000004</v>
      </c>
      <c r="J223" s="16">
        <f t="shared" si="36"/>
        <v>3613474.8000000003</v>
      </c>
    </row>
    <row r="224" spans="1:10" x14ac:dyDescent="0.35">
      <c r="A224" s="96">
        <f>A223+1</f>
        <v>3</v>
      </c>
      <c r="B224" s="97"/>
      <c r="C224" s="70" t="s">
        <v>388</v>
      </c>
      <c r="D224" s="78">
        <f>(41.28)*10.764</f>
        <v>444.33792</v>
      </c>
      <c r="E224" s="78">
        <f>(2.9*1.2)*10.764</f>
        <v>37.45872</v>
      </c>
      <c r="F224" s="70">
        <f t="shared" si="37"/>
        <v>481.79664000000002</v>
      </c>
      <c r="G224" s="70">
        <v>0</v>
      </c>
      <c r="H224" s="70">
        <f t="shared" si="38"/>
        <v>722.69496000000004</v>
      </c>
      <c r="J224" s="16">
        <f t="shared" si="36"/>
        <v>3613474.8000000003</v>
      </c>
    </row>
    <row r="225" spans="1:10" x14ac:dyDescent="0.35">
      <c r="A225" s="96">
        <f>A224+1</f>
        <v>4</v>
      </c>
      <c r="B225" s="97"/>
      <c r="C225" s="70" t="s">
        <v>387</v>
      </c>
      <c r="D225" s="78">
        <f>(60.76)*10.764</f>
        <v>654.02063999999996</v>
      </c>
      <c r="E225" s="78">
        <f>(3.03*1.2)*10.764</f>
        <v>39.137903999999992</v>
      </c>
      <c r="F225" s="70">
        <f t="shared" si="37"/>
        <v>693.15854399999989</v>
      </c>
      <c r="G225" s="70">
        <v>0</v>
      </c>
      <c r="H225" s="70">
        <f t="shared" si="38"/>
        <v>1039.7378159999998</v>
      </c>
      <c r="J225" s="16">
        <f>J$212*H225</f>
        <v>5198689.0799999991</v>
      </c>
    </row>
    <row r="226" spans="1:10" x14ac:dyDescent="0.35">
      <c r="A226" s="96">
        <v>5</v>
      </c>
      <c r="B226" s="97"/>
      <c r="C226" s="70" t="s">
        <v>387</v>
      </c>
      <c r="D226" s="78">
        <f>(60.76)*10.764</f>
        <v>654.02063999999996</v>
      </c>
      <c r="E226" s="78">
        <f>(3.03*1.2)*10.764</f>
        <v>39.137903999999992</v>
      </c>
      <c r="F226" s="70">
        <f t="shared" si="37"/>
        <v>693.15854399999989</v>
      </c>
      <c r="G226" s="70">
        <v>0</v>
      </c>
      <c r="H226" s="70">
        <f t="shared" si="38"/>
        <v>1039.7378159999998</v>
      </c>
      <c r="J226" s="16">
        <f t="shared" si="36"/>
        <v>5198689.0799999991</v>
      </c>
    </row>
    <row r="227" spans="1:10" x14ac:dyDescent="0.35">
      <c r="A227" s="96">
        <f>A226+1</f>
        <v>6</v>
      </c>
      <c r="B227" s="97"/>
      <c r="C227" s="70" t="s">
        <v>388</v>
      </c>
      <c r="D227" s="78">
        <f>(38.85)*10.764</f>
        <v>418.1814</v>
      </c>
      <c r="E227" s="78">
        <f>(2.9*1.2)*10.764</f>
        <v>37.45872</v>
      </c>
      <c r="F227" s="70">
        <f t="shared" si="37"/>
        <v>455.64012000000002</v>
      </c>
      <c r="G227" s="70">
        <v>0</v>
      </c>
      <c r="H227" s="70">
        <f t="shared" si="38"/>
        <v>683.46018000000004</v>
      </c>
      <c r="J227" s="16">
        <f t="shared" si="36"/>
        <v>3417300.9000000004</v>
      </c>
    </row>
    <row r="228" spans="1:10" x14ac:dyDescent="0.35">
      <c r="A228" s="96">
        <f>A227+1</f>
        <v>7</v>
      </c>
      <c r="B228" s="97"/>
      <c r="C228" s="70" t="s">
        <v>388</v>
      </c>
      <c r="D228" s="78">
        <f>(38.85)*10.764</f>
        <v>418.1814</v>
      </c>
      <c r="E228" s="78">
        <f>(2.9*1.2)*10.764</f>
        <v>37.45872</v>
      </c>
      <c r="F228" s="70">
        <f t="shared" si="37"/>
        <v>455.64012000000002</v>
      </c>
      <c r="G228" s="70">
        <v>0</v>
      </c>
      <c r="H228" s="70">
        <f t="shared" si="38"/>
        <v>683.46018000000004</v>
      </c>
      <c r="J228" s="16">
        <f t="shared" si="36"/>
        <v>3417300.9000000004</v>
      </c>
    </row>
    <row r="229" spans="1:10" x14ac:dyDescent="0.35">
      <c r="A229" s="96">
        <f>A228+1</f>
        <v>8</v>
      </c>
      <c r="B229" s="97"/>
      <c r="C229" s="70" t="s">
        <v>387</v>
      </c>
      <c r="D229" s="78">
        <f>(60.76)*10.764</f>
        <v>654.02063999999996</v>
      </c>
      <c r="E229" s="78">
        <f>(3.03*1.2)*10.764</f>
        <v>39.137903999999992</v>
      </c>
      <c r="F229" s="70">
        <f t="shared" si="37"/>
        <v>693.15854399999989</v>
      </c>
      <c r="G229" s="70">
        <v>0</v>
      </c>
      <c r="H229" s="70">
        <f t="shared" si="38"/>
        <v>1039.7378159999998</v>
      </c>
      <c r="J229" s="16">
        <f t="shared" si="36"/>
        <v>5198689.0799999991</v>
      </c>
    </row>
    <row r="230" spans="1:10" ht="15.75" customHeight="1" x14ac:dyDescent="0.35">
      <c r="A230" s="98" t="s">
        <v>392</v>
      </c>
      <c r="B230" s="99"/>
      <c r="C230" s="99"/>
      <c r="D230" s="99"/>
      <c r="E230" s="99"/>
      <c r="F230" s="99"/>
      <c r="G230" s="99"/>
      <c r="H230" s="100"/>
      <c r="J230" s="16">
        <f t="shared" si="36"/>
        <v>0</v>
      </c>
    </row>
    <row r="231" spans="1:10" x14ac:dyDescent="0.35">
      <c r="A231" s="96">
        <v>1</v>
      </c>
      <c r="B231" s="97"/>
      <c r="C231" s="70" t="s">
        <v>387</v>
      </c>
      <c r="D231" s="78">
        <f>(60.76)*10.764</f>
        <v>654.02063999999996</v>
      </c>
      <c r="E231" s="78">
        <f>(3.03*1.2)*10.764</f>
        <v>39.137903999999992</v>
      </c>
      <c r="F231" s="70">
        <f>D231+E231</f>
        <v>693.15854399999989</v>
      </c>
      <c r="G231" s="70">
        <v>0</v>
      </c>
      <c r="H231" s="70">
        <f>F231*(($H$209)+1)+(IF(G231&lt;101,G231,IF(G231&lt;201,G231/2,IF(G231&lt;=301,G231/3,G231/4))))</f>
        <v>1039.7378159999998</v>
      </c>
      <c r="J231" s="16">
        <f t="shared" si="36"/>
        <v>5198689.0799999991</v>
      </c>
    </row>
    <row r="232" spans="1:10" x14ac:dyDescent="0.35">
      <c r="A232" s="96">
        <f>A231+1</f>
        <v>2</v>
      </c>
      <c r="B232" s="97"/>
      <c r="C232" s="70" t="s">
        <v>388</v>
      </c>
      <c r="D232" s="78">
        <f>(41.28)*10.764</f>
        <v>444.33792</v>
      </c>
      <c r="E232" s="78">
        <f>(2.9*1.2)*10.764</f>
        <v>37.45872</v>
      </c>
      <c r="F232" s="70">
        <f>D232+E232</f>
        <v>481.79664000000002</v>
      </c>
      <c r="G232" s="70">
        <v>0</v>
      </c>
      <c r="H232" s="70">
        <f>F232*(($H$209)+1)+(IF(G232&lt;101,G232,IF(G232&lt;201,G232/2,IF(G232&lt;=301,G232/3,G232/4))))</f>
        <v>722.69496000000004</v>
      </c>
      <c r="J232" s="16">
        <f t="shared" si="36"/>
        <v>3613474.8000000003</v>
      </c>
    </row>
    <row r="233" spans="1:10" x14ac:dyDescent="0.35">
      <c r="A233" s="96">
        <f>A232+1</f>
        <v>3</v>
      </c>
      <c r="B233" s="97"/>
      <c r="C233" s="96" t="s">
        <v>394</v>
      </c>
      <c r="D233" s="101"/>
      <c r="E233" s="101"/>
      <c r="F233" s="101"/>
      <c r="G233" s="97"/>
      <c r="H233" s="70" t="s">
        <v>393</v>
      </c>
      <c r="J233" s="16" t="e">
        <f t="shared" si="36"/>
        <v>#VALUE!</v>
      </c>
    </row>
    <row r="234" spans="1:10" x14ac:dyDescent="0.35">
      <c r="A234" s="96">
        <f>A233+1</f>
        <v>4</v>
      </c>
      <c r="B234" s="97"/>
      <c r="C234" s="70" t="s">
        <v>387</v>
      </c>
      <c r="D234" s="78">
        <f>(60.76)*10.764</f>
        <v>654.02063999999996</v>
      </c>
      <c r="E234" s="78">
        <f>(3.03*1.2)*10.764</f>
        <v>39.137903999999992</v>
      </c>
      <c r="F234" s="70">
        <f>D234+E234</f>
        <v>693.15854399999989</v>
      </c>
      <c r="G234" s="70">
        <v>0</v>
      </c>
      <c r="H234" s="70">
        <f>F234*(($H$209)+1)+(IF(G234&lt;101,G234,IF(G234&lt;201,G234/2,IF(G234&lt;=301,G234/3,G234/4))))</f>
        <v>1039.7378159999998</v>
      </c>
      <c r="J234" s="16">
        <f t="shared" si="36"/>
        <v>5198689.0799999991</v>
      </c>
    </row>
    <row r="235" spans="1:10" x14ac:dyDescent="0.35">
      <c r="A235" s="96">
        <v>5</v>
      </c>
      <c r="B235" s="97"/>
      <c r="C235" s="70" t="s">
        <v>387</v>
      </c>
      <c r="D235" s="78">
        <f>(60.76)*10.764</f>
        <v>654.02063999999996</v>
      </c>
      <c r="E235" s="78">
        <f>(3.03*1.2)*10.764</f>
        <v>39.137903999999992</v>
      </c>
      <c r="F235" s="70">
        <f>D235+E235</f>
        <v>693.15854399999989</v>
      </c>
      <c r="G235" s="70">
        <v>0</v>
      </c>
      <c r="H235" s="70">
        <f>F235*(($H$209)+1)+(IF(G235&lt;101,G235,IF(G235&lt;201,G235/2,IF(G235&lt;=301,G235/3,G235/4))))</f>
        <v>1039.7378159999998</v>
      </c>
      <c r="J235" s="16">
        <f t="shared" si="36"/>
        <v>5198689.0799999991</v>
      </c>
    </row>
    <row r="236" spans="1:10" x14ac:dyDescent="0.35">
      <c r="A236" s="96">
        <f>A235+1</f>
        <v>6</v>
      </c>
      <c r="B236" s="97"/>
      <c r="C236" s="70" t="s">
        <v>388</v>
      </c>
      <c r="D236" s="78">
        <f>(38.85)*10.764</f>
        <v>418.1814</v>
      </c>
      <c r="E236" s="78">
        <f>(2.9*1.2)*10.764</f>
        <v>37.45872</v>
      </c>
      <c r="F236" s="70">
        <f>D236+E236</f>
        <v>455.64012000000002</v>
      </c>
      <c r="G236" s="70">
        <v>0</v>
      </c>
      <c r="H236" s="70">
        <f>F236*(($H$209)+1)+(IF(G236&lt;101,G236,IF(G236&lt;201,G236/2,IF(G236&lt;=301,G236/3,G236/4))))</f>
        <v>683.46018000000004</v>
      </c>
      <c r="J236" s="16">
        <f t="shared" si="36"/>
        <v>3417300.9000000004</v>
      </c>
    </row>
    <row r="237" spans="1:10" x14ac:dyDescent="0.35">
      <c r="A237" s="96">
        <f>A236+1</f>
        <v>7</v>
      </c>
      <c r="B237" s="97"/>
      <c r="C237" s="70" t="s">
        <v>388</v>
      </c>
      <c r="D237" s="78">
        <f>(38.85)*10.764</f>
        <v>418.1814</v>
      </c>
      <c r="E237" s="78">
        <f>(2.9*1.2)*10.764</f>
        <v>37.45872</v>
      </c>
      <c r="F237" s="70">
        <f>D237+E237</f>
        <v>455.64012000000002</v>
      </c>
      <c r="G237" s="70">
        <v>0</v>
      </c>
      <c r="H237" s="70">
        <f>F237*(($H$209)+1)+(IF(G237&lt;101,G237,IF(G237&lt;201,G237/2,IF(G237&lt;=301,G237/3,G237/4))))</f>
        <v>683.46018000000004</v>
      </c>
      <c r="J237" s="16">
        <f t="shared" si="36"/>
        <v>3417300.9000000004</v>
      </c>
    </row>
    <row r="238" spans="1:10" x14ac:dyDescent="0.35">
      <c r="A238" s="96">
        <f>A237+1</f>
        <v>8</v>
      </c>
      <c r="B238" s="97"/>
      <c r="C238" s="70" t="s">
        <v>387</v>
      </c>
      <c r="D238" s="78">
        <f>(60.76)*10.764</f>
        <v>654.02063999999996</v>
      </c>
      <c r="E238" s="78">
        <f>(3.03*1.2)*10.764</f>
        <v>39.137903999999992</v>
      </c>
      <c r="F238" s="70">
        <f>D238+E238</f>
        <v>693.15854399999989</v>
      </c>
      <c r="G238" s="70">
        <v>0</v>
      </c>
      <c r="H238" s="70">
        <f>F238*(($H$209)+1)+(IF(G238&lt;101,G238,IF(G238&lt;201,G238/2,IF(G238&lt;=301,G238/3,G238/4))))</f>
        <v>1039.7378159999998</v>
      </c>
      <c r="J238" s="92">
        <f>6500000/H238</f>
        <v>6251.5760223152265</v>
      </c>
    </row>
    <row r="239" spans="1:10" x14ac:dyDescent="0.35">
      <c r="A239" s="98" t="s">
        <v>380</v>
      </c>
      <c r="B239" s="99"/>
      <c r="C239" s="99"/>
      <c r="D239" s="99"/>
      <c r="E239" s="99"/>
      <c r="F239" s="99"/>
      <c r="G239" s="99"/>
      <c r="H239" s="100"/>
    </row>
    <row r="240" spans="1:10" x14ac:dyDescent="0.35">
      <c r="A240" s="98" t="s">
        <v>384</v>
      </c>
      <c r="B240" s="99"/>
      <c r="C240" s="99"/>
      <c r="D240" s="99"/>
      <c r="E240" s="99"/>
      <c r="F240" s="99"/>
      <c r="G240" s="99"/>
      <c r="H240" s="100"/>
    </row>
    <row r="241" spans="1:10" x14ac:dyDescent="0.35">
      <c r="A241" s="98" t="s">
        <v>386</v>
      </c>
      <c r="B241" s="99"/>
      <c r="C241" s="99"/>
      <c r="D241" s="99"/>
      <c r="E241" s="99"/>
      <c r="F241" s="99"/>
      <c r="G241" s="99"/>
      <c r="H241" s="100"/>
    </row>
    <row r="242" spans="1:10" x14ac:dyDescent="0.35">
      <c r="A242" s="96">
        <v>1</v>
      </c>
      <c r="B242" s="97"/>
      <c r="C242" s="70" t="s">
        <v>388</v>
      </c>
      <c r="D242" s="78">
        <f>(38.85)*10.764</f>
        <v>418.1814</v>
      </c>
      <c r="E242" s="78">
        <f t="shared" ref="E242:E253" si="39">(2.9*1.2)*10.764</f>
        <v>37.45872</v>
      </c>
      <c r="F242" s="40">
        <f t="shared" ref="F242:F253" si="40">D242+E242</f>
        <v>455.64012000000002</v>
      </c>
      <c r="G242" s="78">
        <f t="shared" ref="G242:G247" si="41">(8.4*1.9)*10.764</f>
        <v>171.79343999999998</v>
      </c>
      <c r="H242" s="40">
        <f t="shared" ref="H242:H253" si="42">F242*(($H$209)+1)+(IF(G242&lt;101,G242,IF(G242&lt;201,G242/2,IF(G242&lt;=301,G242/3,G242/4))))</f>
        <v>769.3569</v>
      </c>
    </row>
    <row r="243" spans="1:10" x14ac:dyDescent="0.35">
      <c r="A243" s="96">
        <f>A242+1</f>
        <v>2</v>
      </c>
      <c r="B243" s="97"/>
      <c r="C243" s="70" t="s">
        <v>388</v>
      </c>
      <c r="D243" s="78">
        <f>(38.85)*10.764</f>
        <v>418.1814</v>
      </c>
      <c r="E243" s="78">
        <f t="shared" si="39"/>
        <v>37.45872</v>
      </c>
      <c r="F243" s="40">
        <f t="shared" si="40"/>
        <v>455.64012000000002</v>
      </c>
      <c r="G243" s="78">
        <f t="shared" si="41"/>
        <v>171.79343999999998</v>
      </c>
      <c r="H243" s="40">
        <f t="shared" si="42"/>
        <v>769.3569</v>
      </c>
    </row>
    <row r="244" spans="1:10" x14ac:dyDescent="0.35">
      <c r="A244" s="96">
        <f>A243+1</f>
        <v>3</v>
      </c>
      <c r="B244" s="97"/>
      <c r="C244" s="70" t="s">
        <v>388</v>
      </c>
      <c r="D244" s="78">
        <f>(41.28)*10.764</f>
        <v>444.33792</v>
      </c>
      <c r="E244" s="78">
        <f t="shared" si="39"/>
        <v>37.45872</v>
      </c>
      <c r="F244" s="40">
        <f t="shared" si="40"/>
        <v>481.79664000000002</v>
      </c>
      <c r="G244" s="78">
        <f t="shared" si="41"/>
        <v>171.79343999999998</v>
      </c>
      <c r="H244" s="40">
        <f t="shared" si="42"/>
        <v>808.59168</v>
      </c>
    </row>
    <row r="245" spans="1:10" x14ac:dyDescent="0.35">
      <c r="A245" s="96">
        <f>A244+1</f>
        <v>4</v>
      </c>
      <c r="B245" s="97"/>
      <c r="C245" s="70" t="s">
        <v>388</v>
      </c>
      <c r="D245" s="78">
        <f>(41.28)*10.764</f>
        <v>444.33792</v>
      </c>
      <c r="E245" s="78">
        <f t="shared" si="39"/>
        <v>37.45872</v>
      </c>
      <c r="F245" s="40">
        <f t="shared" si="40"/>
        <v>481.79664000000002</v>
      </c>
      <c r="G245" s="78">
        <f t="shared" si="41"/>
        <v>171.79343999999998</v>
      </c>
      <c r="H245" s="40">
        <f t="shared" si="42"/>
        <v>808.59168</v>
      </c>
    </row>
    <row r="246" spans="1:10" x14ac:dyDescent="0.35">
      <c r="A246" s="96">
        <v>5</v>
      </c>
      <c r="B246" s="97"/>
      <c r="C246" s="70" t="s">
        <v>388</v>
      </c>
      <c r="D246" s="78">
        <f t="shared" ref="D246:D253" si="43">(38.85)*10.764</f>
        <v>418.1814</v>
      </c>
      <c r="E246" s="78">
        <f t="shared" si="39"/>
        <v>37.45872</v>
      </c>
      <c r="F246" s="70">
        <f t="shared" si="40"/>
        <v>455.64012000000002</v>
      </c>
      <c r="G246" s="78">
        <f t="shared" si="41"/>
        <v>171.79343999999998</v>
      </c>
      <c r="H246" s="70">
        <f t="shared" si="42"/>
        <v>769.3569</v>
      </c>
    </row>
    <row r="247" spans="1:10" x14ac:dyDescent="0.35">
      <c r="A247" s="96">
        <f t="shared" ref="A247:A253" si="44">A246+1</f>
        <v>6</v>
      </c>
      <c r="B247" s="97"/>
      <c r="C247" s="70" t="s">
        <v>388</v>
      </c>
      <c r="D247" s="78">
        <f t="shared" si="43"/>
        <v>418.1814</v>
      </c>
      <c r="E247" s="78">
        <f t="shared" si="39"/>
        <v>37.45872</v>
      </c>
      <c r="F247" s="70">
        <f t="shared" si="40"/>
        <v>455.64012000000002</v>
      </c>
      <c r="G247" s="78">
        <f t="shared" si="41"/>
        <v>171.79343999999998</v>
      </c>
      <c r="H247" s="40">
        <f t="shared" si="42"/>
        <v>769.3569</v>
      </c>
    </row>
    <row r="248" spans="1:10" x14ac:dyDescent="0.35">
      <c r="A248" s="96">
        <f t="shared" si="44"/>
        <v>7</v>
      </c>
      <c r="B248" s="97"/>
      <c r="C248" s="70" t="s">
        <v>388</v>
      </c>
      <c r="D248" s="78">
        <f t="shared" si="43"/>
        <v>418.1814</v>
      </c>
      <c r="E248" s="78">
        <f t="shared" si="39"/>
        <v>37.45872</v>
      </c>
      <c r="F248" s="70">
        <f t="shared" si="40"/>
        <v>455.64012000000002</v>
      </c>
      <c r="G248" s="78">
        <v>0</v>
      </c>
      <c r="H248" s="40">
        <f t="shared" si="42"/>
        <v>683.46018000000004</v>
      </c>
      <c r="J248" s="17">
        <f>4800000/H248</f>
        <v>7023.0865534843588</v>
      </c>
    </row>
    <row r="249" spans="1:10" x14ac:dyDescent="0.35">
      <c r="A249" s="96">
        <f t="shared" si="44"/>
        <v>8</v>
      </c>
      <c r="B249" s="97"/>
      <c r="C249" s="70" t="s">
        <v>388</v>
      </c>
      <c r="D249" s="78">
        <f t="shared" si="43"/>
        <v>418.1814</v>
      </c>
      <c r="E249" s="78">
        <f t="shared" si="39"/>
        <v>37.45872</v>
      </c>
      <c r="F249" s="70">
        <f t="shared" si="40"/>
        <v>455.64012000000002</v>
      </c>
      <c r="G249" s="78">
        <v>0</v>
      </c>
      <c r="H249" s="40">
        <f t="shared" si="42"/>
        <v>683.46018000000004</v>
      </c>
    </row>
    <row r="250" spans="1:10" x14ac:dyDescent="0.35">
      <c r="A250" s="96">
        <f t="shared" si="44"/>
        <v>9</v>
      </c>
      <c r="B250" s="97"/>
      <c r="C250" s="70" t="s">
        <v>388</v>
      </c>
      <c r="D250" s="78">
        <f t="shared" si="43"/>
        <v>418.1814</v>
      </c>
      <c r="E250" s="78">
        <f t="shared" si="39"/>
        <v>37.45872</v>
      </c>
      <c r="F250" s="70">
        <f t="shared" si="40"/>
        <v>455.64012000000002</v>
      </c>
      <c r="G250" s="40">
        <v>0</v>
      </c>
      <c r="H250" s="40">
        <f t="shared" si="42"/>
        <v>683.46018000000004</v>
      </c>
    </row>
    <row r="251" spans="1:10" x14ac:dyDescent="0.35">
      <c r="A251" s="96">
        <f t="shared" si="44"/>
        <v>10</v>
      </c>
      <c r="B251" s="97"/>
      <c r="C251" s="70" t="s">
        <v>388</v>
      </c>
      <c r="D251" s="78">
        <f t="shared" si="43"/>
        <v>418.1814</v>
      </c>
      <c r="E251" s="78">
        <f t="shared" si="39"/>
        <v>37.45872</v>
      </c>
      <c r="F251" s="70">
        <f t="shared" si="40"/>
        <v>455.64012000000002</v>
      </c>
      <c r="G251" s="40">
        <v>0</v>
      </c>
      <c r="H251" s="40">
        <f t="shared" si="42"/>
        <v>683.46018000000004</v>
      </c>
    </row>
    <row r="252" spans="1:10" x14ac:dyDescent="0.35">
      <c r="A252" s="96">
        <f t="shared" si="44"/>
        <v>11</v>
      </c>
      <c r="B252" s="97"/>
      <c r="C252" s="70" t="s">
        <v>388</v>
      </c>
      <c r="D252" s="78">
        <f t="shared" si="43"/>
        <v>418.1814</v>
      </c>
      <c r="E252" s="78">
        <f t="shared" si="39"/>
        <v>37.45872</v>
      </c>
      <c r="F252" s="70">
        <f t="shared" si="40"/>
        <v>455.64012000000002</v>
      </c>
      <c r="G252" s="70">
        <v>0</v>
      </c>
      <c r="H252" s="70">
        <f t="shared" si="42"/>
        <v>683.46018000000004</v>
      </c>
    </row>
    <row r="253" spans="1:10" x14ac:dyDescent="0.35">
      <c r="A253" s="96">
        <f t="shared" si="44"/>
        <v>12</v>
      </c>
      <c r="B253" s="97"/>
      <c r="C253" s="70" t="s">
        <v>388</v>
      </c>
      <c r="D253" s="78">
        <f t="shared" si="43"/>
        <v>418.1814</v>
      </c>
      <c r="E253" s="78">
        <f t="shared" si="39"/>
        <v>37.45872</v>
      </c>
      <c r="F253" s="70">
        <f t="shared" si="40"/>
        <v>455.64012000000002</v>
      </c>
      <c r="G253" s="70">
        <v>0</v>
      </c>
      <c r="H253" s="70">
        <f t="shared" si="42"/>
        <v>683.46018000000004</v>
      </c>
    </row>
    <row r="254" spans="1:10" x14ac:dyDescent="0.35">
      <c r="A254" s="98" t="s">
        <v>391</v>
      </c>
      <c r="B254" s="99"/>
      <c r="C254" s="99"/>
      <c r="D254" s="99"/>
      <c r="E254" s="99"/>
      <c r="F254" s="99"/>
      <c r="G254" s="99"/>
      <c r="H254" s="100"/>
    </row>
    <row r="255" spans="1:10" x14ac:dyDescent="0.35">
      <c r="A255" s="96">
        <v>1</v>
      </c>
      <c r="B255" s="97"/>
      <c r="C255" s="70" t="s">
        <v>388</v>
      </c>
      <c r="D255" s="78">
        <f>(38.85)*10.764</f>
        <v>418.1814</v>
      </c>
      <c r="E255" s="78">
        <f t="shared" ref="E255:E266" si="45">(2.9*1.2)*10.764</f>
        <v>37.45872</v>
      </c>
      <c r="F255" s="70">
        <f t="shared" ref="F255:F266" si="46">D255+E255</f>
        <v>455.64012000000002</v>
      </c>
      <c r="G255" s="70">
        <v>0</v>
      </c>
      <c r="H255" s="70">
        <f t="shared" ref="H255:H266" si="47">F255*(($H$209)+1)+(IF(G255&lt;101,G255,IF(G255&lt;201,G255/2,IF(G255&lt;=301,G255/3,G255/4))))</f>
        <v>683.46018000000004</v>
      </c>
    </row>
    <row r="256" spans="1:10" x14ac:dyDescent="0.35">
      <c r="A256" s="96">
        <f>A255+1</f>
        <v>2</v>
      </c>
      <c r="B256" s="97"/>
      <c r="C256" s="70" t="s">
        <v>388</v>
      </c>
      <c r="D256" s="78">
        <f>(38.85)*10.764</f>
        <v>418.1814</v>
      </c>
      <c r="E256" s="78">
        <f t="shared" si="45"/>
        <v>37.45872</v>
      </c>
      <c r="F256" s="70">
        <f t="shared" si="46"/>
        <v>455.64012000000002</v>
      </c>
      <c r="G256" s="70">
        <v>0</v>
      </c>
      <c r="H256" s="70">
        <f t="shared" si="47"/>
        <v>683.46018000000004</v>
      </c>
    </row>
    <row r="257" spans="1:8" x14ac:dyDescent="0.35">
      <c r="A257" s="96">
        <f>A256+1</f>
        <v>3</v>
      </c>
      <c r="B257" s="97"/>
      <c r="C257" s="70" t="s">
        <v>388</v>
      </c>
      <c r="D257" s="78">
        <f>(41.28)*10.764</f>
        <v>444.33792</v>
      </c>
      <c r="E257" s="78">
        <f t="shared" si="45"/>
        <v>37.45872</v>
      </c>
      <c r="F257" s="70">
        <f t="shared" si="46"/>
        <v>481.79664000000002</v>
      </c>
      <c r="G257" s="70">
        <v>0</v>
      </c>
      <c r="H257" s="70">
        <f t="shared" si="47"/>
        <v>722.69496000000004</v>
      </c>
    </row>
    <row r="258" spans="1:8" x14ac:dyDescent="0.35">
      <c r="A258" s="96">
        <f>A257+1</f>
        <v>4</v>
      </c>
      <c r="B258" s="97"/>
      <c r="C258" s="70" t="s">
        <v>388</v>
      </c>
      <c r="D258" s="78">
        <f>(41.28)*10.764</f>
        <v>444.33792</v>
      </c>
      <c r="E258" s="78">
        <f t="shared" si="45"/>
        <v>37.45872</v>
      </c>
      <c r="F258" s="70">
        <f t="shared" si="46"/>
        <v>481.79664000000002</v>
      </c>
      <c r="G258" s="70">
        <v>0</v>
      </c>
      <c r="H258" s="70">
        <f t="shared" si="47"/>
        <v>722.69496000000004</v>
      </c>
    </row>
    <row r="259" spans="1:8" x14ac:dyDescent="0.35">
      <c r="A259" s="96">
        <v>5</v>
      </c>
      <c r="B259" s="97"/>
      <c r="C259" s="70" t="s">
        <v>388</v>
      </c>
      <c r="D259" s="78">
        <f t="shared" ref="D259:D266" si="48">(38.85)*10.764</f>
        <v>418.1814</v>
      </c>
      <c r="E259" s="78">
        <f t="shared" si="45"/>
        <v>37.45872</v>
      </c>
      <c r="F259" s="70">
        <f t="shared" si="46"/>
        <v>455.64012000000002</v>
      </c>
      <c r="G259" s="70">
        <v>0</v>
      </c>
      <c r="H259" s="70">
        <f t="shared" si="47"/>
        <v>683.46018000000004</v>
      </c>
    </row>
    <row r="260" spans="1:8" x14ac:dyDescent="0.35">
      <c r="A260" s="96">
        <f t="shared" ref="A260:A266" si="49">A259+1</f>
        <v>6</v>
      </c>
      <c r="B260" s="97"/>
      <c r="C260" s="70" t="s">
        <v>388</v>
      </c>
      <c r="D260" s="78">
        <f t="shared" si="48"/>
        <v>418.1814</v>
      </c>
      <c r="E260" s="78">
        <f t="shared" si="45"/>
        <v>37.45872</v>
      </c>
      <c r="F260" s="70">
        <f t="shared" si="46"/>
        <v>455.64012000000002</v>
      </c>
      <c r="G260" s="70">
        <v>0</v>
      </c>
      <c r="H260" s="70">
        <f t="shared" si="47"/>
        <v>683.46018000000004</v>
      </c>
    </row>
    <row r="261" spans="1:8" x14ac:dyDescent="0.35">
      <c r="A261" s="96">
        <f t="shared" si="49"/>
        <v>7</v>
      </c>
      <c r="B261" s="97"/>
      <c r="C261" s="70" t="s">
        <v>388</v>
      </c>
      <c r="D261" s="78">
        <f t="shared" si="48"/>
        <v>418.1814</v>
      </c>
      <c r="E261" s="78">
        <f t="shared" si="45"/>
        <v>37.45872</v>
      </c>
      <c r="F261" s="70">
        <f t="shared" si="46"/>
        <v>455.64012000000002</v>
      </c>
      <c r="G261" s="70">
        <v>0</v>
      </c>
      <c r="H261" s="70">
        <f t="shared" si="47"/>
        <v>683.46018000000004</v>
      </c>
    </row>
    <row r="262" spans="1:8" x14ac:dyDescent="0.35">
      <c r="A262" s="96">
        <f t="shared" si="49"/>
        <v>8</v>
      </c>
      <c r="B262" s="97"/>
      <c r="C262" s="70" t="s">
        <v>388</v>
      </c>
      <c r="D262" s="78">
        <f t="shared" si="48"/>
        <v>418.1814</v>
      </c>
      <c r="E262" s="78">
        <f t="shared" si="45"/>
        <v>37.45872</v>
      </c>
      <c r="F262" s="70">
        <f t="shared" si="46"/>
        <v>455.64012000000002</v>
      </c>
      <c r="G262" s="70">
        <v>0</v>
      </c>
      <c r="H262" s="70">
        <f t="shared" si="47"/>
        <v>683.46018000000004</v>
      </c>
    </row>
    <row r="263" spans="1:8" x14ac:dyDescent="0.35">
      <c r="A263" s="96">
        <f t="shared" si="49"/>
        <v>9</v>
      </c>
      <c r="B263" s="97"/>
      <c r="C263" s="70" t="s">
        <v>388</v>
      </c>
      <c r="D263" s="78">
        <f t="shared" si="48"/>
        <v>418.1814</v>
      </c>
      <c r="E263" s="78">
        <f t="shared" si="45"/>
        <v>37.45872</v>
      </c>
      <c r="F263" s="70">
        <f t="shared" si="46"/>
        <v>455.64012000000002</v>
      </c>
      <c r="G263" s="70">
        <v>0</v>
      </c>
      <c r="H263" s="70">
        <f t="shared" si="47"/>
        <v>683.46018000000004</v>
      </c>
    </row>
    <row r="264" spans="1:8" ht="15.75" customHeight="1" x14ac:dyDescent="0.35">
      <c r="A264" s="96">
        <f t="shared" si="49"/>
        <v>10</v>
      </c>
      <c r="B264" s="97"/>
      <c r="C264" s="70" t="s">
        <v>388</v>
      </c>
      <c r="D264" s="78">
        <f t="shared" si="48"/>
        <v>418.1814</v>
      </c>
      <c r="E264" s="78">
        <f t="shared" si="45"/>
        <v>37.45872</v>
      </c>
      <c r="F264" s="70">
        <f t="shared" si="46"/>
        <v>455.64012000000002</v>
      </c>
      <c r="G264" s="70">
        <v>0</v>
      </c>
      <c r="H264" s="70">
        <f t="shared" si="47"/>
        <v>683.46018000000004</v>
      </c>
    </row>
    <row r="265" spans="1:8" x14ac:dyDescent="0.35">
      <c r="A265" s="96">
        <f t="shared" si="49"/>
        <v>11</v>
      </c>
      <c r="B265" s="97"/>
      <c r="C265" s="70" t="s">
        <v>388</v>
      </c>
      <c r="D265" s="78">
        <f t="shared" si="48"/>
        <v>418.1814</v>
      </c>
      <c r="E265" s="78">
        <f t="shared" si="45"/>
        <v>37.45872</v>
      </c>
      <c r="F265" s="70">
        <f t="shared" si="46"/>
        <v>455.64012000000002</v>
      </c>
      <c r="G265" s="70">
        <v>0</v>
      </c>
      <c r="H265" s="70">
        <f t="shared" si="47"/>
        <v>683.46018000000004</v>
      </c>
    </row>
    <row r="266" spans="1:8" x14ac:dyDescent="0.35">
      <c r="A266" s="96">
        <f t="shared" si="49"/>
        <v>12</v>
      </c>
      <c r="B266" s="97"/>
      <c r="C266" s="70" t="s">
        <v>388</v>
      </c>
      <c r="D266" s="78">
        <f t="shared" si="48"/>
        <v>418.1814</v>
      </c>
      <c r="E266" s="78">
        <f t="shared" si="45"/>
        <v>37.45872</v>
      </c>
      <c r="F266" s="70">
        <f t="shared" si="46"/>
        <v>455.64012000000002</v>
      </c>
      <c r="G266" s="70">
        <v>0</v>
      </c>
      <c r="H266" s="70">
        <f t="shared" si="47"/>
        <v>683.46018000000004</v>
      </c>
    </row>
    <row r="267" spans="1:8" x14ac:dyDescent="0.35">
      <c r="A267" s="98" t="s">
        <v>392</v>
      </c>
      <c r="B267" s="99"/>
      <c r="C267" s="99"/>
      <c r="D267" s="99"/>
      <c r="E267" s="99"/>
      <c r="F267" s="99"/>
      <c r="G267" s="99"/>
      <c r="H267" s="100"/>
    </row>
    <row r="268" spans="1:8" x14ac:dyDescent="0.35">
      <c r="A268" s="96">
        <v>1</v>
      </c>
      <c r="B268" s="97"/>
      <c r="C268" s="70" t="s">
        <v>388</v>
      </c>
      <c r="D268" s="78">
        <f>(38.85)*10.764</f>
        <v>418.1814</v>
      </c>
      <c r="E268" s="78">
        <f>(2.9*1.2)*10.764</f>
        <v>37.45872</v>
      </c>
      <c r="F268" s="70">
        <f>D268+E268</f>
        <v>455.64012000000002</v>
      </c>
      <c r="G268" s="70">
        <v>0</v>
      </c>
      <c r="H268" s="70">
        <f>F268*(($H$209)+1)+(IF(G268&lt;101,G268,IF(G268&lt;201,G268/2,IF(G268&lt;=301,G268/3,G268/4))))</f>
        <v>683.46018000000004</v>
      </c>
    </row>
    <row r="269" spans="1:8" x14ac:dyDescent="0.35">
      <c r="A269" s="96">
        <f>A268+1</f>
        <v>2</v>
      </c>
      <c r="B269" s="97"/>
      <c r="C269" s="70" t="s">
        <v>388</v>
      </c>
      <c r="D269" s="78">
        <f>(38.85)*10.764</f>
        <v>418.1814</v>
      </c>
      <c r="E269" s="78">
        <f>(2.9*1.2)*10.764</f>
        <v>37.45872</v>
      </c>
      <c r="F269" s="70">
        <f>D269+E269</f>
        <v>455.64012000000002</v>
      </c>
      <c r="G269" s="70">
        <v>0</v>
      </c>
      <c r="H269" s="70">
        <f>F269*(($H$209)+1)+(IF(G269&lt;101,G269,IF(G269&lt;201,G269/2,IF(G269&lt;=301,G269/3,G269/4))))</f>
        <v>683.46018000000004</v>
      </c>
    </row>
    <row r="270" spans="1:8" x14ac:dyDescent="0.35">
      <c r="A270" s="96">
        <f>A269+1</f>
        <v>3</v>
      </c>
      <c r="B270" s="97"/>
      <c r="C270" s="96" t="s">
        <v>394</v>
      </c>
      <c r="D270" s="101"/>
      <c r="E270" s="101"/>
      <c r="F270" s="101"/>
      <c r="G270" s="97"/>
      <c r="H270" s="70" t="s">
        <v>393</v>
      </c>
    </row>
    <row r="271" spans="1:8" x14ac:dyDescent="0.35">
      <c r="A271" s="96">
        <f>A270+1</f>
        <v>4</v>
      </c>
      <c r="B271" s="97"/>
      <c r="C271" s="70" t="s">
        <v>388</v>
      </c>
      <c r="D271" s="78">
        <f>(41.28)*10.764</f>
        <v>444.33792</v>
      </c>
      <c r="E271" s="78">
        <f t="shared" ref="E271:E279" si="50">(2.9*1.2)*10.764</f>
        <v>37.45872</v>
      </c>
      <c r="F271" s="70">
        <f t="shared" ref="F271:F279" si="51">D271+E271</f>
        <v>481.79664000000002</v>
      </c>
      <c r="G271" s="70">
        <v>0</v>
      </c>
      <c r="H271" s="70">
        <f t="shared" ref="H271:H279" si="52">F271*(($H$209)+1)+(IF(G271&lt;101,G271,IF(G271&lt;201,G271/2,IF(G271&lt;=301,G271/3,G271/4))))</f>
        <v>722.69496000000004</v>
      </c>
    </row>
    <row r="272" spans="1:8" x14ac:dyDescent="0.35">
      <c r="A272" s="96">
        <v>5</v>
      </c>
      <c r="B272" s="97"/>
      <c r="C272" s="70" t="s">
        <v>388</v>
      </c>
      <c r="D272" s="78">
        <f t="shared" ref="D272:D279" si="53">(38.85)*10.764</f>
        <v>418.1814</v>
      </c>
      <c r="E272" s="78">
        <f t="shared" si="50"/>
        <v>37.45872</v>
      </c>
      <c r="F272" s="70">
        <f t="shared" si="51"/>
        <v>455.64012000000002</v>
      </c>
      <c r="G272" s="70">
        <v>0</v>
      </c>
      <c r="H272" s="70">
        <f t="shared" si="52"/>
        <v>683.46018000000004</v>
      </c>
    </row>
    <row r="273" spans="1:8" x14ac:dyDescent="0.35">
      <c r="A273" s="96">
        <f t="shared" ref="A273:A279" si="54">A272+1</f>
        <v>6</v>
      </c>
      <c r="B273" s="97"/>
      <c r="C273" s="70" t="s">
        <v>388</v>
      </c>
      <c r="D273" s="78">
        <f t="shared" si="53"/>
        <v>418.1814</v>
      </c>
      <c r="E273" s="78">
        <f t="shared" si="50"/>
        <v>37.45872</v>
      </c>
      <c r="F273" s="70">
        <f t="shared" si="51"/>
        <v>455.64012000000002</v>
      </c>
      <c r="G273" s="70">
        <v>0</v>
      </c>
      <c r="H273" s="70">
        <f t="shared" si="52"/>
        <v>683.46018000000004</v>
      </c>
    </row>
    <row r="274" spans="1:8" x14ac:dyDescent="0.35">
      <c r="A274" s="96">
        <f t="shared" si="54"/>
        <v>7</v>
      </c>
      <c r="B274" s="97"/>
      <c r="C274" s="70" t="s">
        <v>388</v>
      </c>
      <c r="D274" s="78">
        <f t="shared" si="53"/>
        <v>418.1814</v>
      </c>
      <c r="E274" s="78">
        <f t="shared" si="50"/>
        <v>37.45872</v>
      </c>
      <c r="F274" s="70">
        <f t="shared" si="51"/>
        <v>455.64012000000002</v>
      </c>
      <c r="G274" s="70">
        <v>0</v>
      </c>
      <c r="H274" s="70">
        <f t="shared" si="52"/>
        <v>683.46018000000004</v>
      </c>
    </row>
    <row r="275" spans="1:8" x14ac:dyDescent="0.35">
      <c r="A275" s="96">
        <f t="shared" si="54"/>
        <v>8</v>
      </c>
      <c r="B275" s="97"/>
      <c r="C275" s="70" t="s">
        <v>388</v>
      </c>
      <c r="D275" s="78">
        <f t="shared" si="53"/>
        <v>418.1814</v>
      </c>
      <c r="E275" s="78">
        <f t="shared" si="50"/>
        <v>37.45872</v>
      </c>
      <c r="F275" s="70">
        <f t="shared" si="51"/>
        <v>455.64012000000002</v>
      </c>
      <c r="G275" s="70">
        <v>0</v>
      </c>
      <c r="H275" s="70">
        <f t="shared" si="52"/>
        <v>683.46018000000004</v>
      </c>
    </row>
    <row r="276" spans="1:8" x14ac:dyDescent="0.35">
      <c r="A276" s="96">
        <f t="shared" si="54"/>
        <v>9</v>
      </c>
      <c r="B276" s="97"/>
      <c r="C276" s="70" t="s">
        <v>388</v>
      </c>
      <c r="D276" s="78">
        <f t="shared" si="53"/>
        <v>418.1814</v>
      </c>
      <c r="E276" s="78">
        <f t="shared" si="50"/>
        <v>37.45872</v>
      </c>
      <c r="F276" s="70">
        <f t="shared" si="51"/>
        <v>455.64012000000002</v>
      </c>
      <c r="G276" s="70">
        <v>0</v>
      </c>
      <c r="H276" s="70">
        <f t="shared" si="52"/>
        <v>683.46018000000004</v>
      </c>
    </row>
    <row r="277" spans="1:8" x14ac:dyDescent="0.35">
      <c r="A277" s="96">
        <f t="shared" si="54"/>
        <v>10</v>
      </c>
      <c r="B277" s="97"/>
      <c r="C277" s="70" t="s">
        <v>388</v>
      </c>
      <c r="D277" s="78">
        <f t="shared" si="53"/>
        <v>418.1814</v>
      </c>
      <c r="E277" s="78">
        <f t="shared" si="50"/>
        <v>37.45872</v>
      </c>
      <c r="F277" s="70">
        <f t="shared" si="51"/>
        <v>455.64012000000002</v>
      </c>
      <c r="G277" s="70">
        <v>0</v>
      </c>
      <c r="H277" s="70">
        <f t="shared" si="52"/>
        <v>683.46018000000004</v>
      </c>
    </row>
    <row r="278" spans="1:8" x14ac:dyDescent="0.35">
      <c r="A278" s="96">
        <f t="shared" si="54"/>
        <v>11</v>
      </c>
      <c r="B278" s="97"/>
      <c r="C278" s="70" t="s">
        <v>388</v>
      </c>
      <c r="D278" s="78">
        <f t="shared" si="53"/>
        <v>418.1814</v>
      </c>
      <c r="E278" s="78">
        <f t="shared" si="50"/>
        <v>37.45872</v>
      </c>
      <c r="F278" s="70">
        <f t="shared" si="51"/>
        <v>455.64012000000002</v>
      </c>
      <c r="G278" s="70">
        <v>0</v>
      </c>
      <c r="H278" s="70">
        <f t="shared" si="52"/>
        <v>683.46018000000004</v>
      </c>
    </row>
    <row r="279" spans="1:8" x14ac:dyDescent="0.35">
      <c r="A279" s="96">
        <f t="shared" si="54"/>
        <v>12</v>
      </c>
      <c r="B279" s="97"/>
      <c r="C279" s="70" t="s">
        <v>388</v>
      </c>
      <c r="D279" s="78">
        <f t="shared" si="53"/>
        <v>418.1814</v>
      </c>
      <c r="E279" s="78">
        <f t="shared" si="50"/>
        <v>37.45872</v>
      </c>
      <c r="F279" s="70">
        <f t="shared" si="51"/>
        <v>455.64012000000002</v>
      </c>
      <c r="G279" s="70">
        <v>0</v>
      </c>
      <c r="H279" s="70">
        <f t="shared" si="52"/>
        <v>683.46018000000004</v>
      </c>
    </row>
    <row r="280" spans="1:8" x14ac:dyDescent="0.35">
      <c r="A280" s="98" t="s">
        <v>381</v>
      </c>
      <c r="B280" s="99"/>
      <c r="C280" s="99"/>
      <c r="D280" s="99"/>
      <c r="E280" s="99"/>
      <c r="F280" s="99"/>
      <c r="G280" s="99"/>
      <c r="H280" s="100"/>
    </row>
    <row r="281" spans="1:8" x14ac:dyDescent="0.35">
      <c r="A281" s="98" t="s">
        <v>384</v>
      </c>
      <c r="B281" s="99"/>
      <c r="C281" s="99"/>
      <c r="D281" s="99"/>
      <c r="E281" s="99"/>
      <c r="F281" s="99"/>
      <c r="G281" s="99"/>
      <c r="H281" s="100"/>
    </row>
    <row r="282" spans="1:8" x14ac:dyDescent="0.35">
      <c r="A282" s="98" t="s">
        <v>386</v>
      </c>
      <c r="B282" s="99"/>
      <c r="C282" s="99"/>
      <c r="D282" s="99"/>
      <c r="E282" s="99"/>
      <c r="F282" s="99"/>
      <c r="G282" s="99"/>
      <c r="H282" s="100"/>
    </row>
    <row r="283" spans="1:8" x14ac:dyDescent="0.35">
      <c r="A283" s="96">
        <v>1</v>
      </c>
      <c r="B283" s="97"/>
      <c r="C283" s="70" t="s">
        <v>387</v>
      </c>
      <c r="D283" s="78">
        <f>(60.76)*10.764</f>
        <v>654.02063999999996</v>
      </c>
      <c r="E283" s="78">
        <f>(3.03*1.2)*10.764</f>
        <v>39.137903999999992</v>
      </c>
      <c r="F283" s="70">
        <f t="shared" ref="F283:F290" si="55">D283+E283</f>
        <v>693.15854399999989</v>
      </c>
      <c r="G283" s="78">
        <f>(11.6*1.9)*10.764</f>
        <v>237.23855999999998</v>
      </c>
      <c r="H283" s="70">
        <f t="shared" ref="H283:H290" si="56">F283*(($H$209)+1)+(IF(G283&lt;101,G283,IF(G283&lt;201,G283/2,IF(G283&lt;=301,G283/3,G283/4))))</f>
        <v>1118.8173359999998</v>
      </c>
    </row>
    <row r="284" spans="1:8" x14ac:dyDescent="0.35">
      <c r="A284" s="96">
        <f>A283+1</f>
        <v>2</v>
      </c>
      <c r="B284" s="97"/>
      <c r="C284" s="70" t="s">
        <v>388</v>
      </c>
      <c r="D284" s="78">
        <f>(41.28)*10.764</f>
        <v>444.33792</v>
      </c>
      <c r="E284" s="78">
        <f>(2.9*1.2)*10.764</f>
        <v>37.45872</v>
      </c>
      <c r="F284" s="70">
        <f t="shared" si="55"/>
        <v>481.79664000000002</v>
      </c>
      <c r="G284" s="78">
        <f>(8.4*1.9)*10.764</f>
        <v>171.79343999999998</v>
      </c>
      <c r="H284" s="70">
        <f t="shared" si="56"/>
        <v>808.59168</v>
      </c>
    </row>
    <row r="285" spans="1:8" x14ac:dyDescent="0.35">
      <c r="A285" s="96">
        <f>A284+1</f>
        <v>3</v>
      </c>
      <c r="B285" s="97"/>
      <c r="C285" s="70" t="s">
        <v>388</v>
      </c>
      <c r="D285" s="78">
        <f>(41.28)*10.764</f>
        <v>444.33792</v>
      </c>
      <c r="E285" s="78">
        <f>(2.9*1.2)*10.764</f>
        <v>37.45872</v>
      </c>
      <c r="F285" s="70">
        <f t="shared" si="55"/>
        <v>481.79664000000002</v>
      </c>
      <c r="G285" s="78">
        <f>(8.4*1.9)*10.764</f>
        <v>171.79343999999998</v>
      </c>
      <c r="H285" s="70">
        <f t="shared" si="56"/>
        <v>808.59168</v>
      </c>
    </row>
    <row r="286" spans="1:8" x14ac:dyDescent="0.35">
      <c r="A286" s="96">
        <f>A285+1</f>
        <v>4</v>
      </c>
      <c r="B286" s="97"/>
      <c r="C286" s="70" t="s">
        <v>387</v>
      </c>
      <c r="D286" s="78">
        <f>(60.76)*10.764</f>
        <v>654.02063999999996</v>
      </c>
      <c r="E286" s="78">
        <f>(3.03*1.2)*10.764</f>
        <v>39.137903999999992</v>
      </c>
      <c r="F286" s="70">
        <f t="shared" si="55"/>
        <v>693.15854399999989</v>
      </c>
      <c r="G286" s="78">
        <f>(11.6*1.9)*10.764</f>
        <v>237.23855999999998</v>
      </c>
      <c r="H286" s="70">
        <f t="shared" si="56"/>
        <v>1118.8173359999998</v>
      </c>
    </row>
    <row r="287" spans="1:8" x14ac:dyDescent="0.35">
      <c r="A287" s="96">
        <v>5</v>
      </c>
      <c r="B287" s="97"/>
      <c r="C287" s="70" t="s">
        <v>387</v>
      </c>
      <c r="D287" s="78">
        <f>(60.76)*10.764</f>
        <v>654.02063999999996</v>
      </c>
      <c r="E287" s="78">
        <f>(3.03*1.2)*10.764</f>
        <v>39.137903999999992</v>
      </c>
      <c r="F287" s="70">
        <f t="shared" si="55"/>
        <v>693.15854399999989</v>
      </c>
      <c r="G287" s="70">
        <v>0</v>
      </c>
      <c r="H287" s="70">
        <f t="shared" si="56"/>
        <v>1039.7378159999998</v>
      </c>
    </row>
    <row r="288" spans="1:8" x14ac:dyDescent="0.35">
      <c r="A288" s="96">
        <f>A287+1</f>
        <v>6</v>
      </c>
      <c r="B288" s="97"/>
      <c r="C288" s="70" t="s">
        <v>388</v>
      </c>
      <c r="D288" s="78">
        <f>(38.85)*10.764</f>
        <v>418.1814</v>
      </c>
      <c r="E288" s="78">
        <f>(2.9*1.2)*10.764</f>
        <v>37.45872</v>
      </c>
      <c r="F288" s="70">
        <f t="shared" si="55"/>
        <v>455.64012000000002</v>
      </c>
      <c r="G288" s="70">
        <v>0</v>
      </c>
      <c r="H288" s="70">
        <f t="shared" si="56"/>
        <v>683.46018000000004</v>
      </c>
    </row>
    <row r="289" spans="1:8" x14ac:dyDescent="0.35">
      <c r="A289" s="96">
        <f>A288+1</f>
        <v>7</v>
      </c>
      <c r="B289" s="97"/>
      <c r="C289" s="70" t="s">
        <v>388</v>
      </c>
      <c r="D289" s="78">
        <f>(38.85)*10.764</f>
        <v>418.1814</v>
      </c>
      <c r="E289" s="78">
        <f>(2.9*1.2)*10.764</f>
        <v>37.45872</v>
      </c>
      <c r="F289" s="70">
        <f t="shared" si="55"/>
        <v>455.64012000000002</v>
      </c>
      <c r="G289" s="70">
        <v>0</v>
      </c>
      <c r="H289" s="70">
        <f t="shared" si="56"/>
        <v>683.46018000000004</v>
      </c>
    </row>
    <row r="290" spans="1:8" x14ac:dyDescent="0.35">
      <c r="A290" s="96">
        <f>A289+1</f>
        <v>8</v>
      </c>
      <c r="B290" s="97"/>
      <c r="C290" s="70" t="s">
        <v>387</v>
      </c>
      <c r="D290" s="78">
        <f>(60.76)*10.764</f>
        <v>654.02063999999996</v>
      </c>
      <c r="E290" s="78">
        <f>(3.03*1.2)*10.764</f>
        <v>39.137903999999992</v>
      </c>
      <c r="F290" s="70">
        <f t="shared" si="55"/>
        <v>693.15854399999989</v>
      </c>
      <c r="G290" s="70">
        <v>0</v>
      </c>
      <c r="H290" s="70">
        <f t="shared" si="56"/>
        <v>1039.7378159999998</v>
      </c>
    </row>
    <row r="291" spans="1:8" x14ac:dyDescent="0.35">
      <c r="A291" s="98" t="s">
        <v>391</v>
      </c>
      <c r="B291" s="99"/>
      <c r="C291" s="99"/>
      <c r="D291" s="99"/>
      <c r="E291" s="99"/>
      <c r="F291" s="99"/>
      <c r="G291" s="99"/>
      <c r="H291" s="100"/>
    </row>
    <row r="292" spans="1:8" x14ac:dyDescent="0.35">
      <c r="A292" s="96">
        <v>1</v>
      </c>
      <c r="B292" s="97"/>
      <c r="C292" s="70" t="s">
        <v>387</v>
      </c>
      <c r="D292" s="78">
        <f>(60.76)*10.764</f>
        <v>654.02063999999996</v>
      </c>
      <c r="E292" s="78">
        <f>(3.03*1.2)*10.764</f>
        <v>39.137903999999992</v>
      </c>
      <c r="F292" s="70">
        <f t="shared" ref="F292:F299" si="57">D292+E292</f>
        <v>693.15854399999989</v>
      </c>
      <c r="G292" s="70">
        <v>0</v>
      </c>
      <c r="H292" s="70">
        <f t="shared" ref="H292:H299" si="58">F292*(($H$209)+1)+(IF(G292&lt;101,G292,IF(G292&lt;201,G292/2,IF(G292&lt;=301,G292/3,G292/4))))</f>
        <v>1039.7378159999998</v>
      </c>
    </row>
    <row r="293" spans="1:8" x14ac:dyDescent="0.35">
      <c r="A293" s="96">
        <f>A292+1</f>
        <v>2</v>
      </c>
      <c r="B293" s="97"/>
      <c r="C293" s="70" t="s">
        <v>388</v>
      </c>
      <c r="D293" s="78">
        <f>(41.28)*10.764</f>
        <v>444.33792</v>
      </c>
      <c r="E293" s="78">
        <f>(2.9*1.2)*10.764</f>
        <v>37.45872</v>
      </c>
      <c r="F293" s="70">
        <f t="shared" si="57"/>
        <v>481.79664000000002</v>
      </c>
      <c r="G293" s="70">
        <v>0</v>
      </c>
      <c r="H293" s="70">
        <f t="shared" si="58"/>
        <v>722.69496000000004</v>
      </c>
    </row>
    <row r="294" spans="1:8" x14ac:dyDescent="0.35">
      <c r="A294" s="96">
        <f>A293+1</f>
        <v>3</v>
      </c>
      <c r="B294" s="97"/>
      <c r="C294" s="70" t="s">
        <v>388</v>
      </c>
      <c r="D294" s="78">
        <f>(41.28)*10.764</f>
        <v>444.33792</v>
      </c>
      <c r="E294" s="78">
        <f>(2.9*1.2)*10.764</f>
        <v>37.45872</v>
      </c>
      <c r="F294" s="70">
        <f t="shared" si="57"/>
        <v>481.79664000000002</v>
      </c>
      <c r="G294" s="70">
        <v>0</v>
      </c>
      <c r="H294" s="70">
        <f t="shared" si="58"/>
        <v>722.69496000000004</v>
      </c>
    </row>
    <row r="295" spans="1:8" x14ac:dyDescent="0.35">
      <c r="A295" s="96">
        <f>A294+1</f>
        <v>4</v>
      </c>
      <c r="B295" s="97"/>
      <c r="C295" s="70" t="s">
        <v>387</v>
      </c>
      <c r="D295" s="78">
        <f>(60.76)*10.764</f>
        <v>654.02063999999996</v>
      </c>
      <c r="E295" s="78">
        <f>(3.03*1.2)*10.764</f>
        <v>39.137903999999992</v>
      </c>
      <c r="F295" s="70">
        <f t="shared" si="57"/>
        <v>693.15854399999989</v>
      </c>
      <c r="G295" s="70">
        <v>0</v>
      </c>
      <c r="H295" s="70">
        <f t="shared" si="58"/>
        <v>1039.7378159999998</v>
      </c>
    </row>
    <row r="296" spans="1:8" x14ac:dyDescent="0.35">
      <c r="A296" s="96">
        <v>5</v>
      </c>
      <c r="B296" s="97"/>
      <c r="C296" s="70" t="s">
        <v>387</v>
      </c>
      <c r="D296" s="78">
        <f>(60.76)*10.764</f>
        <v>654.02063999999996</v>
      </c>
      <c r="E296" s="78">
        <f>(3.03*1.2)*10.764</f>
        <v>39.137903999999992</v>
      </c>
      <c r="F296" s="70">
        <f t="shared" si="57"/>
        <v>693.15854399999989</v>
      </c>
      <c r="G296" s="70">
        <v>0</v>
      </c>
      <c r="H296" s="70">
        <f t="shared" si="58"/>
        <v>1039.7378159999998</v>
      </c>
    </row>
    <row r="297" spans="1:8" x14ac:dyDescent="0.35">
      <c r="A297" s="96">
        <f>A296+1</f>
        <v>6</v>
      </c>
      <c r="B297" s="97"/>
      <c r="C297" s="70" t="s">
        <v>388</v>
      </c>
      <c r="D297" s="78">
        <f>(38.85)*10.764</f>
        <v>418.1814</v>
      </c>
      <c r="E297" s="78">
        <f>(2.9*1.2)*10.764</f>
        <v>37.45872</v>
      </c>
      <c r="F297" s="70">
        <f t="shared" si="57"/>
        <v>455.64012000000002</v>
      </c>
      <c r="G297" s="70">
        <v>0</v>
      </c>
      <c r="H297" s="70">
        <f t="shared" si="58"/>
        <v>683.46018000000004</v>
      </c>
    </row>
    <row r="298" spans="1:8" x14ac:dyDescent="0.35">
      <c r="A298" s="96">
        <f>A297+1</f>
        <v>7</v>
      </c>
      <c r="B298" s="97"/>
      <c r="C298" s="70" t="s">
        <v>388</v>
      </c>
      <c r="D298" s="78">
        <f>(38.85)*10.764</f>
        <v>418.1814</v>
      </c>
      <c r="E298" s="78">
        <f>(2.9*1.2)*10.764</f>
        <v>37.45872</v>
      </c>
      <c r="F298" s="70">
        <f t="shared" si="57"/>
        <v>455.64012000000002</v>
      </c>
      <c r="G298" s="70">
        <v>0</v>
      </c>
      <c r="H298" s="70">
        <f t="shared" si="58"/>
        <v>683.46018000000004</v>
      </c>
    </row>
    <row r="299" spans="1:8" x14ac:dyDescent="0.35">
      <c r="A299" s="96">
        <f>A298+1</f>
        <v>8</v>
      </c>
      <c r="B299" s="97"/>
      <c r="C299" s="70" t="s">
        <v>387</v>
      </c>
      <c r="D299" s="78">
        <f>(60.76)*10.764</f>
        <v>654.02063999999996</v>
      </c>
      <c r="E299" s="78">
        <f>(3.03*1.2)*10.764</f>
        <v>39.137903999999992</v>
      </c>
      <c r="F299" s="70">
        <f t="shared" si="57"/>
        <v>693.15854399999989</v>
      </c>
      <c r="G299" s="70">
        <v>0</v>
      </c>
      <c r="H299" s="70">
        <f t="shared" si="58"/>
        <v>1039.7378159999998</v>
      </c>
    </row>
    <row r="300" spans="1:8" x14ac:dyDescent="0.35">
      <c r="A300" s="98" t="s">
        <v>392</v>
      </c>
      <c r="B300" s="99"/>
      <c r="C300" s="99"/>
      <c r="D300" s="99"/>
      <c r="E300" s="99"/>
      <c r="F300" s="99"/>
      <c r="G300" s="99"/>
      <c r="H300" s="100"/>
    </row>
    <row r="301" spans="1:8" x14ac:dyDescent="0.35">
      <c r="A301" s="96">
        <v>1</v>
      </c>
      <c r="B301" s="97"/>
      <c r="C301" s="70" t="s">
        <v>387</v>
      </c>
      <c r="D301" s="78">
        <f>(60.76)*10.764</f>
        <v>654.02063999999996</v>
      </c>
      <c r="E301" s="78">
        <f>(3.03*1.2)*10.764</f>
        <v>39.137903999999992</v>
      </c>
      <c r="F301" s="70">
        <f>D301+E301</f>
        <v>693.15854399999989</v>
      </c>
      <c r="G301" s="70">
        <v>0</v>
      </c>
      <c r="H301" s="70">
        <f>F301*(($H$209)+1)+(IF(G301&lt;101,G301,IF(G301&lt;201,G301/2,IF(G301&lt;=301,G301/3,G301/4))))</f>
        <v>1039.7378159999998</v>
      </c>
    </row>
    <row r="302" spans="1:8" x14ac:dyDescent="0.35">
      <c r="A302" s="96">
        <f>A301+1</f>
        <v>2</v>
      </c>
      <c r="B302" s="97"/>
      <c r="C302" s="70" t="s">
        <v>388</v>
      </c>
      <c r="D302" s="78">
        <f>(41.28)*10.764</f>
        <v>444.33792</v>
      </c>
      <c r="E302" s="78">
        <f>(2.9*1.2)*10.764</f>
        <v>37.45872</v>
      </c>
      <c r="F302" s="70">
        <f>D302+E302</f>
        <v>481.79664000000002</v>
      </c>
      <c r="G302" s="70">
        <v>0</v>
      </c>
      <c r="H302" s="70">
        <f>F302*(($H$209)+1)+(IF(G302&lt;101,G302,IF(G302&lt;201,G302/2,IF(G302&lt;=301,G302/3,G302/4))))</f>
        <v>722.69496000000004</v>
      </c>
    </row>
    <row r="303" spans="1:8" x14ac:dyDescent="0.35">
      <c r="A303" s="96">
        <f>A302+1</f>
        <v>3</v>
      </c>
      <c r="B303" s="97"/>
      <c r="C303" s="96" t="s">
        <v>394</v>
      </c>
      <c r="D303" s="101"/>
      <c r="E303" s="101"/>
      <c r="F303" s="101"/>
      <c r="G303" s="97"/>
      <c r="H303" s="70" t="s">
        <v>393</v>
      </c>
    </row>
    <row r="304" spans="1:8" x14ac:dyDescent="0.35">
      <c r="A304" s="96">
        <f>A303+1</f>
        <v>4</v>
      </c>
      <c r="B304" s="97"/>
      <c r="C304" s="70" t="s">
        <v>387</v>
      </c>
      <c r="D304" s="78">
        <f>(60.76)*10.764</f>
        <v>654.02063999999996</v>
      </c>
      <c r="E304" s="78">
        <f>(3.03*1.2)*10.764</f>
        <v>39.137903999999992</v>
      </c>
      <c r="F304" s="70">
        <f>D304+E304</f>
        <v>693.15854399999989</v>
      </c>
      <c r="G304" s="70">
        <v>0</v>
      </c>
      <c r="H304" s="70">
        <f>F304*(($H$209)+1)+(IF(G304&lt;101,G304,IF(G304&lt;201,G304/2,IF(G304&lt;=301,G304/3,G304/4))))</f>
        <v>1039.7378159999998</v>
      </c>
    </row>
    <row r="305" spans="1:9" x14ac:dyDescent="0.35">
      <c r="A305" s="96">
        <v>5</v>
      </c>
      <c r="B305" s="97"/>
      <c r="C305" s="70" t="s">
        <v>387</v>
      </c>
      <c r="D305" s="78">
        <f>(60.76)*10.764</f>
        <v>654.02063999999996</v>
      </c>
      <c r="E305" s="78">
        <f>(3.03*1.2)*10.764</f>
        <v>39.137903999999992</v>
      </c>
      <c r="F305" s="70">
        <f>D305+E305</f>
        <v>693.15854399999989</v>
      </c>
      <c r="G305" s="70">
        <v>0</v>
      </c>
      <c r="H305" s="70">
        <f>F305*(($H$209)+1)+(IF(G305&lt;101,G305,IF(G305&lt;201,G305/2,IF(G305&lt;=301,G305/3,G305/4))))</f>
        <v>1039.7378159999998</v>
      </c>
    </row>
    <row r="306" spans="1:9" x14ac:dyDescent="0.35">
      <c r="A306" s="96">
        <f>A305+1</f>
        <v>6</v>
      </c>
      <c r="B306" s="97"/>
      <c r="C306" s="70" t="s">
        <v>388</v>
      </c>
      <c r="D306" s="78">
        <f>(38.85)*10.764</f>
        <v>418.1814</v>
      </c>
      <c r="E306" s="78">
        <f>(2.9*1.2)*10.764</f>
        <v>37.45872</v>
      </c>
      <c r="F306" s="70">
        <f>D306+E306</f>
        <v>455.64012000000002</v>
      </c>
      <c r="G306" s="70">
        <v>0</v>
      </c>
      <c r="H306" s="70">
        <f>F306*(($H$209)+1)+(IF(G306&lt;101,G306,IF(G306&lt;201,G306/2,IF(G306&lt;=301,G306/3,G306/4))))</f>
        <v>683.46018000000004</v>
      </c>
    </row>
    <row r="307" spans="1:9" x14ac:dyDescent="0.35">
      <c r="A307" s="96">
        <f>A306+1</f>
        <v>7</v>
      </c>
      <c r="B307" s="97"/>
      <c r="C307" s="70" t="s">
        <v>388</v>
      </c>
      <c r="D307" s="78">
        <f>(38.85)*10.764</f>
        <v>418.1814</v>
      </c>
      <c r="E307" s="78">
        <f>(2.9*1.2)*10.764</f>
        <v>37.45872</v>
      </c>
      <c r="F307" s="70">
        <f>D307+E307</f>
        <v>455.64012000000002</v>
      </c>
      <c r="G307" s="70">
        <v>0</v>
      </c>
      <c r="H307" s="70">
        <f>F307*(($H$209)+1)+(IF(G307&lt;101,G307,IF(G307&lt;201,G307/2,IF(G307&lt;=301,G307/3,G307/4))))</f>
        <v>683.46018000000004</v>
      </c>
    </row>
    <row r="308" spans="1:9" x14ac:dyDescent="0.35">
      <c r="A308" s="96">
        <f>A307+1</f>
        <v>8</v>
      </c>
      <c r="B308" s="97"/>
      <c r="C308" s="70" t="s">
        <v>387</v>
      </c>
      <c r="D308" s="78">
        <f>(60.76)*10.764</f>
        <v>654.02063999999996</v>
      </c>
      <c r="E308" s="78">
        <f>(3.03*1.2)*10.764</f>
        <v>39.137903999999992</v>
      </c>
      <c r="F308" s="70">
        <f>D308+E308</f>
        <v>693.15854399999989</v>
      </c>
      <c r="G308" s="70">
        <v>0</v>
      </c>
      <c r="H308" s="70">
        <f>F308*(($H$209)+1)+(IF(G308&lt;101,G308,IF(G308&lt;201,G308/2,IF(G308&lt;=301,G308/3,G308/4))))</f>
        <v>1039.7378159999998</v>
      </c>
    </row>
    <row r="309" spans="1:9" x14ac:dyDescent="0.35">
      <c r="A309" s="242" t="s">
        <v>63</v>
      </c>
      <c r="B309" s="242"/>
      <c r="C309" s="242"/>
      <c r="D309" s="242"/>
      <c r="E309" s="242"/>
      <c r="F309" s="242"/>
      <c r="G309" s="242"/>
      <c r="H309" s="242"/>
    </row>
    <row r="310" spans="1:9" x14ac:dyDescent="0.35">
      <c r="A310" s="34" t="s">
        <v>146</v>
      </c>
      <c r="B310" s="134" t="s">
        <v>371</v>
      </c>
      <c r="C310" s="135"/>
      <c r="D310" s="135"/>
      <c r="E310" s="135"/>
      <c r="F310" s="135"/>
      <c r="G310" s="135"/>
      <c r="H310" s="136"/>
    </row>
    <row r="311" spans="1:9" x14ac:dyDescent="0.35">
      <c r="A311" s="34" t="s">
        <v>146</v>
      </c>
      <c r="B311" s="134" t="str">
        <f>(IF(H208="Saleable area Loading :","We have considered Saleable area of Flats as per our Calculation.","We considered Saleable area of Flat as per Builder area Sheet."))</f>
        <v>We have considered Saleable area of Flats as per our Calculation.</v>
      </c>
      <c r="C311" s="135"/>
      <c r="D311" s="135"/>
      <c r="E311" s="135"/>
      <c r="F311" s="135"/>
      <c r="G311" s="135"/>
      <c r="H311" s="136"/>
    </row>
    <row r="312" spans="1:9" x14ac:dyDescent="0.35">
      <c r="A312" s="34" t="s">
        <v>146</v>
      </c>
      <c r="B312" s="134" t="str">
        <f>(IF(H149="Saleable area Loading :","We have considered Saleable area of Commercial as per our Calculation.","We considered Saleable area of Commercial as per Builder area Sheet."))</f>
        <v>We have considered Saleable area of Commercial as per our Calculation.</v>
      </c>
      <c r="C312" s="135"/>
      <c r="D312" s="135"/>
      <c r="E312" s="135"/>
      <c r="F312" s="135"/>
      <c r="G312" s="135"/>
      <c r="H312" s="136"/>
    </row>
    <row r="313" spans="1:9" x14ac:dyDescent="0.35">
      <c r="A313" s="34" t="s">
        <v>146</v>
      </c>
      <c r="B313" s="147" t="s">
        <v>116</v>
      </c>
      <c r="C313" s="148"/>
      <c r="D313" s="148"/>
      <c r="E313" s="148"/>
      <c r="F313" s="148"/>
      <c r="G313" s="148"/>
      <c r="H313" s="149"/>
    </row>
    <row r="314" spans="1:9" x14ac:dyDescent="0.35">
      <c r="A314" s="34" t="s">
        <v>146</v>
      </c>
      <c r="B314" s="147" t="s">
        <v>395</v>
      </c>
      <c r="C314" s="148"/>
      <c r="D314" s="148"/>
      <c r="E314" s="148"/>
      <c r="F314" s="148"/>
      <c r="G314" s="148"/>
      <c r="H314" s="149"/>
    </row>
    <row r="315" spans="1:9" x14ac:dyDescent="0.35">
      <c r="A315" s="34" t="s">
        <v>146</v>
      </c>
      <c r="B315" s="147" t="s">
        <v>145</v>
      </c>
      <c r="C315" s="148"/>
      <c r="D315" s="148"/>
      <c r="E315" s="148"/>
      <c r="F315" s="148"/>
      <c r="G315" s="148"/>
      <c r="H315" s="149"/>
    </row>
    <row r="316" spans="1:9" x14ac:dyDescent="0.35">
      <c r="A316" s="34" t="s">
        <v>146</v>
      </c>
      <c r="B316" s="147" t="s">
        <v>117</v>
      </c>
      <c r="C316" s="148"/>
      <c r="D316" s="148"/>
      <c r="E316" s="148"/>
      <c r="F316" s="148"/>
      <c r="G316" s="148"/>
      <c r="H316" s="149"/>
    </row>
    <row r="317" spans="1:9" ht="31.5" customHeight="1" x14ac:dyDescent="0.35">
      <c r="A317" s="34" t="s">
        <v>146</v>
      </c>
      <c r="B317" s="147" t="s">
        <v>147</v>
      </c>
      <c r="C317" s="148"/>
      <c r="D317" s="148"/>
      <c r="E317" s="148"/>
      <c r="F317" s="148"/>
      <c r="G317" s="148"/>
      <c r="H317" s="149"/>
    </row>
    <row r="318" spans="1:9" x14ac:dyDescent="0.35">
      <c r="A318" s="34" t="s">
        <v>146</v>
      </c>
      <c r="B318" s="147" t="s">
        <v>118</v>
      </c>
      <c r="C318" s="148"/>
      <c r="D318" s="148"/>
      <c r="E318" s="148"/>
      <c r="F318" s="148"/>
      <c r="G318" s="148"/>
      <c r="H318" s="149"/>
      <c r="I318" s="16" t="s">
        <v>407</v>
      </c>
    </row>
    <row r="319" spans="1:9" hidden="1" x14ac:dyDescent="0.35">
      <c r="A319" s="37" t="s">
        <v>146</v>
      </c>
      <c r="B319" s="212" t="s">
        <v>171</v>
      </c>
      <c r="C319" s="213"/>
      <c r="D319" s="213"/>
      <c r="E319" s="213"/>
      <c r="F319" s="213"/>
      <c r="G319" s="213"/>
      <c r="H319" s="214"/>
    </row>
    <row r="320" spans="1:9" hidden="1" x14ac:dyDescent="0.35">
      <c r="A320" s="41" t="s">
        <v>146</v>
      </c>
      <c r="B320" s="134" t="s">
        <v>398</v>
      </c>
      <c r="C320" s="135"/>
      <c r="D320" s="135"/>
      <c r="E320" s="135"/>
      <c r="F320" s="135"/>
      <c r="G320" s="135"/>
      <c r="H320" s="136"/>
      <c r="I320" s="16" t="s">
        <v>407</v>
      </c>
    </row>
    <row r="321" spans="1:8" x14ac:dyDescent="0.35">
      <c r="A321" s="94" t="s">
        <v>146</v>
      </c>
      <c r="B321" s="147" t="s">
        <v>412</v>
      </c>
      <c r="C321" s="148"/>
      <c r="D321" s="148"/>
      <c r="E321" s="148"/>
      <c r="F321" s="148"/>
      <c r="G321" s="148"/>
      <c r="H321" s="149"/>
    </row>
    <row r="322" spans="1:8" x14ac:dyDescent="0.35">
      <c r="A322" s="192" t="s">
        <v>56</v>
      </c>
      <c r="B322" s="192"/>
      <c r="C322" s="192"/>
      <c r="D322" s="192"/>
      <c r="E322" s="192"/>
      <c r="F322" s="192"/>
      <c r="G322" s="192"/>
      <c r="H322" s="192"/>
    </row>
    <row r="323" spans="1:8" x14ac:dyDescent="0.35">
      <c r="A323" s="106" t="s">
        <v>57</v>
      </c>
      <c r="B323" s="106"/>
      <c r="C323" s="106"/>
      <c r="D323" s="106"/>
      <c r="E323" s="106"/>
      <c r="F323" s="106"/>
      <c r="G323" s="106"/>
      <c r="H323" s="106"/>
    </row>
    <row r="324" spans="1:8" x14ac:dyDescent="0.35">
      <c r="A324" s="221" t="s">
        <v>58</v>
      </c>
      <c r="B324" s="221"/>
      <c r="C324" s="221"/>
      <c r="D324" s="221"/>
      <c r="E324" s="221"/>
      <c r="F324" s="221"/>
      <c r="G324" s="221"/>
      <c r="H324" s="221"/>
    </row>
    <row r="325" spans="1:8" x14ac:dyDescent="0.35">
      <c r="A325" s="106" t="s">
        <v>59</v>
      </c>
      <c r="B325" s="106"/>
      <c r="C325" s="106"/>
      <c r="D325" s="106"/>
      <c r="E325" s="106"/>
      <c r="F325" s="106"/>
      <c r="G325" s="106"/>
      <c r="H325" s="106"/>
    </row>
    <row r="326" spans="1:8" x14ac:dyDescent="0.35">
      <c r="A326" s="106" t="s">
        <v>60</v>
      </c>
      <c r="B326" s="106"/>
      <c r="C326" s="106"/>
      <c r="D326" s="106"/>
      <c r="E326" s="106"/>
      <c r="F326" s="106"/>
      <c r="G326" s="106"/>
      <c r="H326" s="106"/>
    </row>
    <row r="327" spans="1:8" x14ac:dyDescent="0.35">
      <c r="A327" s="106" t="s">
        <v>119</v>
      </c>
      <c r="B327" s="106"/>
      <c r="C327" s="106"/>
      <c r="D327" s="106"/>
      <c r="E327" s="106"/>
      <c r="F327" s="106"/>
      <c r="G327" s="106"/>
      <c r="H327" s="106"/>
    </row>
    <row r="328" spans="1:8" x14ac:dyDescent="0.35">
      <c r="A328" s="178" t="s">
        <v>120</v>
      </c>
      <c r="B328" s="178"/>
      <c r="C328" s="178"/>
      <c r="D328" s="178"/>
      <c r="E328" s="178"/>
      <c r="F328" s="178"/>
      <c r="G328" s="178"/>
      <c r="H328" s="178"/>
    </row>
    <row r="329" spans="1:8" x14ac:dyDescent="0.35">
      <c r="A329" s="210" t="s">
        <v>72</v>
      </c>
      <c r="B329" s="210"/>
      <c r="C329" s="210" t="s">
        <v>349</v>
      </c>
      <c r="D329" s="210"/>
      <c r="E329" s="210" t="s">
        <v>100</v>
      </c>
      <c r="F329" s="210"/>
      <c r="G329" s="210" t="s">
        <v>409</v>
      </c>
      <c r="H329" s="210"/>
    </row>
    <row r="330" spans="1:8" x14ac:dyDescent="0.35">
      <c r="A330" s="209" t="s">
        <v>74</v>
      </c>
      <c r="B330" s="209"/>
      <c r="C330" s="209"/>
      <c r="D330" s="209"/>
      <c r="E330" s="209"/>
      <c r="F330" s="209"/>
      <c r="G330" s="209"/>
      <c r="H330" s="209"/>
    </row>
    <row r="331" spans="1:8" x14ac:dyDescent="0.35">
      <c r="A331" s="209"/>
      <c r="B331" s="209"/>
      <c r="C331" s="209"/>
      <c r="D331" s="209"/>
      <c r="E331" s="209"/>
      <c r="F331" s="209"/>
      <c r="G331" s="209"/>
      <c r="H331" s="209"/>
    </row>
    <row r="332" spans="1:8" x14ac:dyDescent="0.35">
      <c r="A332" s="209"/>
      <c r="B332" s="209"/>
      <c r="C332" s="209"/>
      <c r="D332" s="209"/>
      <c r="E332" s="209"/>
      <c r="F332" s="209"/>
      <c r="G332" s="209"/>
      <c r="H332" s="209"/>
    </row>
    <row r="333" spans="1:8" x14ac:dyDescent="0.35">
      <c r="A333" s="209"/>
      <c r="B333" s="209"/>
      <c r="C333" s="209"/>
      <c r="D333" s="209"/>
      <c r="E333" s="209"/>
      <c r="F333" s="209"/>
      <c r="G333" s="209"/>
      <c r="H333" s="209"/>
    </row>
    <row r="334" spans="1:8" x14ac:dyDescent="0.35">
      <c r="A334" s="28" t="s">
        <v>61</v>
      </c>
      <c r="B334" s="29"/>
      <c r="C334" s="29"/>
      <c r="D334" s="28" t="str">
        <f>E9</f>
        <v>Siyara Avenue</v>
      </c>
      <c r="F334" s="29"/>
      <c r="G334" s="29"/>
      <c r="H334" s="29"/>
    </row>
    <row r="335" spans="1:8" x14ac:dyDescent="0.35">
      <c r="A335" s="29"/>
      <c r="B335" s="29"/>
      <c r="C335" s="29"/>
      <c r="D335" s="29"/>
      <c r="E335" s="29"/>
      <c r="F335" s="29"/>
      <c r="G335" s="29"/>
      <c r="H335" s="29"/>
    </row>
    <row r="336" spans="1:8" x14ac:dyDescent="0.35">
      <c r="A336" s="29"/>
      <c r="B336" s="29"/>
      <c r="C336" s="29"/>
      <c r="D336" s="29"/>
      <c r="E336" s="29"/>
      <c r="F336" s="29"/>
      <c r="G336" s="29"/>
      <c r="H336" s="29"/>
    </row>
    <row r="373" spans="1:1" hidden="1" x14ac:dyDescent="0.35"/>
    <row r="374" spans="1:1" hidden="1" x14ac:dyDescent="0.35"/>
    <row r="375" spans="1:1" hidden="1" x14ac:dyDescent="0.35"/>
    <row r="376" spans="1:1" hidden="1" x14ac:dyDescent="0.35"/>
    <row r="377" spans="1:1" hidden="1" x14ac:dyDescent="0.35"/>
    <row r="378" spans="1:1" x14ac:dyDescent="0.35">
      <c r="A378" s="31" t="s">
        <v>156</v>
      </c>
    </row>
    <row r="421" spans="1:1" x14ac:dyDescent="0.35">
      <c r="A421" s="31" t="s">
        <v>62</v>
      </c>
    </row>
  </sheetData>
  <mergeCells count="505">
    <mergeCell ref="A122:E122"/>
    <mergeCell ref="F122:H122"/>
    <mergeCell ref="B321:H321"/>
    <mergeCell ref="E43:H43"/>
    <mergeCell ref="A43:D43"/>
    <mergeCell ref="A84:B84"/>
    <mergeCell ref="A50:B50"/>
    <mergeCell ref="D67:H67"/>
    <mergeCell ref="C52:E52"/>
    <mergeCell ref="A309:H309"/>
    <mergeCell ref="A250:B250"/>
    <mergeCell ref="A251:B251"/>
    <mergeCell ref="A239:H239"/>
    <mergeCell ref="A72:C72"/>
    <mergeCell ref="D73:H73"/>
    <mergeCell ref="A79:B79"/>
    <mergeCell ref="G78:H78"/>
    <mergeCell ref="A87:B87"/>
    <mergeCell ref="A88:B88"/>
    <mergeCell ref="A83:B83"/>
    <mergeCell ref="A80:B80"/>
    <mergeCell ref="A82:B82"/>
    <mergeCell ref="E78:F78"/>
    <mergeCell ref="A85:B85"/>
    <mergeCell ref="A77:B77"/>
    <mergeCell ref="A75:B75"/>
    <mergeCell ref="C75:H75"/>
    <mergeCell ref="I15:P15"/>
    <mergeCell ref="F128:H128"/>
    <mergeCell ref="F126:H126"/>
    <mergeCell ref="A242:B242"/>
    <mergeCell ref="A148:H148"/>
    <mergeCell ref="G132:H132"/>
    <mergeCell ref="A127:E127"/>
    <mergeCell ref="A155:B155"/>
    <mergeCell ref="A60:B60"/>
    <mergeCell ref="C60:E60"/>
    <mergeCell ref="D62:H62"/>
    <mergeCell ref="F127:H127"/>
    <mergeCell ref="E132:F132"/>
    <mergeCell ref="A132:B132"/>
    <mergeCell ref="C141:D141"/>
    <mergeCell ref="D72:H72"/>
    <mergeCell ref="D63:H63"/>
    <mergeCell ref="G60:H60"/>
    <mergeCell ref="A54:B55"/>
    <mergeCell ref="C54:E54"/>
    <mergeCell ref="G54:H54"/>
    <mergeCell ref="I35:K35"/>
    <mergeCell ref="G92:H92"/>
    <mergeCell ref="E20:F20"/>
    <mergeCell ref="A327:H327"/>
    <mergeCell ref="A324:H324"/>
    <mergeCell ref="A141:B141"/>
    <mergeCell ref="D208:D209"/>
    <mergeCell ref="E208:E209"/>
    <mergeCell ref="A97:B97"/>
    <mergeCell ref="A99:B99"/>
    <mergeCell ref="F118:H118"/>
    <mergeCell ref="G137:H137"/>
    <mergeCell ref="A102:B102"/>
    <mergeCell ref="F125:H125"/>
    <mergeCell ref="C132:D132"/>
    <mergeCell ref="C145:D145"/>
    <mergeCell ref="A210:H210"/>
    <mergeCell ref="A244:B244"/>
    <mergeCell ref="B314:H314"/>
    <mergeCell ref="B310:H310"/>
    <mergeCell ref="A207:H207"/>
    <mergeCell ref="E141:F141"/>
    <mergeCell ref="A147:H147"/>
    <mergeCell ref="A208:A209"/>
    <mergeCell ref="F208:F209"/>
    <mergeCell ref="A223:B223"/>
    <mergeCell ref="A154:B154"/>
    <mergeCell ref="B319:H319"/>
    <mergeCell ref="A146:B146"/>
    <mergeCell ref="C146:D146"/>
    <mergeCell ref="E146:F146"/>
    <mergeCell ref="B316:H316"/>
    <mergeCell ref="A100:B100"/>
    <mergeCell ref="A101:B101"/>
    <mergeCell ref="A120:E120"/>
    <mergeCell ref="A117:E117"/>
    <mergeCell ref="F121:H121"/>
    <mergeCell ref="B318:H318"/>
    <mergeCell ref="B208:B209"/>
    <mergeCell ref="B312:H312"/>
    <mergeCell ref="A107:B107"/>
    <mergeCell ref="E107:F116"/>
    <mergeCell ref="G107:H116"/>
    <mergeCell ref="A108:B108"/>
    <mergeCell ref="A109:B109"/>
    <mergeCell ref="A110:B110"/>
    <mergeCell ref="A111:B111"/>
    <mergeCell ref="A112:B112"/>
    <mergeCell ref="A113:B113"/>
    <mergeCell ref="A114:B114"/>
    <mergeCell ref="A115:B115"/>
    <mergeCell ref="A330:H333"/>
    <mergeCell ref="A329:B329"/>
    <mergeCell ref="E329:F329"/>
    <mergeCell ref="C329:D329"/>
    <mergeCell ref="G329:H329"/>
    <mergeCell ref="A131:H131"/>
    <mergeCell ref="A129:E129"/>
    <mergeCell ref="F129:H129"/>
    <mergeCell ref="A130:E130"/>
    <mergeCell ref="F130:H130"/>
    <mergeCell ref="A142:B142"/>
    <mergeCell ref="A243:B243"/>
    <mergeCell ref="A325:H325"/>
    <mergeCell ref="A140:H140"/>
    <mergeCell ref="B311:H311"/>
    <mergeCell ref="B313:H313"/>
    <mergeCell ref="A323:H323"/>
    <mergeCell ref="A328:H328"/>
    <mergeCell ref="A326:H326"/>
    <mergeCell ref="A322:H322"/>
    <mergeCell ref="G141:H141"/>
    <mergeCell ref="B315:H315"/>
    <mergeCell ref="A249:B249"/>
    <mergeCell ref="A245:B24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0:C70"/>
    <mergeCell ref="D70:H70"/>
    <mergeCell ref="C77:H77"/>
    <mergeCell ref="A71:C71"/>
    <mergeCell ref="D71:H71"/>
    <mergeCell ref="A74:C74"/>
    <mergeCell ref="D74:H74"/>
    <mergeCell ref="A73:C73"/>
    <mergeCell ref="D69:H69"/>
    <mergeCell ref="A44:D44"/>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G52:H52"/>
    <mergeCell ref="A61:H61"/>
    <mergeCell ref="A62:C62"/>
    <mergeCell ref="A63:C63"/>
    <mergeCell ref="A56:B57"/>
    <mergeCell ref="C56:E56"/>
    <mergeCell ref="C53:H53"/>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L149:M149"/>
    <mergeCell ref="A86:B86"/>
    <mergeCell ref="C142:D142"/>
    <mergeCell ref="E142:F142"/>
    <mergeCell ref="G142:H142"/>
    <mergeCell ref="A118:E118"/>
    <mergeCell ref="A89:B89"/>
    <mergeCell ref="C89:H89"/>
    <mergeCell ref="A151:H151"/>
    <mergeCell ref="E149:E150"/>
    <mergeCell ref="A93:B93"/>
    <mergeCell ref="C91:H91"/>
    <mergeCell ref="A94:B94"/>
    <mergeCell ref="A95:B95"/>
    <mergeCell ref="G93:H102"/>
    <mergeCell ref="A96:B96"/>
    <mergeCell ref="F119:H119"/>
    <mergeCell ref="A119:E119"/>
    <mergeCell ref="D149:D150"/>
    <mergeCell ref="A121:E121"/>
    <mergeCell ref="A98:B98"/>
    <mergeCell ref="F117:H117"/>
    <mergeCell ref="F123:H123"/>
    <mergeCell ref="A124:E124"/>
    <mergeCell ref="L161:M161"/>
    <mergeCell ref="A247:B247"/>
    <mergeCell ref="A40:B40"/>
    <mergeCell ref="C40:H40"/>
    <mergeCell ref="F149:F150"/>
    <mergeCell ref="C137:D137"/>
    <mergeCell ref="E137:F137"/>
    <mergeCell ref="B149:B150"/>
    <mergeCell ref="A149:A150"/>
    <mergeCell ref="C208:C209"/>
    <mergeCell ref="G208:G209"/>
    <mergeCell ref="L160:M160"/>
    <mergeCell ref="L157:M157"/>
    <mergeCell ref="A214:B214"/>
    <mergeCell ref="G146:H146"/>
    <mergeCell ref="L158:M158"/>
    <mergeCell ref="A215:B215"/>
    <mergeCell ref="L159:M159"/>
    <mergeCell ref="C55:H55"/>
    <mergeCell ref="A216:B216"/>
    <mergeCell ref="A78:B78"/>
    <mergeCell ref="L152:M152"/>
    <mergeCell ref="L151:M151"/>
    <mergeCell ref="L150:M150"/>
    <mergeCell ref="A91:B91"/>
    <mergeCell ref="G149:G150"/>
    <mergeCell ref="A248:B248"/>
    <mergeCell ref="A81:B81"/>
    <mergeCell ref="E79:F88"/>
    <mergeCell ref="G79:H88"/>
    <mergeCell ref="B320:H320"/>
    <mergeCell ref="A123:E123"/>
    <mergeCell ref="A145:B145"/>
    <mergeCell ref="E145:F145"/>
    <mergeCell ref="A128:E128"/>
    <mergeCell ref="G145:H145"/>
    <mergeCell ref="C138:D138"/>
    <mergeCell ref="E138:F138"/>
    <mergeCell ref="G138:H138"/>
    <mergeCell ref="A139:B139"/>
    <mergeCell ref="C139:D139"/>
    <mergeCell ref="E139:F139"/>
    <mergeCell ref="G139:H139"/>
    <mergeCell ref="A143:B143"/>
    <mergeCell ref="C143:D143"/>
    <mergeCell ref="E143:F143"/>
    <mergeCell ref="G143:H143"/>
    <mergeCell ref="B317:H317"/>
    <mergeCell ref="A92:B92"/>
    <mergeCell ref="E92:F92"/>
    <mergeCell ref="E93:F102"/>
    <mergeCell ref="A103:B103"/>
    <mergeCell ref="C103:H103"/>
    <mergeCell ref="A105:B105"/>
    <mergeCell ref="C105:H105"/>
    <mergeCell ref="A106:B106"/>
    <mergeCell ref="E106:F106"/>
    <mergeCell ref="G106:H106"/>
    <mergeCell ref="A213:B213"/>
    <mergeCell ref="A152:H152"/>
    <mergeCell ref="A158:B158"/>
    <mergeCell ref="A159:B159"/>
    <mergeCell ref="A160:B160"/>
    <mergeCell ref="A171:B171"/>
    <mergeCell ref="A172:B172"/>
    <mergeCell ref="A173:B173"/>
    <mergeCell ref="A174:B174"/>
    <mergeCell ref="A168:H168"/>
    <mergeCell ref="A169:H169"/>
    <mergeCell ref="A170:H170"/>
    <mergeCell ref="A190:H190"/>
    <mergeCell ref="A183:B183"/>
    <mergeCell ref="A184:B184"/>
    <mergeCell ref="A185:B185"/>
    <mergeCell ref="A186:B186"/>
    <mergeCell ref="A187:B187"/>
    <mergeCell ref="A188:B188"/>
    <mergeCell ref="A189:B189"/>
    <mergeCell ref="A161:H161"/>
    <mergeCell ref="A162:B162"/>
    <mergeCell ref="A163:B163"/>
    <mergeCell ref="A164:B164"/>
    <mergeCell ref="A116:B116"/>
    <mergeCell ref="C149:C150"/>
    <mergeCell ref="A157:B157"/>
    <mergeCell ref="A156:B156"/>
    <mergeCell ref="F124:H124"/>
    <mergeCell ref="A126:E126"/>
    <mergeCell ref="F120:H120"/>
    <mergeCell ref="A125:E125"/>
    <mergeCell ref="A153:H153"/>
    <mergeCell ref="A133:A134"/>
    <mergeCell ref="A135:A136"/>
    <mergeCell ref="C136:D136"/>
    <mergeCell ref="E136:F136"/>
    <mergeCell ref="G136:H136"/>
    <mergeCell ref="A144:B144"/>
    <mergeCell ref="C144:D144"/>
    <mergeCell ref="E144:F144"/>
    <mergeCell ref="G144:H144"/>
    <mergeCell ref="A137:A138"/>
    <mergeCell ref="C133:D133"/>
    <mergeCell ref="E133:F133"/>
    <mergeCell ref="G133:H133"/>
    <mergeCell ref="C134:D134"/>
    <mergeCell ref="E134:F134"/>
    <mergeCell ref="A165:B165"/>
    <mergeCell ref="A166:B166"/>
    <mergeCell ref="A167:B167"/>
    <mergeCell ref="A180:H180"/>
    <mergeCell ref="A181:B181"/>
    <mergeCell ref="A175:B175"/>
    <mergeCell ref="A176:B176"/>
    <mergeCell ref="A177:B177"/>
    <mergeCell ref="A178:B178"/>
    <mergeCell ref="A200:H200"/>
    <mergeCell ref="A201:B201"/>
    <mergeCell ref="A202:B202"/>
    <mergeCell ref="A203:B203"/>
    <mergeCell ref="A204:B204"/>
    <mergeCell ref="A205:B205"/>
    <mergeCell ref="A206:B206"/>
    <mergeCell ref="A182:B182"/>
    <mergeCell ref="A179:B179"/>
    <mergeCell ref="A191:H191"/>
    <mergeCell ref="A192:H192"/>
    <mergeCell ref="A193:B193"/>
    <mergeCell ref="A194:B194"/>
    <mergeCell ref="A195:B195"/>
    <mergeCell ref="A196:B196"/>
    <mergeCell ref="A197:B197"/>
    <mergeCell ref="A198:B198"/>
    <mergeCell ref="A199:B199"/>
    <mergeCell ref="A211:H211"/>
    <mergeCell ref="A240:H240"/>
    <mergeCell ref="A212:H212"/>
    <mergeCell ref="A217:B217"/>
    <mergeCell ref="A218:B218"/>
    <mergeCell ref="A219:B219"/>
    <mergeCell ref="A220:B220"/>
    <mergeCell ref="A280:H280"/>
    <mergeCell ref="A281:H281"/>
    <mergeCell ref="A246:B246"/>
    <mergeCell ref="A252:B252"/>
    <mergeCell ref="A253:B253"/>
    <mergeCell ref="A263:B263"/>
    <mergeCell ref="A264:B264"/>
    <mergeCell ref="A265:B265"/>
    <mergeCell ref="A266:B266"/>
    <mergeCell ref="A241:H241"/>
    <mergeCell ref="A221:H221"/>
    <mergeCell ref="A222:B222"/>
    <mergeCell ref="A224:B224"/>
    <mergeCell ref="A225:B225"/>
    <mergeCell ref="A226:B226"/>
    <mergeCell ref="A227:B227"/>
    <mergeCell ref="A228:B228"/>
    <mergeCell ref="C233:G233"/>
    <mergeCell ref="A254:H254"/>
    <mergeCell ref="A255:B255"/>
    <mergeCell ref="A256:B256"/>
    <mergeCell ref="A257:B257"/>
    <mergeCell ref="A258:B258"/>
    <mergeCell ref="A259:B259"/>
    <mergeCell ref="A260:B260"/>
    <mergeCell ref="A229:B229"/>
    <mergeCell ref="A230:H230"/>
    <mergeCell ref="A231:B231"/>
    <mergeCell ref="A232:B232"/>
    <mergeCell ref="A233:B233"/>
    <mergeCell ref="A234:B234"/>
    <mergeCell ref="A235:B235"/>
    <mergeCell ref="A236:B236"/>
    <mergeCell ref="A237:B237"/>
    <mergeCell ref="A238:B238"/>
    <mergeCell ref="A303:B303"/>
    <mergeCell ref="C303:G303"/>
    <mergeCell ref="A304:B304"/>
    <mergeCell ref="A305:B305"/>
    <mergeCell ref="A306:B306"/>
    <mergeCell ref="A307:B307"/>
    <mergeCell ref="A262:B262"/>
    <mergeCell ref="A291:H291"/>
    <mergeCell ref="A292:B292"/>
    <mergeCell ref="A293:B293"/>
    <mergeCell ref="A294:B294"/>
    <mergeCell ref="A295:B295"/>
    <mergeCell ref="A296:B296"/>
    <mergeCell ref="A297:B297"/>
    <mergeCell ref="A290:B290"/>
    <mergeCell ref="A282:H282"/>
    <mergeCell ref="A283:B283"/>
    <mergeCell ref="A284:B284"/>
    <mergeCell ref="A285:B285"/>
    <mergeCell ref="A286:B286"/>
    <mergeCell ref="A287:B287"/>
    <mergeCell ref="A288:B288"/>
    <mergeCell ref="A289:B289"/>
    <mergeCell ref="A302:B302"/>
    <mergeCell ref="G134:H134"/>
    <mergeCell ref="C135:D135"/>
    <mergeCell ref="E135:F135"/>
    <mergeCell ref="G135:H135"/>
    <mergeCell ref="A298:B298"/>
    <mergeCell ref="A299:B299"/>
    <mergeCell ref="A261:B261"/>
    <mergeCell ref="A308:B308"/>
    <mergeCell ref="A267:H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C270:G270"/>
    <mergeCell ref="A300:H300"/>
    <mergeCell ref="A301:B301"/>
  </mergeCells>
  <dataValidations disablePrompts="1"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9:E150">
      <formula1>"Attached Loft area,Attached Otla area,Attached Mezzanine area"</formula1>
    </dataValidation>
    <dataValidation type="list" allowBlank="1" showInputMessage="1" showErrorMessage="1" sqref="G329:H329">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9:H129">
      <formula1>OFFSET($S$117,1,MATCH($G20,$S$117:$W$117,0)-1,15,1)</formula1>
    </dataValidation>
    <dataValidation type="list" allowBlank="1" showInputMessage="1" showErrorMessage="1" sqref="B149:B150">
      <formula1>"Shop No. (Sale Plan),Sale / Rehab,Sale / Mhada"</formula1>
    </dataValidation>
    <dataValidation type="list" allowBlank="1" showInputMessage="1" showErrorMessage="1" sqref="B208:B20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8:E209">
      <formula1>"Fungible area,Balcony Area,Chajja Area,Cornice Area,AP Area,WS Area"</formula1>
    </dataValidation>
    <dataValidation type="list" allowBlank="1" showInputMessage="1" showErrorMessage="1" sqref="H150 H20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9 H208">
      <formula1>"Saleable area Loading :,Builder Saleable Area"</formula1>
    </dataValidation>
    <dataValidation type="list" allowBlank="1" showInputMessage="1" showErrorMessage="1" sqref="D149:D150 D208:D20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7" man="1"/>
    <brk id="116" max="16383" man="1"/>
    <brk id="333" max="7" man="1"/>
    <brk id="377" max="7" man="1"/>
    <brk id="42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1"/>
  <sheetViews>
    <sheetView topLeftCell="A12" zoomScale="85" zoomScaleNormal="85" workbookViewId="0">
      <selection activeCell="A40" sqref="A40"/>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3" t="s">
        <v>101</v>
      </c>
      <c r="C3" s="243"/>
      <c r="D3" s="243"/>
      <c r="E3" s="243"/>
      <c r="F3" s="243"/>
      <c r="G3" s="243"/>
      <c r="H3" s="243"/>
    </row>
    <row r="4" spans="1:9" x14ac:dyDescent="0.35">
      <c r="A4" s="2"/>
      <c r="B4" s="3" t="s">
        <v>102</v>
      </c>
      <c r="C4" s="3" t="s">
        <v>103</v>
      </c>
      <c r="D4" s="3" t="s">
        <v>64</v>
      </c>
      <c r="E4" s="3" t="s">
        <v>104</v>
      </c>
      <c r="F4" s="3" t="s">
        <v>110</v>
      </c>
      <c r="G4" s="3" t="s">
        <v>111</v>
      </c>
      <c r="H4" s="3" t="s">
        <v>105</v>
      </c>
    </row>
    <row r="5" spans="1:9" ht="15" customHeight="1" x14ac:dyDescent="0.35">
      <c r="A5" s="2"/>
      <c r="B5" s="5" t="s">
        <v>106</v>
      </c>
      <c r="C5" s="6"/>
      <c r="D5" s="5"/>
      <c r="E5" s="5"/>
      <c r="F5" s="7">
        <f>E5*1.6</f>
        <v>0</v>
      </c>
      <c r="G5" s="7" t="e">
        <f>H5/F5</f>
        <v>#DIV/0!</v>
      </c>
      <c r="H5" s="8"/>
    </row>
    <row r="6" spans="1:9" x14ac:dyDescent="0.35">
      <c r="A6" s="2"/>
      <c r="B6" s="5" t="s">
        <v>106</v>
      </c>
      <c r="C6" s="9"/>
      <c r="D6" s="5"/>
      <c r="E6" s="5"/>
      <c r="F6" s="7">
        <f t="shared" ref="F6:F11" si="0">E6*1.6</f>
        <v>0</v>
      </c>
      <c r="G6" s="7" t="e">
        <f t="shared" ref="G6:G11" si="1">H6/F6</f>
        <v>#DIV/0!</v>
      </c>
      <c r="H6" s="8"/>
    </row>
    <row r="7" spans="1:9" ht="15" customHeight="1" x14ac:dyDescent="0.35">
      <c r="A7" s="2"/>
      <c r="B7" s="5" t="s">
        <v>106</v>
      </c>
      <c r="C7" s="6"/>
      <c r="D7" s="5"/>
      <c r="E7" s="5"/>
      <c r="F7" s="7">
        <f t="shared" si="0"/>
        <v>0</v>
      </c>
      <c r="G7" s="7" t="e">
        <f t="shared" si="1"/>
        <v>#DIV/0!</v>
      </c>
      <c r="H7" s="8"/>
    </row>
    <row r="8" spans="1:9" x14ac:dyDescent="0.35">
      <c r="A8" s="2"/>
      <c r="B8" s="5" t="s">
        <v>106</v>
      </c>
      <c r="C8" s="9"/>
      <c r="D8" s="5"/>
      <c r="E8" s="5"/>
      <c r="F8" s="7">
        <f t="shared" si="0"/>
        <v>0</v>
      </c>
      <c r="G8" s="7" t="e">
        <f t="shared" si="1"/>
        <v>#DIV/0!</v>
      </c>
      <c r="H8" s="8"/>
    </row>
    <row r="9" spans="1:9" ht="15" customHeight="1" x14ac:dyDescent="0.35">
      <c r="A9" s="2"/>
      <c r="B9" s="5" t="s">
        <v>106</v>
      </c>
      <c r="C9" s="9"/>
      <c r="D9" s="5"/>
      <c r="E9" s="5"/>
      <c r="F9" s="7">
        <f t="shared" si="0"/>
        <v>0</v>
      </c>
      <c r="G9" s="7" t="e">
        <f t="shared" si="1"/>
        <v>#DIV/0!</v>
      </c>
      <c r="H9" s="8"/>
    </row>
    <row r="10" spans="1:9" ht="15" customHeight="1" x14ac:dyDescent="0.35">
      <c r="A10" s="2"/>
      <c r="B10" s="5" t="s">
        <v>107</v>
      </c>
      <c r="C10" s="6"/>
      <c r="D10" s="5"/>
      <c r="E10" s="5"/>
      <c r="F10" s="7">
        <f t="shared" si="0"/>
        <v>0</v>
      </c>
      <c r="G10" s="7" t="e">
        <f t="shared" si="1"/>
        <v>#DIV/0!</v>
      </c>
      <c r="H10" s="8"/>
    </row>
    <row r="11" spans="1:9" ht="15" customHeight="1" x14ac:dyDescent="0.35">
      <c r="A11" s="2"/>
      <c r="B11" s="5" t="s">
        <v>107</v>
      </c>
      <c r="C11" s="6"/>
      <c r="D11" s="5"/>
      <c r="E11" s="5"/>
      <c r="F11" s="7">
        <f t="shared" si="0"/>
        <v>0</v>
      </c>
      <c r="G11" s="7" t="e">
        <f t="shared" si="1"/>
        <v>#DIV/0!</v>
      </c>
      <c r="H11" s="8"/>
    </row>
    <row r="12" spans="1:9" ht="15" customHeight="1" x14ac:dyDescent="0.35">
      <c r="A12" s="2"/>
      <c r="B12" s="10" t="s">
        <v>108</v>
      </c>
      <c r="C12" s="5"/>
      <c r="D12" s="5"/>
      <c r="E12" s="5"/>
      <c r="F12" s="5"/>
      <c r="G12" s="11" t="e">
        <f>AVERAGE(G5:G11)</f>
        <v>#DIV/0!</v>
      </c>
      <c r="H12" s="5"/>
    </row>
    <row r="13" spans="1:9" ht="15" customHeight="1" x14ac:dyDescent="0.35">
      <c r="B13" s="10" t="s">
        <v>109</v>
      </c>
      <c r="C13" s="5"/>
      <c r="D13" s="5"/>
      <c r="E13" s="5"/>
      <c r="F13" s="12"/>
      <c r="G13" s="10"/>
      <c r="H13" s="10"/>
      <c r="I13" s="4"/>
    </row>
    <row r="14" spans="1:9" ht="15" customHeight="1" x14ac:dyDescent="0.35"/>
    <row r="15" spans="1:9" ht="15" customHeight="1" x14ac:dyDescent="0.35"/>
    <row r="16" spans="1:9" ht="15" customHeight="1" x14ac:dyDescent="0.35"/>
    <row r="21" spans="5:5" x14ac:dyDescent="0.35">
      <c r="E21"/>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38"/>
      <c r="C4" s="38" t="s">
        <v>11</v>
      </c>
      <c r="D4" s="39" t="s">
        <v>172</v>
      </c>
      <c r="E4" s="39" t="s">
        <v>182</v>
      </c>
      <c r="F4" s="39" t="s">
        <v>165</v>
      </c>
      <c r="G4" s="39" t="s">
        <v>187</v>
      </c>
      <c r="H4" s="39" t="s">
        <v>205</v>
      </c>
      <c r="J4" t="s">
        <v>187</v>
      </c>
      <c r="K4" t="s">
        <v>203</v>
      </c>
    </row>
    <row r="5" spans="2:11" x14ac:dyDescent="0.35">
      <c r="B5" s="38"/>
      <c r="C5" s="38"/>
      <c r="D5" s="39" t="s">
        <v>173</v>
      </c>
      <c r="E5" s="39" t="s">
        <v>180</v>
      </c>
      <c r="F5" s="39" t="s">
        <v>202</v>
      </c>
      <c r="G5" s="39" t="s">
        <v>188</v>
      </c>
      <c r="H5" s="39" t="s">
        <v>206</v>
      </c>
    </row>
    <row r="6" spans="2:11" x14ac:dyDescent="0.35">
      <c r="B6" s="38"/>
      <c r="C6" s="38"/>
      <c r="D6" s="39" t="s">
        <v>174</v>
      </c>
      <c r="E6" s="39" t="s">
        <v>181</v>
      </c>
      <c r="F6" s="39" t="s">
        <v>203</v>
      </c>
      <c r="G6" s="39" t="s">
        <v>189</v>
      </c>
      <c r="H6" s="39" t="s">
        <v>219</v>
      </c>
    </row>
    <row r="7" spans="2:11" x14ac:dyDescent="0.35">
      <c r="B7" s="38"/>
      <c r="C7" s="38"/>
      <c r="D7" s="39" t="s">
        <v>175</v>
      </c>
      <c r="E7" s="39" t="s">
        <v>183</v>
      </c>
      <c r="F7" s="39" t="s">
        <v>204</v>
      </c>
      <c r="G7" s="39" t="s">
        <v>190</v>
      </c>
      <c r="H7" s="39" t="s">
        <v>207</v>
      </c>
    </row>
    <row r="8" spans="2:11" x14ac:dyDescent="0.35">
      <c r="B8" s="38"/>
      <c r="C8" s="38"/>
      <c r="D8" s="39" t="s">
        <v>176</v>
      </c>
      <c r="E8" s="39" t="s">
        <v>184</v>
      </c>
      <c r="F8" s="39"/>
      <c r="G8" s="39" t="s">
        <v>191</v>
      </c>
      <c r="H8" s="39" t="s">
        <v>208</v>
      </c>
    </row>
    <row r="9" spans="2:11" x14ac:dyDescent="0.35">
      <c r="B9" s="38"/>
      <c r="C9" s="38"/>
      <c r="D9" s="39" t="s">
        <v>177</v>
      </c>
      <c r="E9" s="39" t="s">
        <v>182</v>
      </c>
      <c r="F9" s="39"/>
      <c r="G9" s="39" t="s">
        <v>192</v>
      </c>
      <c r="H9" s="39" t="s">
        <v>209</v>
      </c>
    </row>
    <row r="10" spans="2:11" x14ac:dyDescent="0.35">
      <c r="B10" s="38"/>
      <c r="C10" s="38"/>
      <c r="D10" s="39" t="s">
        <v>178</v>
      </c>
      <c r="E10" s="39" t="s">
        <v>185</v>
      </c>
      <c r="F10" s="39"/>
      <c r="G10" s="39" t="s">
        <v>193</v>
      </c>
      <c r="H10" s="39" t="s">
        <v>210</v>
      </c>
    </row>
    <row r="11" spans="2:11" x14ac:dyDescent="0.35">
      <c r="B11" s="38"/>
      <c r="C11" s="38"/>
      <c r="D11" s="39" t="s">
        <v>179</v>
      </c>
      <c r="E11" s="39" t="s">
        <v>186</v>
      </c>
      <c r="F11" s="39"/>
      <c r="G11" s="39" t="s">
        <v>194</v>
      </c>
      <c r="H11" s="39" t="s">
        <v>211</v>
      </c>
    </row>
    <row r="12" spans="2:11" x14ac:dyDescent="0.35">
      <c r="B12" s="38"/>
      <c r="C12" s="38"/>
      <c r="D12" s="39"/>
      <c r="E12" s="39"/>
      <c r="F12" s="39"/>
      <c r="G12" s="39" t="s">
        <v>195</v>
      </c>
      <c r="H12" s="39" t="s">
        <v>212</v>
      </c>
    </row>
    <row r="13" spans="2:11" x14ac:dyDescent="0.35">
      <c r="B13" s="38"/>
      <c r="C13" s="38"/>
      <c r="D13" s="39"/>
      <c r="E13" s="39"/>
      <c r="F13" s="39"/>
      <c r="G13" s="39" t="s">
        <v>196</v>
      </c>
      <c r="H13" s="39" t="s">
        <v>213</v>
      </c>
    </row>
    <row r="14" spans="2:11" x14ac:dyDescent="0.35">
      <c r="B14" s="38"/>
      <c r="C14" s="38"/>
      <c r="D14" s="39"/>
      <c r="E14" s="39"/>
      <c r="F14" s="39"/>
      <c r="G14" s="39" t="s">
        <v>197</v>
      </c>
      <c r="H14" s="39" t="s">
        <v>214</v>
      </c>
    </row>
    <row r="15" spans="2:11" x14ac:dyDescent="0.35">
      <c r="B15" s="38"/>
      <c r="C15" s="38"/>
      <c r="D15" s="39"/>
      <c r="E15" s="39"/>
      <c r="F15" s="39"/>
      <c r="G15" s="39" t="s">
        <v>198</v>
      </c>
      <c r="H15" s="39" t="s">
        <v>215</v>
      </c>
    </row>
    <row r="16" spans="2:11" x14ac:dyDescent="0.35">
      <c r="B16" s="38"/>
      <c r="C16" s="38"/>
      <c r="D16" s="39"/>
      <c r="E16" s="39"/>
      <c r="F16" s="39"/>
      <c r="G16" s="39" t="s">
        <v>199</v>
      </c>
      <c r="H16" s="39" t="s">
        <v>216</v>
      </c>
    </row>
    <row r="17" spans="2:8" x14ac:dyDescent="0.35">
      <c r="B17" s="38"/>
      <c r="C17" s="38"/>
      <c r="D17" s="39"/>
      <c r="E17" s="39"/>
      <c r="F17" s="39"/>
      <c r="G17" s="39" t="s">
        <v>200</v>
      </c>
      <c r="H17" s="39" t="s">
        <v>217</v>
      </c>
    </row>
    <row r="18" spans="2:8" x14ac:dyDescent="0.35">
      <c r="B18" s="38"/>
      <c r="C18" s="38"/>
      <c r="D18" s="39"/>
      <c r="E18" s="39"/>
      <c r="F18" s="39"/>
      <c r="G18" s="39" t="s">
        <v>201</v>
      </c>
      <c r="H18" s="39" t="s">
        <v>218</v>
      </c>
    </row>
    <row r="24" spans="2:8" x14ac:dyDescent="0.35">
      <c r="C24" t="s">
        <v>162</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162</v>
      </c>
    </row>
    <row r="33" spans="3:11" x14ac:dyDescent="0.35">
      <c r="J33">
        <v>1</v>
      </c>
      <c r="K33">
        <v>2</v>
      </c>
    </row>
    <row r="34" spans="3:11" x14ac:dyDescent="0.35">
      <c r="C34" s="42" t="s">
        <v>228</v>
      </c>
      <c r="D34" s="39" t="s">
        <v>226</v>
      </c>
      <c r="E34" s="39" t="s">
        <v>231</v>
      </c>
      <c r="F34" s="39" t="s">
        <v>229</v>
      </c>
      <c r="G34" s="39" t="s">
        <v>230</v>
      </c>
      <c r="H34" s="39" t="s">
        <v>232</v>
      </c>
      <c r="J34" t="s">
        <v>187</v>
      </c>
      <c r="K34" t="s">
        <v>203</v>
      </c>
    </row>
    <row r="35" spans="3:11" x14ac:dyDescent="0.35">
      <c r="C35" s="38" t="s">
        <v>227</v>
      </c>
      <c r="D35" s="39" t="s">
        <v>163</v>
      </c>
      <c r="E35" s="39" t="s">
        <v>236</v>
      </c>
      <c r="F35" s="39" t="s">
        <v>238</v>
      </c>
      <c r="G35" s="39" t="s">
        <v>240</v>
      </c>
      <c r="H35" s="39"/>
    </row>
    <row r="36" spans="3:11" x14ac:dyDescent="0.35">
      <c r="C36" s="38"/>
      <c r="D36" s="39" t="s">
        <v>233</v>
      </c>
      <c r="E36" s="39" t="s">
        <v>237</v>
      </c>
      <c r="F36" s="39" t="s">
        <v>239</v>
      </c>
      <c r="G36" s="39" t="s">
        <v>241</v>
      </c>
      <c r="H36" s="39"/>
    </row>
    <row r="37" spans="3:11" x14ac:dyDescent="0.35">
      <c r="C37" s="38"/>
      <c r="D37" s="39" t="s">
        <v>234</v>
      </c>
      <c r="E37" s="39"/>
      <c r="F37" s="39"/>
      <c r="G37" s="39" t="s">
        <v>242</v>
      </c>
      <c r="H37" s="39"/>
    </row>
    <row r="38" spans="3:11" x14ac:dyDescent="0.35">
      <c r="C38" s="38"/>
      <c r="D38" s="39" t="s">
        <v>235</v>
      </c>
      <c r="E38" s="39"/>
      <c r="F38" s="39"/>
      <c r="G38" s="39" t="s">
        <v>242</v>
      </c>
      <c r="H38" s="39"/>
    </row>
    <row r="39" spans="3:11" x14ac:dyDescent="0.35">
      <c r="C39" s="38"/>
      <c r="D39" s="39"/>
      <c r="E39" s="39"/>
      <c r="F39" s="39"/>
      <c r="G39" s="39" t="s">
        <v>243</v>
      </c>
      <c r="H39" s="39"/>
    </row>
    <row r="40" spans="3:11" x14ac:dyDescent="0.35">
      <c r="C40" s="38"/>
      <c r="D40" s="39"/>
      <c r="E40" s="39"/>
      <c r="F40" s="39"/>
      <c r="G40" s="39" t="s">
        <v>244</v>
      </c>
      <c r="H40" s="39"/>
    </row>
    <row r="41" spans="3:11" x14ac:dyDescent="0.35">
      <c r="C41" s="38"/>
      <c r="D41" s="39"/>
      <c r="E41" s="39"/>
      <c r="F41" s="39"/>
      <c r="G41" s="39"/>
      <c r="H41" s="39"/>
    </row>
    <row r="43" spans="3:11" x14ac:dyDescent="0.35">
      <c r="C43" t="s">
        <v>245</v>
      </c>
    </row>
    <row r="44" spans="3:11" x14ac:dyDescent="0.35">
      <c r="C44" t="s">
        <v>165</v>
      </c>
      <c r="D44" t="s">
        <v>246</v>
      </c>
    </row>
    <row r="45" spans="3:11" x14ac:dyDescent="0.35">
      <c r="D45" t="s">
        <v>247</v>
      </c>
    </row>
    <row r="46" spans="3:11" x14ac:dyDescent="0.35">
      <c r="D46" t="s">
        <v>248</v>
      </c>
    </row>
    <row r="47" spans="3:11" x14ac:dyDescent="0.35">
      <c r="D47" t="s">
        <v>249</v>
      </c>
    </row>
    <row r="48" spans="3:11" x14ac:dyDescent="0.35">
      <c r="D48" t="s">
        <v>250</v>
      </c>
    </row>
    <row r="49" spans="3:4" x14ac:dyDescent="0.35">
      <c r="C49" t="s">
        <v>172</v>
      </c>
      <c r="D49" t="s">
        <v>251</v>
      </c>
    </row>
    <row r="50" spans="3:4" x14ac:dyDescent="0.35">
      <c r="D50" t="s">
        <v>252</v>
      </c>
    </row>
    <row r="51" spans="3:4" x14ac:dyDescent="0.35">
      <c r="D51" t="s">
        <v>253</v>
      </c>
    </row>
    <row r="52" spans="3:4" x14ac:dyDescent="0.35">
      <c r="D52" t="s">
        <v>256</v>
      </c>
    </row>
    <row r="53" spans="3:4" x14ac:dyDescent="0.35">
      <c r="D53" t="s">
        <v>254</v>
      </c>
    </row>
    <row r="54" spans="3:4" x14ac:dyDescent="0.35">
      <c r="D54" t="s">
        <v>255</v>
      </c>
    </row>
    <row r="55" spans="3:4" x14ac:dyDescent="0.35">
      <c r="D55" t="s">
        <v>257</v>
      </c>
    </row>
    <row r="56" spans="3:4" x14ac:dyDescent="0.35">
      <c r="D56" t="s">
        <v>258</v>
      </c>
    </row>
    <row r="57" spans="3:4" x14ac:dyDescent="0.35">
      <c r="D57" t="s">
        <v>259</v>
      </c>
    </row>
    <row r="58" spans="3:4" x14ac:dyDescent="0.35">
      <c r="D58" t="s">
        <v>261</v>
      </c>
    </row>
    <row r="59" spans="3:4" x14ac:dyDescent="0.35">
      <c r="D59" t="s">
        <v>270</v>
      </c>
    </row>
    <row r="60" spans="3:4" x14ac:dyDescent="0.35">
      <c r="C60" t="s">
        <v>187</v>
      </c>
      <c r="D60" t="s">
        <v>262</v>
      </c>
    </row>
    <row r="61" spans="3:4" x14ac:dyDescent="0.35">
      <c r="D61" t="s">
        <v>260</v>
      </c>
    </row>
    <row r="62" spans="3:4" x14ac:dyDescent="0.35">
      <c r="D62" t="s">
        <v>250</v>
      </c>
    </row>
    <row r="63" spans="3:4" x14ac:dyDescent="0.35">
      <c r="D63" t="s">
        <v>263</v>
      </c>
    </row>
    <row r="64" spans="3:4" x14ac:dyDescent="0.35">
      <c r="D64" t="s">
        <v>264</v>
      </c>
    </row>
    <row r="65" spans="3:4" x14ac:dyDescent="0.35">
      <c r="D65" t="s">
        <v>265</v>
      </c>
    </row>
    <row r="66" spans="3:4" x14ac:dyDescent="0.35">
      <c r="D66" t="s">
        <v>266</v>
      </c>
    </row>
    <row r="67" spans="3:4" x14ac:dyDescent="0.35">
      <c r="C67" t="s">
        <v>182</v>
      </c>
      <c r="D67" t="s">
        <v>267</v>
      </c>
    </row>
    <row r="68" spans="3:4" x14ac:dyDescent="0.35">
      <c r="D68" t="s">
        <v>268</v>
      </c>
    </row>
    <row r="69" spans="3:4" x14ac:dyDescent="0.35">
      <c r="D69" t="s">
        <v>269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43">
        <v>1</v>
      </c>
      <c r="C2" s="46" t="s">
        <v>276</v>
      </c>
    </row>
    <row r="3" spans="2:3" x14ac:dyDescent="0.35">
      <c r="B3" s="43">
        <v>2</v>
      </c>
      <c r="C3" s="44" t="s">
        <v>277</v>
      </c>
    </row>
    <row r="4" spans="2:3" x14ac:dyDescent="0.35">
      <c r="B4" s="43">
        <v>3</v>
      </c>
      <c r="C4" s="45" t="s">
        <v>278</v>
      </c>
    </row>
    <row r="5" spans="2:3" x14ac:dyDescent="0.35">
      <c r="B5" s="43">
        <v>4</v>
      </c>
      <c r="C5" s="44" t="s">
        <v>279</v>
      </c>
    </row>
    <row r="6" spans="2:3" x14ac:dyDescent="0.35">
      <c r="B6" s="43">
        <v>5</v>
      </c>
      <c r="C6" s="45" t="s">
        <v>280</v>
      </c>
    </row>
    <row r="7" spans="2:3" ht="29" x14ac:dyDescent="0.35">
      <c r="B7" s="43">
        <v>6</v>
      </c>
      <c r="C7" s="44" t="s">
        <v>281</v>
      </c>
    </row>
    <row r="8" spans="2:3" ht="72.5" x14ac:dyDescent="0.35">
      <c r="B8" s="43">
        <v>7</v>
      </c>
      <c r="C8" s="44" t="s">
        <v>282</v>
      </c>
    </row>
    <row r="9" spans="2:3" x14ac:dyDescent="0.35">
      <c r="B9" s="43">
        <v>8</v>
      </c>
      <c r="C9" s="45" t="s">
        <v>283</v>
      </c>
    </row>
    <row r="10" spans="2:3" x14ac:dyDescent="0.35">
      <c r="B10" s="43">
        <v>9</v>
      </c>
      <c r="C10" s="45" t="s">
        <v>284</v>
      </c>
    </row>
    <row r="11" spans="2:3" x14ac:dyDescent="0.35">
      <c r="B11" s="43">
        <v>10</v>
      </c>
      <c r="C11" s="45" t="s">
        <v>285</v>
      </c>
    </row>
    <row r="12" spans="2:3" x14ac:dyDescent="0.35">
      <c r="B12" s="43">
        <v>11</v>
      </c>
      <c r="C12" s="45" t="s">
        <v>286</v>
      </c>
    </row>
    <row r="13" spans="2:3" x14ac:dyDescent="0.35">
      <c r="B13" s="43">
        <v>12</v>
      </c>
      <c r="C13" s="45" t="s">
        <v>287</v>
      </c>
    </row>
    <row r="14" spans="2:3" x14ac:dyDescent="0.35">
      <c r="B14" s="43">
        <v>13</v>
      </c>
      <c r="C14" s="45" t="s">
        <v>288</v>
      </c>
    </row>
    <row r="15" spans="2:3" x14ac:dyDescent="0.35">
      <c r="B15" s="43">
        <v>14</v>
      </c>
      <c r="C15" s="45" t="s">
        <v>278</v>
      </c>
    </row>
    <row r="16" spans="2:3" x14ac:dyDescent="0.35">
      <c r="B16" s="43">
        <v>15</v>
      </c>
      <c r="C16" s="45" t="s">
        <v>290</v>
      </c>
    </row>
    <row r="17" spans="2:3" x14ac:dyDescent="0.35">
      <c r="B17" s="66">
        <v>16</v>
      </c>
      <c r="C17" s="51" t="s">
        <v>291</v>
      </c>
    </row>
    <row r="18" spans="2:3" x14ac:dyDescent="0.35">
      <c r="B18" s="50">
        <v>17</v>
      </c>
      <c r="C18" s="51" t="s">
        <v>292</v>
      </c>
    </row>
    <row r="19" spans="2:3" x14ac:dyDescent="0.35">
      <c r="B19" s="49">
        <v>18</v>
      </c>
      <c r="C19" s="43" t="s">
        <v>293</v>
      </c>
    </row>
    <row r="20" spans="2:3" x14ac:dyDescent="0.35">
      <c r="B20" s="50">
        <v>19</v>
      </c>
      <c r="C20" s="43" t="s">
        <v>329</v>
      </c>
    </row>
    <row r="21" spans="2:3" x14ac:dyDescent="0.35">
      <c r="B21" s="52">
        <v>20</v>
      </c>
      <c r="C21" s="43" t="s">
        <v>294</v>
      </c>
    </row>
    <row r="22" spans="2:3" x14ac:dyDescent="0.35">
      <c r="B22" s="50">
        <v>21</v>
      </c>
      <c r="C22" s="43" t="s">
        <v>293</v>
      </c>
    </row>
    <row r="23" spans="2:3" s="60" customFormat="1" ht="29.25" customHeight="1" x14ac:dyDescent="0.35">
      <c r="B23" s="59">
        <v>22</v>
      </c>
      <c r="C23" s="46" t="s">
        <v>321</v>
      </c>
    </row>
    <row r="24" spans="2:3" s="60" customFormat="1" ht="30.75" customHeight="1" x14ac:dyDescent="0.35">
      <c r="B24" s="61">
        <v>23</v>
      </c>
      <c r="C24" s="46" t="s">
        <v>322</v>
      </c>
    </row>
    <row r="25" spans="2:3" x14ac:dyDescent="0.35">
      <c r="B25" s="52">
        <v>24</v>
      </c>
      <c r="C25" s="43" t="s">
        <v>325</v>
      </c>
    </row>
    <row r="26" spans="2:3" x14ac:dyDescent="0.35">
      <c r="B26" s="50">
        <v>25</v>
      </c>
      <c r="C26" s="43" t="s">
        <v>323</v>
      </c>
    </row>
    <row r="27" spans="2:3" x14ac:dyDescent="0.35">
      <c r="B27" s="61">
        <v>26</v>
      </c>
      <c r="C27" s="52" t="s">
        <v>324</v>
      </c>
    </row>
    <row r="28" spans="2:3" x14ac:dyDescent="0.35">
      <c r="B28" s="62">
        <v>27</v>
      </c>
      <c r="C28" s="43" t="s">
        <v>326</v>
      </c>
    </row>
    <row r="29" spans="2:3" ht="43.5" x14ac:dyDescent="0.35">
      <c r="B29" s="65">
        <v>28</v>
      </c>
      <c r="C29" s="44" t="s">
        <v>327</v>
      </c>
    </row>
    <row r="30" spans="2:3" x14ac:dyDescent="0.35">
      <c r="B30" s="61">
        <v>29</v>
      </c>
      <c r="C30" s="43" t="s">
        <v>328</v>
      </c>
    </row>
    <row r="31" spans="2:3" ht="29" x14ac:dyDescent="0.35">
      <c r="B31" s="67">
        <v>30</v>
      </c>
      <c r="C31" s="44" t="s">
        <v>330</v>
      </c>
    </row>
    <row r="32" spans="2:3" x14ac:dyDescent="0.35">
      <c r="B32" s="61">
        <v>31</v>
      </c>
      <c r="C32" s="43" t="s">
        <v>331</v>
      </c>
    </row>
    <row r="33" spans="2:3" x14ac:dyDescent="0.35">
      <c r="B33" s="61">
        <v>32</v>
      </c>
      <c r="C33" s="43" t="s">
        <v>332</v>
      </c>
    </row>
    <row r="34" spans="2:3" ht="36.75" customHeight="1" x14ac:dyDescent="0.35">
      <c r="B34" s="67">
        <v>33</v>
      </c>
      <c r="C34" s="51" t="s">
        <v>333</v>
      </c>
    </row>
    <row r="35" spans="2:3" x14ac:dyDescent="0.35">
      <c r="B35" s="61">
        <v>34</v>
      </c>
      <c r="C35" s="4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38"/>
    <col min="2" max="2" width="12.26953125" style="38" customWidth="1"/>
    <col min="3" max="16384" width="9.1796875" style="38"/>
  </cols>
  <sheetData>
    <row r="2" spans="1:12" x14ac:dyDescent="0.35">
      <c r="B2" s="53" t="s">
        <v>295</v>
      </c>
      <c r="C2" s="244"/>
      <c r="D2" s="244"/>
    </row>
    <row r="3" spans="1:12" x14ac:dyDescent="0.35">
      <c r="D3" s="54"/>
      <c r="E3" s="54"/>
      <c r="F3" s="54"/>
      <c r="G3" s="54"/>
      <c r="H3" s="54"/>
      <c r="I3" s="54"/>
    </row>
    <row r="4" spans="1:12" x14ac:dyDescent="0.35">
      <c r="A4" s="53" t="s">
        <v>64</v>
      </c>
      <c r="B4" s="55" t="s">
        <v>296</v>
      </c>
      <c r="C4" s="245" t="s">
        <v>297</v>
      </c>
      <c r="D4" s="245"/>
      <c r="E4" s="245"/>
      <c r="F4" s="55"/>
      <c r="G4" s="246" t="s">
        <v>298</v>
      </c>
      <c r="H4" s="246"/>
      <c r="I4" s="246"/>
      <c r="J4" s="247" t="s">
        <v>299</v>
      </c>
      <c r="K4" s="247"/>
      <c r="L4" s="247"/>
    </row>
    <row r="5" spans="1:12" x14ac:dyDescent="0.35">
      <c r="A5" s="53"/>
      <c r="B5" s="55"/>
      <c r="C5" s="55" t="s">
        <v>300</v>
      </c>
      <c r="D5" s="55" t="s">
        <v>301</v>
      </c>
      <c r="E5" s="55" t="s">
        <v>302</v>
      </c>
      <c r="F5" s="55"/>
      <c r="G5" s="55" t="s">
        <v>300</v>
      </c>
      <c r="H5" s="55" t="s">
        <v>301</v>
      </c>
      <c r="I5" s="55" t="s">
        <v>302</v>
      </c>
      <c r="J5" s="55" t="s">
        <v>300</v>
      </c>
      <c r="K5" s="55" t="s">
        <v>301</v>
      </c>
      <c r="L5" s="55" t="s">
        <v>302</v>
      </c>
    </row>
    <row r="6" spans="1:12" x14ac:dyDescent="0.35">
      <c r="B6" s="39" t="s">
        <v>303</v>
      </c>
      <c r="C6" s="39"/>
      <c r="D6" s="39"/>
      <c r="E6" s="39">
        <f>C6*D6</f>
        <v>0</v>
      </c>
      <c r="F6" s="39" t="s">
        <v>320</v>
      </c>
      <c r="G6" s="39"/>
      <c r="H6" s="39"/>
      <c r="I6" s="39">
        <f>G6*H6</f>
        <v>0</v>
      </c>
      <c r="J6" s="39"/>
      <c r="K6" s="39"/>
      <c r="L6" s="39">
        <f>J6*K6</f>
        <v>0</v>
      </c>
    </row>
    <row r="7" spans="1:12" x14ac:dyDescent="0.35">
      <c r="B7" s="39"/>
      <c r="C7" s="39"/>
      <c r="D7" s="39"/>
      <c r="E7" s="39">
        <f t="shared" ref="E7:E41" si="0">C7*D7</f>
        <v>0</v>
      </c>
      <c r="F7" s="39" t="s">
        <v>320</v>
      </c>
      <c r="G7" s="39"/>
      <c r="H7" s="39"/>
      <c r="I7" s="39">
        <f t="shared" ref="I7:I35" si="1">G7*H7</f>
        <v>0</v>
      </c>
      <c r="J7" s="39"/>
      <c r="K7" s="39"/>
      <c r="L7" s="39">
        <f t="shared" ref="L7:L35" si="2">J7*K7</f>
        <v>0</v>
      </c>
    </row>
    <row r="8" spans="1:12" x14ac:dyDescent="0.35">
      <c r="B8" s="39"/>
      <c r="C8" s="39"/>
      <c r="D8" s="39"/>
      <c r="E8" s="39">
        <f t="shared" si="0"/>
        <v>0</v>
      </c>
      <c r="F8" s="39"/>
      <c r="G8" s="39"/>
      <c r="H8" s="39"/>
      <c r="I8" s="39">
        <f t="shared" si="1"/>
        <v>0</v>
      </c>
      <c r="J8" s="39"/>
      <c r="K8" s="39"/>
      <c r="L8" s="39">
        <f t="shared" si="2"/>
        <v>0</v>
      </c>
    </row>
    <row r="9" spans="1:12" x14ac:dyDescent="0.35">
      <c r="B9" s="39"/>
      <c r="C9" s="39"/>
      <c r="D9" s="39"/>
      <c r="E9" s="39">
        <f t="shared" si="0"/>
        <v>0</v>
      </c>
      <c r="F9" s="39" t="s">
        <v>304</v>
      </c>
      <c r="G9" s="39"/>
      <c r="H9" s="39"/>
      <c r="I9" s="39">
        <f t="shared" si="1"/>
        <v>0</v>
      </c>
      <c r="J9" s="39"/>
      <c r="K9" s="39"/>
      <c r="L9" s="39">
        <f t="shared" si="2"/>
        <v>0</v>
      </c>
    </row>
    <row r="10" spans="1:12" x14ac:dyDescent="0.35">
      <c r="B10" s="39" t="s">
        <v>305</v>
      </c>
      <c r="C10" s="39"/>
      <c r="D10" s="39"/>
      <c r="E10" s="39">
        <f t="shared" si="0"/>
        <v>0</v>
      </c>
      <c r="F10" s="39" t="s">
        <v>304</v>
      </c>
      <c r="G10" s="39"/>
      <c r="H10" s="39"/>
      <c r="I10" s="39">
        <f t="shared" si="1"/>
        <v>0</v>
      </c>
      <c r="J10" s="39"/>
      <c r="K10" s="39"/>
      <c r="L10" s="39">
        <f t="shared" si="2"/>
        <v>0</v>
      </c>
    </row>
    <row r="11" spans="1:12" x14ac:dyDescent="0.35">
      <c r="B11" s="39"/>
      <c r="C11" s="39"/>
      <c r="D11" s="39"/>
      <c r="E11" s="39">
        <f t="shared" si="0"/>
        <v>0</v>
      </c>
      <c r="F11" s="39" t="s">
        <v>306</v>
      </c>
      <c r="G11" s="39"/>
      <c r="H11" s="39"/>
      <c r="I11" s="39">
        <f t="shared" si="1"/>
        <v>0</v>
      </c>
      <c r="J11" s="39"/>
      <c r="K11" s="39"/>
      <c r="L11" s="39">
        <f t="shared" si="2"/>
        <v>0</v>
      </c>
    </row>
    <row r="12" spans="1:12" x14ac:dyDescent="0.35">
      <c r="B12" s="39"/>
      <c r="C12" s="39"/>
      <c r="D12" s="39"/>
      <c r="E12" s="39">
        <f t="shared" si="0"/>
        <v>0</v>
      </c>
      <c r="F12" s="39"/>
      <c r="G12" s="39"/>
      <c r="H12" s="39"/>
      <c r="I12" s="39">
        <f t="shared" si="1"/>
        <v>0</v>
      </c>
      <c r="J12" s="39"/>
      <c r="K12" s="39"/>
      <c r="L12" s="39">
        <f t="shared" si="2"/>
        <v>0</v>
      </c>
    </row>
    <row r="13" spans="1:12" x14ac:dyDescent="0.35">
      <c r="B13" s="39"/>
      <c r="C13" s="39"/>
      <c r="D13" s="39"/>
      <c r="E13" s="39">
        <f t="shared" si="0"/>
        <v>0</v>
      </c>
      <c r="F13" s="39"/>
      <c r="G13" s="39"/>
      <c r="H13" s="39"/>
      <c r="I13" s="39">
        <f t="shared" si="1"/>
        <v>0</v>
      </c>
      <c r="J13" s="39"/>
      <c r="K13" s="39"/>
      <c r="L13" s="39">
        <f t="shared" si="2"/>
        <v>0</v>
      </c>
    </row>
    <row r="14" spans="1:12" x14ac:dyDescent="0.35">
      <c r="B14" s="39" t="s">
        <v>307</v>
      </c>
      <c r="C14" s="39"/>
      <c r="D14" s="39"/>
      <c r="E14" s="39">
        <f t="shared" si="0"/>
        <v>0</v>
      </c>
      <c r="F14" s="39" t="s">
        <v>304</v>
      </c>
      <c r="G14" s="39"/>
      <c r="H14" s="39"/>
      <c r="I14" s="39">
        <f t="shared" si="1"/>
        <v>0</v>
      </c>
      <c r="J14" s="39"/>
      <c r="K14" s="39"/>
      <c r="L14" s="39">
        <f t="shared" si="2"/>
        <v>0</v>
      </c>
    </row>
    <row r="15" spans="1:12" x14ac:dyDescent="0.35">
      <c r="B15" s="39"/>
      <c r="C15" s="39"/>
      <c r="D15" s="39"/>
      <c r="E15" s="39">
        <f t="shared" si="0"/>
        <v>0</v>
      </c>
      <c r="F15" s="39" t="s">
        <v>306</v>
      </c>
      <c r="G15" s="39"/>
      <c r="H15" s="39"/>
      <c r="I15" s="39">
        <f t="shared" si="1"/>
        <v>0</v>
      </c>
      <c r="J15" s="39"/>
      <c r="K15" s="39"/>
      <c r="L15" s="39">
        <f t="shared" si="2"/>
        <v>0</v>
      </c>
    </row>
    <row r="16" spans="1:12" x14ac:dyDescent="0.35">
      <c r="B16" s="39"/>
      <c r="C16" s="39"/>
      <c r="D16" s="39"/>
      <c r="E16" s="39">
        <f t="shared" si="0"/>
        <v>0</v>
      </c>
      <c r="F16" s="39"/>
      <c r="G16" s="39"/>
      <c r="H16" s="39"/>
      <c r="I16" s="39">
        <f t="shared" si="1"/>
        <v>0</v>
      </c>
      <c r="J16" s="39"/>
      <c r="K16" s="39"/>
      <c r="L16" s="39">
        <f t="shared" si="2"/>
        <v>0</v>
      </c>
    </row>
    <row r="17" spans="2:12" x14ac:dyDescent="0.35">
      <c r="B17" s="39"/>
      <c r="C17" s="39"/>
      <c r="D17" s="39"/>
      <c r="E17" s="39">
        <f t="shared" si="0"/>
        <v>0</v>
      </c>
      <c r="F17" s="39"/>
      <c r="G17" s="39"/>
      <c r="H17" s="39"/>
      <c r="I17" s="39">
        <f t="shared" si="1"/>
        <v>0</v>
      </c>
      <c r="J17" s="39"/>
      <c r="K17" s="39"/>
      <c r="L17" s="39">
        <f t="shared" si="2"/>
        <v>0</v>
      </c>
    </row>
    <row r="18" spans="2:12" x14ac:dyDescent="0.35">
      <c r="B18" s="39" t="s">
        <v>308</v>
      </c>
      <c r="C18" s="39"/>
      <c r="D18" s="39"/>
      <c r="E18" s="39">
        <f t="shared" si="0"/>
        <v>0</v>
      </c>
      <c r="F18" s="39" t="s">
        <v>304</v>
      </c>
      <c r="G18" s="39"/>
      <c r="H18" s="39"/>
      <c r="I18" s="39">
        <f t="shared" si="1"/>
        <v>0</v>
      </c>
      <c r="J18" s="39"/>
      <c r="K18" s="39"/>
      <c r="L18" s="39">
        <f t="shared" si="2"/>
        <v>0</v>
      </c>
    </row>
    <row r="19" spans="2:12" x14ac:dyDescent="0.35">
      <c r="B19" s="39"/>
      <c r="C19" s="39"/>
      <c r="D19" s="39"/>
      <c r="E19" s="39">
        <f t="shared" si="0"/>
        <v>0</v>
      </c>
      <c r="F19" s="39" t="s">
        <v>306</v>
      </c>
      <c r="G19" s="39"/>
      <c r="H19" s="39"/>
      <c r="I19" s="39">
        <f t="shared" si="1"/>
        <v>0</v>
      </c>
      <c r="J19" s="39"/>
      <c r="K19" s="39"/>
      <c r="L19" s="39">
        <f t="shared" si="2"/>
        <v>0</v>
      </c>
    </row>
    <row r="20" spans="2:12" x14ac:dyDescent="0.35">
      <c r="B20" s="39"/>
      <c r="C20" s="39"/>
      <c r="D20" s="39"/>
      <c r="E20" s="39">
        <f t="shared" si="0"/>
        <v>0</v>
      </c>
      <c r="F20" s="39"/>
      <c r="G20" s="39"/>
      <c r="H20" s="39"/>
      <c r="I20" s="39">
        <f t="shared" si="1"/>
        <v>0</v>
      </c>
      <c r="J20" s="39"/>
      <c r="K20" s="39"/>
      <c r="L20" s="39">
        <f t="shared" si="2"/>
        <v>0</v>
      </c>
    </row>
    <row r="21" spans="2:12" x14ac:dyDescent="0.35">
      <c r="B21" s="39" t="s">
        <v>309</v>
      </c>
      <c r="C21" s="39"/>
      <c r="D21" s="39"/>
      <c r="E21" s="39">
        <f t="shared" si="0"/>
        <v>0</v>
      </c>
      <c r="F21" s="39" t="s">
        <v>304</v>
      </c>
      <c r="G21" s="39"/>
      <c r="H21" s="39"/>
      <c r="I21" s="39">
        <f t="shared" si="1"/>
        <v>0</v>
      </c>
      <c r="J21" s="39"/>
      <c r="K21" s="39"/>
      <c r="L21" s="39">
        <f t="shared" si="2"/>
        <v>0</v>
      </c>
    </row>
    <row r="22" spans="2:12" x14ac:dyDescent="0.35">
      <c r="B22" s="39"/>
      <c r="C22" s="39"/>
      <c r="D22" s="39"/>
      <c r="E22" s="39">
        <f t="shared" si="0"/>
        <v>0</v>
      </c>
      <c r="F22" s="39" t="s">
        <v>306</v>
      </c>
      <c r="G22" s="39"/>
      <c r="H22" s="39"/>
      <c r="I22" s="39">
        <f t="shared" si="1"/>
        <v>0</v>
      </c>
      <c r="J22" s="39"/>
      <c r="K22" s="39"/>
      <c r="L22" s="39">
        <f t="shared" si="2"/>
        <v>0</v>
      </c>
    </row>
    <row r="23" spans="2:12" x14ac:dyDescent="0.35">
      <c r="B23" s="39"/>
      <c r="C23" s="39"/>
      <c r="D23" s="39"/>
      <c r="E23" s="39">
        <f t="shared" si="0"/>
        <v>0</v>
      </c>
      <c r="F23" s="39"/>
      <c r="G23" s="39"/>
      <c r="H23" s="39"/>
      <c r="I23" s="39">
        <f t="shared" si="1"/>
        <v>0</v>
      </c>
      <c r="J23" s="39"/>
      <c r="K23" s="39"/>
      <c r="L23" s="39">
        <f t="shared" si="2"/>
        <v>0</v>
      </c>
    </row>
    <row r="24" spans="2:12" x14ac:dyDescent="0.35">
      <c r="B24" s="39" t="s">
        <v>310</v>
      </c>
      <c r="C24" s="39"/>
      <c r="D24" s="39"/>
      <c r="E24" s="39">
        <f t="shared" si="0"/>
        <v>0</v>
      </c>
      <c r="F24" s="39" t="s">
        <v>311</v>
      </c>
      <c r="G24" s="39"/>
      <c r="H24" s="39"/>
      <c r="I24" s="39">
        <f t="shared" si="1"/>
        <v>0</v>
      </c>
      <c r="J24" s="39"/>
      <c r="K24" s="39"/>
      <c r="L24" s="39">
        <f t="shared" si="2"/>
        <v>0</v>
      </c>
    </row>
    <row r="25" spans="2:12" x14ac:dyDescent="0.35">
      <c r="B25" s="39"/>
      <c r="C25" s="39"/>
      <c r="D25" s="39"/>
      <c r="E25" s="39">
        <f t="shared" ref="E25:E27" si="3">C25*D25</f>
        <v>0</v>
      </c>
      <c r="F25" s="39" t="s">
        <v>311</v>
      </c>
      <c r="G25" s="39"/>
      <c r="H25" s="39"/>
      <c r="I25" s="39">
        <f t="shared" ref="I25:I27" si="4">G25*H25</f>
        <v>0</v>
      </c>
      <c r="J25" s="39"/>
      <c r="K25" s="39"/>
      <c r="L25" s="39">
        <f t="shared" ref="L25:L27" si="5">J25*K25</f>
        <v>0</v>
      </c>
    </row>
    <row r="26" spans="2:12" x14ac:dyDescent="0.35">
      <c r="B26" s="39"/>
      <c r="C26" s="39"/>
      <c r="D26" s="39"/>
      <c r="E26" s="39">
        <f t="shared" si="3"/>
        <v>0</v>
      </c>
      <c r="F26" s="39" t="s">
        <v>311</v>
      </c>
      <c r="G26" s="39"/>
      <c r="H26" s="39"/>
      <c r="I26" s="39">
        <f t="shared" si="4"/>
        <v>0</v>
      </c>
      <c r="J26" s="39"/>
      <c r="K26" s="39"/>
      <c r="L26" s="39">
        <f t="shared" si="5"/>
        <v>0</v>
      </c>
    </row>
    <row r="27" spans="2:12" x14ac:dyDescent="0.35">
      <c r="B27" s="39"/>
      <c r="C27" s="39"/>
      <c r="D27" s="39"/>
      <c r="E27" s="39">
        <f t="shared" si="3"/>
        <v>0</v>
      </c>
      <c r="F27" s="39" t="s">
        <v>311</v>
      </c>
      <c r="G27" s="39"/>
      <c r="H27" s="39"/>
      <c r="I27" s="39">
        <f t="shared" si="4"/>
        <v>0</v>
      </c>
      <c r="J27" s="39"/>
      <c r="K27" s="39"/>
      <c r="L27" s="39">
        <f t="shared" si="5"/>
        <v>0</v>
      </c>
    </row>
    <row r="28" spans="2:12" x14ac:dyDescent="0.35">
      <c r="B28" s="39" t="s">
        <v>312</v>
      </c>
      <c r="C28" s="39"/>
      <c r="D28" s="39"/>
      <c r="E28" s="39">
        <f t="shared" si="0"/>
        <v>0</v>
      </c>
      <c r="F28" s="39" t="s">
        <v>311</v>
      </c>
      <c r="G28" s="39"/>
      <c r="H28" s="39"/>
      <c r="I28" s="39">
        <f t="shared" si="1"/>
        <v>0</v>
      </c>
      <c r="J28" s="39"/>
      <c r="K28" s="39"/>
      <c r="L28" s="39">
        <f t="shared" si="2"/>
        <v>0</v>
      </c>
    </row>
    <row r="29" spans="2:12" x14ac:dyDescent="0.35">
      <c r="B29" s="39" t="s">
        <v>313</v>
      </c>
      <c r="C29" s="39"/>
      <c r="D29" s="39"/>
      <c r="E29" s="39">
        <f t="shared" si="0"/>
        <v>0</v>
      </c>
      <c r="F29" s="39" t="s">
        <v>311</v>
      </c>
      <c r="G29" s="39"/>
      <c r="H29" s="39"/>
      <c r="I29" s="39">
        <f t="shared" si="1"/>
        <v>0</v>
      </c>
      <c r="J29" s="39"/>
      <c r="K29" s="39"/>
      <c r="L29" s="39">
        <f t="shared" si="2"/>
        <v>0</v>
      </c>
    </row>
    <row r="30" spans="2:12" x14ac:dyDescent="0.35">
      <c r="B30" s="39" t="s">
        <v>317</v>
      </c>
      <c r="C30" s="39"/>
      <c r="D30" s="39"/>
      <c r="E30" s="39">
        <f t="shared" si="0"/>
        <v>0</v>
      </c>
      <c r="F30" s="39"/>
      <c r="G30" s="39"/>
      <c r="H30" s="39"/>
      <c r="I30" s="39">
        <f t="shared" si="1"/>
        <v>0</v>
      </c>
      <c r="J30" s="39"/>
      <c r="K30" s="39"/>
      <c r="L30" s="39">
        <f t="shared" si="2"/>
        <v>0</v>
      </c>
    </row>
    <row r="31" spans="2:12" x14ac:dyDescent="0.35">
      <c r="B31" s="39"/>
      <c r="C31" s="39"/>
      <c r="D31" s="39"/>
      <c r="E31" s="39">
        <f t="shared" ref="E31:E32" si="6">C31*D31</f>
        <v>0</v>
      </c>
      <c r="F31" s="39"/>
      <c r="G31" s="39"/>
      <c r="H31" s="39"/>
      <c r="I31" s="39">
        <f t="shared" ref="I31:I32" si="7">G31*H31</f>
        <v>0</v>
      </c>
      <c r="J31" s="39"/>
      <c r="K31" s="39"/>
      <c r="L31" s="39">
        <f t="shared" ref="L31:L32" si="8">J31*K31</f>
        <v>0</v>
      </c>
    </row>
    <row r="32" spans="2:12" x14ac:dyDescent="0.35">
      <c r="B32" s="39"/>
      <c r="C32" s="39"/>
      <c r="D32" s="39"/>
      <c r="E32" s="39">
        <f t="shared" si="6"/>
        <v>0</v>
      </c>
      <c r="F32" s="39"/>
      <c r="G32" s="39"/>
      <c r="H32" s="39"/>
      <c r="I32" s="39">
        <f t="shared" si="7"/>
        <v>0</v>
      </c>
      <c r="J32" s="39"/>
      <c r="K32" s="39"/>
      <c r="L32" s="39">
        <f t="shared" si="8"/>
        <v>0</v>
      </c>
    </row>
    <row r="33" spans="2:12" x14ac:dyDescent="0.35">
      <c r="B33" s="39" t="s">
        <v>314</v>
      </c>
      <c r="C33" s="39"/>
      <c r="D33" s="39"/>
      <c r="E33" s="39">
        <f t="shared" si="0"/>
        <v>0</v>
      </c>
      <c r="F33" s="39"/>
      <c r="G33" s="39"/>
      <c r="H33" s="39"/>
      <c r="I33" s="39">
        <f t="shared" si="1"/>
        <v>0</v>
      </c>
      <c r="J33" s="39"/>
      <c r="K33" s="39"/>
      <c r="L33" s="39">
        <f t="shared" si="2"/>
        <v>0</v>
      </c>
    </row>
    <row r="34" spans="2:12" x14ac:dyDescent="0.35">
      <c r="B34" s="39" t="s">
        <v>318</v>
      </c>
      <c r="C34" s="39"/>
      <c r="D34" s="39"/>
      <c r="E34" s="39">
        <f t="shared" si="0"/>
        <v>0</v>
      </c>
      <c r="F34" s="39"/>
      <c r="G34" s="39"/>
      <c r="H34" s="39"/>
      <c r="I34" s="39">
        <f t="shared" si="1"/>
        <v>0</v>
      </c>
      <c r="J34" s="39"/>
      <c r="K34" s="39"/>
      <c r="L34" s="39">
        <f t="shared" si="2"/>
        <v>0</v>
      </c>
    </row>
    <row r="35" spans="2:12" x14ac:dyDescent="0.35">
      <c r="B35" s="39" t="s">
        <v>315</v>
      </c>
      <c r="C35" s="39"/>
      <c r="D35" s="39"/>
      <c r="E35" s="39">
        <f t="shared" si="0"/>
        <v>0</v>
      </c>
      <c r="F35" s="39"/>
      <c r="G35" s="39"/>
      <c r="H35" s="39"/>
      <c r="I35" s="39">
        <f t="shared" si="1"/>
        <v>0</v>
      </c>
      <c r="J35" s="39"/>
      <c r="K35" s="39"/>
      <c r="L35" s="39">
        <f t="shared" si="2"/>
        <v>0</v>
      </c>
    </row>
    <row r="36" spans="2:12" x14ac:dyDescent="0.35">
      <c r="B36" s="39" t="s">
        <v>316</v>
      </c>
      <c r="C36" s="39"/>
      <c r="D36" s="39"/>
      <c r="E36" s="39">
        <f t="shared" si="0"/>
        <v>0</v>
      </c>
      <c r="F36" s="39"/>
      <c r="G36" s="39"/>
      <c r="H36" s="39"/>
      <c r="I36" s="39">
        <f>G36*H36</f>
        <v>0</v>
      </c>
      <c r="J36" s="39"/>
      <c r="K36" s="39"/>
      <c r="L36" s="39">
        <f>J36*K36</f>
        <v>0</v>
      </c>
    </row>
    <row r="37" spans="2:12" x14ac:dyDescent="0.35">
      <c r="B37" s="39"/>
      <c r="C37" s="39"/>
      <c r="D37" s="39"/>
      <c r="E37" s="39">
        <f t="shared" ref="E37:E38" si="9">C37*D37</f>
        <v>0</v>
      </c>
      <c r="F37" s="39"/>
      <c r="G37" s="39"/>
      <c r="H37" s="39"/>
      <c r="I37" s="39">
        <f t="shared" ref="I37:I38" si="10">G37*H37</f>
        <v>0</v>
      </c>
      <c r="J37" s="39"/>
      <c r="K37" s="39"/>
      <c r="L37" s="39">
        <f t="shared" ref="L37:L38" si="11">J37*K37</f>
        <v>0</v>
      </c>
    </row>
    <row r="38" spans="2:12" x14ac:dyDescent="0.35">
      <c r="B38" s="39" t="s">
        <v>319</v>
      </c>
      <c r="C38" s="39"/>
      <c r="D38" s="39"/>
      <c r="E38" s="39">
        <f t="shared" si="9"/>
        <v>0</v>
      </c>
      <c r="F38" s="39"/>
      <c r="G38" s="39"/>
      <c r="H38" s="39"/>
      <c r="I38" s="39">
        <f t="shared" si="10"/>
        <v>0</v>
      </c>
      <c r="J38" s="39"/>
      <c r="K38" s="39"/>
      <c r="L38" s="39">
        <f t="shared" si="11"/>
        <v>0</v>
      </c>
    </row>
    <row r="39" spans="2:12" x14ac:dyDescent="0.35">
      <c r="B39" s="39"/>
      <c r="C39" s="39"/>
      <c r="D39" s="39"/>
      <c r="E39" s="39">
        <f t="shared" si="0"/>
        <v>0</v>
      </c>
      <c r="F39" s="39"/>
      <c r="G39" s="39"/>
      <c r="H39" s="39"/>
      <c r="I39" s="39">
        <f>G39*H39</f>
        <v>0</v>
      </c>
      <c r="J39" s="39"/>
      <c r="K39" s="39"/>
      <c r="L39" s="39">
        <f>J39*K39</f>
        <v>0</v>
      </c>
    </row>
    <row r="40" spans="2:12" x14ac:dyDescent="0.35">
      <c r="B40" s="39"/>
      <c r="C40" s="39"/>
      <c r="D40" s="39"/>
      <c r="E40" s="39">
        <f t="shared" si="0"/>
        <v>0</v>
      </c>
      <c r="F40" s="39"/>
      <c r="G40" s="39"/>
      <c r="H40" s="39"/>
      <c r="I40" s="39">
        <f>G40*H40</f>
        <v>0</v>
      </c>
      <c r="J40" s="39"/>
      <c r="K40" s="39"/>
      <c r="L40" s="39">
        <f>J40*K40</f>
        <v>0</v>
      </c>
    </row>
    <row r="41" spans="2:12" x14ac:dyDescent="0.35">
      <c r="B41" s="39"/>
      <c r="C41" s="39"/>
      <c r="D41" s="39"/>
      <c r="E41" s="39">
        <f t="shared" si="0"/>
        <v>0</v>
      </c>
      <c r="F41" s="39"/>
      <c r="G41" s="39"/>
      <c r="H41" s="39"/>
      <c r="I41" s="39">
        <f>G41*H41</f>
        <v>0</v>
      </c>
      <c r="J41" s="39"/>
      <c r="K41" s="39"/>
      <c r="L41" s="39">
        <f>J41*K41</f>
        <v>0</v>
      </c>
    </row>
    <row r="42" spans="2:12" x14ac:dyDescent="0.35">
      <c r="B42" s="39" t="s">
        <v>143</v>
      </c>
      <c r="C42" s="39"/>
      <c r="D42" s="39">
        <f>E42*10.764</f>
        <v>0</v>
      </c>
      <c r="E42" s="58">
        <f>SUM(E6:E41)</f>
        <v>0</v>
      </c>
      <c r="F42" s="39"/>
      <c r="G42" s="39"/>
      <c r="H42" s="39">
        <f>I42*10.764</f>
        <v>0</v>
      </c>
      <c r="I42" s="57">
        <f>SUM(I6:I41)</f>
        <v>0</v>
      </c>
      <c r="J42" s="39"/>
      <c r="K42" s="39">
        <f>L42*10.764</f>
        <v>0</v>
      </c>
      <c r="L42" s="56">
        <f>SUM(L6:L41)</f>
        <v>0</v>
      </c>
    </row>
    <row r="44" spans="2:12" x14ac:dyDescent="0.35">
      <c r="D44" s="38">
        <f>D42+H42</f>
        <v>0</v>
      </c>
      <c r="E44" s="3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2025-09-24T09:22:01Z</cp:lastPrinted>
  <dcterms:created xsi:type="dcterms:W3CDTF">2019-07-16T09:29:46Z</dcterms:created>
  <dcterms:modified xsi:type="dcterms:W3CDTF">2025-10-06T12:33:59Z</dcterms:modified>
</cp:coreProperties>
</file>