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Update\Sept 2025\22603 - Krishna Valley Avyukta - Phase III - P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1" i="1" l="1"/>
  <c r="A152" i="1" s="1"/>
  <c r="E113" i="1"/>
  <c r="D113" i="1"/>
  <c r="F113" i="1" s="1"/>
  <c r="H113" i="1" s="1"/>
  <c r="E112" i="1"/>
  <c r="D112" i="1"/>
  <c r="F112" i="1" s="1"/>
  <c r="H112" i="1" s="1"/>
  <c r="E111" i="1"/>
  <c r="D111" i="1"/>
  <c r="E110" i="1"/>
  <c r="D110" i="1"/>
  <c r="E108" i="1"/>
  <c r="D108" i="1"/>
  <c r="E106" i="1"/>
  <c r="D106" i="1"/>
  <c r="F106" i="1" s="1"/>
  <c r="H106" i="1" s="1"/>
  <c r="E105" i="1"/>
  <c r="D105" i="1"/>
  <c r="F105" i="1" s="1"/>
  <c r="H105" i="1" s="1"/>
  <c r="E104" i="1"/>
  <c r="D104" i="1"/>
  <c r="E103" i="1"/>
  <c r="D103" i="1"/>
  <c r="F103" i="1" s="1"/>
  <c r="H103" i="1" s="1"/>
  <c r="E102" i="1"/>
  <c r="D102" i="1"/>
  <c r="F102" i="1" s="1"/>
  <c r="H102" i="1" s="1"/>
  <c r="E101" i="1"/>
  <c r="D101" i="1"/>
  <c r="F111" i="1"/>
  <c r="H111" i="1" s="1"/>
  <c r="F110" i="1"/>
  <c r="H110" i="1" s="1"/>
  <c r="F108" i="1"/>
  <c r="H108" i="1" s="1"/>
  <c r="A108" i="1"/>
  <c r="A109" i="1" s="1"/>
  <c r="A110" i="1" s="1"/>
  <c r="A111" i="1" s="1"/>
  <c r="A112" i="1" s="1"/>
  <c r="A113" i="1" s="1"/>
  <c r="A101" i="1"/>
  <c r="F104" i="1" l="1"/>
  <c r="H104" i="1" s="1"/>
  <c r="F101" i="1"/>
  <c r="A102" i="1"/>
  <c r="H101" i="1" l="1"/>
  <c r="G93" i="1" s="1"/>
  <c r="E93" i="1"/>
  <c r="D93" i="1"/>
  <c r="I120" i="1"/>
  <c r="I121" i="1"/>
  <c r="I122" i="1"/>
  <c r="I123" i="1"/>
  <c r="I124" i="1"/>
  <c r="I125" i="1"/>
  <c r="I126" i="1"/>
  <c r="I119" i="1"/>
  <c r="A103" i="1"/>
  <c r="I137" i="1" l="1"/>
  <c r="A104" i="1"/>
  <c r="D140" i="1" l="1"/>
  <c r="D139" i="1"/>
  <c r="D138" i="1"/>
  <c r="D137" i="1"/>
  <c r="G140" i="1"/>
  <c r="G138" i="1"/>
  <c r="G139" i="1" s="1"/>
  <c r="G137" i="1"/>
  <c r="E140" i="1"/>
  <c r="E139" i="1"/>
  <c r="E138" i="1"/>
  <c r="E137" i="1"/>
  <c r="A139" i="1"/>
  <c r="D135" i="1"/>
  <c r="J135" i="1" s="1"/>
  <c r="D133" i="1"/>
  <c r="J133" i="1" s="1"/>
  <c r="D132" i="1"/>
  <c r="J132" i="1" s="1"/>
  <c r="D131" i="1"/>
  <c r="J131" i="1" s="1"/>
  <c r="D130" i="1"/>
  <c r="J130" i="1" s="1"/>
  <c r="D129" i="1"/>
  <c r="J129" i="1" s="1"/>
  <c r="D128" i="1"/>
  <c r="J128" i="1" s="1"/>
  <c r="D126" i="1"/>
  <c r="J126" i="1" s="1"/>
  <c r="D125" i="1"/>
  <c r="J125" i="1" s="1"/>
  <c r="D124" i="1"/>
  <c r="J124" i="1" s="1"/>
  <c r="D123" i="1"/>
  <c r="J123" i="1" s="1"/>
  <c r="D122" i="1"/>
  <c r="J122" i="1" s="1"/>
  <c r="D121" i="1"/>
  <c r="J121" i="1" s="1"/>
  <c r="D120" i="1"/>
  <c r="J120" i="1" s="1"/>
  <c r="D119" i="1"/>
  <c r="A105" i="1"/>
  <c r="J119" i="1" l="1"/>
  <c r="K118" i="1"/>
  <c r="J140" i="1"/>
  <c r="J138" i="1"/>
  <c r="J139" i="1"/>
  <c r="J137" i="1"/>
  <c r="C13" i="1"/>
  <c r="A106" i="1"/>
  <c r="E27" i="1" l="1"/>
  <c r="P119" i="1"/>
  <c r="O119" i="1"/>
  <c r="B14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5" i="1"/>
  <c r="A143" i="1"/>
  <c r="G119" i="1"/>
  <c r="G120" i="1" s="1"/>
  <c r="G121" i="1" s="1"/>
  <c r="G122" i="1" s="1"/>
  <c r="G123" i="1" s="1"/>
  <c r="G124" i="1" s="1"/>
  <c r="G125" i="1" s="1"/>
  <c r="G126" i="1" s="1"/>
  <c r="G128" i="1"/>
  <c r="G129" i="1" s="1"/>
  <c r="G130" i="1" s="1"/>
  <c r="G131" i="1" s="1"/>
  <c r="G132" i="1" s="1"/>
  <c r="G133" i="1" s="1"/>
  <c r="G134" i="1" s="1"/>
  <c r="G135" i="1" s="1"/>
  <c r="A128" i="1"/>
  <c r="A129" i="1" s="1"/>
  <c r="A130" i="1" s="1"/>
  <c r="A131" i="1" s="1"/>
  <c r="A132" i="1" s="1"/>
  <c r="A133" i="1" s="1"/>
  <c r="A134" i="1" s="1"/>
  <c r="A135" i="1" s="1"/>
  <c r="F90" i="1"/>
  <c r="J74" i="1"/>
  <c r="J73" i="1"/>
  <c r="J72" i="1"/>
  <c r="J71" i="1"/>
  <c r="C63" i="1"/>
  <c r="D57" i="1"/>
  <c r="D52" i="1"/>
  <c r="E40" i="1"/>
  <c r="E41" i="1" s="1"/>
  <c r="E24" i="1"/>
  <c r="E22" i="1"/>
  <c r="E7" i="1"/>
  <c r="E3" i="1"/>
  <c r="H64" i="1"/>
  <c r="D69" i="1" l="1"/>
  <c r="J67" i="1"/>
  <c r="D76" i="1"/>
  <c r="D74" i="1"/>
  <c r="D72" i="1"/>
  <c r="D70" i="1"/>
  <c r="J68" i="1"/>
  <c r="J66" i="1"/>
  <c r="J69" i="1"/>
  <c r="J70" i="1" s="1"/>
  <c r="J75" i="1" s="1"/>
  <c r="J76" i="1" s="1"/>
  <c r="C68" i="1" s="1"/>
  <c r="D75" i="1"/>
  <c r="D71" i="1"/>
  <c r="D73" i="1"/>
  <c r="N119" i="1"/>
  <c r="A119" i="1" s="1"/>
  <c r="O120" i="1"/>
  <c r="P120" i="1"/>
  <c r="P121" i="1" s="1"/>
  <c r="P122" i="1" s="1"/>
  <c r="P123" i="1" s="1"/>
  <c r="P124" i="1" s="1"/>
  <c r="P125" i="1" s="1"/>
  <c r="P126" i="1" s="1"/>
  <c r="C67" i="1" l="1"/>
  <c r="D67" i="1" s="1"/>
  <c r="A145" i="1"/>
  <c r="A146" i="1" s="1"/>
  <c r="A147" i="1" s="1"/>
  <c r="A148" i="1" s="1"/>
  <c r="A149" i="1" s="1"/>
  <c r="E67" i="1"/>
  <c r="D68" i="1"/>
  <c r="N120" i="1"/>
  <c r="A120" i="1" s="1"/>
  <c r="O121" i="1"/>
  <c r="G67" i="1" l="1"/>
  <c r="D61" i="1" s="1"/>
  <c r="F62" i="1" s="1"/>
  <c r="I63" i="1"/>
  <c r="C65" i="1" s="1"/>
  <c r="N121" i="1"/>
  <c r="A121" i="1" s="1"/>
  <c r="O122" i="1"/>
  <c r="D62" i="1" l="1"/>
  <c r="N122" i="1"/>
  <c r="A122" i="1" s="1"/>
  <c r="O123" i="1"/>
  <c r="N123" i="1" l="1"/>
  <c r="A123" i="1" s="1"/>
  <c r="O124" i="1"/>
  <c r="N124" i="1" l="1"/>
  <c r="A124" i="1" s="1"/>
  <c r="O125" i="1"/>
  <c r="N125" i="1" l="1"/>
  <c r="A125" i="1" s="1"/>
  <c r="O126" i="1"/>
  <c r="N126" i="1" s="1"/>
  <c r="A126" i="1" s="1"/>
</calcChain>
</file>

<file path=xl/comments1.xml><?xml version="1.0" encoding="utf-8"?>
<comments xmlns="http://schemas.openxmlformats.org/spreadsheetml/2006/main">
  <authors>
    <author>SACHIN</author>
  </authors>
  <commentList>
    <comment ref="H97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<sst xmlns="http://schemas.openxmlformats.org/spreadsheetml/2006/main" count="284" uniqueCount="222">
  <si>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</si>
  <si>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</si>
  <si>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</si>
  <si>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</si>
  <si>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</si>
  <si>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</si>
  <si>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</si>
  <si>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</si>
  <si>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</si>
  <si>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</si>
  <si>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</si>
  <si>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</si>
  <si>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</si>
  <si>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</si>
  <si>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</si>
  <si>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</si>
  <si>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</si>
  <si>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</si>
  <si>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</si>
  <si>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</si>
  <si>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</si>
  <si>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</si>
  <si>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</si>
  <si>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</si>
  <si>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</si>
  <si>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</si>
  <si>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</si>
  <si>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</si>
  <si>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</si>
  <si>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</si>
  <si>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</si>
  <si>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</si>
  <si>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</si>
  <si>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</si>
  <si>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</si>
  <si>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</si>
  <si>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</si>
  <si>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</si>
  <si>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</si>
  <si>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</si>
  <si>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</si>
  <si>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</si>
  <si>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</si>
  <si>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</si>
  <si>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</si>
  <si>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</si>
  <si>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</si>
  <si>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</si>
  <si>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</si>
  <si>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</si>
  <si>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</si>
  <si>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</si>
  <si>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</si>
  <si>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</si>
  <si>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</si>
  <si>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</si>
  <si>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</si>
  <si>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</si>
  <si>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</si>
  <si>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</si>
  <si>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</si>
  <si>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</si>
  <si>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</si>
  <si>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</si>
  <si>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</si>
  <si>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</si>
  <si>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</si>
  <si>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</si>
  <si>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</si>
  <si>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</si>
  <si>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</si>
  <si>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</si>
  <si>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</si>
  <si>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</si>
  <si>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</si>
  <si>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</si>
  <si>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</si>
  <si>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</si>
  <si>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</si>
  <si>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</si>
  <si>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</si>
  <si>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</si>
  <si>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</si>
  <si>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</si>
  <si>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</si>
  <si>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</si>
  <si>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</si>
  <si>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</si>
  <si>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</si>
  <si>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</si>
  <si>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</si>
  <si>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</si>
  <si>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</si>
  <si>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</si>
  <si>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</si>
  <si>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</si>
  <si>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</si>
  <si>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</si>
  <si>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</si>
  <si>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</si>
  <si>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</si>
  <si>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</si>
  <si>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</si>
  <si>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</si>
  <si>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</si>
  <si>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</si>
  <si>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</si>
  <si>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</si>
  <si>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</si>
  <si>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</si>
  <si>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</si>
  <si>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</si>
  <si>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</si>
  <si>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</si>
  <si>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</si>
  <si>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</si>
  <si>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</si>
  <si>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</si>
  <si>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</si>
  <si>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</si>
  <si>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</si>
  <si>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</si>
  <si>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</si>
  <si>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</si>
  <si>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</si>
  <si>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</si>
  <si>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</si>
  <si>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</si>
  <si>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</si>
  <si>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</si>
  <si>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</si>
  <si>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</si>
  <si>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</si>
  <si>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</si>
  <si>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</si>
  <si>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</si>
  <si>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</si>
  <si>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</si>
  <si>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</si>
  <si>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</si>
  <si>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</si>
  <si>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</si>
  <si>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</si>
  <si>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</si>
  <si>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</si>
  <si>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</si>
  <si>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</si>
  <si>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</si>
  <si>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</si>
  <si>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</si>
  <si>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</si>
  <si>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</si>
  <si>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</si>
  <si>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</si>
  <si>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</si>
  <si>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</si>
  <si>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1st to 7th, 9th &amp; 10th Floor for Residential</t>
  </si>
  <si>
    <t>1BHK</t>
  </si>
  <si>
    <t>2BHK</t>
  </si>
  <si>
    <t>8th Floor (Part Refuge Area)</t>
  </si>
  <si>
    <t>Refuge Area</t>
  </si>
  <si>
    <t>11th Floor</t>
  </si>
  <si>
    <t>Axis Sanpada</t>
  </si>
  <si>
    <t>M/s. Prishti Venture Private Limited</t>
  </si>
  <si>
    <t>Hemant - 9920052057</t>
  </si>
  <si>
    <t>Vihari</t>
  </si>
  <si>
    <t>Village</t>
  </si>
  <si>
    <t>Khalapur</t>
  </si>
  <si>
    <t>Raigad</t>
  </si>
  <si>
    <t>CTS No</t>
  </si>
  <si>
    <t>1 Building</t>
  </si>
  <si>
    <t>Khopoli Municipal Council (KMC)</t>
  </si>
  <si>
    <t>As per RERA - 31/08/2026</t>
  </si>
  <si>
    <t>Avyukta</t>
  </si>
  <si>
    <t>Internal road</t>
  </si>
  <si>
    <t>Khopoli east</t>
  </si>
  <si>
    <t>Zenith School Ground</t>
  </si>
  <si>
    <t>1.6 Km from Khopoli Railway Station</t>
  </si>
  <si>
    <t>Open land</t>
  </si>
  <si>
    <t>Aniruddha Building</t>
  </si>
  <si>
    <t>Development &amp; Infra Charges</t>
  </si>
  <si>
    <t>Advance Building Maintenance Charges</t>
  </si>
  <si>
    <t>Fedration Charges</t>
  </si>
  <si>
    <t>Society Conveyance</t>
  </si>
  <si>
    <t>https://www.google.co.in/maps/place/18%C2%B047'37.1%22N+73%C2%B021'13.1%22E/@18.793636,73.3538007,186m/data=!3m1!1e3!4m5!3m4!1s0x0:0xefdc4c5c0228fdfe!8m2!3d18.7936459!4d73.3536255?hl=en&amp;authuser=0</t>
  </si>
  <si>
    <t>2719 + 2723 + 2749, Plot no.19</t>
  </si>
  <si>
    <t>Club Membership</t>
  </si>
  <si>
    <t>Adv. Club Maintiance Charges</t>
  </si>
  <si>
    <t>Krishna Valley - Phase 3 = P52000031990</t>
  </si>
  <si>
    <t>RERA Name &amp; No.</t>
  </si>
  <si>
    <t xml:space="preserve">Builder Saleable area 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</si>
  <si>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</si>
  <si>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</si>
  <si>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Latitude &amp; Longitude</t>
  </si>
  <si>
    <t>18.7936459,73.3536255</t>
  </si>
  <si>
    <t>https://maps.app.goo.gl/SoEEstAMyCZJQgKb7</t>
  </si>
  <si>
    <t>Vitrified tiles flooring, Kitchen Platform, Decorative Entrance</t>
  </si>
  <si>
    <t>Avyukta = G/St + 1st to 12th Floor</t>
  </si>
  <si>
    <t>Construction work is in process at the time of visit (Labour found).</t>
  </si>
  <si>
    <t>Pooja</t>
  </si>
  <si>
    <t>Nitesh patil</t>
  </si>
  <si>
    <t>On site we met Ms. Sanika : 8655824058.</t>
  </si>
  <si>
    <t xml:space="preserve">Commencement Certificate No.
Valid Up to: </t>
  </si>
  <si>
    <t>Gr/St + 1st to 12th Floor</t>
  </si>
  <si>
    <t>4581.95 Sq.M</t>
  </si>
  <si>
    <t>From CC</t>
  </si>
  <si>
    <t>Ground Floor for Society Office, Drivers Room &amp; Parking</t>
  </si>
  <si>
    <t>Flat No. (Sale Plan)</t>
  </si>
  <si>
    <t>Carpet Area</t>
  </si>
  <si>
    <t>Saleable area Loading :</t>
  </si>
  <si>
    <t>1st to 7th, 9th to 11th &amp; 12th Floor for Residential</t>
  </si>
  <si>
    <t>AP Area</t>
  </si>
  <si>
    <t>We have updated latest approved floor plans &amp; CC (On 27/09/2025).</t>
  </si>
  <si>
    <t>We considered Gross carpet area = Net carpet + A.P. Area.</t>
  </si>
  <si>
    <r>
      <t xml:space="preserve">Flat No.
</t>
    </r>
    <r>
      <rPr>
        <b/>
        <sz val="11"/>
        <rFont val="Times New Roman"/>
        <family val="1"/>
      </rPr>
      <t>(Approved Plan)</t>
    </r>
  </si>
  <si>
    <t>Flats</t>
  </si>
  <si>
    <t>Flats - 71</t>
  </si>
  <si>
    <t>Please provide layout plan (dtd.15/01/2023).</t>
  </si>
  <si>
    <t>KMC/TP/3954</t>
  </si>
  <si>
    <t>KMC/TP/BP/3954</t>
  </si>
  <si>
    <t>KMC/TP/1927</t>
  </si>
  <si>
    <t>Krishna Valley - Phase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</si>
</sst>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0" fontId="24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0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7" fillId="0" borderId="9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NumberFormat="1" applyFont="1" applyBorder="1" applyProtection="1">
      <protection hidden="1"/>
    </xf>
    <xf numFmtId="0" fontId="7" fillId="0" borderId="7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8" fillId="0" borderId="10" xfId="0" applyFont="1" applyFill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3" fillId="0" borderId="0" xfId="1" applyFont="1"/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24" fillId="0" borderId="0" xfId="8"/>
    <xf numFmtId="2" fontId="7" fillId="0" borderId="0" xfId="1" applyNumberFormat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16" fillId="0" borderId="0" xfId="1" applyNumberFormat="1" applyFont="1"/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9" fontId="13" fillId="0" borderId="22" xfId="9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vertical="top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7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17" fillId="0" borderId="5" xfId="0" applyNumberFormat="1" applyFont="1" applyFill="1" applyBorder="1" applyAlignment="1" applyProtection="1">
      <alignment vertical="top" wrapText="1"/>
      <protection locked="0"/>
    </xf>
    <xf numFmtId="1" fontId="17" fillId="0" borderId="17" xfId="0" applyNumberFormat="1" applyFont="1" applyFill="1" applyBorder="1" applyAlignment="1" applyProtection="1">
      <alignment vertical="top" wrapText="1"/>
      <protection locked="0"/>
    </xf>
    <xf numFmtId="1" fontId="17" fillId="0" borderId="6" xfId="0" applyNumberFormat="1" applyFont="1" applyFill="1" applyBorder="1" applyAlignment="1" applyProtection="1">
      <alignment vertical="top" wrapText="1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3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8" fillId="0" borderId="5" xfId="0" applyNumberFormat="1" applyFont="1" applyFill="1" applyBorder="1" applyAlignment="1" applyProtection="1">
      <alignment horizontal="center" vertical="top" wrapText="1"/>
      <protection locked="0"/>
    </xf>
    <xf numFmtId="1" fontId="8" fillId="0" borderId="17" xfId="0" applyNumberFormat="1" applyFont="1" applyFill="1" applyBorder="1" applyAlignment="1" applyProtection="1">
      <alignment horizontal="center" vertical="top" wrapText="1"/>
      <protection locked="0"/>
    </xf>
    <xf numFmtId="1" fontId="8" fillId="0" borderId="6" xfId="0" applyNumberFormat="1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5" xfId="8" applyBorder="1" applyAlignment="1" applyProtection="1">
      <alignment horizontal="left" vertical="center"/>
      <protection locked="0"/>
    </xf>
    <xf numFmtId="0" fontId="7" fillId="0" borderId="17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center" vertical="center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3" fillId="0" borderId="22" xfId="1" applyNumberFormat="1" applyFont="1" applyBorder="1" applyAlignment="1" applyProtection="1">
      <alignment horizontal="center" vertical="top" wrapText="1"/>
      <protection locked="0"/>
    </xf>
    <xf numFmtId="3" fontId="12" fillId="2" borderId="1" xfId="1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1" fontId="13" fillId="0" borderId="15" xfId="1" applyNumberFormat="1" applyFont="1" applyBorder="1" applyAlignment="1" applyProtection="1">
      <alignment horizontal="center" vertical="top" wrapText="1"/>
      <protection locked="0"/>
    </xf>
    <xf numFmtId="1" fontId="13" fillId="0" borderId="21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7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17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1" fontId="28" fillId="0" borderId="2" xfId="1" applyNumberFormat="1" applyFont="1" applyBorder="1" applyAlignment="1" applyProtection="1">
      <alignment horizontal="center" vertical="top" wrapText="1"/>
      <protection locked="0"/>
    </xf>
    <xf numFmtId="1" fontId="28" fillId="0" borderId="22" xfId="1" applyNumberFormat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 applyProtection="1">
      <alignment horizontal="left" vertical="top" wrapText="1"/>
      <protection locked="0"/>
    </xf>
    <xf numFmtId="0" fontId="7" fillId="2" borderId="17" xfId="1" applyFont="1" applyFill="1" applyBorder="1" applyAlignment="1" applyProtection="1">
      <alignment horizontal="left" vertical="top" wrapText="1"/>
      <protection locked="0"/>
    </xf>
    <xf numFmtId="0" fontId="7" fillId="2" borderId="6" xfId="1" applyFont="1" applyFill="1" applyBorder="1" applyAlignment="1" applyProtection="1">
      <alignment horizontal="left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1" applyFont="1" applyFill="1" applyBorder="1" applyAlignment="1" applyProtection="1">
      <alignment horizontal="center" vertical="top"/>
      <protection locked="0"/>
    </xf>
    <xf numFmtId="1" fontId="13" fillId="0" borderId="5" xfId="1" applyNumberFormat="1" applyFont="1" applyBorder="1" applyAlignment="1" applyProtection="1">
      <alignment horizontal="center" vertical="center" wrapText="1"/>
      <protection locked="0"/>
    </xf>
    <xf numFmtId="1" fontId="13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6" xfId="1" applyNumberFormat="1" applyFont="1" applyBorder="1" applyAlignment="1" applyProtection="1">
      <alignment horizontal="center" vertical="center" wrapText="1"/>
      <protection locked="0"/>
    </xf>
    <xf numFmtId="1" fontId="12" fillId="0" borderId="5" xfId="1" applyNumberFormat="1" applyFont="1" applyBorder="1" applyAlignment="1" applyProtection="1">
      <alignment horizontal="center" vertical="center" wrapText="1"/>
      <protection locked="0"/>
    </xf>
    <xf numFmtId="1" fontId="12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165</xdr:row>
      <xdr:rowOff>57150</xdr:rowOff>
    </xdr:from>
    <xdr:to>
      <xdr:col>7</xdr:col>
      <xdr:colOff>787933</xdr:colOff>
      <xdr:row>205</xdr:row>
      <xdr:rowOff>72966</xdr:rowOff>
    </xdr:to>
    <xdr:grpSp>
      <xdr:nvGrpSpPr>
        <xdr:cNvPr id="21" name="Group 20"/>
        <xdr:cNvGrpSpPr/>
      </xdr:nvGrpSpPr>
      <xdr:grpSpPr>
        <a:xfrm>
          <a:off x="95250" y="29610050"/>
          <a:ext cx="6668033" cy="7883466"/>
          <a:chOff x="95250" y="30372050"/>
          <a:chExt cx="6668033" cy="7883466"/>
        </a:xfrm>
      </xdr:grpSpPr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670" y="303720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1813" y="36455516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4378" y="34547694"/>
            <a:ext cx="215768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72685" y="36455516"/>
            <a:ext cx="215768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0" y="32639872"/>
            <a:ext cx="215768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4378" y="32639872"/>
            <a:ext cx="215768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73506" y="34547694"/>
            <a:ext cx="208977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73507" y="32639872"/>
            <a:ext cx="208977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557" y="36455516"/>
            <a:ext cx="215768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0" y="34547694"/>
            <a:ext cx="215768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3230" y="3037205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93950" y="303720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158750</xdr:colOff>
      <xdr:row>208</xdr:row>
      <xdr:rowOff>101600</xdr:rowOff>
    </xdr:from>
    <xdr:to>
      <xdr:col>7</xdr:col>
      <xdr:colOff>23500</xdr:colOff>
      <xdr:row>247</xdr:row>
      <xdr:rowOff>85817</xdr:rowOff>
    </xdr:to>
    <xdr:grpSp>
      <xdr:nvGrpSpPr>
        <xdr:cNvPr id="4" name="Group 3"/>
        <xdr:cNvGrpSpPr/>
      </xdr:nvGrpSpPr>
      <xdr:grpSpPr>
        <a:xfrm>
          <a:off x="958850" y="38112700"/>
          <a:ext cx="5040000" cy="7661367"/>
          <a:chOff x="958850" y="38112700"/>
          <a:chExt cx="5040000" cy="7661367"/>
        </a:xfrm>
      </xdr:grpSpPr>
      <xdr:pic>
        <xdr:nvPicPr>
          <xdr:cNvPr id="22" name="Picture 21"/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58850" y="38112700"/>
            <a:ext cx="5040000" cy="412133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327150" y="42346322"/>
            <a:ext cx="4320000" cy="342774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139700</xdr:colOff>
      <xdr:row>210</xdr:row>
      <xdr:rowOff>6350</xdr:rowOff>
    </xdr:from>
    <xdr:to>
      <xdr:col>12</xdr:col>
      <xdr:colOff>716856</xdr:colOff>
      <xdr:row>228</xdr:row>
      <xdr:rowOff>63050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04200" y="38411150"/>
          <a:ext cx="285045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maps.app.goo.gl/SoEEstAMyCZJQgKb7" TargetMode="External"/><Relationship Id="rId1" Type="http://schemas.openxmlformats.org/officeDocument/2006/relationships/hyperlink" Target="https://www.google.co.in/maps/place/18%C2%B047'37.1%22N+73%C2%B021'13.1%22E/@18.793636,73.3538007,186m/data=!3m1!1e3!4m5!3m4!1s0x0:0xefdc4c5c0228fdfe!8m2!3d18.7936459!4d73.3536255?hl=en&amp;authuser=0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208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0" customWidth="1"/>
    <col min="2" max="2" width="12" style="10" customWidth="1"/>
    <col min="3" max="3" width="12.7265625" style="10" customWidth="1"/>
    <col min="4" max="4" width="14.1796875" style="10" customWidth="1"/>
    <col min="5" max="7" width="11.7265625" style="10" customWidth="1"/>
    <col min="8" max="8" width="12.453125" style="10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72656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31" t="s">
        <v>191</v>
      </c>
      <c r="B1" s="131"/>
      <c r="C1" s="131"/>
      <c r="D1" s="131"/>
      <c r="E1" s="131"/>
      <c r="F1" s="131"/>
      <c r="G1" s="131"/>
      <c r="H1" s="131"/>
    </row>
    <row r="2" spans="1:8" ht="16.5" customHeight="1" x14ac:dyDescent="0.35">
      <c r="A2" s="132" t="s">
        <v>0</v>
      </c>
      <c r="B2" s="132"/>
      <c r="C2" s="132"/>
      <c r="D2" s="132"/>
      <c r="E2" s="132"/>
      <c r="F2" s="132"/>
      <c r="G2" s="132"/>
      <c r="H2" s="132"/>
    </row>
    <row r="3" spans="1:8" x14ac:dyDescent="0.35">
      <c r="A3" s="96" t="s">
        <v>1</v>
      </c>
      <c r="B3" s="96"/>
      <c r="C3" s="96"/>
      <c r="D3" s="96"/>
      <c r="E3" s="133" t="str">
        <f ca="1">TEXT(TODAY(),"DD/MM/YYYY")</f>
        <v>03/10/2025</v>
      </c>
      <c r="F3" s="133"/>
      <c r="G3" s="133"/>
      <c r="H3" s="133"/>
    </row>
    <row r="4" spans="1:8" ht="15" customHeight="1" x14ac:dyDescent="0.35">
      <c r="A4" s="96" t="s">
        <v>2</v>
      </c>
      <c r="B4" s="96"/>
      <c r="C4" s="96"/>
      <c r="D4" s="96"/>
      <c r="E4" s="135" t="s">
        <v>162</v>
      </c>
      <c r="F4" s="135"/>
      <c r="G4" s="135"/>
      <c r="H4" s="135"/>
    </row>
    <row r="5" spans="1:8" x14ac:dyDescent="0.35">
      <c r="A5" s="96" t="s">
        <v>3</v>
      </c>
      <c r="B5" s="96"/>
      <c r="C5" s="96"/>
      <c r="D5" s="96"/>
      <c r="E5" s="127">
        <v>45924</v>
      </c>
      <c r="F5" s="127"/>
      <c r="G5" s="127"/>
      <c r="H5" s="127"/>
    </row>
    <row r="6" spans="1:8" ht="16.5" customHeight="1" x14ac:dyDescent="0.35">
      <c r="A6" s="96" t="s">
        <v>4</v>
      </c>
      <c r="B6" s="96"/>
      <c r="C6" s="96"/>
      <c r="D6" s="96"/>
      <c r="E6" s="118" t="s">
        <v>163</v>
      </c>
      <c r="F6" s="118"/>
      <c r="G6" s="118"/>
      <c r="H6" s="118"/>
    </row>
    <row r="7" spans="1:8" ht="15" customHeight="1" x14ac:dyDescent="0.35">
      <c r="A7" s="96" t="s">
        <v>5</v>
      </c>
      <c r="B7" s="96"/>
      <c r="C7" s="96"/>
      <c r="D7" s="96"/>
      <c r="E7" s="118" t="str">
        <f>E6</f>
        <v>M/s. Prishti Venture Private Limited</v>
      </c>
      <c r="F7" s="118"/>
      <c r="G7" s="118"/>
      <c r="H7" s="118"/>
    </row>
    <row r="8" spans="1:8" x14ac:dyDescent="0.35">
      <c r="A8" s="96" t="s">
        <v>6</v>
      </c>
      <c r="B8" s="96"/>
      <c r="C8" s="96"/>
      <c r="D8" s="96"/>
      <c r="E8" s="134" t="s">
        <v>221</v>
      </c>
      <c r="F8" s="134"/>
      <c r="G8" s="134"/>
      <c r="H8" s="134"/>
    </row>
    <row r="9" spans="1:8" x14ac:dyDescent="0.35">
      <c r="A9" s="96" t="s">
        <v>125</v>
      </c>
      <c r="B9" s="96"/>
      <c r="C9" s="96"/>
      <c r="D9" s="96"/>
      <c r="E9" s="96" t="s">
        <v>164</v>
      </c>
      <c r="F9" s="96"/>
      <c r="G9" s="96"/>
      <c r="H9" s="96"/>
    </row>
    <row r="10" spans="1:8" x14ac:dyDescent="0.35">
      <c r="A10" s="126" t="s">
        <v>7</v>
      </c>
      <c r="B10" s="126"/>
      <c r="C10" s="126"/>
      <c r="D10" s="126"/>
      <c r="E10" s="126" t="s">
        <v>173</v>
      </c>
      <c r="F10" s="126"/>
      <c r="G10" s="126"/>
      <c r="H10" s="126"/>
    </row>
    <row r="11" spans="1:8" ht="32.25" customHeight="1" x14ac:dyDescent="0.35">
      <c r="A11" s="96" t="s">
        <v>8</v>
      </c>
      <c r="B11" s="96"/>
      <c r="C11" s="96"/>
      <c r="D11" s="96"/>
      <c r="E11" s="128" t="s">
        <v>108</v>
      </c>
      <c r="F11" s="128"/>
      <c r="G11" s="128"/>
      <c r="H11" s="128"/>
    </row>
    <row r="12" spans="1:8" x14ac:dyDescent="0.35">
      <c r="A12" s="96" t="s">
        <v>189</v>
      </c>
      <c r="B12" s="96"/>
      <c r="C12" s="96"/>
      <c r="D12" s="96"/>
      <c r="E12" s="128" t="s">
        <v>188</v>
      </c>
      <c r="F12" s="126"/>
      <c r="G12" s="126"/>
      <c r="H12" s="126"/>
    </row>
    <row r="13" spans="1:8" ht="48" customHeight="1" x14ac:dyDescent="0.35">
      <c r="A13" s="118" t="s">
        <v>9</v>
      </c>
      <c r="B13" s="118"/>
      <c r="C13" s="118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Krishna Valley - Phase III, CTS No.2719 + 2723 + 2749, Plot no.19, near Zenith School Ground, Internal road, Vihari, Khopoli east, Khalapur, Raigad - 410203.</v>
      </c>
      <c r="D13" s="118"/>
      <c r="E13" s="118"/>
      <c r="F13" s="118"/>
      <c r="G13" s="118"/>
      <c r="H13" s="118"/>
    </row>
    <row r="14" spans="1:8" x14ac:dyDescent="0.35">
      <c r="A14" s="104" t="s">
        <v>169</v>
      </c>
      <c r="B14" s="104"/>
      <c r="C14" s="104" t="s">
        <v>185</v>
      </c>
      <c r="D14" s="104"/>
      <c r="E14" s="104"/>
      <c r="F14" s="104"/>
      <c r="G14" s="104"/>
      <c r="H14" s="104"/>
    </row>
    <row r="15" spans="1:8" ht="15.75" customHeight="1" x14ac:dyDescent="0.35">
      <c r="A15" s="129" t="s">
        <v>10</v>
      </c>
      <c r="B15" s="129"/>
      <c r="C15" s="130" t="s">
        <v>174</v>
      </c>
      <c r="D15" s="130"/>
      <c r="E15" s="129" t="s">
        <v>166</v>
      </c>
      <c r="F15" s="129"/>
      <c r="G15" s="104" t="s">
        <v>165</v>
      </c>
      <c r="H15" s="104"/>
    </row>
    <row r="16" spans="1:8" x14ac:dyDescent="0.35">
      <c r="A16" s="95" t="s">
        <v>12</v>
      </c>
      <c r="B16" s="95"/>
      <c r="C16" s="104" t="s">
        <v>175</v>
      </c>
      <c r="D16" s="104"/>
      <c r="E16" s="129" t="s">
        <v>11</v>
      </c>
      <c r="F16" s="129"/>
      <c r="G16" s="104" t="s">
        <v>168</v>
      </c>
      <c r="H16" s="104"/>
    </row>
    <row r="17" spans="1:8" x14ac:dyDescent="0.35">
      <c r="A17" s="95" t="s">
        <v>76</v>
      </c>
      <c r="B17" s="95"/>
      <c r="C17" s="104" t="s">
        <v>167</v>
      </c>
      <c r="D17" s="104"/>
      <c r="E17" s="129" t="s">
        <v>13</v>
      </c>
      <c r="F17" s="129"/>
      <c r="G17" s="104">
        <v>410203</v>
      </c>
      <c r="H17" s="104"/>
    </row>
    <row r="18" spans="1:8" ht="32.25" customHeight="1" x14ac:dyDescent="0.35">
      <c r="A18" s="95" t="s">
        <v>126</v>
      </c>
      <c r="B18" s="95"/>
      <c r="C18" s="136" t="s">
        <v>176</v>
      </c>
      <c r="D18" s="136"/>
      <c r="E18" s="129" t="s">
        <v>14</v>
      </c>
      <c r="F18" s="129"/>
      <c r="G18" s="104" t="s">
        <v>177</v>
      </c>
      <c r="H18" s="104"/>
    </row>
    <row r="19" spans="1:8" ht="15" customHeight="1" x14ac:dyDescent="0.35">
      <c r="A19" s="129" t="s">
        <v>79</v>
      </c>
      <c r="B19" s="129"/>
      <c r="C19" s="129"/>
      <c r="D19" s="129"/>
      <c r="E19" s="130" t="s">
        <v>15</v>
      </c>
      <c r="F19" s="130"/>
      <c r="G19" s="130"/>
      <c r="H19" s="130"/>
    </row>
    <row r="20" spans="1:8" ht="18.75" customHeight="1" x14ac:dyDescent="0.35">
      <c r="A20" s="129"/>
      <c r="B20" s="129"/>
      <c r="C20" s="129"/>
      <c r="D20" s="129"/>
      <c r="E20" s="130"/>
      <c r="F20" s="130"/>
      <c r="G20" s="130"/>
      <c r="H20" s="130"/>
    </row>
    <row r="21" spans="1:8" ht="15" customHeight="1" x14ac:dyDescent="0.35">
      <c r="A21" s="129" t="s">
        <v>16</v>
      </c>
      <c r="B21" s="129"/>
      <c r="C21" s="129"/>
      <c r="D21" s="129"/>
      <c r="E21" s="104" t="s">
        <v>17</v>
      </c>
      <c r="F21" s="104"/>
      <c r="G21" s="104"/>
      <c r="H21" s="104"/>
    </row>
    <row r="22" spans="1:8" ht="15" customHeight="1" x14ac:dyDescent="0.35">
      <c r="A22" s="95" t="s">
        <v>18</v>
      </c>
      <c r="B22" s="95"/>
      <c r="C22" s="95"/>
      <c r="D22" s="95"/>
      <c r="E22" s="104" t="str">
        <f>IF(AND(G16="Mumbai"),"Upper Class","Middle Class")</f>
        <v>Middle Class</v>
      </c>
      <c r="F22" s="104"/>
      <c r="G22" s="104"/>
      <c r="H22" s="104"/>
    </row>
    <row r="23" spans="1:8" x14ac:dyDescent="0.35">
      <c r="A23" s="95" t="s">
        <v>19</v>
      </c>
      <c r="B23" s="95"/>
      <c r="C23" s="95"/>
      <c r="D23" s="95"/>
      <c r="E23" s="104" t="s">
        <v>20</v>
      </c>
      <c r="F23" s="104"/>
      <c r="G23" s="104"/>
      <c r="H23" s="104"/>
    </row>
    <row r="24" spans="1:8" ht="15.75" customHeight="1" x14ac:dyDescent="0.35">
      <c r="A24" s="95" t="s">
        <v>21</v>
      </c>
      <c r="B24" s="95"/>
      <c r="C24" s="95"/>
      <c r="D24" s="95"/>
      <c r="E24" s="104" t="str">
        <f>IF(AND(G16="Mumbai"),"Developed","Developing")</f>
        <v>Developing</v>
      </c>
      <c r="F24" s="104"/>
      <c r="G24" s="104"/>
      <c r="H24" s="104"/>
    </row>
    <row r="25" spans="1:8" x14ac:dyDescent="0.35">
      <c r="A25" s="95" t="s">
        <v>22</v>
      </c>
      <c r="B25" s="95"/>
      <c r="C25" s="95"/>
      <c r="D25" s="95"/>
      <c r="E25" s="104" t="s">
        <v>23</v>
      </c>
      <c r="F25" s="104"/>
      <c r="G25" s="104"/>
      <c r="H25" s="104"/>
    </row>
    <row r="26" spans="1:8" x14ac:dyDescent="0.35">
      <c r="A26" s="95" t="s">
        <v>86</v>
      </c>
      <c r="B26" s="95"/>
      <c r="C26" s="95"/>
      <c r="D26" s="95"/>
      <c r="E26" s="104" t="s">
        <v>87</v>
      </c>
      <c r="F26" s="104"/>
      <c r="G26" s="104"/>
      <c r="H26" s="104"/>
    </row>
    <row r="27" spans="1:8" ht="15" customHeight="1" x14ac:dyDescent="0.35">
      <c r="A27" s="129" t="s">
        <v>32</v>
      </c>
      <c r="B27" s="129"/>
      <c r="C27" s="129"/>
      <c r="D27" s="129"/>
      <c r="E27" s="135" t="str">
        <f>IF(ISNUMBER(SEARCH("Shop",D53)),"Residential + Commercial",IF(ISNUMBER(SEARCH("Office",D53)),"Residential + Commercial",IF(SEARCH("Flats",D53),"Residential","")))</f>
        <v>Residential</v>
      </c>
      <c r="F27" s="135"/>
      <c r="G27" s="135"/>
      <c r="H27" s="135"/>
    </row>
    <row r="28" spans="1:8" x14ac:dyDescent="0.35">
      <c r="A28" s="129" t="s">
        <v>98</v>
      </c>
      <c r="B28" s="129"/>
      <c r="C28" s="129"/>
      <c r="D28" s="129"/>
      <c r="E28" s="129" t="s">
        <v>33</v>
      </c>
      <c r="F28" s="129"/>
      <c r="G28" s="129"/>
      <c r="H28" s="129"/>
    </row>
    <row r="29" spans="1:8" s="6" customFormat="1" x14ac:dyDescent="0.35">
      <c r="A29" s="141" t="s">
        <v>99</v>
      </c>
      <c r="B29" s="141"/>
      <c r="C29" s="121" t="s">
        <v>28</v>
      </c>
      <c r="D29" s="121"/>
      <c r="E29" s="121"/>
      <c r="F29" s="121" t="s">
        <v>30</v>
      </c>
      <c r="G29" s="121"/>
      <c r="H29" s="121"/>
    </row>
    <row r="30" spans="1:8" s="6" customFormat="1" x14ac:dyDescent="0.35">
      <c r="A30" s="140" t="s">
        <v>24</v>
      </c>
      <c r="B30" s="140" t="s">
        <v>29</v>
      </c>
      <c r="C30" s="138" t="s">
        <v>29</v>
      </c>
      <c r="D30" s="138"/>
      <c r="E30" s="138"/>
      <c r="F30" s="138" t="s">
        <v>178</v>
      </c>
      <c r="G30" s="138"/>
      <c r="H30" s="138"/>
    </row>
    <row r="31" spans="1:8" x14ac:dyDescent="0.35">
      <c r="A31" s="140" t="s">
        <v>25</v>
      </c>
      <c r="B31" s="140" t="s">
        <v>29</v>
      </c>
      <c r="C31" s="138" t="s">
        <v>29</v>
      </c>
      <c r="D31" s="138"/>
      <c r="E31" s="138"/>
      <c r="F31" s="138" t="s">
        <v>176</v>
      </c>
      <c r="G31" s="138"/>
      <c r="H31" s="138"/>
    </row>
    <row r="32" spans="1:8" s="6" customFormat="1" x14ac:dyDescent="0.35">
      <c r="A32" s="140" t="s">
        <v>27</v>
      </c>
      <c r="B32" s="140" t="s">
        <v>29</v>
      </c>
      <c r="C32" s="138" t="s">
        <v>29</v>
      </c>
      <c r="D32" s="138"/>
      <c r="E32" s="138"/>
      <c r="F32" s="138" t="s">
        <v>178</v>
      </c>
      <c r="G32" s="138"/>
      <c r="H32" s="138"/>
    </row>
    <row r="33" spans="1:10" x14ac:dyDescent="0.35">
      <c r="A33" s="140" t="s">
        <v>26</v>
      </c>
      <c r="B33" s="140" t="s">
        <v>29</v>
      </c>
      <c r="C33" s="138" t="s">
        <v>29</v>
      </c>
      <c r="D33" s="138"/>
      <c r="E33" s="138"/>
      <c r="F33" s="138" t="s">
        <v>179</v>
      </c>
      <c r="G33" s="138"/>
      <c r="H33" s="138"/>
    </row>
    <row r="34" spans="1:10" x14ac:dyDescent="0.35">
      <c r="A34" s="95" t="s">
        <v>31</v>
      </c>
      <c r="B34" s="95"/>
      <c r="C34" s="95"/>
      <c r="D34" s="95"/>
      <c r="E34" s="95"/>
      <c r="F34" s="95"/>
      <c r="G34" s="95"/>
      <c r="H34" s="95"/>
    </row>
    <row r="35" spans="1:10" ht="15.75" customHeight="1" x14ac:dyDescent="0.35">
      <c r="A35" s="139" t="s">
        <v>193</v>
      </c>
      <c r="B35" s="139"/>
      <c r="C35" s="145" t="s">
        <v>194</v>
      </c>
      <c r="D35" s="143"/>
      <c r="E35" s="143"/>
      <c r="F35" s="143"/>
      <c r="G35" s="143"/>
      <c r="H35" s="144"/>
      <c r="I35" s="73" t="s">
        <v>184</v>
      </c>
    </row>
    <row r="36" spans="1:10" ht="15.75" customHeight="1" x14ac:dyDescent="0.35">
      <c r="A36" s="139" t="s">
        <v>192</v>
      </c>
      <c r="B36" s="139"/>
      <c r="C36" s="142" t="s">
        <v>195</v>
      </c>
      <c r="D36" s="143"/>
      <c r="E36" s="143"/>
      <c r="F36" s="143"/>
      <c r="G36" s="143"/>
      <c r="H36" s="144"/>
      <c r="I36" s="73"/>
    </row>
    <row r="37" spans="1:10" x14ac:dyDescent="0.35">
      <c r="A37" s="103" t="s">
        <v>34</v>
      </c>
      <c r="B37" s="103"/>
      <c r="C37" s="103"/>
      <c r="D37" s="103"/>
      <c r="E37" s="103"/>
      <c r="F37" s="103"/>
      <c r="G37" s="103"/>
      <c r="H37" s="103"/>
    </row>
    <row r="38" spans="1:10" x14ac:dyDescent="0.35">
      <c r="A38" s="95" t="s">
        <v>35</v>
      </c>
      <c r="B38" s="95"/>
      <c r="C38" s="95"/>
      <c r="D38" s="95"/>
      <c r="E38" s="137">
        <v>1885</v>
      </c>
      <c r="F38" s="137"/>
      <c r="G38" s="137"/>
      <c r="H38" s="137"/>
    </row>
    <row r="39" spans="1:10" x14ac:dyDescent="0.35">
      <c r="A39" s="95" t="s">
        <v>36</v>
      </c>
      <c r="B39" s="95"/>
      <c r="C39" s="95"/>
      <c r="D39" s="95"/>
      <c r="E39" s="94">
        <v>1.22</v>
      </c>
      <c r="F39" s="94"/>
      <c r="G39" s="94"/>
      <c r="H39" s="94"/>
    </row>
    <row r="40" spans="1:10" x14ac:dyDescent="0.35">
      <c r="A40" s="95" t="s">
        <v>37</v>
      </c>
      <c r="B40" s="95"/>
      <c r="C40" s="95"/>
      <c r="D40" s="95"/>
      <c r="E40" s="94">
        <f>E42/E38-E39</f>
        <v>2.0000000000000018E-3</v>
      </c>
      <c r="F40" s="94"/>
      <c r="G40" s="94"/>
      <c r="H40" s="94"/>
    </row>
    <row r="41" spans="1:10" x14ac:dyDescent="0.35">
      <c r="A41" s="95" t="s">
        <v>38</v>
      </c>
      <c r="B41" s="95"/>
      <c r="C41" s="95"/>
      <c r="D41" s="95"/>
      <c r="E41" s="94">
        <f>E39+E40</f>
        <v>1.222</v>
      </c>
      <c r="F41" s="94"/>
      <c r="G41" s="94"/>
      <c r="H41" s="94"/>
    </row>
    <row r="42" spans="1:10" x14ac:dyDescent="0.35">
      <c r="A42" s="130" t="s">
        <v>97</v>
      </c>
      <c r="B42" s="130"/>
      <c r="C42" s="130"/>
      <c r="D42" s="130"/>
      <c r="E42" s="151">
        <v>2303.4699999999998</v>
      </c>
      <c r="F42" s="151"/>
      <c r="G42" s="151"/>
      <c r="H42" s="151"/>
      <c r="I42" s="3" t="s">
        <v>204</v>
      </c>
      <c r="J42" s="3" t="s">
        <v>205</v>
      </c>
    </row>
    <row r="43" spans="1:10" x14ac:dyDescent="0.35">
      <c r="A43" s="130" t="s">
        <v>39</v>
      </c>
      <c r="B43" s="130"/>
      <c r="C43" s="130"/>
      <c r="D43" s="130"/>
      <c r="E43" s="130" t="s">
        <v>170</v>
      </c>
      <c r="F43" s="130"/>
      <c r="G43" s="130"/>
      <c r="H43" s="130"/>
    </row>
    <row r="44" spans="1:10" x14ac:dyDescent="0.35">
      <c r="A44" s="153" t="s">
        <v>40</v>
      </c>
      <c r="B44" s="153"/>
      <c r="C44" s="153"/>
      <c r="D44" s="153"/>
      <c r="E44" s="153"/>
      <c r="F44" s="153"/>
      <c r="G44" s="153"/>
      <c r="H44" s="153"/>
    </row>
    <row r="45" spans="1:10" ht="33.75" customHeight="1" x14ac:dyDescent="0.35">
      <c r="A45" s="167" t="s">
        <v>154</v>
      </c>
      <c r="B45" s="168"/>
      <c r="C45" s="169" t="s">
        <v>171</v>
      </c>
      <c r="D45" s="170"/>
      <c r="E45" s="170"/>
      <c r="F45" s="170"/>
      <c r="G45" s="170"/>
      <c r="H45" s="171"/>
    </row>
    <row r="46" spans="1:10" x14ac:dyDescent="0.35">
      <c r="A46" s="104" t="s">
        <v>41</v>
      </c>
      <c r="B46" s="104"/>
      <c r="C46" s="92" t="s">
        <v>220</v>
      </c>
      <c r="D46" s="92"/>
      <c r="E46" s="92"/>
      <c r="F46" s="87" t="s">
        <v>42</v>
      </c>
      <c r="G46" s="93">
        <v>44432</v>
      </c>
      <c r="H46" s="93"/>
    </row>
    <row r="47" spans="1:10" x14ac:dyDescent="0.35">
      <c r="A47" s="130" t="s">
        <v>43</v>
      </c>
      <c r="B47" s="130"/>
      <c r="C47" s="92" t="s">
        <v>218</v>
      </c>
      <c r="D47" s="92"/>
      <c r="E47" s="92"/>
      <c r="F47" s="87" t="s">
        <v>42</v>
      </c>
      <c r="G47" s="93">
        <v>44972</v>
      </c>
      <c r="H47" s="93"/>
    </row>
    <row r="48" spans="1:10" s="5" customFormat="1" ht="29.5" customHeight="1" x14ac:dyDescent="0.35">
      <c r="A48" s="104" t="s">
        <v>202</v>
      </c>
      <c r="B48" s="104"/>
      <c r="C48" s="92" t="s">
        <v>219</v>
      </c>
      <c r="D48" s="109"/>
      <c r="E48" s="109"/>
      <c r="F48" s="88" t="s">
        <v>42</v>
      </c>
      <c r="G48" s="93">
        <v>44972</v>
      </c>
      <c r="H48" s="93"/>
    </row>
    <row r="49" spans="1:14" s="5" customFormat="1" ht="19" customHeight="1" x14ac:dyDescent="0.35">
      <c r="A49" s="104"/>
      <c r="B49" s="104"/>
      <c r="C49" s="184" t="s">
        <v>203</v>
      </c>
      <c r="D49" s="185"/>
      <c r="E49" s="185"/>
      <c r="F49" s="185"/>
      <c r="G49" s="185"/>
      <c r="H49" s="186"/>
    </row>
    <row r="50" spans="1:14" x14ac:dyDescent="0.35">
      <c r="A50" s="159" t="s">
        <v>44</v>
      </c>
      <c r="B50" s="159"/>
      <c r="C50" s="172" t="s">
        <v>109</v>
      </c>
      <c r="D50" s="173"/>
      <c r="E50" s="173" t="s">
        <v>45</v>
      </c>
      <c r="F50" s="63" t="s">
        <v>42</v>
      </c>
      <c r="G50" s="183" t="s">
        <v>29</v>
      </c>
      <c r="H50" s="183"/>
    </row>
    <row r="51" spans="1:14" x14ac:dyDescent="0.35">
      <c r="A51" s="174" t="s">
        <v>47</v>
      </c>
      <c r="B51" s="174"/>
      <c r="C51" s="174"/>
      <c r="D51" s="174"/>
      <c r="E51" s="174"/>
      <c r="F51" s="174"/>
      <c r="G51" s="174"/>
      <c r="H51" s="174"/>
    </row>
    <row r="52" spans="1:14" x14ac:dyDescent="0.35">
      <c r="A52" s="129" t="s">
        <v>96</v>
      </c>
      <c r="B52" s="129"/>
      <c r="C52" s="129"/>
      <c r="D52" s="95">
        <f>E42</f>
        <v>2303.4699999999998</v>
      </c>
      <c r="E52" s="95"/>
      <c r="F52" s="95"/>
      <c r="G52" s="95"/>
      <c r="H52" s="95"/>
      <c r="I52" s="86">
        <v>4581.95</v>
      </c>
    </row>
    <row r="53" spans="1:14" x14ac:dyDescent="0.35">
      <c r="A53" s="104" t="s">
        <v>48</v>
      </c>
      <c r="B53" s="130"/>
      <c r="C53" s="130"/>
      <c r="D53" s="182" t="s">
        <v>216</v>
      </c>
      <c r="E53" s="182"/>
      <c r="F53" s="182"/>
      <c r="G53" s="182"/>
      <c r="H53" s="182"/>
      <c r="I53" s="38"/>
    </row>
    <row r="54" spans="1:14" ht="15.75" customHeight="1" x14ac:dyDescent="0.35">
      <c r="A54" s="188" t="s">
        <v>49</v>
      </c>
      <c r="B54" s="189"/>
      <c r="C54" s="190"/>
      <c r="D54" s="181" t="s">
        <v>197</v>
      </c>
      <c r="E54" s="181"/>
      <c r="F54" s="181"/>
      <c r="G54" s="181"/>
      <c r="H54" s="181"/>
      <c r="I54" s="39"/>
    </row>
    <row r="55" spans="1:14" ht="15.75" customHeight="1" x14ac:dyDescent="0.35">
      <c r="A55" s="188" t="s">
        <v>94</v>
      </c>
      <c r="B55" s="189"/>
      <c r="C55" s="189"/>
      <c r="D55" s="181" t="s">
        <v>197</v>
      </c>
      <c r="E55" s="181"/>
      <c r="F55" s="181"/>
      <c r="G55" s="181"/>
      <c r="H55" s="181"/>
      <c r="I55" s="39"/>
    </row>
    <row r="56" spans="1:14" ht="15.75" customHeight="1" x14ac:dyDescent="0.35">
      <c r="A56" s="95" t="s">
        <v>46</v>
      </c>
      <c r="B56" s="95"/>
      <c r="C56" s="95"/>
      <c r="D56" s="104" t="s">
        <v>172</v>
      </c>
      <c r="E56" s="104"/>
      <c r="F56" s="104"/>
      <c r="G56" s="104"/>
      <c r="H56" s="104"/>
      <c r="J56" s="37"/>
      <c r="K56" s="38"/>
      <c r="N56" s="38"/>
    </row>
    <row r="57" spans="1:14" ht="15.75" customHeight="1" x14ac:dyDescent="0.35">
      <c r="A57" s="95" t="s">
        <v>92</v>
      </c>
      <c r="B57" s="95"/>
      <c r="C57" s="95"/>
      <c r="D57" s="187" t="str">
        <f>(IF(G50="NA","60 Years After Completion",IF(G50&lt;&gt;"NA",""&amp;60-ROUNDDOWN((E3-G50)/360,0)&amp;" Years"," ")))</f>
        <v>60 Years After Completion</v>
      </c>
      <c r="E57" s="187"/>
      <c r="F57" s="187"/>
      <c r="G57" s="187"/>
      <c r="H57" s="187"/>
      <c r="N57" s="38"/>
    </row>
    <row r="58" spans="1:14" ht="15.75" customHeight="1" x14ac:dyDescent="0.35">
      <c r="A58" s="95" t="s">
        <v>93</v>
      </c>
      <c r="B58" s="95"/>
      <c r="C58" s="95"/>
      <c r="D58" s="129" t="s">
        <v>23</v>
      </c>
      <c r="E58" s="129"/>
      <c r="F58" s="129"/>
      <c r="G58" s="129"/>
      <c r="H58" s="129"/>
      <c r="J58" s="12"/>
      <c r="K58" s="12"/>
    </row>
    <row r="59" spans="1:14" x14ac:dyDescent="0.35">
      <c r="A59" s="95" t="s">
        <v>77</v>
      </c>
      <c r="B59" s="95"/>
      <c r="C59" s="95"/>
      <c r="D59" s="104" t="s">
        <v>196</v>
      </c>
      <c r="E59" s="129"/>
      <c r="F59" s="129"/>
      <c r="G59" s="129"/>
      <c r="H59" s="129"/>
    </row>
    <row r="60" spans="1:14" x14ac:dyDescent="0.35">
      <c r="A60" s="129" t="s">
        <v>153</v>
      </c>
      <c r="B60" s="129"/>
      <c r="C60" s="129"/>
      <c r="D60" s="129" t="s">
        <v>29</v>
      </c>
      <c r="E60" s="129"/>
      <c r="F60" s="129"/>
      <c r="G60" s="129"/>
      <c r="H60" s="129"/>
      <c r="I60" s="55"/>
      <c r="J60" s="55"/>
      <c r="K60" s="55"/>
      <c r="L60" s="55"/>
      <c r="M60" s="55"/>
      <c r="N60" s="55"/>
    </row>
    <row r="61" spans="1:14" ht="15.75" customHeight="1" x14ac:dyDescent="0.35">
      <c r="A61" s="191" t="s">
        <v>91</v>
      </c>
      <c r="B61" s="191"/>
      <c r="C61" s="191"/>
      <c r="D61" s="152" t="str">
        <f ca="1">(IF(G67&gt;95%,"Nothing",IF(G67&gt;0%,"Cement, Aggregate, Steel, etc",IF(G67=0%,"Work not yet Started"))))</f>
        <v>Cement, Aggregate, Steel, etc</v>
      </c>
      <c r="E61" s="152"/>
      <c r="F61" s="152"/>
      <c r="G61" s="152"/>
      <c r="H61" s="152"/>
      <c r="J61" s="12"/>
    </row>
    <row r="62" spans="1:14" ht="33.75" customHeight="1" thickBot="1" x14ac:dyDescent="0.4">
      <c r="A62" s="156" t="s">
        <v>122</v>
      </c>
      <c r="B62" s="156"/>
      <c r="C62" s="156"/>
      <c r="D62" s="152" t="str">
        <f ca="1">(IF(D61="Nothing","Yes",IF(D61="Cement, Aggregate, Steel, etc","Under Construction",IF(D61="Work not yet Started","Work not yet Started"))))</f>
        <v>Under Construction</v>
      </c>
      <c r="E62" s="152"/>
      <c r="F62" s="152" t="str">
        <f ca="1">(IF(D61="Nothing","Yes",IF(D61="Cement, Aggregate, Steel, etc","Under Construction",IF(D61="Work not yet Started","Work not yet Started"))))</f>
        <v>Under Construction</v>
      </c>
      <c r="G62" s="152"/>
      <c r="H62" s="152"/>
    </row>
    <row r="63" spans="1:14" ht="15.75" customHeight="1" x14ac:dyDescent="0.35">
      <c r="A63" s="154" t="s">
        <v>145</v>
      </c>
      <c r="B63" s="155"/>
      <c r="C63" s="175" t="str">
        <f>D55</f>
        <v>Avyukta = G/St + 1st to 12th Floor</v>
      </c>
      <c r="D63" s="176"/>
      <c r="E63" s="176"/>
      <c r="F63" s="176"/>
      <c r="G63" s="176"/>
      <c r="H63" s="177"/>
      <c r="I63" s="44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Excavation work Completed. Plinth work completed, RCC Slab Completed, Brickwork Completed, Internal Plaster Completed, External Plaster upto 10 Floor Completed, Flooring upto 8 Floor Completed, Painting upto 8 Floor Completed.</v>
      </c>
      <c r="J63" s="14"/>
    </row>
    <row r="64" spans="1:14" x14ac:dyDescent="0.35">
      <c r="A64" s="50" t="s">
        <v>147</v>
      </c>
      <c r="B64" s="66">
        <v>0</v>
      </c>
      <c r="C64" s="66" t="s">
        <v>75</v>
      </c>
      <c r="D64" s="66">
        <v>1</v>
      </c>
      <c r="E64" s="66" t="s">
        <v>74</v>
      </c>
      <c r="F64" s="66">
        <v>0</v>
      </c>
      <c r="G64" s="66" t="s">
        <v>85</v>
      </c>
      <c r="H64" s="53">
        <f ca="1">--TRIM(RIGHT(SUBSTITUTE(LEFT(C63,_xlfn.AGGREGATE(16,6,FIND({0,1,2,3,4,5,6,7,8,9},C63,ROW(INDIRECT("1:"&amp;LEN(C63)))),1))," ",REPT(" ",LEN(C63))),LEN(C63)))</f>
        <v>12</v>
      </c>
      <c r="I64" s="45"/>
      <c r="J64" s="15"/>
    </row>
    <row r="65" spans="1:10" ht="62.5" customHeight="1" x14ac:dyDescent="0.35">
      <c r="A65" s="153" t="s">
        <v>95</v>
      </c>
      <c r="B65" s="153"/>
      <c r="C65" s="159" t="str">
        <f ca="1">I63</f>
        <v>Excavation work Completed. Plinth work completed, RCC Slab Completed, Brickwork Completed, Internal Plaster Completed, External Plaster upto 10 Floor Completed, Flooring upto 8 Floor Completed, Painting upto 8 Floor Completed.</v>
      </c>
      <c r="D65" s="159"/>
      <c r="E65" s="159"/>
      <c r="F65" s="159"/>
      <c r="G65" s="159"/>
      <c r="H65" s="159"/>
      <c r="I65" s="45" t="s">
        <v>107</v>
      </c>
      <c r="J65" s="15"/>
    </row>
    <row r="66" spans="1:10" ht="15.75" customHeight="1" x14ac:dyDescent="0.35">
      <c r="A66" s="101" t="s">
        <v>50</v>
      </c>
      <c r="B66" s="101"/>
      <c r="C66" s="70" t="s">
        <v>144</v>
      </c>
      <c r="D66" s="75" t="s">
        <v>88</v>
      </c>
      <c r="E66" s="101" t="s">
        <v>90</v>
      </c>
      <c r="F66" s="101"/>
      <c r="G66" s="101" t="s">
        <v>89</v>
      </c>
      <c r="H66" s="101"/>
      <c r="I66" s="36" t="s">
        <v>146</v>
      </c>
      <c r="J66" s="16">
        <f ca="1">H64*25%</f>
        <v>3</v>
      </c>
    </row>
    <row r="67" spans="1:10" x14ac:dyDescent="0.35">
      <c r="A67" s="101" t="s">
        <v>133</v>
      </c>
      <c r="B67" s="101"/>
      <c r="C67" s="71">
        <f ca="1">J68</f>
        <v>12</v>
      </c>
      <c r="D67" s="76">
        <f ca="1">((100/H64)*C67)/100</f>
        <v>1</v>
      </c>
      <c r="E67" s="180">
        <f ca="1">(((C68/H64*10)+(40/(D64+F64+H64)*C69)+(7.5/(H64)*C70)+(7.5/(H64)*C71)+(10/H64*C72)+(10/H64*C73)+(5/H64*C74)+(5/H64*C75)+(5/H64*C76))/100)</f>
        <v>0.83333333333333326</v>
      </c>
      <c r="F67" s="180"/>
      <c r="G67" s="180">
        <f ca="1">((((C67/H64)*20)+((C68/H64)*25)+(30/(H64+F64+D64)*C69)+(5/H64*C70)+(5/H64*C71)+(5/H64*C72)+(5/H64*C73)+(0/H64*C74)+(0/H64*C75)+(5/H64*C76))/100)</f>
        <v>0.92500000000000004</v>
      </c>
      <c r="H67" s="180"/>
      <c r="I67" s="36" t="s">
        <v>102</v>
      </c>
      <c r="J67" s="43">
        <f ca="1">H64*50%</f>
        <v>6</v>
      </c>
    </row>
    <row r="68" spans="1:10" x14ac:dyDescent="0.35">
      <c r="A68" s="101" t="s">
        <v>51</v>
      </c>
      <c r="B68" s="101"/>
      <c r="C68" s="72">
        <f ca="1">J76</f>
        <v>12</v>
      </c>
      <c r="D68" s="76">
        <f ca="1">((100/H64)*C68)/100</f>
        <v>1</v>
      </c>
      <c r="E68" s="180"/>
      <c r="F68" s="180"/>
      <c r="G68" s="180"/>
      <c r="H68" s="180"/>
      <c r="I68" s="36" t="s">
        <v>103</v>
      </c>
      <c r="J68" s="43">
        <f ca="1">H64</f>
        <v>12</v>
      </c>
    </row>
    <row r="69" spans="1:10" ht="15.75" customHeight="1" x14ac:dyDescent="0.35">
      <c r="A69" s="101" t="s">
        <v>134</v>
      </c>
      <c r="B69" s="101"/>
      <c r="C69" s="72">
        <v>13</v>
      </c>
      <c r="D69" s="76">
        <f ca="1">((100/(D64+F64+H64))*C69)/100</f>
        <v>1</v>
      </c>
      <c r="E69" s="180"/>
      <c r="F69" s="180"/>
      <c r="G69" s="180"/>
      <c r="H69" s="180"/>
      <c r="I69" s="36" t="s">
        <v>104</v>
      </c>
      <c r="J69" s="47">
        <f ca="1">(IF(B64&gt;1,(H64/(B64+2)),H64/4))</f>
        <v>3</v>
      </c>
    </row>
    <row r="70" spans="1:10" ht="15.75" customHeight="1" x14ac:dyDescent="0.35">
      <c r="A70" s="101" t="s">
        <v>141</v>
      </c>
      <c r="B70" s="101" t="s">
        <v>135</v>
      </c>
      <c r="C70" s="71">
        <v>12</v>
      </c>
      <c r="D70" s="76">
        <f ca="1">((100/H64)*C70)/100</f>
        <v>1</v>
      </c>
      <c r="E70" s="180"/>
      <c r="F70" s="180"/>
      <c r="G70" s="180"/>
      <c r="H70" s="180"/>
      <c r="I70" s="36" t="s">
        <v>105</v>
      </c>
      <c r="J70" s="47">
        <f ca="1">(IF(B64&gt;1,(H64/(B64+2)+J69),H64/4+J69))</f>
        <v>6</v>
      </c>
    </row>
    <row r="71" spans="1:10" ht="15.75" customHeight="1" x14ac:dyDescent="0.35">
      <c r="A71" s="101" t="s">
        <v>142</v>
      </c>
      <c r="B71" s="101" t="s">
        <v>135</v>
      </c>
      <c r="C71" s="71">
        <v>12</v>
      </c>
      <c r="D71" s="76">
        <f ca="1">((100/H64)*C71)/100</f>
        <v>1</v>
      </c>
      <c r="E71" s="180"/>
      <c r="F71" s="180"/>
      <c r="G71" s="180"/>
      <c r="H71" s="180"/>
      <c r="I71" s="36" t="s">
        <v>151</v>
      </c>
      <c r="J71" s="47">
        <f>(IF(B64&gt;1,(H64/(B64+2)+J70),0))</f>
        <v>0</v>
      </c>
    </row>
    <row r="72" spans="1:10" ht="15" customHeight="1" x14ac:dyDescent="0.35">
      <c r="A72" s="101" t="s">
        <v>140</v>
      </c>
      <c r="B72" s="101" t="s">
        <v>137</v>
      </c>
      <c r="C72" s="71">
        <v>10</v>
      </c>
      <c r="D72" s="76">
        <f ca="1">((100/(H64))*C72)/100</f>
        <v>0.83333333333333348</v>
      </c>
      <c r="E72" s="180"/>
      <c r="F72" s="180"/>
      <c r="G72" s="180"/>
      <c r="H72" s="180"/>
      <c r="I72" s="36" t="s">
        <v>148</v>
      </c>
      <c r="J72" s="47">
        <f>(IF(B64&gt;2,(H64/(B64+2)+J71),0))</f>
        <v>0</v>
      </c>
    </row>
    <row r="73" spans="1:10" ht="15.75" customHeight="1" x14ac:dyDescent="0.35">
      <c r="A73" s="101" t="s">
        <v>136</v>
      </c>
      <c r="B73" s="101" t="s">
        <v>136</v>
      </c>
      <c r="C73" s="71">
        <v>8</v>
      </c>
      <c r="D73" s="76">
        <f ca="1">((100/H64)*C73)/100</f>
        <v>0.66666666666666674</v>
      </c>
      <c r="E73" s="180"/>
      <c r="F73" s="180"/>
      <c r="G73" s="180"/>
      <c r="H73" s="180"/>
      <c r="I73" s="36" t="s">
        <v>149</v>
      </c>
      <c r="J73" s="48">
        <f>(IF(B64&gt;3,(H64/(B64+2)+J72),0))</f>
        <v>0</v>
      </c>
    </row>
    <row r="74" spans="1:10" ht="15.75" customHeight="1" x14ac:dyDescent="0.35">
      <c r="A74" s="101" t="s">
        <v>143</v>
      </c>
      <c r="B74" s="101"/>
      <c r="C74" s="71">
        <v>8</v>
      </c>
      <c r="D74" s="76">
        <f ca="1">((100/H64)*C74)/100</f>
        <v>0.66666666666666674</v>
      </c>
      <c r="E74" s="180"/>
      <c r="F74" s="180"/>
      <c r="G74" s="180"/>
      <c r="H74" s="180"/>
      <c r="I74" s="36" t="s">
        <v>150</v>
      </c>
      <c r="J74" s="47">
        <f>(IF(B64&gt;4,(H64/(B64+2)+J73),0))</f>
        <v>0</v>
      </c>
    </row>
    <row r="75" spans="1:10" ht="15.75" customHeight="1" x14ac:dyDescent="0.35">
      <c r="A75" s="101" t="s">
        <v>138</v>
      </c>
      <c r="B75" s="101" t="s">
        <v>138</v>
      </c>
      <c r="C75" s="71">
        <v>0</v>
      </c>
      <c r="D75" s="76">
        <f ca="1">((100/(H64))*C75)/100</f>
        <v>0</v>
      </c>
      <c r="E75" s="180"/>
      <c r="F75" s="180"/>
      <c r="G75" s="180"/>
      <c r="H75" s="180"/>
      <c r="I75" s="36" t="s">
        <v>152</v>
      </c>
      <c r="J75" s="47">
        <f ca="1">(IF(B64=1,(H64/(B64+3)+J70),IF(B64=0,(H64/4+J70),IF(B64&gt;1,0))))</f>
        <v>9</v>
      </c>
    </row>
    <row r="76" spans="1:10" ht="16" thickBot="1" x14ac:dyDescent="0.4">
      <c r="A76" s="101" t="s">
        <v>139</v>
      </c>
      <c r="B76" s="101"/>
      <c r="C76" s="71">
        <v>0</v>
      </c>
      <c r="D76" s="76">
        <f ca="1">((100/(H64))*C76)/100</f>
        <v>0</v>
      </c>
      <c r="E76" s="180"/>
      <c r="F76" s="180"/>
      <c r="G76" s="180"/>
      <c r="H76" s="180"/>
      <c r="I76" s="46" t="s">
        <v>106</v>
      </c>
      <c r="J76" s="49">
        <f ca="1">(IF(B64&gt;1.5,(H64/(B64+2)+J70+MAX(0,J71-J70)+MAX(0,J72-J71)+MAX(0,J73-J72)+MAX(0,J74-J73)+MAX(0,J75-J74)),IF(B64=1,(H64/(B64+3)+J75),IF(B64=0,H64/4+J75))))</f>
        <v>12</v>
      </c>
    </row>
    <row r="77" spans="1:10" x14ac:dyDescent="0.35">
      <c r="A77" s="103" t="s">
        <v>52</v>
      </c>
      <c r="B77" s="103"/>
      <c r="C77" s="103"/>
      <c r="D77" s="103"/>
      <c r="E77" s="103"/>
      <c r="F77" s="103"/>
      <c r="G77" s="103"/>
      <c r="H77" s="103"/>
    </row>
    <row r="78" spans="1:10" x14ac:dyDescent="0.35">
      <c r="A78" s="95" t="s">
        <v>78</v>
      </c>
      <c r="B78" s="95"/>
      <c r="C78" s="95"/>
      <c r="D78" s="95"/>
      <c r="E78" s="95"/>
      <c r="F78" s="102">
        <v>3750</v>
      </c>
      <c r="G78" s="102"/>
      <c r="H78" s="102"/>
    </row>
    <row r="79" spans="1:10" hidden="1" x14ac:dyDescent="0.35">
      <c r="A79" s="95" t="s">
        <v>83</v>
      </c>
      <c r="B79" s="95"/>
      <c r="C79" s="95"/>
      <c r="D79" s="95"/>
      <c r="E79" s="95"/>
      <c r="F79" s="102"/>
      <c r="G79" s="102"/>
      <c r="H79" s="102"/>
    </row>
    <row r="80" spans="1:10" hidden="1" x14ac:dyDescent="0.35">
      <c r="A80" s="95" t="s">
        <v>84</v>
      </c>
      <c r="B80" s="95"/>
      <c r="C80" s="95"/>
      <c r="D80" s="95"/>
      <c r="E80" s="95"/>
      <c r="F80" s="102"/>
      <c r="G80" s="102"/>
      <c r="H80" s="102"/>
    </row>
    <row r="81" spans="1:20" s="7" customFormat="1" hidden="1" x14ac:dyDescent="0.3">
      <c r="A81" s="95" t="s">
        <v>100</v>
      </c>
      <c r="B81" s="95"/>
      <c r="C81" s="95"/>
      <c r="D81" s="95"/>
      <c r="E81" s="95"/>
      <c r="F81" s="102" t="s">
        <v>29</v>
      </c>
      <c r="G81" s="102"/>
      <c r="H81" s="102"/>
    </row>
    <row r="82" spans="1:20" s="7" customFormat="1" x14ac:dyDescent="0.3">
      <c r="A82" s="95" t="s">
        <v>180</v>
      </c>
      <c r="B82" s="95"/>
      <c r="C82" s="95"/>
      <c r="D82" s="95"/>
      <c r="E82" s="95"/>
      <c r="F82" s="112">
        <v>250000</v>
      </c>
      <c r="G82" s="149"/>
      <c r="H82" s="149"/>
      <c r="I82" s="77"/>
    </row>
    <row r="83" spans="1:20" s="7" customFormat="1" x14ac:dyDescent="0.3">
      <c r="A83" s="95" t="s">
        <v>186</v>
      </c>
      <c r="B83" s="95"/>
      <c r="C83" s="95"/>
      <c r="D83" s="95"/>
      <c r="E83" s="95"/>
      <c r="F83" s="112">
        <v>92000</v>
      </c>
      <c r="G83" s="149"/>
      <c r="H83" s="149"/>
    </row>
    <row r="84" spans="1:20" s="7" customFormat="1" x14ac:dyDescent="0.3">
      <c r="A84" s="95" t="s">
        <v>187</v>
      </c>
      <c r="B84" s="95"/>
      <c r="C84" s="95"/>
      <c r="D84" s="95"/>
      <c r="E84" s="95"/>
      <c r="F84" s="149">
        <v>22000</v>
      </c>
      <c r="G84" s="149"/>
      <c r="H84" s="149"/>
    </row>
    <row r="85" spans="1:20" s="7" customFormat="1" x14ac:dyDescent="0.3">
      <c r="A85" s="95" t="s">
        <v>181</v>
      </c>
      <c r="B85" s="95"/>
      <c r="C85" s="95"/>
      <c r="D85" s="95"/>
      <c r="E85" s="95"/>
      <c r="F85" s="149">
        <v>43500</v>
      </c>
      <c r="G85" s="149"/>
      <c r="H85" s="149"/>
    </row>
    <row r="86" spans="1:20" s="7" customFormat="1" x14ac:dyDescent="0.3">
      <c r="A86" s="95" t="s">
        <v>182</v>
      </c>
      <c r="B86" s="95"/>
      <c r="C86" s="95"/>
      <c r="D86" s="95"/>
      <c r="E86" s="95"/>
      <c r="F86" s="149">
        <v>11000</v>
      </c>
      <c r="G86" s="149"/>
      <c r="H86" s="149"/>
    </row>
    <row r="87" spans="1:20" s="7" customFormat="1" hidden="1" x14ac:dyDescent="0.3">
      <c r="A87" s="95" t="s">
        <v>101</v>
      </c>
      <c r="B87" s="95"/>
      <c r="C87" s="95"/>
      <c r="D87" s="95"/>
      <c r="E87" s="95"/>
      <c r="F87" s="149" t="s">
        <v>29</v>
      </c>
      <c r="G87" s="149"/>
      <c r="H87" s="149"/>
    </row>
    <row r="88" spans="1:20" s="7" customFormat="1" x14ac:dyDescent="0.3">
      <c r="A88" s="95" t="s">
        <v>183</v>
      </c>
      <c r="B88" s="95"/>
      <c r="C88" s="95"/>
      <c r="D88" s="95"/>
      <c r="E88" s="95"/>
      <c r="F88" s="149">
        <v>30000</v>
      </c>
      <c r="G88" s="149"/>
      <c r="H88" s="149"/>
    </row>
    <row r="89" spans="1:20" x14ac:dyDescent="0.35">
      <c r="A89" s="95" t="s">
        <v>53</v>
      </c>
      <c r="B89" s="95"/>
      <c r="C89" s="95"/>
      <c r="D89" s="95"/>
      <c r="E89" s="95"/>
      <c r="F89" s="112">
        <v>150000</v>
      </c>
      <c r="G89" s="113"/>
      <c r="H89" s="113"/>
    </row>
    <row r="90" spans="1:20" s="4" customFormat="1" x14ac:dyDescent="0.35">
      <c r="A90" s="103" t="s">
        <v>54</v>
      </c>
      <c r="B90" s="103"/>
      <c r="C90" s="103"/>
      <c r="D90" s="103"/>
      <c r="E90" s="103"/>
      <c r="F90" s="102">
        <f>F78*0.8</f>
        <v>3000</v>
      </c>
      <c r="G90" s="102"/>
      <c r="H90" s="102"/>
    </row>
    <row r="91" spans="1:20" s="1" customFormat="1" x14ac:dyDescent="0.35">
      <c r="A91" s="117" t="s">
        <v>73</v>
      </c>
      <c r="B91" s="117"/>
      <c r="C91" s="117"/>
      <c r="D91" s="117"/>
      <c r="E91" s="117"/>
      <c r="F91" s="117"/>
      <c r="G91" s="117"/>
      <c r="H91" s="117"/>
    </row>
    <row r="92" spans="1:20" s="1" customFormat="1" ht="15.75" customHeight="1" x14ac:dyDescent="0.35">
      <c r="A92" s="122" t="s">
        <v>55</v>
      </c>
      <c r="B92" s="123"/>
      <c r="C92" s="124"/>
      <c r="D92" s="59" t="s">
        <v>81</v>
      </c>
      <c r="E92" s="120" t="s">
        <v>56</v>
      </c>
      <c r="F92" s="120"/>
      <c r="G92" s="105" t="s">
        <v>57</v>
      </c>
      <c r="H92" s="105"/>
    </row>
    <row r="93" spans="1:20" s="1" customFormat="1" x14ac:dyDescent="0.35">
      <c r="A93" s="196" t="s">
        <v>215</v>
      </c>
      <c r="B93" s="197"/>
      <c r="C93" s="198"/>
      <c r="D93" s="62">
        <f>COUNT(F101:F106)*11+COUNT(F108,F110:F113)</f>
        <v>71</v>
      </c>
      <c r="E93" s="150">
        <f>SUM(F101:F106)*11+SUM(F108,F110:F113)</f>
        <v>36729.496673999995</v>
      </c>
      <c r="F93" s="150"/>
      <c r="G93" s="150">
        <f>SUM(H101:H106)*11+SUM(H108,H110:H113)</f>
        <v>55094.245010999992</v>
      </c>
      <c r="H93" s="150"/>
    </row>
    <row r="94" spans="1:20" s="4" customFormat="1" x14ac:dyDescent="0.35">
      <c r="A94" s="121" t="s">
        <v>58</v>
      </c>
      <c r="B94" s="121"/>
      <c r="C94" s="121"/>
      <c r="D94" s="121"/>
      <c r="E94" s="121"/>
      <c r="F94" s="121"/>
      <c r="G94" s="121"/>
      <c r="H94" s="121"/>
    </row>
    <row r="95" spans="1:20" x14ac:dyDescent="0.35">
      <c r="A95" s="121" t="s">
        <v>59</v>
      </c>
      <c r="B95" s="121"/>
      <c r="C95" s="121"/>
      <c r="D95" s="121"/>
      <c r="E95" s="121"/>
      <c r="F95" s="121"/>
      <c r="G95" s="121"/>
      <c r="H95" s="121"/>
    </row>
    <row r="96" spans="1:20" ht="47.25" customHeight="1" x14ac:dyDescent="0.35">
      <c r="A96" s="157" t="s">
        <v>214</v>
      </c>
      <c r="B96" s="147" t="s">
        <v>207</v>
      </c>
      <c r="C96" s="147" t="s">
        <v>60</v>
      </c>
      <c r="D96" s="147" t="s">
        <v>208</v>
      </c>
      <c r="E96" s="147" t="s">
        <v>211</v>
      </c>
      <c r="F96" s="147" t="s">
        <v>61</v>
      </c>
      <c r="G96" s="178" t="s">
        <v>62</v>
      </c>
      <c r="H96" s="82" t="s">
        <v>209</v>
      </c>
      <c r="I96" s="32"/>
      <c r="T96" s="79"/>
    </row>
    <row r="97" spans="1:14" s="79" customFormat="1" x14ac:dyDescent="0.35">
      <c r="A97" s="158"/>
      <c r="B97" s="148"/>
      <c r="C97" s="148"/>
      <c r="D97" s="148"/>
      <c r="E97" s="148"/>
      <c r="F97" s="148"/>
      <c r="G97" s="179"/>
      <c r="H97" s="83">
        <v>0.5</v>
      </c>
      <c r="I97" s="32"/>
    </row>
    <row r="98" spans="1:14" x14ac:dyDescent="0.35">
      <c r="A98" s="199" t="s">
        <v>173</v>
      </c>
      <c r="B98" s="199"/>
      <c r="C98" s="199"/>
      <c r="D98" s="199"/>
      <c r="E98" s="199"/>
      <c r="F98" s="199"/>
      <c r="G98" s="199"/>
      <c r="H98" s="199"/>
    </row>
    <row r="99" spans="1:14" s="79" customFormat="1" ht="15.65" customHeight="1" x14ac:dyDescent="0.35">
      <c r="A99" s="121" t="s">
        <v>206</v>
      </c>
      <c r="B99" s="121"/>
      <c r="C99" s="121"/>
      <c r="D99" s="121"/>
      <c r="E99" s="121"/>
      <c r="F99" s="121"/>
      <c r="G99" s="121"/>
      <c r="H99" s="121"/>
      <c r="J99" s="65">
        <v>10.763999999999999</v>
      </c>
    </row>
    <row r="100" spans="1:14" s="79" customFormat="1" ht="15.75" customHeight="1" x14ac:dyDescent="0.35">
      <c r="A100" s="200" t="s">
        <v>210</v>
      </c>
      <c r="B100" s="201"/>
      <c r="C100" s="201"/>
      <c r="D100" s="201"/>
      <c r="E100" s="201"/>
      <c r="F100" s="201"/>
      <c r="G100" s="201"/>
      <c r="H100" s="202"/>
      <c r="I100" s="32"/>
    </row>
    <row r="101" spans="1:14" s="79" customFormat="1" ht="15.75" customHeight="1" x14ac:dyDescent="0.35">
      <c r="A101" s="203" t="str">
        <f ca="1">(SUMPRODUCT(MID(0&amp;(LEFT(A100,SUM(LEN(A100)-LEN(SUBSTITUTE(A100,{"0","1","2"},""))))), LARGE(INDEX(ISNUMBER(--MID((LEFT(A100,SUM(LEN(A100)-LEN(SUBSTITUTE(A100,{"0","1","2"},""))))), ROW(INDIRECT("1:"&amp;LEN((LEFT(A100,SUM(LEN(A100)-LEN(SUBSTITUTE(A100,{"0","1","2"},"")))))))), 1)) * ROW(INDIRECT("1:"&amp;LEN((LEFT(A100,SUM(LEN(A100)-LEN(SUBSTITUTE(A100,{"0","1","2"},"")))))))), 0), ROW(INDIRECT("1:"&amp;LEN((LEFT(A100,SUM(LEN(A100)-LEN(SUBSTITUTE(A100,{"0","1","2"},"")))))))))+1, 1) * 10^ROW(INDIRECT("1:"&amp;LEN((LEFT(A100,SUM(LEN(A100)-LEN(SUBSTITUTE(A100,{"0","1","2"},""))))))))/10))*100+1&amp;""&amp;" ,.., "&amp;""&amp;(SUMPRODUCT(MID(0&amp;(--TRIM(RIGHT(SUBSTITUTE(LEFT(A100,_xlfn.AGGREGATE(16,6,FIND({0,1,2,3,4,5,6,7,8,9},A100,ROW(INDIRECT("1:"&amp;LEN(A100)))),1))," ",REPT(" ",LEN(A100))),LEN(A100)))), LARGE(INDEX(ISNUMBER(--MID((--TRIM(RIGHT(SUBSTITUTE(LEFT(A100,_xlfn.AGGREGATE(16,6,FIND({0,1,2,3,4,5,6,7,8,9},A100,ROW(INDIRECT("1:"&amp;LEN(A100)))),1))," ",REPT(" ",LEN(A100))),LEN(A100)))), ROW(INDIRECT("1:"&amp;LEN((--TRIM(RIGHT(SUBSTITUTE(LEFT(A100,_xlfn.AGGREGATE(16,6,FIND({0,1,2,3,4,5,6,7,8,9},A100,ROW(INDIRECT("1:"&amp;LEN(A100)))),1))," ",REPT(" ",LEN(A100))),LEN(A100))))))), 1)) * ROW(INDIRECT("1:"&amp;LEN((--TRIM(RIGHT(SUBSTITUTE(LEFT(A100,_xlfn.AGGREGATE(16,6,FIND({0,1,2,3,4,5,6,7,8,9},A100,ROW(INDIRECT("1:"&amp;LEN(A100)))),1))," ",REPT(" ",LEN(A100))),LEN(A100))))))), 0), ROW(INDIRECT("1:"&amp;LEN((--TRIM(RIGHT(SUBSTITUTE(LEFT(A100,_xlfn.AGGREGATE(16,6,FIND({0,1,2,3,4,5,6,7,8,9},A100,ROW(INDIRECT("1:"&amp;LEN(A100)))),1))," ",REPT(" ",LEN(A100))),LEN(A100))))))))+1, 1) * 10^ROW(INDIRECT("1:"&amp;LEN((--TRIM(RIGHT(SUBSTITUTE(LEFT(A100,_xlfn.AGGREGATE(16,6,FIND({0,1,2,3,4,5,6,7,8,9},A100,ROW(INDIRECT("1:"&amp;LEN(A100)))),1))," ",REPT(" ",LEN(A100))),LEN(A100)))))))/10))*100+1</f>
        <v>101 ,.., 1201</v>
      </c>
      <c r="B101" s="204"/>
      <c r="C101" s="84" t="s">
        <v>158</v>
      </c>
      <c r="D101" s="85">
        <f>(4.65*3.25+2.65*2.3+3.35*2.8+3.35*3.05+2.3*1.2+1.25*2.3+1.5*2.3+0.9*2.4)*10.764</f>
        <v>560.26619999999991</v>
      </c>
      <c r="E101" s="85">
        <f>(0.75*(3.25+3.35+1.85))*10.764</f>
        <v>68.216849999999994</v>
      </c>
      <c r="F101" s="84">
        <f t="shared" ref="F101:F106" si="0">D101+E101</f>
        <v>628.48304999999993</v>
      </c>
      <c r="G101" s="84">
        <v>0</v>
      </c>
      <c r="H101" s="84">
        <f>F101*(($H$97)+1)+(IF(G101&lt;101,G101,IF(G101&lt;201,G101/2,IF(G101&lt;=301,G101/3,G101/4))))</f>
        <v>942.72457499999996</v>
      </c>
      <c r="I101" s="32"/>
    </row>
    <row r="102" spans="1:14" s="79" customFormat="1" ht="15.75" customHeight="1" x14ac:dyDescent="0.35">
      <c r="A102" s="193" t="str">
        <f ca="1">(SUMPRODUCT(MID(0&amp;(LEFT(A101,SUM(LEN(A101)-LEN(SUBSTITUTE(A101,{"0","1","2"},""))))), LARGE(INDEX(ISNUMBER(--MID((LEFT(A101,SUM(LEN(A101)-LEN(SUBSTITUTE(A101,{"0","1","2"},""))))), ROW(INDIRECT("1:"&amp;LEN((LEFT(A101,SUM(LEN(A101)-LEN(SUBSTITUTE(A101,{"0","1","2"},"")))))))), 1)) * ROW(INDIRECT("1:"&amp;LEN((LEFT(A101,SUM(LEN(A101)-LEN(SUBSTITUTE(A101,{"0","1","2"},"")))))))), 0), ROW(INDIRECT("1:"&amp;LEN((LEFT(A101,SUM(LEN(A101)-LEN(SUBSTITUTE(A101,{"0","1","2"},"")))))))))+1, 1) * 10^ROW(INDIRECT("1:"&amp;LEN((LEFT(A101,SUM(LEN(A101)-LEN(SUBSTITUTE(A101,{"0","1","2"},""))))))))/10))*1+1&amp;""&amp;" ,.., "&amp;""&amp;(SUMPRODUCT(MID(0&amp;(--TRIM(RIGHT(SUBSTITUTE(LEFT(A101,_xlfn.AGGREGATE(16,6,FIND({0,1,2,3,4,5,6,7,8,9},A101,ROW(INDIRECT("1:"&amp;LEN(A101)))),1))," ",REPT(" ",LEN(A101))),LEN(A101)))), LARGE(INDEX(ISNUMBER(--MID((--TRIM(RIGHT(SUBSTITUTE(LEFT(A101,_xlfn.AGGREGATE(16,6,FIND({0,1,2,3,4,5,6,7,8,9},A101,ROW(INDIRECT("1:"&amp;LEN(A101)))),1))," ",REPT(" ",LEN(A101))),LEN(A101)))), ROW(INDIRECT("1:"&amp;LEN((--TRIM(RIGHT(SUBSTITUTE(LEFT(A101,_xlfn.AGGREGATE(16,6,FIND({0,1,2,3,4,5,6,7,8,9},A101,ROW(INDIRECT("1:"&amp;LEN(A101)))),1))," ",REPT(" ",LEN(A101))),LEN(A101))))))), 1)) * ROW(INDIRECT("1:"&amp;LEN((--TRIM(RIGHT(SUBSTITUTE(LEFT(A101,_xlfn.AGGREGATE(16,6,FIND({0,1,2,3,4,5,6,7,8,9},A101,ROW(INDIRECT("1:"&amp;LEN(A101)))),1))," ",REPT(" ",LEN(A101))),LEN(A101))))))), 0), ROW(INDIRECT("1:"&amp;LEN((--TRIM(RIGHT(SUBSTITUTE(LEFT(A101,_xlfn.AGGREGATE(16,6,FIND({0,1,2,3,4,5,6,7,8,9},A101,ROW(INDIRECT("1:"&amp;LEN(A101)))),1))," ",REPT(" ",LEN(A101))),LEN(A101))))))))+1, 1) * 10^ROW(INDIRECT("1:"&amp;LEN((--TRIM(RIGHT(SUBSTITUTE(LEFT(A101,_xlfn.AGGREGATE(16,6,FIND({0,1,2,3,4,5,6,7,8,9},A101,ROW(INDIRECT("1:"&amp;LEN(A101)))),1))," ",REPT(" ",LEN(A101))),LEN(A101)))))))/10))*1+1</f>
        <v>102 ,.., 1202</v>
      </c>
      <c r="B102" s="195"/>
      <c r="C102" s="81" t="s">
        <v>157</v>
      </c>
      <c r="D102" s="65">
        <f>(2.75*4.25+2.4*3.55+2.75*3.35+1.6*1.2+1.4*1.2+0.9*1.3)*10.764</f>
        <v>368.02116000000001</v>
      </c>
      <c r="E102" s="65">
        <f>(0.75*2.75)*10.764</f>
        <v>22.200749999999999</v>
      </c>
      <c r="F102" s="81">
        <f t="shared" si="0"/>
        <v>390.22190999999998</v>
      </c>
      <c r="G102" s="81">
        <v>0</v>
      </c>
      <c r="H102" s="84">
        <f t="shared" ref="H102:H106" si="1">F102*(($H$97)+1)+(IF(G102&lt;101,G102,IF(G102&lt;201,G102/2,IF(G102&lt;=301,G102/3,G102/4))))</f>
        <v>585.33286499999997</v>
      </c>
      <c r="I102" s="32"/>
    </row>
    <row r="103" spans="1:14" s="79" customFormat="1" ht="15.75" customHeight="1" x14ac:dyDescent="0.35">
      <c r="A103" s="193" t="str">
        <f ca="1">(SUMPRODUCT(MID(0&amp;(LEFT(A102,SUM(LEN(A102)-LEN(SUBSTITUTE(A102,{"0","1","2"},""))))), LARGE(INDEX(ISNUMBER(--MID((LEFT(A102,SUM(LEN(A102)-LEN(SUBSTITUTE(A102,{"0","1","2"},""))))), ROW(INDIRECT("1:"&amp;LEN((LEFT(A102,SUM(LEN(A102)-LEN(SUBSTITUTE(A102,{"0","1","2"},"")))))))), 1)) * ROW(INDIRECT("1:"&amp;LEN((LEFT(A102,SUM(LEN(A102)-LEN(SUBSTITUTE(A102,{"0","1","2"},"")))))))), 0), ROW(INDIRECT("1:"&amp;LEN((LEFT(A102,SUM(LEN(A102)-LEN(SUBSTITUTE(A102,{"0","1","2"},"")))))))))+1, 1) * 10^ROW(INDIRECT("1:"&amp;LEN((LEFT(A102,SUM(LEN(A102)-LEN(SUBSTITUTE(A102,{"0","1","2"},""))))))))/10))*1+1&amp;""&amp;" ,.., "&amp;""&amp;(SUMPRODUCT(MID(0&amp;(--TRIM(RIGHT(SUBSTITUTE(LEFT(A102,_xlfn.AGGREGATE(16,6,FIND({0,1,2,3,4,5,6,7,8,9},A102,ROW(INDIRECT("1:"&amp;LEN(A102)))),1))," ",REPT(" ",LEN(A102))),LEN(A102)))), LARGE(INDEX(ISNUMBER(--MID((--TRIM(RIGHT(SUBSTITUTE(LEFT(A102,_xlfn.AGGREGATE(16,6,FIND({0,1,2,3,4,5,6,7,8,9},A102,ROW(INDIRECT("1:"&amp;LEN(A102)))),1))," ",REPT(" ",LEN(A102))),LEN(A102)))), ROW(INDIRECT("1:"&amp;LEN((--TRIM(RIGHT(SUBSTITUTE(LEFT(A102,_xlfn.AGGREGATE(16,6,FIND({0,1,2,3,4,5,6,7,8,9},A102,ROW(INDIRECT("1:"&amp;LEN(A102)))),1))," ",REPT(" ",LEN(A102))),LEN(A102))))))), 1)) * ROW(INDIRECT("1:"&amp;LEN((--TRIM(RIGHT(SUBSTITUTE(LEFT(A102,_xlfn.AGGREGATE(16,6,FIND({0,1,2,3,4,5,6,7,8,9},A102,ROW(INDIRECT("1:"&amp;LEN(A102)))),1))," ",REPT(" ",LEN(A102))),LEN(A102))))))), 0), ROW(INDIRECT("1:"&amp;LEN((--TRIM(RIGHT(SUBSTITUTE(LEFT(A102,_xlfn.AGGREGATE(16,6,FIND({0,1,2,3,4,5,6,7,8,9},A102,ROW(INDIRECT("1:"&amp;LEN(A102)))),1))," ",REPT(" ",LEN(A102))),LEN(A102))))))))+1, 1) * 10^ROW(INDIRECT("1:"&amp;LEN((--TRIM(RIGHT(SUBSTITUTE(LEFT(A102,_xlfn.AGGREGATE(16,6,FIND({0,1,2,3,4,5,6,7,8,9},A102,ROW(INDIRECT("1:"&amp;LEN(A102)))),1))," ",REPT(" ",LEN(A102))),LEN(A102)))))))/10))*1+1</f>
        <v>103 ,.., 1203</v>
      </c>
      <c r="B103" s="195"/>
      <c r="C103" s="81" t="s">
        <v>157</v>
      </c>
      <c r="D103" s="65">
        <f>(4.25*2.75+3.3*2.5+2.75*3.4+1.8*1.2+1.8*1.2)*10.764</f>
        <v>361.75112999999999</v>
      </c>
      <c r="E103" s="65">
        <f>(0.75*(3.25+3.4))*10.764</f>
        <v>53.685450000000003</v>
      </c>
      <c r="F103" s="81">
        <f t="shared" si="0"/>
        <v>415.43657999999999</v>
      </c>
      <c r="G103" s="81">
        <v>0</v>
      </c>
      <c r="H103" s="84">
        <f t="shared" si="1"/>
        <v>623.15486999999996</v>
      </c>
      <c r="I103" s="32"/>
    </row>
    <row r="104" spans="1:14" s="79" customFormat="1" ht="15.75" customHeight="1" x14ac:dyDescent="0.35">
      <c r="A104" s="193" t="str">
        <f ca="1">(SUMPRODUCT(MID(0&amp;(LEFT(A103,SUM(LEN(A103)-LEN(SUBSTITUTE(A103,{"0","1","2"},""))))), LARGE(INDEX(ISNUMBER(--MID((LEFT(A103,SUM(LEN(A103)-LEN(SUBSTITUTE(A103,{"0","1","2"},""))))), ROW(INDIRECT("1:"&amp;LEN((LEFT(A103,SUM(LEN(A103)-LEN(SUBSTITUTE(A103,{"0","1","2"},"")))))))), 1)) * ROW(INDIRECT("1:"&amp;LEN((LEFT(A103,SUM(LEN(A103)-LEN(SUBSTITUTE(A103,{"0","1","2"},"")))))))), 0), ROW(INDIRECT("1:"&amp;LEN((LEFT(A103,SUM(LEN(A103)-LEN(SUBSTITUTE(A103,{"0","1","2"},"")))))))))+1, 1) * 10^ROW(INDIRECT("1:"&amp;LEN((LEFT(A103,SUM(LEN(A103)-LEN(SUBSTITUTE(A103,{"0","1","2"},""))))))))/10))*1+1&amp;""&amp;" ,.., "&amp;""&amp;(SUMPRODUCT(MID(0&amp;(--TRIM(RIGHT(SUBSTITUTE(LEFT(A103,_xlfn.AGGREGATE(16,6,FIND({0,1,2,3,4,5,6,7,8,9},A103,ROW(INDIRECT("1:"&amp;LEN(A103)))),1))," ",REPT(" ",LEN(A103))),LEN(A103)))), LARGE(INDEX(ISNUMBER(--MID((--TRIM(RIGHT(SUBSTITUTE(LEFT(A103,_xlfn.AGGREGATE(16,6,FIND({0,1,2,3,4,5,6,7,8,9},A103,ROW(INDIRECT("1:"&amp;LEN(A103)))),1))," ",REPT(" ",LEN(A103))),LEN(A103)))), ROW(INDIRECT("1:"&amp;LEN((--TRIM(RIGHT(SUBSTITUTE(LEFT(A103,_xlfn.AGGREGATE(16,6,FIND({0,1,2,3,4,5,6,7,8,9},A103,ROW(INDIRECT("1:"&amp;LEN(A103)))),1))," ",REPT(" ",LEN(A103))),LEN(A103))))))), 1)) * ROW(INDIRECT("1:"&amp;LEN((--TRIM(RIGHT(SUBSTITUTE(LEFT(A103,_xlfn.AGGREGATE(16,6,FIND({0,1,2,3,4,5,6,7,8,9},A103,ROW(INDIRECT("1:"&amp;LEN(A103)))),1))," ",REPT(" ",LEN(A103))),LEN(A103))))))), 0), ROW(INDIRECT("1:"&amp;LEN((--TRIM(RIGHT(SUBSTITUTE(LEFT(A103,_xlfn.AGGREGATE(16,6,FIND({0,1,2,3,4,5,6,7,8,9},A103,ROW(INDIRECT("1:"&amp;LEN(A103)))),1))," ",REPT(" ",LEN(A103))),LEN(A103))))))))+1, 1) * 10^ROW(INDIRECT("1:"&amp;LEN((--TRIM(RIGHT(SUBSTITUTE(LEFT(A103,_xlfn.AGGREGATE(16,6,FIND({0,1,2,3,4,5,6,7,8,9},A103,ROW(INDIRECT("1:"&amp;LEN(A103)))),1))," ",REPT(" ",LEN(A103))),LEN(A103)))))))/10))*1+1</f>
        <v>104 ,.., 1204</v>
      </c>
      <c r="B104" s="195"/>
      <c r="C104" s="81" t="s">
        <v>157</v>
      </c>
      <c r="D104" s="65">
        <f>(2.75*4.25+2.8*2.3+2.8*3.35+1.8*1.2+1.8*1.2+0.9*2.65)*10.764</f>
        <v>368.26334999999995</v>
      </c>
      <c r="E104" s="65">
        <f>(0.75*(2.75+2.8))*10.764</f>
        <v>44.80514999999999</v>
      </c>
      <c r="F104" s="81">
        <f t="shared" si="0"/>
        <v>413.06849999999991</v>
      </c>
      <c r="G104" s="81">
        <v>0</v>
      </c>
      <c r="H104" s="84">
        <f t="shared" si="1"/>
        <v>619.6027499999999</v>
      </c>
      <c r="I104" s="32"/>
    </row>
    <row r="105" spans="1:14" s="79" customFormat="1" ht="15.75" customHeight="1" x14ac:dyDescent="0.35">
      <c r="A105" s="193" t="str">
        <f ca="1">(SUMPRODUCT(MID(0&amp;(LEFT(A104,SUM(LEN(A104)-LEN(SUBSTITUTE(A104,{"0","1","2"},""))))), LARGE(INDEX(ISNUMBER(--MID((LEFT(A104,SUM(LEN(A104)-LEN(SUBSTITUTE(A104,{"0","1","2"},""))))), ROW(INDIRECT("1:"&amp;LEN((LEFT(A104,SUM(LEN(A104)-LEN(SUBSTITUTE(A104,{"0","1","2"},"")))))))), 1)) * ROW(INDIRECT("1:"&amp;LEN((LEFT(A104,SUM(LEN(A104)-LEN(SUBSTITUTE(A104,{"0","1","2"},"")))))))), 0), ROW(INDIRECT("1:"&amp;LEN((LEFT(A104,SUM(LEN(A104)-LEN(SUBSTITUTE(A104,{"0","1","2"},"")))))))))+1, 1) * 10^ROW(INDIRECT("1:"&amp;LEN((LEFT(A104,SUM(LEN(A104)-LEN(SUBSTITUTE(A104,{"0","1","2"},""))))))))/10))*1+1&amp;""&amp;" ,.., "&amp;""&amp;(SUMPRODUCT(MID(0&amp;(--TRIM(RIGHT(SUBSTITUTE(LEFT(A104,_xlfn.AGGREGATE(16,6,FIND({0,1,2,3,4,5,6,7,8,9},A104,ROW(INDIRECT("1:"&amp;LEN(A104)))),1))," ",REPT(" ",LEN(A104))),LEN(A104)))), LARGE(INDEX(ISNUMBER(--MID((--TRIM(RIGHT(SUBSTITUTE(LEFT(A104,_xlfn.AGGREGATE(16,6,FIND({0,1,2,3,4,5,6,7,8,9},A104,ROW(INDIRECT("1:"&amp;LEN(A104)))),1))," ",REPT(" ",LEN(A104))),LEN(A104)))), ROW(INDIRECT("1:"&amp;LEN((--TRIM(RIGHT(SUBSTITUTE(LEFT(A104,_xlfn.AGGREGATE(16,6,FIND({0,1,2,3,4,5,6,7,8,9},A104,ROW(INDIRECT("1:"&amp;LEN(A104)))),1))," ",REPT(" ",LEN(A104))),LEN(A104))))))), 1)) * ROW(INDIRECT("1:"&amp;LEN((--TRIM(RIGHT(SUBSTITUTE(LEFT(A104,_xlfn.AGGREGATE(16,6,FIND({0,1,2,3,4,5,6,7,8,9},A104,ROW(INDIRECT("1:"&amp;LEN(A104)))),1))," ",REPT(" ",LEN(A104))),LEN(A104))))))), 0), ROW(INDIRECT("1:"&amp;LEN((--TRIM(RIGHT(SUBSTITUTE(LEFT(A104,_xlfn.AGGREGATE(16,6,FIND({0,1,2,3,4,5,6,7,8,9},A104,ROW(INDIRECT("1:"&amp;LEN(A104)))),1))," ",REPT(" ",LEN(A104))),LEN(A104))))))))+1, 1) * 10^ROW(INDIRECT("1:"&amp;LEN((--TRIM(RIGHT(SUBSTITUTE(LEFT(A104,_xlfn.AGGREGATE(16,6,FIND({0,1,2,3,4,5,6,7,8,9},A104,ROW(INDIRECT("1:"&amp;LEN(A104)))),1))," ",REPT(" ",LEN(A104))),LEN(A104)))))))/10))*1+1</f>
        <v>105 ,.., 1205</v>
      </c>
      <c r="B105" s="195"/>
      <c r="C105" s="81" t="s">
        <v>158</v>
      </c>
      <c r="D105" s="65">
        <f>(3.35*4.45+2.4*3.05+3.1*3.05+3.75*3.3+1.2*2.14+1.25*2.2+1.2*2.15+1.35*0.95)*10.764</f>
        <v>573.05383199999983</v>
      </c>
      <c r="E105" s="65">
        <f>(1.35*2.15+0.75*1.8)*10.764</f>
        <v>45.773909999999994</v>
      </c>
      <c r="F105" s="81">
        <f t="shared" si="0"/>
        <v>618.82774199999983</v>
      </c>
      <c r="G105" s="81">
        <v>0</v>
      </c>
      <c r="H105" s="84">
        <f t="shared" si="1"/>
        <v>928.24161299999969</v>
      </c>
      <c r="I105" s="32"/>
    </row>
    <row r="106" spans="1:14" s="79" customFormat="1" ht="15.75" customHeight="1" x14ac:dyDescent="0.35">
      <c r="A106" s="193" t="str">
        <f ca="1">(SUMPRODUCT(MID(0&amp;(LEFT(A105,SUM(LEN(A105)-LEN(SUBSTITUTE(A105,{"0","1","2"},""))))), LARGE(INDEX(ISNUMBER(--MID((LEFT(A105,SUM(LEN(A105)-LEN(SUBSTITUTE(A105,{"0","1","2"},""))))), ROW(INDIRECT("1:"&amp;LEN((LEFT(A105,SUM(LEN(A105)-LEN(SUBSTITUTE(A105,{"0","1","2"},"")))))))), 1)) * ROW(INDIRECT("1:"&amp;LEN((LEFT(A105,SUM(LEN(A105)-LEN(SUBSTITUTE(A105,{"0","1","2"},"")))))))), 0), ROW(INDIRECT("1:"&amp;LEN((LEFT(A105,SUM(LEN(A105)-LEN(SUBSTITUTE(A105,{"0","1","2"},"")))))))))+1, 1) * 10^ROW(INDIRECT("1:"&amp;LEN((LEFT(A105,SUM(LEN(A105)-LEN(SUBSTITUTE(A105,{"0","1","2"},""))))))))/10))*1+1&amp;""&amp;" ,.., "&amp;""&amp;(SUMPRODUCT(MID(0&amp;(--TRIM(RIGHT(SUBSTITUTE(LEFT(A105,_xlfn.AGGREGATE(16,6,FIND({0,1,2,3,4,5,6,7,8,9},A105,ROW(INDIRECT("1:"&amp;LEN(A105)))),1))," ",REPT(" ",LEN(A105))),LEN(A105)))), LARGE(INDEX(ISNUMBER(--MID((--TRIM(RIGHT(SUBSTITUTE(LEFT(A105,_xlfn.AGGREGATE(16,6,FIND({0,1,2,3,4,5,6,7,8,9},A105,ROW(INDIRECT("1:"&amp;LEN(A105)))),1))," ",REPT(" ",LEN(A105))),LEN(A105)))), ROW(INDIRECT("1:"&amp;LEN((--TRIM(RIGHT(SUBSTITUTE(LEFT(A105,_xlfn.AGGREGATE(16,6,FIND({0,1,2,3,4,5,6,7,8,9},A105,ROW(INDIRECT("1:"&amp;LEN(A105)))),1))," ",REPT(" ",LEN(A105))),LEN(A105))))))), 1)) * ROW(INDIRECT("1:"&amp;LEN((--TRIM(RIGHT(SUBSTITUTE(LEFT(A105,_xlfn.AGGREGATE(16,6,FIND({0,1,2,3,4,5,6,7,8,9},A105,ROW(INDIRECT("1:"&amp;LEN(A105)))),1))," ",REPT(" ",LEN(A105))),LEN(A105))))))), 0), ROW(INDIRECT("1:"&amp;LEN((--TRIM(RIGHT(SUBSTITUTE(LEFT(A105,_xlfn.AGGREGATE(16,6,FIND({0,1,2,3,4,5,6,7,8,9},A105,ROW(INDIRECT("1:"&amp;LEN(A105)))),1))," ",REPT(" ",LEN(A105))),LEN(A105))))))))+1, 1) * 10^ROW(INDIRECT("1:"&amp;LEN((--TRIM(RIGHT(SUBSTITUTE(LEFT(A105,_xlfn.AGGREGATE(16,6,FIND({0,1,2,3,4,5,6,7,8,9},A105,ROW(INDIRECT("1:"&amp;LEN(A105)))),1))," ",REPT(" ",LEN(A105))),LEN(A105)))))))/10))*1+1</f>
        <v>106 ,.., 1206</v>
      </c>
      <c r="B106" s="195"/>
      <c r="C106" s="81" t="s">
        <v>158</v>
      </c>
      <c r="D106" s="65">
        <f>(4.65*3.25+2.65*2.3+3.35*2.8+3.35*3.05+1.25*2.3+2.3*1.2+1.5*2.25+0.9*2.4)*10.764</f>
        <v>559.45889999999986</v>
      </c>
      <c r="E106" s="65">
        <f>(0.75*(3.25+1.8+3.35))*10.764</f>
        <v>67.813200000000009</v>
      </c>
      <c r="F106" s="81">
        <f t="shared" si="0"/>
        <v>627.27209999999991</v>
      </c>
      <c r="G106" s="81">
        <v>0</v>
      </c>
      <c r="H106" s="84">
        <f t="shared" si="1"/>
        <v>940.90814999999986</v>
      </c>
      <c r="I106" s="32"/>
    </row>
    <row r="107" spans="1:14" s="79" customFormat="1" x14ac:dyDescent="0.35">
      <c r="A107" s="205" t="s">
        <v>159</v>
      </c>
      <c r="B107" s="205"/>
      <c r="C107" s="205"/>
      <c r="D107" s="205"/>
      <c r="E107" s="205"/>
      <c r="F107" s="205"/>
      <c r="G107" s="205"/>
      <c r="H107" s="205"/>
      <c r="I107" s="32"/>
      <c r="L107" s="146"/>
      <c r="M107" s="146"/>
    </row>
    <row r="108" spans="1:14" s="79" customFormat="1" x14ac:dyDescent="0.35">
      <c r="A108" s="192">
        <f>LEFT(A107,SUM(LEN(A107)-LEN(SUBSTITUTE(A107,{"0","1","2","3","4","5","6","7","8","9"},""))))*100+1</f>
        <v>801</v>
      </c>
      <c r="B108" s="192"/>
      <c r="C108" s="81" t="s">
        <v>158</v>
      </c>
      <c r="D108" s="65">
        <f>(4.65*3.25+2.65*2.3+3.35*2.8+3.35*3.05+2.3*1.2+1.25*2.3+1.5*2.3+0.9*2.4)*10.764</f>
        <v>560.26619999999991</v>
      </c>
      <c r="E108" s="65">
        <f>(0.75*(3.25+3.35+1.85))*10.764</f>
        <v>68.216849999999994</v>
      </c>
      <c r="F108" s="81">
        <f>D108+E108</f>
        <v>628.48304999999993</v>
      </c>
      <c r="G108" s="81">
        <v>0</v>
      </c>
      <c r="H108" s="84">
        <f>F108*(($H$97)+1)+(IF(G108&lt;101,G108,IF(G108&lt;201,G108/2,IF(G108&lt;=301,G108/3,G108/4))))</f>
        <v>942.72457499999996</v>
      </c>
      <c r="I108" s="32"/>
      <c r="N108" s="32"/>
    </row>
    <row r="109" spans="1:14" s="79" customFormat="1" x14ac:dyDescent="0.35">
      <c r="A109" s="192">
        <f>A108+1</f>
        <v>802</v>
      </c>
      <c r="B109" s="192"/>
      <c r="C109" s="193" t="s">
        <v>160</v>
      </c>
      <c r="D109" s="194"/>
      <c r="E109" s="194"/>
      <c r="F109" s="194"/>
      <c r="G109" s="194"/>
      <c r="H109" s="195"/>
      <c r="I109" s="32"/>
      <c r="N109" s="32"/>
    </row>
    <row r="110" spans="1:14" s="79" customFormat="1" x14ac:dyDescent="0.35">
      <c r="A110" s="192">
        <f>A109+1</f>
        <v>803</v>
      </c>
      <c r="B110" s="192"/>
      <c r="C110" s="81" t="s">
        <v>157</v>
      </c>
      <c r="D110" s="65">
        <f>(4.25*2.75+3.3*2.5+2.75*3.4+1.8*1.2+1.8*1.2)*10.764</f>
        <v>361.75112999999999</v>
      </c>
      <c r="E110" s="65">
        <f>(0.75*(3.25+3.4))*10.764</f>
        <v>53.685450000000003</v>
      </c>
      <c r="F110" s="81">
        <f>D110+E110</f>
        <v>415.43657999999999</v>
      </c>
      <c r="G110" s="81">
        <v>0</v>
      </c>
      <c r="H110" s="84">
        <f t="shared" ref="H110:H113" si="2">F110*(($H$97)+1)+(IF(G110&lt;101,G110,IF(G110&lt;201,G110/2,IF(G110&lt;=301,G110/3,G110/4))))</f>
        <v>623.15486999999996</v>
      </c>
      <c r="I110" s="32"/>
      <c r="N110" s="32"/>
    </row>
    <row r="111" spans="1:14" s="79" customFormat="1" x14ac:dyDescent="0.35">
      <c r="A111" s="192">
        <f>A110+1</f>
        <v>804</v>
      </c>
      <c r="B111" s="192"/>
      <c r="C111" s="81" t="s">
        <v>157</v>
      </c>
      <c r="D111" s="65">
        <f>(2.75*4.25+2.8*2.3+2.8*3.35+1.8*1.2+1.8*1.2+0.9*2.65)*10.764</f>
        <v>368.26334999999995</v>
      </c>
      <c r="E111" s="65">
        <f>(0.75*(2.75+2.8))*10.764</f>
        <v>44.80514999999999</v>
      </c>
      <c r="F111" s="81">
        <f>D111+E111</f>
        <v>413.06849999999991</v>
      </c>
      <c r="G111" s="81">
        <v>0</v>
      </c>
      <c r="H111" s="84">
        <f t="shared" si="2"/>
        <v>619.6027499999999</v>
      </c>
      <c r="I111" s="32"/>
      <c r="N111" s="32"/>
    </row>
    <row r="112" spans="1:14" s="79" customFormat="1" x14ac:dyDescent="0.35">
      <c r="A112" s="192">
        <f>A111+1</f>
        <v>805</v>
      </c>
      <c r="B112" s="192"/>
      <c r="C112" s="81" t="s">
        <v>158</v>
      </c>
      <c r="D112" s="65">
        <f>(3.35*4.45+2.4*3.05+3.1*3.05+3.75*3.3+1.2*2.14+1.25*2.2+1.2*2.15+1.35*0.95)*10.764</f>
        <v>573.05383199999983</v>
      </c>
      <c r="E112" s="65">
        <f>(1.35*2.15+0.75*1.8)*10.764</f>
        <v>45.773909999999994</v>
      </c>
      <c r="F112" s="81">
        <f>D112+E112</f>
        <v>618.82774199999983</v>
      </c>
      <c r="G112" s="81">
        <v>0</v>
      </c>
      <c r="H112" s="84">
        <f t="shared" si="2"/>
        <v>928.24161299999969</v>
      </c>
      <c r="I112" s="32"/>
      <c r="N112" s="32"/>
    </row>
    <row r="113" spans="1:16" s="79" customFormat="1" x14ac:dyDescent="0.35">
      <c r="A113" s="192">
        <f>A112+1</f>
        <v>806</v>
      </c>
      <c r="B113" s="192"/>
      <c r="C113" s="81" t="s">
        <v>158</v>
      </c>
      <c r="D113" s="65">
        <f>(4.65*3.25+2.65*2.3+3.35*2.8+3.35*3.05+1.25*2.3+2.3*1.2+1.5*2.25+0.9*2.4)*10.764</f>
        <v>559.45889999999986</v>
      </c>
      <c r="E113" s="65">
        <f>(0.75*(3.25+1.8+3.35))*10.764</f>
        <v>67.813200000000009</v>
      </c>
      <c r="F113" s="81">
        <f>D113+E113</f>
        <v>627.27209999999991</v>
      </c>
      <c r="G113" s="81">
        <v>0</v>
      </c>
      <c r="H113" s="84">
        <f t="shared" si="2"/>
        <v>940.90814999999986</v>
      </c>
      <c r="I113" s="32"/>
      <c r="N113" s="32"/>
    </row>
    <row r="114" spans="1:16" s="79" customFormat="1" x14ac:dyDescent="0.35">
      <c r="A114" s="205"/>
      <c r="B114" s="205"/>
      <c r="C114" s="205"/>
      <c r="D114" s="205"/>
      <c r="E114" s="205"/>
      <c r="F114" s="205"/>
      <c r="G114" s="205"/>
      <c r="H114" s="205"/>
      <c r="I114" s="32"/>
      <c r="L114" s="146"/>
      <c r="M114" s="146"/>
    </row>
    <row r="115" spans="1:16" ht="47.25" hidden="1" customHeight="1" x14ac:dyDescent="0.35">
      <c r="A115" s="67" t="s">
        <v>123</v>
      </c>
      <c r="B115" s="67" t="s">
        <v>124</v>
      </c>
      <c r="C115" s="68" t="s">
        <v>60</v>
      </c>
      <c r="D115" s="68" t="s">
        <v>61</v>
      </c>
      <c r="E115" s="69" t="s">
        <v>62</v>
      </c>
      <c r="F115" s="68" t="s">
        <v>190</v>
      </c>
      <c r="G115" s="99" t="s">
        <v>63</v>
      </c>
      <c r="H115" s="100"/>
      <c r="I115" s="32"/>
    </row>
    <row r="116" spans="1:16" hidden="1" x14ac:dyDescent="0.35">
      <c r="A116" s="125" t="s">
        <v>173</v>
      </c>
      <c r="B116" s="125"/>
      <c r="C116" s="125"/>
      <c r="D116" s="125"/>
      <c r="E116" s="125"/>
      <c r="F116" s="125"/>
      <c r="G116" s="125"/>
      <c r="H116" s="125"/>
    </row>
    <row r="117" spans="1:16" hidden="1" x14ac:dyDescent="0.35">
      <c r="A117" s="139" t="s">
        <v>206</v>
      </c>
      <c r="B117" s="139"/>
      <c r="C117" s="139"/>
      <c r="D117" s="139"/>
      <c r="E117" s="139"/>
      <c r="F117" s="139"/>
      <c r="G117" s="139"/>
      <c r="H117" s="139"/>
    </row>
    <row r="118" spans="1:16" s="2" customFormat="1" ht="15.75" hidden="1" customHeight="1" x14ac:dyDescent="0.35">
      <c r="A118" s="164" t="s">
        <v>156</v>
      </c>
      <c r="B118" s="165"/>
      <c r="C118" s="165"/>
      <c r="D118" s="165"/>
      <c r="E118" s="165"/>
      <c r="F118" s="165"/>
      <c r="G118" s="165"/>
      <c r="H118" s="166"/>
      <c r="I118" s="32"/>
      <c r="K118" s="2">
        <f>COUNT(D119:D126)*9+COUNT(D128:D133,D135)+COUNT(D137:D140)</f>
        <v>83</v>
      </c>
      <c r="L118" s="40"/>
      <c r="M118" s="40"/>
      <c r="P118" s="33"/>
    </row>
    <row r="119" spans="1:16" s="2" customFormat="1" hidden="1" x14ac:dyDescent="0.35">
      <c r="A119" s="115" t="str">
        <f t="shared" ref="A119:A124" ca="1" si="3">N119</f>
        <v>101,..,1001</v>
      </c>
      <c r="B119" s="116"/>
      <c r="C119" s="13" t="s">
        <v>157</v>
      </c>
      <c r="D119" s="13">
        <f>(33.03+2.7+0.75*(2.75+2.75))*10.764</f>
        <v>428.99922000000004</v>
      </c>
      <c r="E119" s="41">
        <v>0</v>
      </c>
      <c r="F119" s="64">
        <v>627</v>
      </c>
      <c r="G119" s="115" t="str">
        <f>A118</f>
        <v>1st to 7th, 9th &amp; 10th Floor for Residential</v>
      </c>
      <c r="H119" s="116"/>
      <c r="I119" s="32">
        <f>F119*3750+448500</f>
        <v>2799750</v>
      </c>
      <c r="J119" s="74">
        <f t="shared" ref="J119:J126" si="4">(F119-E119)/D119</f>
        <v>1.4615411188859504</v>
      </c>
      <c r="K119" s="74"/>
      <c r="M119" s="40"/>
      <c r="N119" s="40" t="str">
        <f t="shared" ref="N119:N124" ca="1" si="5">O119&amp;""&amp;",..,"&amp;""&amp;P119</f>
        <v>101,..,1001</v>
      </c>
      <c r="O119" s="54">
        <f ca="1">(SUMPRODUCT(MID(0&amp;(LEFT(A118,SUM(LEN(A118)-LEN(SUBSTITUTE(A118,{0,1,2},""))))), LARGE(INDEX(ISNUMBER(--MID((LEFT(A118,SUM(LEN(A118)-LEN(SUBSTITUTE(A118,{0,1,2},""))))), ROW(INDIRECT("1:"&amp;LEN((LEFT(A118,SUM(LEN(A118)-LEN(SUBSTITUTE(A118,{0,1,2},"")))))))), 1)) * ROW(INDIRECT("1:"&amp;LEN((LEFT(A118,SUM(LEN(A118)-LEN(SUBSTITUTE(A118,{0,1,2},"")))))))), 0), ROW(INDIRECT("1:"&amp;LEN((LEFT(A118,SUM(LEN(A118)-LEN(SUBSTITUTE(A118,{0,1,2},"")))))))))+1, 1) * 10^ROW(INDIRECT("1:"&amp;LEN((LEFT(A118,SUM(LEN(A118)-LEN(SUBSTITUTE(A118,{0,1,2},""))))))))/10))*100+1</f>
        <v>101</v>
      </c>
      <c r="P119" s="54">
        <f ca="1">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1001</v>
      </c>
    </row>
    <row r="120" spans="1:16" s="2" customFormat="1" hidden="1" x14ac:dyDescent="0.35">
      <c r="A120" s="115" t="str">
        <f t="shared" ca="1" si="3"/>
        <v>102,..,1002</v>
      </c>
      <c r="B120" s="116"/>
      <c r="C120" s="13" t="s">
        <v>157</v>
      </c>
      <c r="D120" s="13">
        <f>(33.03+2.7+0.75*(2.75+2.75))*10.764</f>
        <v>428.99922000000004</v>
      </c>
      <c r="E120" s="41">
        <v>0</v>
      </c>
      <c r="F120" s="64">
        <v>627</v>
      </c>
      <c r="G120" s="115" t="str">
        <f t="shared" ref="G120:G126" si="6">G119</f>
        <v>1st to 7th, 9th &amp; 10th Floor for Residential</v>
      </c>
      <c r="H120" s="116"/>
      <c r="I120" s="32">
        <f t="shared" ref="I120:I126" si="7">F120*3750+448500</f>
        <v>2799750</v>
      </c>
      <c r="J120" s="74">
        <f t="shared" si="4"/>
        <v>1.4615411188859504</v>
      </c>
      <c r="K120" s="74"/>
      <c r="M120" s="40"/>
      <c r="N120" s="51" t="str">
        <f t="shared" ca="1" si="5"/>
        <v>102,..,1002</v>
      </c>
      <c r="O120" s="2">
        <f t="shared" ref="O120:P123" ca="1" si="8">O119+1</f>
        <v>102</v>
      </c>
      <c r="P120" s="2">
        <f t="shared" ca="1" si="8"/>
        <v>1002</v>
      </c>
    </row>
    <row r="121" spans="1:16" s="2" customFormat="1" hidden="1" x14ac:dyDescent="0.35">
      <c r="A121" s="115" t="str">
        <f t="shared" ca="1" si="3"/>
        <v>103,..,1003</v>
      </c>
      <c r="B121" s="116"/>
      <c r="C121" s="13" t="s">
        <v>157</v>
      </c>
      <c r="D121" s="13">
        <f>(35.94+0.75*(2.75+2.75))*10.764</f>
        <v>431.25965999999994</v>
      </c>
      <c r="E121" s="41">
        <v>0</v>
      </c>
      <c r="F121" s="64">
        <v>641</v>
      </c>
      <c r="G121" s="115" t="str">
        <f t="shared" si="6"/>
        <v>1st to 7th, 9th &amp; 10th Floor for Residential</v>
      </c>
      <c r="H121" s="116"/>
      <c r="I121" s="32">
        <f t="shared" si="7"/>
        <v>2852250</v>
      </c>
      <c r="J121" s="74">
        <f t="shared" si="4"/>
        <v>1.4863435174994111</v>
      </c>
      <c r="K121" s="74"/>
      <c r="M121" s="40"/>
      <c r="N121" s="51" t="str">
        <f t="shared" ca="1" si="5"/>
        <v>103,..,1003</v>
      </c>
      <c r="O121" s="2">
        <f t="shared" ca="1" si="8"/>
        <v>103</v>
      </c>
      <c r="P121" s="2">
        <f t="shared" ca="1" si="8"/>
        <v>1003</v>
      </c>
    </row>
    <row r="122" spans="1:16" s="2" customFormat="1" hidden="1" x14ac:dyDescent="0.35">
      <c r="A122" s="115" t="str">
        <f t="shared" ca="1" si="3"/>
        <v>104,..,1004</v>
      </c>
      <c r="B122" s="116"/>
      <c r="C122" s="31" t="s">
        <v>157</v>
      </c>
      <c r="D122" s="31">
        <f>(35.94+0.75*(2.75+2.75))*10.764</f>
        <v>431.25965999999994</v>
      </c>
      <c r="E122" s="41">
        <v>0</v>
      </c>
      <c r="F122" s="64">
        <v>641</v>
      </c>
      <c r="G122" s="115" t="str">
        <f t="shared" si="6"/>
        <v>1st to 7th, 9th &amp; 10th Floor for Residential</v>
      </c>
      <c r="H122" s="116"/>
      <c r="I122" s="32">
        <f t="shared" si="7"/>
        <v>2852250</v>
      </c>
      <c r="J122" s="74">
        <f t="shared" si="4"/>
        <v>1.4863435174994111</v>
      </c>
      <c r="K122" s="74"/>
      <c r="M122" s="40"/>
      <c r="N122" s="51" t="str">
        <f t="shared" ca="1" si="5"/>
        <v>104,..,1004</v>
      </c>
      <c r="O122" s="2">
        <f t="shared" ca="1" si="8"/>
        <v>104</v>
      </c>
      <c r="P122" s="2">
        <f t="shared" ca="1" si="8"/>
        <v>1004</v>
      </c>
    </row>
    <row r="123" spans="1:16" s="2" customFormat="1" hidden="1" x14ac:dyDescent="0.35">
      <c r="A123" s="115" t="str">
        <f t="shared" ca="1" si="3"/>
        <v>105,..,1005</v>
      </c>
      <c r="B123" s="116"/>
      <c r="C123" s="31" t="s">
        <v>158</v>
      </c>
      <c r="D123" s="31">
        <f>(51.7+0.75*(2+3.05+2.2))*10.764</f>
        <v>615.02805000000001</v>
      </c>
      <c r="E123" s="41">
        <v>0</v>
      </c>
      <c r="F123" s="64">
        <v>915</v>
      </c>
      <c r="G123" s="115" t="str">
        <f t="shared" si="6"/>
        <v>1st to 7th, 9th &amp; 10th Floor for Residential</v>
      </c>
      <c r="H123" s="116"/>
      <c r="I123" s="32">
        <f t="shared" si="7"/>
        <v>3879750</v>
      </c>
      <c r="J123" s="74">
        <f t="shared" si="4"/>
        <v>1.4877370227260367</v>
      </c>
      <c r="K123" s="74"/>
      <c r="M123" s="40"/>
      <c r="N123" s="51" t="str">
        <f t="shared" ca="1" si="5"/>
        <v>105,..,1005</v>
      </c>
      <c r="O123" s="2">
        <f t="shared" ca="1" si="8"/>
        <v>105</v>
      </c>
      <c r="P123" s="2">
        <f t="shared" ca="1" si="8"/>
        <v>1005</v>
      </c>
    </row>
    <row r="124" spans="1:16" s="34" customFormat="1" hidden="1" x14ac:dyDescent="0.35">
      <c r="A124" s="115" t="str">
        <f t="shared" ca="1" si="3"/>
        <v>106,..,1006</v>
      </c>
      <c r="B124" s="116"/>
      <c r="C124" s="35" t="s">
        <v>158</v>
      </c>
      <c r="D124" s="35">
        <f>(51.7+0.75*(2.4+3.05+2.2))*10.764</f>
        <v>618.25725</v>
      </c>
      <c r="E124" s="41">
        <v>0</v>
      </c>
      <c r="F124" s="64">
        <v>915</v>
      </c>
      <c r="G124" s="115" t="str">
        <f t="shared" si="6"/>
        <v>1st to 7th, 9th &amp; 10th Floor for Residential</v>
      </c>
      <c r="H124" s="116"/>
      <c r="I124" s="32">
        <f t="shared" si="7"/>
        <v>3879750</v>
      </c>
      <c r="J124" s="74">
        <f t="shared" si="4"/>
        <v>1.4799664702678375</v>
      </c>
      <c r="K124" s="74"/>
      <c r="M124" s="40"/>
      <c r="N124" s="51" t="str">
        <f t="shared" ca="1" si="5"/>
        <v>106,..,1006</v>
      </c>
      <c r="O124" s="34">
        <f ca="1">O123+1</f>
        <v>106</v>
      </c>
      <c r="P124" s="34">
        <f ca="1">P123+1</f>
        <v>1006</v>
      </c>
    </row>
    <row r="125" spans="1:16" s="58" customFormat="1" hidden="1" x14ac:dyDescent="0.35">
      <c r="A125" s="115" t="str">
        <f t="shared" ref="A125:A126" ca="1" si="9">N125</f>
        <v>107,..,1007</v>
      </c>
      <c r="B125" s="116"/>
      <c r="C125" s="57" t="s">
        <v>157</v>
      </c>
      <c r="D125" s="57">
        <f>(34.895+0.75*(2.75+2.75))*10.764</f>
        <v>420.01128</v>
      </c>
      <c r="E125" s="57">
        <v>0</v>
      </c>
      <c r="F125" s="64">
        <v>623</v>
      </c>
      <c r="G125" s="115" t="str">
        <f t="shared" si="6"/>
        <v>1st to 7th, 9th &amp; 10th Floor for Residential</v>
      </c>
      <c r="H125" s="116"/>
      <c r="I125" s="32">
        <f t="shared" si="7"/>
        <v>2784750</v>
      </c>
      <c r="J125" s="74">
        <f t="shared" si="4"/>
        <v>1.483293496308004</v>
      </c>
      <c r="K125" s="74"/>
      <c r="N125" s="58" t="str">
        <f t="shared" ref="N125:N126" ca="1" si="10">O125&amp;""&amp;",..,"&amp;""&amp;P125</f>
        <v>107,..,1007</v>
      </c>
      <c r="O125" s="58">
        <f t="shared" ref="O125:P125" ca="1" si="11">O124+1</f>
        <v>107</v>
      </c>
      <c r="P125" s="58">
        <f t="shared" ca="1" si="11"/>
        <v>1007</v>
      </c>
    </row>
    <row r="126" spans="1:16" s="58" customFormat="1" hidden="1" x14ac:dyDescent="0.35">
      <c r="A126" s="115" t="str">
        <f t="shared" ca="1" si="9"/>
        <v>108,..,1008</v>
      </c>
      <c r="B126" s="116"/>
      <c r="C126" s="57" t="s">
        <v>157</v>
      </c>
      <c r="D126" s="57">
        <f>(34.895+0.75*(2.75+2.75))*10.764</f>
        <v>420.01128</v>
      </c>
      <c r="E126" s="57">
        <v>0</v>
      </c>
      <c r="F126" s="64">
        <v>623</v>
      </c>
      <c r="G126" s="115" t="str">
        <f t="shared" si="6"/>
        <v>1st to 7th, 9th &amp; 10th Floor for Residential</v>
      </c>
      <c r="H126" s="116"/>
      <c r="I126" s="32">
        <f t="shared" si="7"/>
        <v>2784750</v>
      </c>
      <c r="J126" s="74">
        <f t="shared" si="4"/>
        <v>1.483293496308004</v>
      </c>
      <c r="K126" s="74"/>
      <c r="N126" s="58" t="str">
        <f t="shared" ca="1" si="10"/>
        <v>108,..,1008</v>
      </c>
      <c r="O126" s="58">
        <f ca="1">O125+1</f>
        <v>108</v>
      </c>
      <c r="P126" s="58">
        <f ca="1">P125+1</f>
        <v>1008</v>
      </c>
    </row>
    <row r="127" spans="1:16" s="2" customFormat="1" hidden="1" x14ac:dyDescent="0.35">
      <c r="A127" s="114" t="s">
        <v>159</v>
      </c>
      <c r="B127" s="114"/>
      <c r="C127" s="114"/>
      <c r="D127" s="114"/>
      <c r="E127" s="114"/>
      <c r="F127" s="114"/>
      <c r="G127" s="114"/>
      <c r="H127" s="114"/>
      <c r="I127" s="32"/>
      <c r="K127" s="61"/>
      <c r="L127" s="146"/>
      <c r="M127" s="146"/>
    </row>
    <row r="128" spans="1:16" s="2" customFormat="1" hidden="1" x14ac:dyDescent="0.35">
      <c r="A128" s="97">
        <f>LEFT(A127,SUM(LEN(A127)-LEN(SUBSTITUTE(A127,{"0","1","2","3","4","5","6","7","8","9"},""))))*100+1</f>
        <v>801</v>
      </c>
      <c r="B128" s="97"/>
      <c r="C128" s="60" t="s">
        <v>157</v>
      </c>
      <c r="D128" s="60">
        <f>(33.03+2.7+0.75*(2.75+2.75))*10.764</f>
        <v>428.99922000000004</v>
      </c>
      <c r="E128" s="60">
        <v>0</v>
      </c>
      <c r="F128" s="65">
        <v>627</v>
      </c>
      <c r="G128" s="97" t="str">
        <f>A127</f>
        <v>8th Floor (Part Refuge Area)</v>
      </c>
      <c r="H128" s="97"/>
      <c r="I128" s="32"/>
      <c r="J128" s="74">
        <f>(F128-E128)/D128</f>
        <v>1.4615411188859504</v>
      </c>
      <c r="L128" s="40"/>
      <c r="M128" s="40"/>
      <c r="N128" s="32"/>
    </row>
    <row r="129" spans="1:14" s="2" customFormat="1" hidden="1" x14ac:dyDescent="0.35">
      <c r="A129" s="97">
        <f t="shared" ref="A129:A135" si="12">A128+1</f>
        <v>802</v>
      </c>
      <c r="B129" s="97"/>
      <c r="C129" s="60" t="s">
        <v>157</v>
      </c>
      <c r="D129" s="60">
        <f>(33.03+2.7+0.75*(2.75+2.75))*10.764</f>
        <v>428.99922000000004</v>
      </c>
      <c r="E129" s="60">
        <v>0</v>
      </c>
      <c r="F129" s="65">
        <v>627</v>
      </c>
      <c r="G129" s="97" t="str">
        <f t="shared" ref="G129:G135" si="13">G128</f>
        <v>8th Floor (Part Refuge Area)</v>
      </c>
      <c r="H129" s="97"/>
      <c r="I129" s="32"/>
      <c r="J129" s="74">
        <f t="shared" ref="J129:J140" si="14">(F129-E129)/D129</f>
        <v>1.4615411188859504</v>
      </c>
      <c r="L129" s="40"/>
      <c r="M129" s="40"/>
      <c r="N129" s="32"/>
    </row>
    <row r="130" spans="1:14" s="2" customFormat="1" hidden="1" x14ac:dyDescent="0.35">
      <c r="A130" s="97">
        <f t="shared" si="12"/>
        <v>803</v>
      </c>
      <c r="B130" s="97"/>
      <c r="C130" s="60" t="s">
        <v>157</v>
      </c>
      <c r="D130" s="60">
        <f>(35.94+0.75*(2.75+2.75))*10.764</f>
        <v>431.25965999999994</v>
      </c>
      <c r="E130" s="60">
        <v>0</v>
      </c>
      <c r="F130" s="65">
        <v>641</v>
      </c>
      <c r="G130" s="97" t="str">
        <f t="shared" si="13"/>
        <v>8th Floor (Part Refuge Area)</v>
      </c>
      <c r="H130" s="97"/>
      <c r="I130" s="32"/>
      <c r="J130" s="74">
        <f t="shared" si="14"/>
        <v>1.4863435174994111</v>
      </c>
      <c r="L130" s="40"/>
      <c r="M130" s="40"/>
      <c r="N130" s="32"/>
    </row>
    <row r="131" spans="1:14" s="2" customFormat="1" hidden="1" x14ac:dyDescent="0.35">
      <c r="A131" s="97">
        <f t="shared" si="12"/>
        <v>804</v>
      </c>
      <c r="B131" s="97"/>
      <c r="C131" s="60" t="s">
        <v>157</v>
      </c>
      <c r="D131" s="60">
        <f>(35.94+0.75*(2.75+2.75))*10.764</f>
        <v>431.25965999999994</v>
      </c>
      <c r="E131" s="60">
        <v>0</v>
      </c>
      <c r="F131" s="65">
        <v>641</v>
      </c>
      <c r="G131" s="97" t="str">
        <f t="shared" si="13"/>
        <v>8th Floor (Part Refuge Area)</v>
      </c>
      <c r="H131" s="97"/>
      <c r="I131" s="32"/>
      <c r="J131" s="74">
        <f t="shared" si="14"/>
        <v>1.4863435174994111</v>
      </c>
      <c r="L131" s="40"/>
      <c r="M131" s="40"/>
      <c r="N131" s="32"/>
    </row>
    <row r="132" spans="1:14" s="2" customFormat="1" hidden="1" x14ac:dyDescent="0.35">
      <c r="A132" s="97">
        <f t="shared" si="12"/>
        <v>805</v>
      </c>
      <c r="B132" s="97"/>
      <c r="C132" s="60" t="s">
        <v>158</v>
      </c>
      <c r="D132" s="60">
        <f>(51.7+0.75*(2.4+3.05+2.2))*10.764</f>
        <v>618.25725</v>
      </c>
      <c r="E132" s="60">
        <v>0</v>
      </c>
      <c r="F132" s="65">
        <v>915</v>
      </c>
      <c r="G132" s="97" t="str">
        <f t="shared" si="13"/>
        <v>8th Floor (Part Refuge Area)</v>
      </c>
      <c r="H132" s="97"/>
      <c r="I132" s="32"/>
      <c r="J132" s="74">
        <f t="shared" si="14"/>
        <v>1.4799664702678375</v>
      </c>
      <c r="L132" s="40"/>
      <c r="M132" s="40"/>
      <c r="N132" s="32"/>
    </row>
    <row r="133" spans="1:14" s="2" customFormat="1" hidden="1" x14ac:dyDescent="0.35">
      <c r="A133" s="97">
        <f t="shared" si="12"/>
        <v>806</v>
      </c>
      <c r="B133" s="97"/>
      <c r="C133" s="60" t="s">
        <v>158</v>
      </c>
      <c r="D133" s="60">
        <f>(51.7+0.75*(2.4+3.05+2.2))*10.764</f>
        <v>618.25725</v>
      </c>
      <c r="E133" s="60">
        <v>0</v>
      </c>
      <c r="F133" s="65">
        <v>915</v>
      </c>
      <c r="G133" s="97" t="str">
        <f t="shared" si="13"/>
        <v>8th Floor (Part Refuge Area)</v>
      </c>
      <c r="H133" s="97"/>
      <c r="I133" s="32"/>
      <c r="J133" s="74">
        <f t="shared" si="14"/>
        <v>1.4799664702678375</v>
      </c>
      <c r="L133" s="40"/>
      <c r="M133" s="40"/>
      <c r="N133" s="32"/>
    </row>
    <row r="134" spans="1:14" s="58" customFormat="1" hidden="1" x14ac:dyDescent="0.35">
      <c r="A134" s="97">
        <f t="shared" si="12"/>
        <v>807</v>
      </c>
      <c r="B134" s="97"/>
      <c r="C134" s="97" t="s">
        <v>160</v>
      </c>
      <c r="D134" s="97"/>
      <c r="E134" s="97"/>
      <c r="F134" s="97"/>
      <c r="G134" s="97" t="str">
        <f t="shared" si="13"/>
        <v>8th Floor (Part Refuge Area)</v>
      </c>
      <c r="H134" s="97"/>
      <c r="I134" s="32"/>
      <c r="J134" s="61"/>
      <c r="N134" s="32"/>
    </row>
    <row r="135" spans="1:14" s="58" customFormat="1" hidden="1" x14ac:dyDescent="0.35">
      <c r="A135" s="97">
        <f t="shared" si="12"/>
        <v>808</v>
      </c>
      <c r="B135" s="97"/>
      <c r="C135" s="60" t="s">
        <v>157</v>
      </c>
      <c r="D135" s="60">
        <f>(34.895+0.75*(2.75+2.75))*10.764</f>
        <v>420.01128</v>
      </c>
      <c r="E135" s="60">
        <v>0</v>
      </c>
      <c r="F135" s="65">
        <v>623</v>
      </c>
      <c r="G135" s="97" t="str">
        <f t="shared" si="13"/>
        <v>8th Floor (Part Refuge Area)</v>
      </c>
      <c r="H135" s="97"/>
      <c r="I135" s="32"/>
      <c r="J135" s="74">
        <f t="shared" si="14"/>
        <v>1.483293496308004</v>
      </c>
      <c r="N135" s="32"/>
    </row>
    <row r="136" spans="1:14" s="58" customFormat="1" hidden="1" x14ac:dyDescent="0.35">
      <c r="A136" s="114" t="s">
        <v>161</v>
      </c>
      <c r="B136" s="114"/>
      <c r="C136" s="114"/>
      <c r="D136" s="114"/>
      <c r="E136" s="114"/>
      <c r="F136" s="114"/>
      <c r="G136" s="114"/>
      <c r="H136" s="114"/>
      <c r="I136" s="32"/>
      <c r="J136" s="61"/>
      <c r="L136" s="146"/>
      <c r="M136" s="146"/>
    </row>
    <row r="137" spans="1:14" s="58" customFormat="1" hidden="1" x14ac:dyDescent="0.35">
      <c r="A137" s="97">
        <v>1102</v>
      </c>
      <c r="B137" s="97"/>
      <c r="C137" s="57" t="s">
        <v>157</v>
      </c>
      <c r="D137" s="57">
        <f>(33.03+2.7+0.75*(2.75+2.75))*10.764</f>
        <v>428.99922000000004</v>
      </c>
      <c r="E137" s="57">
        <f>(2.7*4.2+2.7*4.8+1.15*1.4+3.05*3.45)*10.764</f>
        <v>392.15943000000004</v>
      </c>
      <c r="F137" s="65">
        <v>815</v>
      </c>
      <c r="G137" s="97" t="str">
        <f>A136</f>
        <v>11th Floor</v>
      </c>
      <c r="H137" s="97"/>
      <c r="I137" s="32">
        <f>3423000/F137</f>
        <v>4200</v>
      </c>
      <c r="J137" s="74">
        <f t="shared" si="14"/>
        <v>0.98564414639262032</v>
      </c>
      <c r="N137" s="32"/>
    </row>
    <row r="138" spans="1:14" s="58" customFormat="1" hidden="1" x14ac:dyDescent="0.35">
      <c r="A138" s="97">
        <v>1104</v>
      </c>
      <c r="B138" s="97"/>
      <c r="C138" s="57" t="s">
        <v>157</v>
      </c>
      <c r="D138" s="57">
        <f>(35.94+0.75*(2.75+2.75))*10.764</f>
        <v>431.25965999999994</v>
      </c>
      <c r="E138" s="57">
        <f>(2.85*4.1+2.6*4.8+2.7*3.35+1.75*1.3+1.3*0.7)*10.764</f>
        <v>391.75577999999996</v>
      </c>
      <c r="F138" s="65">
        <v>834</v>
      </c>
      <c r="G138" s="97" t="str">
        <f>A136</f>
        <v>11th Floor</v>
      </c>
      <c r="H138" s="97"/>
      <c r="I138" s="32"/>
      <c r="J138" s="74">
        <f t="shared" si="14"/>
        <v>1.0254708729307074</v>
      </c>
      <c r="N138" s="32"/>
    </row>
    <row r="139" spans="1:14" s="58" customFormat="1" hidden="1" x14ac:dyDescent="0.35">
      <c r="A139" s="97">
        <f>A138+1</f>
        <v>1105</v>
      </c>
      <c r="B139" s="97"/>
      <c r="C139" s="57" t="s">
        <v>158</v>
      </c>
      <c r="D139" s="57">
        <f>(51.7+0.75*(2.4+3.05+2.2))*10.764</f>
        <v>618.25725</v>
      </c>
      <c r="E139" s="57">
        <f>(4.4*6.1+2.7*3.5+2.1*5.2+1.1*3.8)*10.764</f>
        <v>553.16196000000002</v>
      </c>
      <c r="F139" s="65">
        <v>1193</v>
      </c>
      <c r="G139" s="97" t="str">
        <f>G138</f>
        <v>11th Floor</v>
      </c>
      <c r="H139" s="97"/>
      <c r="I139" s="32"/>
      <c r="J139" s="74">
        <f t="shared" si="14"/>
        <v>1.0349058421878594</v>
      </c>
      <c r="N139" s="32"/>
    </row>
    <row r="140" spans="1:14" s="58" customFormat="1" hidden="1" x14ac:dyDescent="0.35">
      <c r="A140" s="97">
        <v>1107</v>
      </c>
      <c r="B140" s="97"/>
      <c r="C140" s="57" t="s">
        <v>157</v>
      </c>
      <c r="D140" s="57">
        <f>(34.89+0.75*(2.85+2.75))*10.764</f>
        <v>420.76476000000002</v>
      </c>
      <c r="E140" s="57">
        <f>(2.7*3.4+2.6*4.8+2.7*4.4+1.5*1.4)*10.764</f>
        <v>383.62896000000006</v>
      </c>
      <c r="F140" s="65">
        <v>811</v>
      </c>
      <c r="G140" s="97" t="str">
        <f>A136</f>
        <v>11th Floor</v>
      </c>
      <c r="H140" s="97"/>
      <c r="I140" s="32"/>
      <c r="J140" s="74">
        <f t="shared" si="14"/>
        <v>1.0157006494555292</v>
      </c>
      <c r="N140" s="32"/>
    </row>
    <row r="141" spans="1:14" s="1" customFormat="1" x14ac:dyDescent="0.35">
      <c r="A141" s="163" t="s">
        <v>71</v>
      </c>
      <c r="B141" s="163"/>
      <c r="C141" s="163"/>
      <c r="D141" s="163"/>
      <c r="E141" s="163"/>
      <c r="F141" s="163"/>
      <c r="G141" s="163"/>
      <c r="H141" s="163"/>
    </row>
    <row r="142" spans="1:14" s="1" customFormat="1" x14ac:dyDescent="0.35">
      <c r="A142" s="42">
        <v>1</v>
      </c>
      <c r="B142" s="160" t="s">
        <v>198</v>
      </c>
      <c r="C142" s="161"/>
      <c r="D142" s="161"/>
      <c r="E142" s="161"/>
      <c r="F142" s="161"/>
      <c r="G142" s="161"/>
      <c r="H142" s="162"/>
    </row>
    <row r="143" spans="1:14" s="1" customFormat="1" x14ac:dyDescent="0.35">
      <c r="A143" s="42">
        <f t="shared" ref="A143:A149" si="15">A142+1</f>
        <v>2</v>
      </c>
      <c r="B143" s="160" t="str">
        <f>(IF(F115="Saleable area Loading :","We have considered Saleable area of Flats as per our Calculation.","We considered Saleable area of Flat as per Builder area Sheet."))</f>
        <v>We considered Saleable area of Flat as per Builder area Sheet.</v>
      </c>
      <c r="C143" s="161"/>
      <c r="D143" s="161"/>
      <c r="E143" s="161"/>
      <c r="F143" s="161"/>
      <c r="G143" s="161"/>
      <c r="H143" s="162"/>
    </row>
    <row r="144" spans="1:14" s="1" customFormat="1" x14ac:dyDescent="0.35">
      <c r="A144" s="52">
        <v>3</v>
      </c>
      <c r="B144" s="89" t="s">
        <v>127</v>
      </c>
      <c r="C144" s="90"/>
      <c r="D144" s="90"/>
      <c r="E144" s="90"/>
      <c r="F144" s="90"/>
      <c r="G144" s="90"/>
      <c r="H144" s="91"/>
    </row>
    <row r="145" spans="1:8" s="1" customFormat="1" x14ac:dyDescent="0.35">
      <c r="A145" s="56">
        <f t="shared" si="15"/>
        <v>4</v>
      </c>
      <c r="B145" s="89" t="s">
        <v>155</v>
      </c>
      <c r="C145" s="90"/>
      <c r="D145" s="90"/>
      <c r="E145" s="90"/>
      <c r="F145" s="90"/>
      <c r="G145" s="90"/>
      <c r="H145" s="91"/>
    </row>
    <row r="146" spans="1:8" s="1" customFormat="1" x14ac:dyDescent="0.35">
      <c r="A146" s="56">
        <f t="shared" si="15"/>
        <v>5</v>
      </c>
      <c r="B146" s="89" t="s">
        <v>213</v>
      </c>
      <c r="C146" s="90"/>
      <c r="D146" s="90"/>
      <c r="E146" s="90"/>
      <c r="F146" s="90"/>
      <c r="G146" s="90"/>
      <c r="H146" s="91"/>
    </row>
    <row r="147" spans="1:8" s="1" customFormat="1" x14ac:dyDescent="0.35">
      <c r="A147" s="56">
        <f t="shared" si="15"/>
        <v>6</v>
      </c>
      <c r="B147" s="89" t="s">
        <v>128</v>
      </c>
      <c r="C147" s="90"/>
      <c r="D147" s="90"/>
      <c r="E147" s="90"/>
      <c r="F147" s="90"/>
      <c r="G147" s="90"/>
      <c r="H147" s="91"/>
    </row>
    <row r="148" spans="1:8" s="1" customFormat="1" x14ac:dyDescent="0.35">
      <c r="A148" s="56">
        <f t="shared" si="15"/>
        <v>7</v>
      </c>
      <c r="B148" s="89" t="s">
        <v>129</v>
      </c>
      <c r="C148" s="90"/>
      <c r="D148" s="90"/>
      <c r="E148" s="90"/>
      <c r="F148" s="90"/>
      <c r="G148" s="90"/>
      <c r="H148" s="91"/>
    </row>
    <row r="149" spans="1:8" s="1" customFormat="1" hidden="1" x14ac:dyDescent="0.35">
      <c r="A149" s="56">
        <f t="shared" si="15"/>
        <v>8</v>
      </c>
      <c r="B149" s="106" t="s">
        <v>130</v>
      </c>
      <c r="C149" s="107"/>
      <c r="D149" s="107"/>
      <c r="E149" s="107"/>
      <c r="F149" s="107"/>
      <c r="G149" s="107"/>
      <c r="H149" s="108"/>
    </row>
    <row r="150" spans="1:8" s="1" customFormat="1" x14ac:dyDescent="0.35">
      <c r="A150" s="78">
        <v>8</v>
      </c>
      <c r="B150" s="89" t="s">
        <v>201</v>
      </c>
      <c r="C150" s="90"/>
      <c r="D150" s="90"/>
      <c r="E150" s="90"/>
      <c r="F150" s="90"/>
      <c r="G150" s="90"/>
      <c r="H150" s="91"/>
    </row>
    <row r="151" spans="1:8" s="1" customFormat="1" x14ac:dyDescent="0.35">
      <c r="A151" s="78">
        <f>A150+1</f>
        <v>9</v>
      </c>
      <c r="B151" s="89" t="s">
        <v>212</v>
      </c>
      <c r="C151" s="90"/>
      <c r="D151" s="90"/>
      <c r="E151" s="90"/>
      <c r="F151" s="90"/>
      <c r="G151" s="90"/>
      <c r="H151" s="91"/>
    </row>
    <row r="152" spans="1:8" s="1" customFormat="1" x14ac:dyDescent="0.35">
      <c r="A152" s="80">
        <f>A151+1</f>
        <v>10</v>
      </c>
      <c r="B152" s="89" t="s">
        <v>217</v>
      </c>
      <c r="C152" s="90"/>
      <c r="D152" s="90"/>
      <c r="E152" s="90"/>
      <c r="F152" s="90"/>
      <c r="G152" s="90"/>
      <c r="H152" s="91"/>
    </row>
    <row r="153" spans="1:8" x14ac:dyDescent="0.35">
      <c r="A153" s="119" t="s">
        <v>64</v>
      </c>
      <c r="B153" s="119"/>
      <c r="C153" s="119"/>
      <c r="D153" s="119"/>
      <c r="E153" s="119"/>
      <c r="F153" s="119"/>
      <c r="G153" s="119"/>
      <c r="H153" s="119"/>
    </row>
    <row r="154" spans="1:8" x14ac:dyDescent="0.35">
      <c r="A154" s="96" t="s">
        <v>65</v>
      </c>
      <c r="B154" s="96"/>
      <c r="C154" s="96"/>
      <c r="D154" s="96"/>
      <c r="E154" s="96"/>
      <c r="F154" s="96"/>
      <c r="G154" s="96"/>
      <c r="H154" s="96"/>
    </row>
    <row r="155" spans="1:8" ht="15.75" customHeight="1" x14ac:dyDescent="0.35">
      <c r="A155" s="98" t="s">
        <v>66</v>
      </c>
      <c r="B155" s="98"/>
      <c r="C155" s="98"/>
      <c r="D155" s="98"/>
      <c r="E155" s="98"/>
      <c r="F155" s="98"/>
      <c r="G155" s="98"/>
      <c r="H155" s="98"/>
    </row>
    <row r="156" spans="1:8" x14ac:dyDescent="0.35">
      <c r="A156" s="96" t="s">
        <v>67</v>
      </c>
      <c r="B156" s="96"/>
      <c r="C156" s="96"/>
      <c r="D156" s="96"/>
      <c r="E156" s="96"/>
      <c r="F156" s="96"/>
      <c r="G156" s="96"/>
      <c r="H156" s="96"/>
    </row>
    <row r="157" spans="1:8" x14ac:dyDescent="0.35">
      <c r="A157" s="96" t="s">
        <v>68</v>
      </c>
      <c r="B157" s="96"/>
      <c r="C157" s="96"/>
      <c r="D157" s="96"/>
      <c r="E157" s="96"/>
      <c r="F157" s="96"/>
      <c r="G157" s="96"/>
      <c r="H157" s="96"/>
    </row>
    <row r="158" spans="1:8" x14ac:dyDescent="0.35">
      <c r="A158" s="96" t="s">
        <v>131</v>
      </c>
      <c r="B158" s="96"/>
      <c r="C158" s="96"/>
      <c r="D158" s="96"/>
      <c r="E158" s="96"/>
      <c r="F158" s="96"/>
      <c r="G158" s="96"/>
      <c r="H158" s="96"/>
    </row>
    <row r="159" spans="1:8" ht="35.25" customHeight="1" x14ac:dyDescent="0.35">
      <c r="A159" s="118" t="s">
        <v>132</v>
      </c>
      <c r="B159" s="118"/>
      <c r="C159" s="118"/>
      <c r="D159" s="118"/>
      <c r="E159" s="118"/>
      <c r="F159" s="118"/>
      <c r="G159" s="118"/>
      <c r="H159" s="118"/>
    </row>
    <row r="160" spans="1:8" x14ac:dyDescent="0.35">
      <c r="A160" s="111" t="s">
        <v>80</v>
      </c>
      <c r="B160" s="111"/>
      <c r="C160" s="111" t="s">
        <v>200</v>
      </c>
      <c r="D160" s="111"/>
      <c r="E160" s="111" t="s">
        <v>110</v>
      </c>
      <c r="F160" s="111"/>
      <c r="G160" s="111" t="s">
        <v>199</v>
      </c>
      <c r="H160" s="111"/>
    </row>
    <row r="161" spans="1:8" x14ac:dyDescent="0.35">
      <c r="A161" s="110" t="s">
        <v>82</v>
      </c>
      <c r="B161" s="110"/>
      <c r="C161" s="110"/>
      <c r="D161" s="110"/>
      <c r="E161" s="110"/>
      <c r="F161" s="110"/>
      <c r="G161" s="110"/>
      <c r="H161" s="110"/>
    </row>
    <row r="162" spans="1:8" x14ac:dyDescent="0.35">
      <c r="A162" s="110"/>
      <c r="B162" s="110"/>
      <c r="C162" s="110"/>
      <c r="D162" s="110"/>
      <c r="E162" s="110"/>
      <c r="F162" s="110"/>
      <c r="G162" s="110"/>
      <c r="H162" s="110"/>
    </row>
    <row r="163" spans="1:8" x14ac:dyDescent="0.35">
      <c r="A163" s="110"/>
      <c r="B163" s="110"/>
      <c r="C163" s="110"/>
      <c r="D163" s="110"/>
      <c r="E163" s="110"/>
      <c r="F163" s="110"/>
      <c r="G163" s="110"/>
      <c r="H163" s="110"/>
    </row>
    <row r="164" spans="1:8" x14ac:dyDescent="0.35">
      <c r="A164" s="110"/>
      <c r="B164" s="110"/>
      <c r="C164" s="110"/>
      <c r="D164" s="110"/>
      <c r="E164" s="110"/>
      <c r="F164" s="110"/>
      <c r="G164" s="110"/>
      <c r="H164" s="110"/>
    </row>
    <row r="165" spans="1:8" x14ac:dyDescent="0.35">
      <c r="A165" s="8" t="s">
        <v>69</v>
      </c>
      <c r="B165" s="9"/>
      <c r="C165" s="9"/>
      <c r="D165" s="8" t="str">
        <f>E8</f>
        <v>Krishna Valley - Phase III</v>
      </c>
      <c r="F165" s="9"/>
      <c r="G165" s="9"/>
      <c r="H165" s="9"/>
    </row>
    <row r="166" spans="1:8" x14ac:dyDescent="0.35">
      <c r="A166" s="9"/>
      <c r="B166" s="9"/>
      <c r="C166" s="9"/>
      <c r="D166" s="9"/>
      <c r="E166" s="9"/>
      <c r="F166" s="9"/>
      <c r="G166" s="9"/>
      <c r="H166" s="9"/>
    </row>
    <row r="167" spans="1:8" x14ac:dyDescent="0.35">
      <c r="A167" s="9"/>
      <c r="B167" s="9"/>
      <c r="C167" s="9"/>
      <c r="D167" s="9"/>
      <c r="E167" s="9"/>
      <c r="F167" s="9"/>
      <c r="G167" s="9"/>
      <c r="H167" s="9"/>
    </row>
    <row r="168" spans="1:8" ht="15" customHeight="1" x14ac:dyDescent="0.35"/>
    <row r="208" spans="1:1" x14ac:dyDescent="0.35">
      <c r="A208" s="11" t="s">
        <v>70</v>
      </c>
    </row>
  </sheetData>
  <mergeCells count="287">
    <mergeCell ref="L114:M114"/>
    <mergeCell ref="A113:B113"/>
    <mergeCell ref="C109:H109"/>
    <mergeCell ref="A93:C93"/>
    <mergeCell ref="B152:H152"/>
    <mergeCell ref="A98:H98"/>
    <mergeCell ref="A100:H100"/>
    <mergeCell ref="A101:B101"/>
    <mergeCell ref="A102:B102"/>
    <mergeCell ref="A103:B103"/>
    <mergeCell ref="A104:B104"/>
    <mergeCell ref="A105:B105"/>
    <mergeCell ref="A99:H99"/>
    <mergeCell ref="A106:B106"/>
    <mergeCell ref="A107:H107"/>
    <mergeCell ref="A108:B108"/>
    <mergeCell ref="A109:B109"/>
    <mergeCell ref="A110:B110"/>
    <mergeCell ref="A111:B111"/>
    <mergeCell ref="A112:B112"/>
    <mergeCell ref="A114:H114"/>
    <mergeCell ref="C96:C97"/>
    <mergeCell ref="D96:D97"/>
    <mergeCell ref="E96:E97"/>
    <mergeCell ref="A42:D42"/>
    <mergeCell ref="A43:D43"/>
    <mergeCell ref="A44:H44"/>
    <mergeCell ref="D62:H62"/>
    <mergeCell ref="E67:F76"/>
    <mergeCell ref="G67:H76"/>
    <mergeCell ref="D55:H55"/>
    <mergeCell ref="D53:H53"/>
    <mergeCell ref="G50:H50"/>
    <mergeCell ref="A58:C58"/>
    <mergeCell ref="C49:H49"/>
    <mergeCell ref="D56:H56"/>
    <mergeCell ref="A75:B75"/>
    <mergeCell ref="A76:B76"/>
    <mergeCell ref="D57:H57"/>
    <mergeCell ref="D54:H54"/>
    <mergeCell ref="A54:C54"/>
    <mergeCell ref="A61:C61"/>
    <mergeCell ref="A55:C55"/>
    <mergeCell ref="L136:M136"/>
    <mergeCell ref="A45:B45"/>
    <mergeCell ref="C45:H45"/>
    <mergeCell ref="A48:B49"/>
    <mergeCell ref="A73:B73"/>
    <mergeCell ref="A66:B66"/>
    <mergeCell ref="A69:B69"/>
    <mergeCell ref="A95:H95"/>
    <mergeCell ref="A88:E88"/>
    <mergeCell ref="G129:H129"/>
    <mergeCell ref="A50:B50"/>
    <mergeCell ref="C50:E50"/>
    <mergeCell ref="A47:B47"/>
    <mergeCell ref="A51:H51"/>
    <mergeCell ref="A52:C52"/>
    <mergeCell ref="A53:C53"/>
    <mergeCell ref="A56:C56"/>
    <mergeCell ref="C63:H63"/>
    <mergeCell ref="F96:F97"/>
    <mergeCell ref="G96:G97"/>
    <mergeCell ref="L107:M107"/>
    <mergeCell ref="A136:H136"/>
    <mergeCell ref="G133:H133"/>
    <mergeCell ref="A74:B74"/>
    <mergeCell ref="B147:H147"/>
    <mergeCell ref="B142:H142"/>
    <mergeCell ref="B143:H143"/>
    <mergeCell ref="B144:H144"/>
    <mergeCell ref="B146:H146"/>
    <mergeCell ref="A117:H117"/>
    <mergeCell ref="A125:B125"/>
    <mergeCell ref="G125:H125"/>
    <mergeCell ref="A140:B140"/>
    <mergeCell ref="G140:H140"/>
    <mergeCell ref="A137:B137"/>
    <mergeCell ref="G137:H137"/>
    <mergeCell ref="A138:B138"/>
    <mergeCell ref="G138:H138"/>
    <mergeCell ref="A139:B139"/>
    <mergeCell ref="G139:H139"/>
    <mergeCell ref="A126:B126"/>
    <mergeCell ref="G126:H126"/>
    <mergeCell ref="A134:B134"/>
    <mergeCell ref="G134:H134"/>
    <mergeCell ref="A135:B135"/>
    <mergeCell ref="A141:H141"/>
    <mergeCell ref="A118:H118"/>
    <mergeCell ref="B145:H145"/>
    <mergeCell ref="A120:B120"/>
    <mergeCell ref="A40:D40"/>
    <mergeCell ref="E40:H40"/>
    <mergeCell ref="E41:H41"/>
    <mergeCell ref="E42:H42"/>
    <mergeCell ref="C134:F134"/>
    <mergeCell ref="D61:H61"/>
    <mergeCell ref="A67:B67"/>
    <mergeCell ref="G66:H66"/>
    <mergeCell ref="A65:B65"/>
    <mergeCell ref="A63:B63"/>
    <mergeCell ref="A60:C60"/>
    <mergeCell ref="D60:H60"/>
    <mergeCell ref="G121:H121"/>
    <mergeCell ref="A80:E80"/>
    <mergeCell ref="A70:B70"/>
    <mergeCell ref="E66:F66"/>
    <mergeCell ref="A62:C62"/>
    <mergeCell ref="A96:A97"/>
    <mergeCell ref="A71:B71"/>
    <mergeCell ref="C65:H65"/>
    <mergeCell ref="A57:C57"/>
    <mergeCell ref="E43:H43"/>
    <mergeCell ref="A41:D41"/>
    <mergeCell ref="G119:H119"/>
    <mergeCell ref="A85:E85"/>
    <mergeCell ref="A83:E83"/>
    <mergeCell ref="F83:H83"/>
    <mergeCell ref="A84:E84"/>
    <mergeCell ref="A87:E87"/>
    <mergeCell ref="F80:H80"/>
    <mergeCell ref="F85:H85"/>
    <mergeCell ref="F87:H87"/>
    <mergeCell ref="E93:F93"/>
    <mergeCell ref="G93:H93"/>
    <mergeCell ref="F84:H84"/>
    <mergeCell ref="A78:E78"/>
    <mergeCell ref="F79:H79"/>
    <mergeCell ref="A79:E79"/>
    <mergeCell ref="A81:E81"/>
    <mergeCell ref="A82:E82"/>
    <mergeCell ref="F82:H82"/>
    <mergeCell ref="F81:H81"/>
    <mergeCell ref="F88:H88"/>
    <mergeCell ref="A36:B36"/>
    <mergeCell ref="C36:H36"/>
    <mergeCell ref="C35:H35"/>
    <mergeCell ref="A86:E86"/>
    <mergeCell ref="L127:M127"/>
    <mergeCell ref="A132:B132"/>
    <mergeCell ref="A129:B129"/>
    <mergeCell ref="A130:B130"/>
    <mergeCell ref="A131:B131"/>
    <mergeCell ref="A124:B124"/>
    <mergeCell ref="G132:H132"/>
    <mergeCell ref="G123:H123"/>
    <mergeCell ref="G122:H122"/>
    <mergeCell ref="G124:H124"/>
    <mergeCell ref="A123:B123"/>
    <mergeCell ref="A122:B122"/>
    <mergeCell ref="G131:H131"/>
    <mergeCell ref="G128:H128"/>
    <mergeCell ref="B96:B97"/>
    <mergeCell ref="G120:H120"/>
    <mergeCell ref="A68:B68"/>
    <mergeCell ref="D58:H58"/>
    <mergeCell ref="A59:C59"/>
    <mergeCell ref="D59:H59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2:B32"/>
    <mergeCell ref="C32:E32"/>
    <mergeCell ref="E23:H23"/>
    <mergeCell ref="A25:D25"/>
    <mergeCell ref="E25:H25"/>
    <mergeCell ref="A22:D22"/>
    <mergeCell ref="E22:H22"/>
    <mergeCell ref="A26:D26"/>
    <mergeCell ref="E26:H26"/>
    <mergeCell ref="A23:D23"/>
    <mergeCell ref="A27:D27"/>
    <mergeCell ref="E27:H2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61:H164"/>
    <mergeCell ref="A160:B160"/>
    <mergeCell ref="E160:F160"/>
    <mergeCell ref="C160:D160"/>
    <mergeCell ref="G160:H160"/>
    <mergeCell ref="A89:E89"/>
    <mergeCell ref="F89:H89"/>
    <mergeCell ref="A90:E90"/>
    <mergeCell ref="F90:H90"/>
    <mergeCell ref="A127:H127"/>
    <mergeCell ref="A121:B121"/>
    <mergeCell ref="A156:H156"/>
    <mergeCell ref="A91:H91"/>
    <mergeCell ref="A159:H159"/>
    <mergeCell ref="A157:H157"/>
    <mergeCell ref="A153:H153"/>
    <mergeCell ref="A154:H154"/>
    <mergeCell ref="E92:F92"/>
    <mergeCell ref="A94:H94"/>
    <mergeCell ref="G130:H130"/>
    <mergeCell ref="A119:B119"/>
    <mergeCell ref="A92:C92"/>
    <mergeCell ref="A116:H116"/>
    <mergeCell ref="G135:H135"/>
    <mergeCell ref="B151:H151"/>
    <mergeCell ref="B150:H150"/>
    <mergeCell ref="C47:E47"/>
    <mergeCell ref="G47:H47"/>
    <mergeCell ref="E39:H39"/>
    <mergeCell ref="A39:D39"/>
    <mergeCell ref="A158:H158"/>
    <mergeCell ref="A133:B133"/>
    <mergeCell ref="A155:H155"/>
    <mergeCell ref="A128:B128"/>
    <mergeCell ref="G115:H115"/>
    <mergeCell ref="A72:B72"/>
    <mergeCell ref="F78:H78"/>
    <mergeCell ref="A77:H77"/>
    <mergeCell ref="A46:B46"/>
    <mergeCell ref="C46:E46"/>
    <mergeCell ref="G92:H92"/>
    <mergeCell ref="B149:H149"/>
    <mergeCell ref="G46:H46"/>
    <mergeCell ref="G48:H48"/>
    <mergeCell ref="D52:H52"/>
    <mergeCell ref="C48:E48"/>
    <mergeCell ref="B148:H148"/>
    <mergeCell ref="F86:H86"/>
  </mergeCells>
  <dataValidations disablePrompts="1" count="5">
    <dataValidation type="list" allowBlank="1" showInputMessage="1" showErrorMessage="1" sqref="D96:D97">
      <formula1>"Carpet Area,Carpet + Encl Balcony Area,RERA Carpet area"</formula1>
    </dataValidation>
    <dataValidation type="list" allowBlank="1" showInputMessage="1" showErrorMessage="1" sqref="H96">
      <formula1>"Saleable area Loading :,Builder Saleable Area"</formula1>
    </dataValidation>
    <dataValidation type="list" allowBlank="1" showInputMessage="1" showErrorMessage="1" sqref="H97">
      <formula1>".45,.50,.55,.60"</formula1>
    </dataValidation>
    <dataValidation type="list" allowBlank="1" showInputMessage="1" showErrorMessage="1" sqref="E96:E97">
      <formula1>"Fungible area,Balcony Area,Chajja Area,Cornice Area,AP Area,WS Area"</formula1>
    </dataValidation>
    <dataValidation type="list" allowBlank="1" showInputMessage="1" showErrorMessage="1" sqref="B96:B97">
      <formula1>"Flat No. (Sale Plan),Sale / Rehab,Sale / Mhada"</formula1>
    </dataValidation>
  </dataValidations>
  <hyperlinks>
    <hyperlink ref="I35" r:id="rId1"/>
    <hyperlink ref="C36" r:id="rId2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2" manualBreakCount="2">
    <brk id="164" max="16383" man="1"/>
    <brk id="207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>
      <c r="A1" s="17"/>
      <c r="B1" s="17"/>
      <c r="C1" s="17"/>
      <c r="D1" s="17"/>
      <c r="E1" s="17"/>
      <c r="F1" s="17"/>
      <c r="G1" s="17"/>
      <c r="H1" s="17"/>
    </row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206" t="s">
        <v>111</v>
      </c>
      <c r="C3" s="206"/>
      <c r="D3" s="206"/>
      <c r="E3" s="206"/>
      <c r="F3" s="206"/>
      <c r="G3" s="206"/>
      <c r="H3" s="206"/>
    </row>
    <row r="4" spans="1:9" x14ac:dyDescent="0.35">
      <c r="A4" s="19"/>
      <c r="B4" s="20" t="s">
        <v>112</v>
      </c>
      <c r="C4" s="20" t="s">
        <v>113</v>
      </c>
      <c r="D4" s="20" t="s">
        <v>72</v>
      </c>
      <c r="E4" s="20" t="s">
        <v>114</v>
      </c>
      <c r="F4" s="20" t="s">
        <v>120</v>
      </c>
      <c r="G4" s="20" t="s">
        <v>121</v>
      </c>
      <c r="H4" s="20" t="s">
        <v>115</v>
      </c>
    </row>
    <row r="5" spans="1:9" ht="15" customHeight="1" x14ac:dyDescent="0.35">
      <c r="A5" s="19"/>
      <c r="B5" s="22" t="s">
        <v>116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5">
      <c r="A6" s="19"/>
      <c r="B6" s="22" t="s">
        <v>116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116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116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116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117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117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118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A13" s="17"/>
      <c r="B13" s="27" t="s">
        <v>119</v>
      </c>
      <c r="C13" s="29"/>
      <c r="D13" s="29"/>
      <c r="E13" s="29"/>
      <c r="F13" s="30"/>
      <c r="G13" s="27"/>
      <c r="H13" s="27"/>
      <c r="I13" s="21"/>
    </row>
    <row r="14" spans="1:9" ht="15" customHeight="1" x14ac:dyDescent="0.35">
      <c r="B14" s="17"/>
      <c r="C14" s="17"/>
      <c r="D14" s="17"/>
      <c r="E14" s="17"/>
    </row>
    <row r="15" spans="1:9" ht="15" customHeight="1" x14ac:dyDescent="0.35">
      <c r="B15" s="17"/>
      <c r="C15" s="17"/>
      <c r="D15" s="17"/>
      <c r="E15" s="17"/>
    </row>
    <row r="16" spans="1:9" ht="15" customHeight="1" x14ac:dyDescent="0.35">
      <c r="B16" s="17"/>
      <c r="C16" s="17"/>
      <c r="D16" s="17"/>
      <c r="E16" s="17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2025-10-03T09:53:36Z</cp:lastPrinted>
  <dcterms:created xsi:type="dcterms:W3CDTF">2019-07-16T09:29:46Z</dcterms:created>
  <dcterms:modified xsi:type="dcterms:W3CDTF">2025-10-03T09:54:18Z</dcterms:modified>
</cp:coreProperties>
</file>