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5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D117" i="1" l="1"/>
  <c r="D118" i="1"/>
  <c r="I119" i="1" l="1"/>
  <c r="D137" i="1"/>
  <c r="F137" i="1" s="1"/>
  <c r="D142" i="1"/>
  <c r="F142" i="1" s="1"/>
  <c r="D141" i="1"/>
  <c r="F141" i="1" s="1"/>
  <c r="D140" i="1"/>
  <c r="F140" i="1" s="1"/>
  <c r="P139" i="1"/>
  <c r="P140" i="1" s="1"/>
  <c r="P141" i="1" s="1"/>
  <c r="P142" i="1" s="1"/>
  <c r="O139" i="1"/>
  <c r="O140" i="1" s="1"/>
  <c r="D138" i="1"/>
  <c r="D136" i="1"/>
  <c r="D135" i="1"/>
  <c r="D133" i="1"/>
  <c r="D132" i="1"/>
  <c r="D131" i="1"/>
  <c r="D129" i="1"/>
  <c r="D128" i="1"/>
  <c r="D127" i="1"/>
  <c r="D126" i="1"/>
  <c r="D123" i="1"/>
  <c r="D124" i="1"/>
  <c r="D122" i="1"/>
  <c r="D121" i="1"/>
  <c r="D120" i="1"/>
  <c r="D119" i="1"/>
  <c r="K117" i="1"/>
  <c r="C47" i="1"/>
  <c r="C48" i="1" s="1"/>
  <c r="G47" i="1"/>
  <c r="E108" i="1" l="1"/>
  <c r="C108" i="1"/>
  <c r="N139" i="1"/>
  <c r="O141" i="1"/>
  <c r="N140" i="1"/>
  <c r="F132" i="1"/>
  <c r="N141" i="1" l="1"/>
  <c r="O142" i="1"/>
  <c r="N142" i="1" s="1"/>
  <c r="F11" i="5"/>
  <c r="G11" i="5" s="1"/>
  <c r="F10" i="5"/>
  <c r="G10" i="5" s="1"/>
  <c r="G12" i="5" s="1"/>
  <c r="F9" i="5"/>
  <c r="G9" i="5" s="1"/>
  <c r="F8" i="5"/>
  <c r="G8" i="5" s="1"/>
  <c r="F7" i="5"/>
  <c r="G7" i="5" s="1"/>
  <c r="F6" i="5"/>
  <c r="G6" i="5" s="1"/>
  <c r="F5" i="5"/>
  <c r="G5" i="5" s="1"/>
  <c r="D166" i="1"/>
  <c r="A147" i="1"/>
  <c r="A148" i="1" s="1"/>
  <c r="A149" i="1" s="1"/>
  <c r="B145" i="1"/>
  <c r="A145" i="1"/>
  <c r="F133" i="1"/>
  <c r="F131" i="1"/>
  <c r="F129" i="1"/>
  <c r="F128" i="1"/>
  <c r="F127" i="1"/>
  <c r="I127" i="1" s="1"/>
  <c r="G126" i="1"/>
  <c r="F126" i="1"/>
  <c r="F138" i="1"/>
  <c r="F136" i="1"/>
  <c r="G135" i="1"/>
  <c r="F135" i="1"/>
  <c r="F124" i="1"/>
  <c r="F123" i="1"/>
  <c r="I123" i="1" s="1"/>
  <c r="F122" i="1"/>
  <c r="I122" i="1" s="1"/>
  <c r="F121" i="1"/>
  <c r="F119" i="1"/>
  <c r="F118" i="1"/>
  <c r="I117" i="1"/>
  <c r="G117" i="1"/>
  <c r="F117" i="1"/>
  <c r="I108" i="1"/>
  <c r="F105" i="1"/>
  <c r="J89" i="1"/>
  <c r="J88" i="1"/>
  <c r="J87" i="1"/>
  <c r="J86" i="1"/>
  <c r="C78" i="1"/>
  <c r="J75" i="1"/>
  <c r="J74" i="1"/>
  <c r="D58" i="1"/>
  <c r="E41" i="1"/>
  <c r="E42" i="1" s="1"/>
  <c r="E25" i="1"/>
  <c r="E23" i="1"/>
  <c r="C14" i="1"/>
  <c r="E7" i="1"/>
  <c r="E3" i="1"/>
  <c r="O117" i="1"/>
  <c r="H65" i="1"/>
  <c r="O126" i="1"/>
  <c r="H79" i="1"/>
  <c r="P117" i="1"/>
  <c r="P126" i="1"/>
  <c r="J117" i="1" l="1"/>
  <c r="J93" i="1"/>
  <c r="F120" i="1"/>
  <c r="J104" i="1" s="1"/>
  <c r="D91" i="1"/>
  <c r="D90" i="1"/>
  <c r="D89" i="1"/>
  <c r="D88" i="1"/>
  <c r="D87" i="1"/>
  <c r="D86" i="1"/>
  <c r="D85" i="1"/>
  <c r="D84" i="1"/>
  <c r="D83" i="1"/>
  <c r="G82" i="1"/>
  <c r="D82" i="1"/>
  <c r="J84" i="1"/>
  <c r="J85" i="1" s="1"/>
  <c r="J90" i="1" s="1"/>
  <c r="J91" i="1" s="1"/>
  <c r="J83" i="1"/>
  <c r="J82" i="1"/>
  <c r="E82" i="1"/>
  <c r="I78" i="1" s="1"/>
  <c r="C80" i="1" s="1"/>
  <c r="J81" i="1"/>
  <c r="J70" i="1"/>
  <c r="J69" i="1"/>
  <c r="C68" i="1" s="1"/>
  <c r="J68" i="1"/>
  <c r="D77" i="1"/>
  <c r="D76" i="1"/>
  <c r="D75" i="1"/>
  <c r="D74" i="1"/>
  <c r="D73" i="1"/>
  <c r="D72" i="1"/>
  <c r="D71" i="1"/>
  <c r="D70" i="1"/>
  <c r="J67" i="1"/>
  <c r="P118" i="1"/>
  <c r="P119" i="1" s="1"/>
  <c r="P120" i="1" s="1"/>
  <c r="P121" i="1" s="1"/>
  <c r="P122" i="1" s="1"/>
  <c r="P123" i="1" s="1"/>
  <c r="P124" i="1" s="1"/>
  <c r="O118" i="1"/>
  <c r="N117" i="1"/>
  <c r="P127" i="1"/>
  <c r="P128" i="1" s="1"/>
  <c r="P129" i="1" s="1"/>
  <c r="P130" i="1" s="1"/>
  <c r="P131" i="1" s="1"/>
  <c r="P132" i="1" s="1"/>
  <c r="P133" i="1" s="1"/>
  <c r="O127" i="1"/>
  <c r="N126" i="1"/>
  <c r="G108" i="1" l="1"/>
  <c r="J105" i="1"/>
  <c r="J71" i="1"/>
  <c r="D68" i="1"/>
  <c r="A151" i="1"/>
  <c r="A152" i="1" s="1"/>
  <c r="N127" i="1"/>
  <c r="O128" i="1"/>
  <c r="O119" i="1"/>
  <c r="N118" i="1"/>
  <c r="J76" i="1" l="1"/>
  <c r="J72" i="1"/>
  <c r="J73" i="1" s="1"/>
  <c r="O120" i="1"/>
  <c r="N119" i="1"/>
  <c r="N128" i="1"/>
  <c r="O129" i="1"/>
  <c r="J77" i="1" l="1"/>
  <c r="C69" i="1" s="1"/>
  <c r="N129" i="1"/>
  <c r="O130" i="1"/>
  <c r="O121" i="1"/>
  <c r="N120" i="1"/>
  <c r="N130" i="1" l="1"/>
  <c r="O131" i="1"/>
  <c r="O122" i="1"/>
  <c r="N121" i="1"/>
  <c r="E68" i="1" l="1"/>
  <c r="I64" i="1" s="1"/>
  <c r="C66" i="1" s="1"/>
  <c r="D69" i="1"/>
  <c r="G68" i="1"/>
  <c r="D62" i="1" s="1"/>
  <c r="N131" i="1"/>
  <c r="O132" i="1"/>
  <c r="O123" i="1"/>
  <c r="N122" i="1"/>
  <c r="F63" i="1" l="1"/>
  <c r="D63" i="1"/>
  <c r="N132" i="1"/>
  <c r="O133" i="1"/>
  <c r="N133" i="1" s="1"/>
  <c r="O124" i="1"/>
  <c r="N124" i="1" s="1"/>
  <c r="N123" i="1"/>
</calcChain>
</file>

<file path=xl/sharedStrings.xml><?xml version="1.0" encoding="utf-8"?>
<sst xmlns="http://schemas.openxmlformats.org/spreadsheetml/2006/main" count="319" uniqueCount="222">
  <si>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</si>
  <si>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</si>
  <si>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</si>
  <si>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</si>
  <si>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</si>
  <si>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</si>
  <si>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</si>
  <si>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</si>
  <si>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</si>
  <si>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</si>
  <si>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</si>
  <si>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</si>
  <si>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</si>
  <si>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</si>
  <si>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</si>
  <si>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</si>
  <si>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</si>
  <si>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</si>
  <si>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</si>
  <si>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</si>
  <si>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</si>
  <si>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</si>
  <si>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</si>
  <si>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</si>
  <si>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</si>
  <si>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</si>
  <si>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</si>
  <si>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</si>
  <si>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</si>
  <si>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</si>
  <si>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</si>
  <si>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</si>
  <si>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</si>
  <si>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</si>
  <si>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</si>
  <si>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</si>
  <si>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</si>
  <si>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</si>
  <si>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</si>
  <si>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</si>
  <si>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</si>
  <si>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</si>
  <si>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</si>
  <si>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</si>
  <si>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</si>
  <si>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</si>
  <si>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</si>
  <si>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</si>
  <si>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</si>
  <si>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</si>
  <si>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</si>
  <si>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</si>
  <si>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</si>
  <si>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</si>
  <si>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</si>
  <si>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</si>
  <si>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</si>
  <si>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</si>
  <si>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</si>
  <si>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</si>
  <si>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</si>
  <si>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</si>
  <si>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</si>
  <si>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</si>
  <si>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</si>
  <si>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</si>
  <si>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</si>
  <si>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</si>
  <si>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</si>
  <si>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</si>
  <si>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</si>
  <si>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</si>
  <si>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</si>
  <si>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</si>
  <si>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</si>
  <si>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</si>
  <si>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</si>
  <si>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</si>
  <si>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</si>
  <si>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</si>
  <si>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</si>
  <si>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</si>
  <si>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</si>
  <si>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</si>
  <si>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</si>
  <si>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</si>
  <si>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</si>
  <si>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</si>
  <si>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</si>
  <si>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</si>
  <si>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</si>
  <si>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</si>
  <si>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</si>
  <si>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</si>
  <si>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</si>
  <si>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</si>
  <si>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</si>
  <si>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</si>
  <si>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</si>
  <si>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</si>
  <si>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</si>
  <si>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</si>
  <si>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</si>
  <si>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</si>
  <si>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</si>
  <si>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</si>
  <si>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</si>
  <si>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</si>
  <si>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</si>
  <si>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</si>
  <si>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</si>
  <si>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</si>
  <si>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</si>
  <si>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</si>
  <si>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</si>
  <si>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</si>
  <si>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</si>
  <si>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</si>
  <si>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</si>
  <si>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</si>
  <si>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</si>
  <si>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</si>
  <si>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</si>
  <si>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</si>
  <si>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</si>
  <si>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</si>
  <si>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</si>
  <si>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</si>
  <si>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</si>
  <si>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</si>
  <si>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</si>
  <si>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</si>
  <si>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</si>
  <si>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</si>
  <si>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</si>
  <si>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</si>
  <si>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</si>
  <si>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</si>
  <si>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</si>
  <si>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</si>
  <si>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</si>
  <si>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</si>
  <si>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</si>
  <si>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</si>
  <si>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</si>
  <si>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</si>
  <si>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</si>
  <si>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</si>
  <si>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</si>
  <si>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</si>
  <si>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</si>
  <si>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</si>
  <si>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</si>
  <si>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</si>
  <si>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</si>
  <si>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</si>
  <si>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</si>
  <si>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</si>
  <si>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</si>
  <si>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Open Plot</t>
  </si>
  <si>
    <t>Thane West</t>
  </si>
  <si>
    <t>Thane</t>
  </si>
  <si>
    <t>Survey No</t>
  </si>
  <si>
    <t>1BHK</t>
  </si>
  <si>
    <t>Refuge Area</t>
  </si>
  <si>
    <t>We considered Gross carpet area = Net carpet + W.S Area.</t>
  </si>
  <si>
    <t>Residential</t>
  </si>
  <si>
    <t>1bhk</t>
  </si>
  <si>
    <t>2bhk</t>
  </si>
  <si>
    <t>A2 Wing = LG1 to LG3 + G + 1st to 45th Floor</t>
  </si>
  <si>
    <t>KIPL Morya</t>
  </si>
  <si>
    <t>5,00,000/-</t>
  </si>
  <si>
    <t>Recommended rate should be considered as all inclusive rate if other charges are not mentioned. (Excluding GST &amp; other government Taxes).</t>
  </si>
  <si>
    <t>On Site, we meet Ms. Aashna (sales) -  8169789669</t>
  </si>
  <si>
    <t>Ajay Songare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</si>
  <si>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</si>
  <si>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Latitude, Longitude</t>
  </si>
  <si>
    <t>https://goo.gl/maps/K7d9z968qQbTqMW46</t>
  </si>
  <si>
    <t>Location Link</t>
  </si>
  <si>
    <t>Axis Thane</t>
  </si>
  <si>
    <t>1 Building</t>
  </si>
  <si>
    <t>As per RERA - 31/12/2030</t>
  </si>
  <si>
    <t>Ground Floor For Parking , Society Office &amp; Entrance Lobby</t>
  </si>
  <si>
    <t>1.5BHK</t>
  </si>
  <si>
    <t>Terrace Area</t>
  </si>
  <si>
    <t>Layout Plan :</t>
  </si>
  <si>
    <t>Approved Plans, CC</t>
  </si>
  <si>
    <t>Ikigai Phase 2 (Building Type B - Sakura) P51700051124</t>
  </si>
  <si>
    <t xml:space="preserve">Building Type B (Sakura) </t>
  </si>
  <si>
    <t>TMCB/RB/2023/APL/00086</t>
  </si>
  <si>
    <t>1st Lower Ground Floor For Parking</t>
  </si>
  <si>
    <t>40th Floor (Part Terrace &amp; Refuge Area)</t>
  </si>
  <si>
    <t>We have updated revised approved floor plan &amp; C.C (on 24/11/2023).</t>
  </si>
  <si>
    <t>Flats - 310</t>
  </si>
  <si>
    <t>1st to 4th, 6th &amp; 9th, 11th to 14th, 16th to 19th, 21st to 24th, 26th to 29th, 31st to 34th, 36th to 39th Floors</t>
  </si>
  <si>
    <t>5th, 10th, 15th, 20th, 25th, 30th &amp; 35th Floor (Part Refuge Area)</t>
  </si>
  <si>
    <t>Puranik Tokyo Bay Private Limited</t>
  </si>
  <si>
    <t>IKIGAI Phase 2</t>
  </si>
  <si>
    <t>Mr. Prathmesh Ghawane  9152034971</t>
  </si>
  <si>
    <t>Building Type B (Sakura)</t>
  </si>
  <si>
    <t>RERA Name/No.</t>
  </si>
  <si>
    <t>Site Person - Contact Details (Name &amp; Contact No.)</t>
  </si>
  <si>
    <t>Mr. Security</t>
  </si>
  <si>
    <t xml:space="preserve">Since Project's Builtup Area is above 20000 Sq.M. Please check for Environment Clearance Certificate.
</t>
  </si>
  <si>
    <t>45/2/A, 45/2/B, 45/4, 45/5, 45/9/A, 45/9/B, 45/10/A &amp; Amp; 45/10/B</t>
  </si>
  <si>
    <t>Owale</t>
  </si>
  <si>
    <t>As per Layout</t>
  </si>
  <si>
    <t>Other Plot</t>
  </si>
  <si>
    <t xml:space="preserve">Open Plot/Aarambh Apartment
</t>
  </si>
  <si>
    <t>Internal Road</t>
  </si>
  <si>
    <t>Open Plot/KIPL Morya</t>
  </si>
  <si>
    <t>Building Type A2</t>
  </si>
  <si>
    <t>Commercial Building No.1</t>
  </si>
  <si>
    <t>Commercial Building No.2/40.0 M Wide D.P Road</t>
  </si>
  <si>
    <t>Approved area of Building Type B (Sq.Mt)</t>
  </si>
  <si>
    <t>Compound Wall, M.S Gate, Jogging Track, Sewage Treatment Plant, Rain Water Harvesting, Car Parking, Club Housem, Gymnasium, 24x7 Security, Yoga/Meditation Area, Landscaping &amp; Tree Planting, Fire Fighting System, Flower Garden, 24X7 Water Supply, Power Backup, Fire Sprinklers, Children's Play Area, Closed Car Parking, Swimming Pool, Lifts etc.</t>
  </si>
  <si>
    <t>Valid Up to:  Building Type B - LG 2 + LG 1 + Stilt/Ground + 1st to 40th Floor</t>
  </si>
  <si>
    <t>Building Type B (Sakura) - LG 1 + Stilt/Gr + 1st to 38th Floor + 40th (Part) Floor</t>
  </si>
  <si>
    <t>10.1 KM from Thane Railway Station</t>
  </si>
  <si>
    <t>19.262532,72.956191</t>
  </si>
  <si>
    <t>Construction work is in process at the time of Visit (labour found).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</si>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</sst>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9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Protection="1">
      <protection hidden="1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8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23" fillId="0" borderId="0" xfId="1" applyFont="1"/>
    <xf numFmtId="0" fontId="13" fillId="0" borderId="1" xfId="1" applyFont="1" applyBorder="1" applyAlignment="1" applyProtection="1">
      <alignment horizontal="center" vertical="top"/>
      <protection locked="0"/>
    </xf>
    <xf numFmtId="168" fontId="8" fillId="0" borderId="0" xfId="1" applyNumberFormat="1" applyFont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0" xfId="1" applyFont="1" applyProtection="1">
      <protection hidden="1"/>
    </xf>
    <xf numFmtId="0" fontId="13" fillId="0" borderId="12" xfId="1" applyFont="1" applyBorder="1" applyProtection="1"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5" fillId="0" borderId="0" xfId="0" applyFont="1" applyProtection="1">
      <protection hidden="1"/>
    </xf>
    <xf numFmtId="0" fontId="13" fillId="0" borderId="12" xfId="1" applyFont="1" applyBorder="1"/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Border="1" applyProtection="1"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1" fontId="24" fillId="0" borderId="12" xfId="0" applyNumberFormat="1" applyFont="1" applyBorder="1"/>
    <xf numFmtId="1" fontId="24" fillId="0" borderId="12" xfId="0" applyNumberFormat="1" applyFont="1" applyBorder="1" applyAlignment="1">
      <alignment horizontal="right"/>
    </xf>
    <xf numFmtId="0" fontId="13" fillId="0" borderId="6" xfId="1" applyFont="1" applyBorder="1" applyAlignment="1" applyProtection="1">
      <alignment horizontal="center" wrapText="1"/>
      <protection locked="0"/>
    </xf>
    <xf numFmtId="9" fontId="13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3" xfId="0" applyFont="1" applyBorder="1" applyProtection="1">
      <protection hidden="1"/>
    </xf>
    <xf numFmtId="1" fontId="24" fillId="0" borderId="14" xfId="0" applyNumberFormat="1" applyFont="1" applyBorder="1"/>
    <xf numFmtId="0" fontId="13" fillId="0" borderId="10" xfId="1" applyFont="1" applyBorder="1" applyProtection="1">
      <protection hidden="1"/>
    </xf>
    <xf numFmtId="0" fontId="13" fillId="0" borderId="11" xfId="1" applyFont="1" applyBorder="1" applyProtection="1">
      <protection hidden="1"/>
    </xf>
    <xf numFmtId="0" fontId="1" fillId="0" borderId="1" xfId="5" applyFont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left" vertical="top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7" fillId="0" borderId="0" xfId="1" applyNumberFormat="1" applyFont="1"/>
    <xf numFmtId="1" fontId="9" fillId="0" borderId="0" xfId="2" applyNumberFormat="1" applyFont="1"/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3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3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center" vertical="center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14" fillId="0" borderId="24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15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4" fillId="0" borderId="8" xfId="1" applyFont="1" applyBorder="1" applyAlignment="1" applyProtection="1">
      <alignment horizontal="center" vertical="top"/>
      <protection locked="0"/>
    </xf>
    <xf numFmtId="0" fontId="14" fillId="0" borderId="23" xfId="1" applyFont="1" applyBorder="1" applyAlignment="1" applyProtection="1">
      <alignment horizontal="center" vertical="top"/>
      <protection locked="0"/>
    </xf>
    <xf numFmtId="0" fontId="14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1" fillId="0" borderId="8" xfId="1" applyFont="1" applyBorder="1" applyAlignment="1" applyProtection="1">
      <alignment horizontal="left"/>
      <protection locked="0"/>
    </xf>
    <xf numFmtId="0" fontId="11" fillId="0" borderId="23" xfId="1" applyFont="1" applyBorder="1" applyAlignment="1" applyProtection="1">
      <alignment horizontal="left"/>
      <protection locked="0"/>
    </xf>
    <xf numFmtId="0" fontId="11" fillId="0" borderId="9" xfId="1" applyFont="1" applyBorder="1" applyAlignment="1" applyProtection="1">
      <alignment horizontal="left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3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8" xfId="1" applyFont="1" applyBorder="1" applyAlignment="1" applyProtection="1">
      <alignment horizontal="center" vertical="top" wrapText="1"/>
      <protection locked="0"/>
    </xf>
    <xf numFmtId="0" fontId="13" fillId="0" borderId="23" xfId="1" applyFont="1" applyBorder="1" applyAlignment="1" applyProtection="1">
      <alignment horizontal="center" vertical="top" wrapText="1"/>
      <protection locked="0"/>
    </xf>
    <xf numFmtId="0" fontId="13" fillId="0" borderId="9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3" fillId="0" borderId="23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25" fillId="0" borderId="8" xfId="9" applyBorder="1" applyAlignment="1" applyProtection="1">
      <alignment horizontal="left"/>
      <protection locked="0"/>
    </xf>
    <xf numFmtId="0" fontId="8" fillId="0" borderId="23" xfId="1" applyFont="1" applyBorder="1" applyAlignment="1" applyProtection="1">
      <alignment horizontal="left"/>
      <protection locked="0"/>
    </xf>
    <xf numFmtId="0" fontId="8" fillId="0" borderId="9" xfId="1" applyFont="1" applyBorder="1" applyAlignment="1" applyProtection="1">
      <alignment horizontal="left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3" fillId="0" borderId="28" xfId="1" applyFont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8" xfId="1" applyFont="1" applyFill="1" applyBorder="1" applyAlignment="1" applyProtection="1">
      <alignment horizontal="left" vertical="top" wrapText="1"/>
      <protection locked="0"/>
    </xf>
    <xf numFmtId="0" fontId="13" fillId="2" borderId="23" xfId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307049</xdr:colOff>
      <xdr:row>11</xdr:row>
      <xdr:rowOff>134217</xdr:rowOff>
    </xdr:from>
    <xdr:to>
      <xdr:col>19</xdr:col>
      <xdr:colOff>57822</xdr:colOff>
      <xdr:row>13</xdr:row>
      <xdr:rowOff>612062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5029" y="2702157"/>
          <a:ext cx="5869633" cy="1095065"/>
        </a:xfrm>
        <a:prstGeom prst="rect">
          <a:avLst/>
        </a:prstGeom>
      </xdr:spPr>
    </xdr:pic>
    <xdr:clientData/>
  </xdr:twoCellAnchor>
  <xdr:twoCellAnchor editAs="oneCell">
    <xdr:from>
      <xdr:col>8</xdr:col>
      <xdr:colOff>147205</xdr:colOff>
      <xdr:row>43</xdr:row>
      <xdr:rowOff>86592</xdr:rowOff>
    </xdr:from>
    <xdr:to>
      <xdr:col>11</xdr:col>
      <xdr:colOff>172485</xdr:colOff>
      <xdr:row>47</xdr:row>
      <xdr:rowOff>8225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0" y="9906001"/>
          <a:ext cx="2648985" cy="7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82826</xdr:colOff>
      <xdr:row>111</xdr:row>
      <xdr:rowOff>8283</xdr:rowOff>
    </xdr:from>
    <xdr:to>
      <xdr:col>17</xdr:col>
      <xdr:colOff>515361</xdr:colOff>
      <xdr:row>115</xdr:row>
      <xdr:rowOff>3629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1239" y="20516022"/>
          <a:ext cx="5161905" cy="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256762</xdr:colOff>
      <xdr:row>123</xdr:row>
      <xdr:rowOff>157370</xdr:rowOff>
    </xdr:from>
    <xdr:to>
      <xdr:col>12</xdr:col>
      <xdr:colOff>603343</xdr:colOff>
      <xdr:row>126</xdr:row>
      <xdr:rowOff>37210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75175" y="25146000"/>
          <a:ext cx="3676190" cy="47619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107</xdr:row>
      <xdr:rowOff>104775</xdr:rowOff>
    </xdr:from>
    <xdr:to>
      <xdr:col>21</xdr:col>
      <xdr:colOff>279477</xdr:colOff>
      <xdr:row>108</xdr:row>
      <xdr:rowOff>125042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67525" y="20383500"/>
          <a:ext cx="7108902" cy="220291"/>
        </a:xfrm>
        <a:prstGeom prst="rect">
          <a:avLst/>
        </a:prstGeom>
      </xdr:spPr>
    </xdr:pic>
    <xdr:clientData/>
  </xdr:twoCellAnchor>
  <xdr:twoCellAnchor>
    <xdr:from>
      <xdr:col>1</xdr:col>
      <xdr:colOff>123265</xdr:colOff>
      <xdr:row>277</xdr:row>
      <xdr:rowOff>31018</xdr:rowOff>
    </xdr:from>
    <xdr:to>
      <xdr:col>6</xdr:col>
      <xdr:colOff>645883</xdr:colOff>
      <xdr:row>295</xdr:row>
      <xdr:rowOff>67796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923365" y="50354768"/>
          <a:ext cx="4878718" cy="3580078"/>
          <a:chOff x="928878" y="3714391"/>
          <a:chExt cx="5400000" cy="3667484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928878" y="3714391"/>
            <a:ext cx="5400000" cy="3667484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 rot="158445">
            <a:off x="2462056" y="4307885"/>
            <a:ext cx="1506958" cy="2292646"/>
          </a:xfrm>
          <a:custGeom>
            <a:avLst/>
            <a:gdLst>
              <a:gd name="connsiteX0" fmla="*/ 0 w 1562100"/>
              <a:gd name="connsiteY0" fmla="*/ 704850 h 2524125"/>
              <a:gd name="connsiteX1" fmla="*/ 485775 w 1562100"/>
              <a:gd name="connsiteY1" fmla="*/ 533400 h 2524125"/>
              <a:gd name="connsiteX2" fmla="*/ 447675 w 1562100"/>
              <a:gd name="connsiteY2" fmla="*/ 838200 h 2524125"/>
              <a:gd name="connsiteX3" fmla="*/ 657225 w 1562100"/>
              <a:gd name="connsiteY3" fmla="*/ 857250 h 2524125"/>
              <a:gd name="connsiteX4" fmla="*/ 895350 w 1562100"/>
              <a:gd name="connsiteY4" fmla="*/ 47625 h 2524125"/>
              <a:gd name="connsiteX5" fmla="*/ 1266825 w 1562100"/>
              <a:gd name="connsiteY5" fmla="*/ 0 h 2524125"/>
              <a:gd name="connsiteX6" fmla="*/ 1543050 w 1562100"/>
              <a:gd name="connsiteY6" fmla="*/ 76200 h 2524125"/>
              <a:gd name="connsiteX7" fmla="*/ 1562100 w 1562100"/>
              <a:gd name="connsiteY7" fmla="*/ 523875 h 2524125"/>
              <a:gd name="connsiteX8" fmla="*/ 1438275 w 1562100"/>
              <a:gd name="connsiteY8" fmla="*/ 695325 h 2524125"/>
              <a:gd name="connsiteX9" fmla="*/ 1514475 w 1562100"/>
              <a:gd name="connsiteY9" fmla="*/ 942975 h 2524125"/>
              <a:gd name="connsiteX10" fmla="*/ 1314450 w 1562100"/>
              <a:gd name="connsiteY10" fmla="*/ 1200150 h 2524125"/>
              <a:gd name="connsiteX11" fmla="*/ 1257300 w 1562100"/>
              <a:gd name="connsiteY11" fmla="*/ 1304925 h 2524125"/>
              <a:gd name="connsiteX12" fmla="*/ 1171575 w 1562100"/>
              <a:gd name="connsiteY12" fmla="*/ 2390775 h 2524125"/>
              <a:gd name="connsiteX13" fmla="*/ 828675 w 1562100"/>
              <a:gd name="connsiteY13" fmla="*/ 2524125 h 2524125"/>
              <a:gd name="connsiteX14" fmla="*/ 762000 w 1562100"/>
              <a:gd name="connsiteY14" fmla="*/ 2305050 h 2524125"/>
              <a:gd name="connsiteX15" fmla="*/ 790575 w 1562100"/>
              <a:gd name="connsiteY15" fmla="*/ 2152650 h 2524125"/>
              <a:gd name="connsiteX16" fmla="*/ 828675 w 1562100"/>
              <a:gd name="connsiteY16" fmla="*/ 2076450 h 2524125"/>
              <a:gd name="connsiteX17" fmla="*/ 733425 w 1562100"/>
              <a:gd name="connsiteY17" fmla="*/ 1885950 h 2524125"/>
              <a:gd name="connsiteX18" fmla="*/ 638175 w 1562100"/>
              <a:gd name="connsiteY18" fmla="*/ 1619250 h 2524125"/>
              <a:gd name="connsiteX19" fmla="*/ 723900 w 1562100"/>
              <a:gd name="connsiteY19" fmla="*/ 1447800 h 2524125"/>
              <a:gd name="connsiteX20" fmla="*/ 304800 w 1562100"/>
              <a:gd name="connsiteY20" fmla="*/ 1638300 h 2524125"/>
              <a:gd name="connsiteX21" fmla="*/ 0 w 1562100"/>
              <a:gd name="connsiteY21" fmla="*/ 704850 h 2524125"/>
              <a:gd name="connsiteX0" fmla="*/ 0 w 1562100"/>
              <a:gd name="connsiteY0" fmla="*/ 704850 h 2524125"/>
              <a:gd name="connsiteX1" fmla="*/ 485775 w 1562100"/>
              <a:gd name="connsiteY1" fmla="*/ 533400 h 2524125"/>
              <a:gd name="connsiteX2" fmla="*/ 447675 w 1562100"/>
              <a:gd name="connsiteY2" fmla="*/ 838200 h 2524125"/>
              <a:gd name="connsiteX3" fmla="*/ 657225 w 1562100"/>
              <a:gd name="connsiteY3" fmla="*/ 857250 h 2524125"/>
              <a:gd name="connsiteX4" fmla="*/ 895350 w 1562100"/>
              <a:gd name="connsiteY4" fmla="*/ 47625 h 2524125"/>
              <a:gd name="connsiteX5" fmla="*/ 1266825 w 1562100"/>
              <a:gd name="connsiteY5" fmla="*/ 0 h 2524125"/>
              <a:gd name="connsiteX6" fmla="*/ 1543050 w 1562100"/>
              <a:gd name="connsiteY6" fmla="*/ 76200 h 2524125"/>
              <a:gd name="connsiteX7" fmla="*/ 1562100 w 1562100"/>
              <a:gd name="connsiteY7" fmla="*/ 523875 h 2524125"/>
              <a:gd name="connsiteX8" fmla="*/ 1438275 w 1562100"/>
              <a:gd name="connsiteY8" fmla="*/ 695325 h 2524125"/>
              <a:gd name="connsiteX9" fmla="*/ 1514475 w 1562100"/>
              <a:gd name="connsiteY9" fmla="*/ 942975 h 2524125"/>
              <a:gd name="connsiteX10" fmla="*/ 1314450 w 1562100"/>
              <a:gd name="connsiteY10" fmla="*/ 1200150 h 2524125"/>
              <a:gd name="connsiteX11" fmla="*/ 1257300 w 1562100"/>
              <a:gd name="connsiteY11" fmla="*/ 1304925 h 2524125"/>
              <a:gd name="connsiteX12" fmla="*/ 1384935 w 1562100"/>
              <a:gd name="connsiteY12" fmla="*/ 2390775 h 2524125"/>
              <a:gd name="connsiteX13" fmla="*/ 828675 w 1562100"/>
              <a:gd name="connsiteY13" fmla="*/ 2524125 h 2524125"/>
              <a:gd name="connsiteX14" fmla="*/ 762000 w 1562100"/>
              <a:gd name="connsiteY14" fmla="*/ 2305050 h 2524125"/>
              <a:gd name="connsiteX15" fmla="*/ 790575 w 1562100"/>
              <a:gd name="connsiteY15" fmla="*/ 2152650 h 2524125"/>
              <a:gd name="connsiteX16" fmla="*/ 828675 w 1562100"/>
              <a:gd name="connsiteY16" fmla="*/ 2076450 h 2524125"/>
              <a:gd name="connsiteX17" fmla="*/ 733425 w 1562100"/>
              <a:gd name="connsiteY17" fmla="*/ 1885950 h 2524125"/>
              <a:gd name="connsiteX18" fmla="*/ 638175 w 1562100"/>
              <a:gd name="connsiteY18" fmla="*/ 1619250 h 2524125"/>
              <a:gd name="connsiteX19" fmla="*/ 723900 w 1562100"/>
              <a:gd name="connsiteY19" fmla="*/ 1447800 h 2524125"/>
              <a:gd name="connsiteX20" fmla="*/ 304800 w 1562100"/>
              <a:gd name="connsiteY20" fmla="*/ 1638300 h 2524125"/>
              <a:gd name="connsiteX21" fmla="*/ 0 w 1562100"/>
              <a:gd name="connsiteY21" fmla="*/ 704850 h 2524125"/>
              <a:gd name="connsiteX0" fmla="*/ 0 w 1562100"/>
              <a:gd name="connsiteY0" fmla="*/ 704850 h 2524125"/>
              <a:gd name="connsiteX1" fmla="*/ 485775 w 1562100"/>
              <a:gd name="connsiteY1" fmla="*/ 533400 h 2524125"/>
              <a:gd name="connsiteX2" fmla="*/ 447675 w 1562100"/>
              <a:gd name="connsiteY2" fmla="*/ 838200 h 2524125"/>
              <a:gd name="connsiteX3" fmla="*/ 657225 w 1562100"/>
              <a:gd name="connsiteY3" fmla="*/ 857250 h 2524125"/>
              <a:gd name="connsiteX4" fmla="*/ 895350 w 1562100"/>
              <a:gd name="connsiteY4" fmla="*/ 47625 h 2524125"/>
              <a:gd name="connsiteX5" fmla="*/ 1266825 w 1562100"/>
              <a:gd name="connsiteY5" fmla="*/ 0 h 2524125"/>
              <a:gd name="connsiteX6" fmla="*/ 1543050 w 1562100"/>
              <a:gd name="connsiteY6" fmla="*/ 76200 h 2524125"/>
              <a:gd name="connsiteX7" fmla="*/ 1562100 w 1562100"/>
              <a:gd name="connsiteY7" fmla="*/ 523875 h 2524125"/>
              <a:gd name="connsiteX8" fmla="*/ 1438275 w 1562100"/>
              <a:gd name="connsiteY8" fmla="*/ 695325 h 2524125"/>
              <a:gd name="connsiteX9" fmla="*/ 1514475 w 1562100"/>
              <a:gd name="connsiteY9" fmla="*/ 942975 h 2524125"/>
              <a:gd name="connsiteX10" fmla="*/ 1314450 w 1562100"/>
              <a:gd name="connsiteY10" fmla="*/ 1200150 h 2524125"/>
              <a:gd name="connsiteX11" fmla="*/ 1257300 w 1562100"/>
              <a:gd name="connsiteY11" fmla="*/ 1304925 h 2524125"/>
              <a:gd name="connsiteX12" fmla="*/ 1365885 w 1562100"/>
              <a:gd name="connsiteY12" fmla="*/ 2327275 h 2524125"/>
              <a:gd name="connsiteX13" fmla="*/ 828675 w 1562100"/>
              <a:gd name="connsiteY13" fmla="*/ 2524125 h 2524125"/>
              <a:gd name="connsiteX14" fmla="*/ 762000 w 1562100"/>
              <a:gd name="connsiteY14" fmla="*/ 2305050 h 2524125"/>
              <a:gd name="connsiteX15" fmla="*/ 790575 w 1562100"/>
              <a:gd name="connsiteY15" fmla="*/ 2152650 h 2524125"/>
              <a:gd name="connsiteX16" fmla="*/ 828675 w 1562100"/>
              <a:gd name="connsiteY16" fmla="*/ 2076450 h 2524125"/>
              <a:gd name="connsiteX17" fmla="*/ 733425 w 1562100"/>
              <a:gd name="connsiteY17" fmla="*/ 1885950 h 2524125"/>
              <a:gd name="connsiteX18" fmla="*/ 638175 w 1562100"/>
              <a:gd name="connsiteY18" fmla="*/ 1619250 h 2524125"/>
              <a:gd name="connsiteX19" fmla="*/ 723900 w 1562100"/>
              <a:gd name="connsiteY19" fmla="*/ 1447800 h 2524125"/>
              <a:gd name="connsiteX20" fmla="*/ 304800 w 1562100"/>
              <a:gd name="connsiteY20" fmla="*/ 1638300 h 2524125"/>
              <a:gd name="connsiteX21" fmla="*/ 0 w 1562100"/>
              <a:gd name="connsiteY21" fmla="*/ 704850 h 25241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14450 w 1562100"/>
              <a:gd name="connsiteY10" fmla="*/ 1200150 h 2473325"/>
              <a:gd name="connsiteX11" fmla="*/ 1257300 w 1562100"/>
              <a:gd name="connsiteY11" fmla="*/ 1304925 h 2473325"/>
              <a:gd name="connsiteX12" fmla="*/ 1365885 w 1562100"/>
              <a:gd name="connsiteY12" fmla="*/ 2327275 h 2473325"/>
              <a:gd name="connsiteX13" fmla="*/ 822325 w 1562100"/>
              <a:gd name="connsiteY13" fmla="*/ 2473325 h 2473325"/>
              <a:gd name="connsiteX14" fmla="*/ 762000 w 1562100"/>
              <a:gd name="connsiteY14" fmla="*/ 2305050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52550 w 1562100"/>
              <a:gd name="connsiteY10" fmla="*/ 1209958 h 2473325"/>
              <a:gd name="connsiteX11" fmla="*/ 1257300 w 1562100"/>
              <a:gd name="connsiteY11" fmla="*/ 1304925 h 2473325"/>
              <a:gd name="connsiteX12" fmla="*/ 1365885 w 1562100"/>
              <a:gd name="connsiteY12" fmla="*/ 2327275 h 2473325"/>
              <a:gd name="connsiteX13" fmla="*/ 822325 w 1562100"/>
              <a:gd name="connsiteY13" fmla="*/ 2473325 h 2473325"/>
              <a:gd name="connsiteX14" fmla="*/ 762000 w 1562100"/>
              <a:gd name="connsiteY14" fmla="*/ 2305050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52550 w 1562100"/>
              <a:gd name="connsiteY10" fmla="*/ 1209958 h 2473325"/>
              <a:gd name="connsiteX11" fmla="*/ 1257300 w 1562100"/>
              <a:gd name="connsiteY11" fmla="*/ 1304925 h 2473325"/>
              <a:gd name="connsiteX12" fmla="*/ 1365885 w 1562100"/>
              <a:gd name="connsiteY12" fmla="*/ 2327275 h 2473325"/>
              <a:gd name="connsiteX13" fmla="*/ 822325 w 1562100"/>
              <a:gd name="connsiteY13" fmla="*/ 2473325 h 2473325"/>
              <a:gd name="connsiteX14" fmla="*/ 762000 w 1562100"/>
              <a:gd name="connsiteY14" fmla="*/ 2305050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52550 w 1562100"/>
              <a:gd name="connsiteY10" fmla="*/ 1209958 h 2473325"/>
              <a:gd name="connsiteX11" fmla="*/ 1257300 w 1562100"/>
              <a:gd name="connsiteY11" fmla="*/ 1304925 h 2473325"/>
              <a:gd name="connsiteX12" fmla="*/ 1365885 w 1562100"/>
              <a:gd name="connsiteY12" fmla="*/ 2327275 h 2473325"/>
              <a:gd name="connsiteX13" fmla="*/ 822325 w 1562100"/>
              <a:gd name="connsiteY13" fmla="*/ 2473325 h 2473325"/>
              <a:gd name="connsiteX14" fmla="*/ 714375 w 1562100"/>
              <a:gd name="connsiteY14" fmla="*/ 2334476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52550 w 1562100"/>
              <a:gd name="connsiteY10" fmla="*/ 1209958 h 2473325"/>
              <a:gd name="connsiteX11" fmla="*/ 1257300 w 1562100"/>
              <a:gd name="connsiteY11" fmla="*/ 1304925 h 2473325"/>
              <a:gd name="connsiteX12" fmla="*/ 1317678 w 1562100"/>
              <a:gd name="connsiteY12" fmla="*/ 2321187 h 2473325"/>
              <a:gd name="connsiteX13" fmla="*/ 822325 w 1562100"/>
              <a:gd name="connsiteY13" fmla="*/ 2473325 h 2473325"/>
              <a:gd name="connsiteX14" fmla="*/ 714375 w 1562100"/>
              <a:gd name="connsiteY14" fmla="*/ 2334476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</a:cxnLst>
            <a:rect l="l" t="t" r="r" b="b"/>
            <a:pathLst>
              <a:path w="1562100" h="2473325">
                <a:moveTo>
                  <a:pt x="0" y="704850"/>
                </a:moveTo>
                <a:lnTo>
                  <a:pt x="485775" y="533400"/>
                </a:lnTo>
                <a:lnTo>
                  <a:pt x="447675" y="838200"/>
                </a:lnTo>
                <a:lnTo>
                  <a:pt x="657225" y="857250"/>
                </a:lnTo>
                <a:lnTo>
                  <a:pt x="895350" y="47625"/>
                </a:lnTo>
                <a:lnTo>
                  <a:pt x="1266825" y="0"/>
                </a:lnTo>
                <a:lnTo>
                  <a:pt x="1543050" y="76200"/>
                </a:lnTo>
                <a:lnTo>
                  <a:pt x="1562100" y="523875"/>
                </a:lnTo>
                <a:lnTo>
                  <a:pt x="1438275" y="695325"/>
                </a:lnTo>
                <a:lnTo>
                  <a:pt x="1514475" y="942975"/>
                </a:lnTo>
                <a:cubicBezTo>
                  <a:pt x="1460500" y="1031969"/>
                  <a:pt x="1425575" y="1150390"/>
                  <a:pt x="1352550" y="1209958"/>
                </a:cubicBezTo>
                <a:lnTo>
                  <a:pt x="1257300" y="1304925"/>
                </a:lnTo>
                <a:lnTo>
                  <a:pt x="1317678" y="2321187"/>
                </a:lnTo>
                <a:lnTo>
                  <a:pt x="822325" y="2473325"/>
                </a:lnTo>
                <a:lnTo>
                  <a:pt x="714375" y="2334476"/>
                </a:lnTo>
                <a:lnTo>
                  <a:pt x="790575" y="2152650"/>
                </a:lnTo>
                <a:lnTo>
                  <a:pt x="828675" y="2076450"/>
                </a:lnTo>
                <a:lnTo>
                  <a:pt x="733425" y="1885950"/>
                </a:lnTo>
                <a:lnTo>
                  <a:pt x="638175" y="1619250"/>
                </a:lnTo>
                <a:lnTo>
                  <a:pt x="723900" y="1447800"/>
                </a:lnTo>
                <a:lnTo>
                  <a:pt x="304800" y="1638300"/>
                </a:lnTo>
                <a:lnTo>
                  <a:pt x="0" y="704850"/>
                </a:lnTo>
                <a:close/>
              </a:path>
            </a:pathLst>
          </a:cu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1</xdr:col>
      <xdr:colOff>467422</xdr:colOff>
      <xdr:row>262</xdr:row>
      <xdr:rowOff>123265</xdr:rowOff>
    </xdr:from>
    <xdr:to>
      <xdr:col>6</xdr:col>
      <xdr:colOff>270040</xdr:colOff>
      <xdr:row>276</xdr:row>
      <xdr:rowOff>80008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9422" y="43658118"/>
          <a:ext cx="3960000" cy="278062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690563</xdr:colOff>
      <xdr:row>206</xdr:row>
      <xdr:rowOff>95250</xdr:rowOff>
    </xdr:from>
    <xdr:to>
      <xdr:col>5</xdr:col>
      <xdr:colOff>539902</xdr:colOff>
      <xdr:row>221</xdr:row>
      <xdr:rowOff>151632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2563" y="36528375"/>
          <a:ext cx="3254527" cy="2913882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0</xdr:col>
      <xdr:colOff>631731</xdr:colOff>
      <xdr:row>222</xdr:row>
      <xdr:rowOff>158283</xdr:rowOff>
    </xdr:from>
    <xdr:to>
      <xdr:col>7</xdr:col>
      <xdr:colOff>314689</xdr:colOff>
      <xdr:row>256</xdr:row>
      <xdr:rowOff>170303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1731" y="41474371"/>
          <a:ext cx="5386752" cy="424784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4</xdr:col>
      <xdr:colOff>57976</xdr:colOff>
      <xdr:row>245</xdr:row>
      <xdr:rowOff>157371</xdr:rowOff>
    </xdr:from>
    <xdr:to>
      <xdr:col>5</xdr:col>
      <xdr:colOff>223628</xdr:colOff>
      <xdr:row>248</xdr:row>
      <xdr:rowOff>8284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022770">
          <a:off x="3412433" y="42953610"/>
          <a:ext cx="944217" cy="447261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173934</xdr:colOff>
      <xdr:row>231</xdr:row>
      <xdr:rowOff>190499</xdr:rowOff>
    </xdr:from>
    <xdr:to>
      <xdr:col>5</xdr:col>
      <xdr:colOff>538369</xdr:colOff>
      <xdr:row>246</xdr:row>
      <xdr:rowOff>140804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2012559">
          <a:off x="3528391" y="42787956"/>
          <a:ext cx="1143000" cy="347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C00000"/>
              </a:solidFill>
            </a:rPr>
            <a:t>Building Type B</a:t>
          </a:r>
        </a:p>
      </xdr:txBody>
    </xdr:sp>
    <xdr:clientData/>
  </xdr:twoCellAnchor>
  <xdr:twoCellAnchor editAs="oneCell">
    <xdr:from>
      <xdr:col>16</xdr:col>
      <xdr:colOff>68580</xdr:colOff>
      <xdr:row>180</xdr:row>
      <xdr:rowOff>32384</xdr:rowOff>
    </xdr:from>
    <xdr:to>
      <xdr:col>20</xdr:col>
      <xdr:colOff>131215</xdr:colOff>
      <xdr:row>196</xdr:row>
      <xdr:rowOff>173354</xdr:rowOff>
    </xdr:to>
    <xdr:pic>
      <xdr:nvPicPr>
        <xdr:cNvPr id="21" name="Picture 20" descr="https://vsjcllp.vsjadon.com/upload/insp-214164-1525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0900" y="35236784"/>
          <a:ext cx="2561995" cy="33108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147440</xdr:colOff>
      <xdr:row>164</xdr:row>
      <xdr:rowOff>144780</xdr:rowOff>
    </xdr:from>
    <xdr:to>
      <xdr:col>20</xdr:col>
      <xdr:colOff>567303</xdr:colOff>
      <xdr:row>179</xdr:row>
      <xdr:rowOff>140018</xdr:rowOff>
    </xdr:to>
    <xdr:pic>
      <xdr:nvPicPr>
        <xdr:cNvPr id="23" name="Picture 22" descr="https://vsjcllp.vsjadon.com/upload/insp-214164-843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14600" y="32186880"/>
          <a:ext cx="2294383" cy="295941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438150</xdr:colOff>
      <xdr:row>180</xdr:row>
      <xdr:rowOff>32384</xdr:rowOff>
    </xdr:from>
    <xdr:to>
      <xdr:col>12</xdr:col>
      <xdr:colOff>754150</xdr:colOff>
      <xdr:row>196</xdr:row>
      <xdr:rowOff>173354</xdr:rowOff>
    </xdr:to>
    <xdr:pic>
      <xdr:nvPicPr>
        <xdr:cNvPr id="26" name="Picture 25" descr="https://vsjcllp.vsjadon.com/upload/insp-214164-849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32470" y="35236784"/>
          <a:ext cx="2548660" cy="33108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856044</xdr:colOff>
      <xdr:row>164</xdr:row>
      <xdr:rowOff>149542</xdr:rowOff>
    </xdr:from>
    <xdr:to>
      <xdr:col>17</xdr:col>
      <xdr:colOff>56068</xdr:colOff>
      <xdr:row>179</xdr:row>
      <xdr:rowOff>144780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7701344" y="31778892"/>
          <a:ext cx="4159374" cy="2941638"/>
          <a:chOff x="82614" y="32532637"/>
          <a:chExt cx="3977764" cy="2986088"/>
        </a:xfrm>
      </xdr:grpSpPr>
      <xdr:pic>
        <xdr:nvPicPr>
          <xdr:cNvPr id="25" name="Picture 24" descr="https://vsjcllp.vsjadon.com/upload/insp-214164-845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2614" y="32532637"/>
            <a:ext cx="3977764" cy="29860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>
            <a:off x="2362200" y="34366200"/>
            <a:ext cx="557216" cy="56197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90800" y="34004250"/>
            <a:ext cx="981075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</a:rPr>
              <a:t>Building</a:t>
            </a:r>
            <a:r>
              <a:rPr lang="en-IN" sz="1400" b="1" baseline="0">
                <a:solidFill>
                  <a:srgbClr val="FF0000"/>
                </a:solidFill>
              </a:rPr>
              <a:t> B</a:t>
            </a:r>
            <a:endParaRPr lang="en-IN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8</xdr:col>
      <xdr:colOff>1015365</xdr:colOff>
      <xdr:row>164</xdr:row>
      <xdr:rowOff>22860</xdr:rowOff>
    </xdr:from>
    <xdr:to>
      <xdr:col>20</xdr:col>
      <xdr:colOff>433390</xdr:colOff>
      <xdr:row>188</xdr:row>
      <xdr:rowOff>169229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DCA5D71-5400-FDAB-F0B9-77D896548EBD}"/>
            </a:ext>
          </a:extLst>
        </xdr:cNvPr>
        <xdr:cNvGrpSpPr/>
      </xdr:nvGrpSpPr>
      <xdr:grpSpPr>
        <a:xfrm>
          <a:off x="7860665" y="31652210"/>
          <a:ext cx="6301425" cy="4864419"/>
          <a:chOff x="259473" y="124735"/>
          <a:chExt cx="6129340" cy="4893629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ECDCE2C3-5772-7DDD-A90C-CD11AAE846F3}"/>
              </a:ext>
            </a:extLst>
          </xdr:cNvPr>
          <xdr:cNvGrpSpPr/>
        </xdr:nvGrpSpPr>
        <xdr:grpSpPr>
          <a:xfrm>
            <a:off x="641515" y="3218364"/>
            <a:ext cx="5365256" cy="1800000"/>
            <a:chOff x="236937" y="3218364"/>
            <a:chExt cx="5365256" cy="180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B9E2FDB4-BDCF-67BF-5067-57878DF1C3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20676" y="3218364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FCBCBA0F-63E9-B7A4-BC45-6280E366A5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6937" y="3218364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6DD3AC8B-F6C4-BD6C-2BE7-A175696537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3599" y="3218364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223B7585-30A8-9583-1138-6190BA717BAF}"/>
              </a:ext>
            </a:extLst>
          </xdr:cNvPr>
          <xdr:cNvGrpSpPr/>
        </xdr:nvGrpSpPr>
        <xdr:grpSpPr>
          <a:xfrm>
            <a:off x="259473" y="124735"/>
            <a:ext cx="6129340" cy="2880000"/>
            <a:chOff x="282009" y="124735"/>
            <a:chExt cx="6129340" cy="288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81FFE6DC-61CF-FC4D-84E0-79A7860916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2009" y="124735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7D0A1EBE-CCCE-43B3-591C-CE55B9E48E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3599" y="124735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10</xdr:col>
      <xdr:colOff>0</xdr:colOff>
      <xdr:row>159</xdr:row>
      <xdr:rowOff>0</xdr:rowOff>
    </xdr:from>
    <xdr:to>
      <xdr:col>11</xdr:col>
      <xdr:colOff>338207</xdr:colOff>
      <xdr:row>160</xdr:row>
      <xdr:rowOff>166861</xdr:rowOff>
    </xdr:to>
    <xdr:sp macro="" textlink="">
      <xdr:nvSpPr>
        <xdr:cNvPr id="41" name="TextBox 11">
          <a:extLst>
            <a:ext uri="{FF2B5EF4-FFF2-40B4-BE49-F238E27FC236}">
              <a16:creationId xmlns:a16="http://schemas.microsoft.com/office/drawing/2014/main" id="{711C53DB-8650-4D85-B056-8A149C293136}"/>
            </a:ext>
          </a:extLst>
        </xdr:cNvPr>
        <xdr:cNvSpPr txBox="1"/>
      </xdr:nvSpPr>
      <xdr:spPr>
        <a:xfrm>
          <a:off x="8864600" y="30645100"/>
          <a:ext cx="1074807" cy="36371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 A1 &amp; A2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361950</xdr:colOff>
      <xdr:row>166</xdr:row>
      <xdr:rowOff>76200</xdr:rowOff>
    </xdr:from>
    <xdr:to>
      <xdr:col>7</xdr:col>
      <xdr:colOff>449796</xdr:colOff>
      <xdr:row>199</xdr:row>
      <xdr:rowOff>31750</xdr:rowOff>
    </xdr:to>
    <xdr:grpSp>
      <xdr:nvGrpSpPr>
        <xdr:cNvPr id="29" name="Group 28"/>
        <xdr:cNvGrpSpPr/>
      </xdr:nvGrpSpPr>
      <xdr:grpSpPr>
        <a:xfrm>
          <a:off x="361950" y="32099250"/>
          <a:ext cx="6063196" cy="6445250"/>
          <a:chOff x="361950" y="32099250"/>
          <a:chExt cx="6063196" cy="6445250"/>
        </a:xfrm>
      </xdr:grpSpPr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8238" y="36195260"/>
            <a:ext cx="1888032" cy="234924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320992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8239" y="320992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40825" y="36195260"/>
            <a:ext cx="1888032" cy="234924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6" name="TextBox 11">
            <a:extLst>
              <a:ext uri="{FF2B5EF4-FFF2-40B4-BE49-F238E27FC236}">
                <a16:creationId xmlns:a16="http://schemas.microsoft.com/office/drawing/2014/main" id="{711C53DB-8650-4D85-B056-8A149C293136}"/>
              </a:ext>
            </a:extLst>
          </xdr:cNvPr>
          <xdr:cNvSpPr txBox="1"/>
        </xdr:nvSpPr>
        <xdr:spPr>
          <a:xfrm>
            <a:off x="5058439" y="32175450"/>
            <a:ext cx="1074807" cy="36371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 A1 &amp; A2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7" name="TextBox 11">
            <a:extLst>
              <a:ext uri="{FF2B5EF4-FFF2-40B4-BE49-F238E27FC236}">
                <a16:creationId xmlns:a16="http://schemas.microsoft.com/office/drawing/2014/main" id="{711C53DB-8650-4D85-B056-8A149C293136}"/>
              </a:ext>
            </a:extLst>
          </xdr:cNvPr>
          <xdr:cNvSpPr txBox="1"/>
        </xdr:nvSpPr>
        <xdr:spPr>
          <a:xfrm>
            <a:off x="1549401" y="33940750"/>
            <a:ext cx="463549" cy="3682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B1</a:t>
            </a:r>
            <a:endParaRPr lang="en-IN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856256</xdr:colOff>
      <xdr:row>14</xdr:row>
      <xdr:rowOff>0</xdr:rowOff>
    </xdr:from>
    <xdr:to>
      <xdr:col>17</xdr:col>
      <xdr:colOff>38227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21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7d9z968qQbTqMW4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62"/>
  <sheetViews>
    <sheetView tabSelected="1" view="pageBreakPreview" topLeftCell="A62" zoomScaleNormal="100" zoomScaleSheetLayoutView="100" zoomScalePageLayoutView="85" workbookViewId="0">
      <selection activeCell="E68" sqref="E68:F77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7265625" style="11" customWidth="1"/>
    <col min="4" max="4" width="14.1796875" style="11" customWidth="1"/>
    <col min="5" max="7" width="11.72656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72656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54" t="s">
        <v>175</v>
      </c>
      <c r="B1" s="154"/>
      <c r="C1" s="154"/>
      <c r="D1" s="154"/>
      <c r="E1" s="154"/>
      <c r="F1" s="154"/>
      <c r="G1" s="154"/>
      <c r="H1" s="154"/>
    </row>
    <row r="2" spans="1:8" ht="16.5" customHeight="1" x14ac:dyDescent="0.3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x14ac:dyDescent="0.35">
      <c r="A3" s="77" t="s">
        <v>1</v>
      </c>
      <c r="B3" s="77"/>
      <c r="C3" s="77"/>
      <c r="D3" s="77"/>
      <c r="E3" s="153" t="str">
        <f ca="1">TEXT(TODAY(),"DD/MM/YYYY")</f>
        <v>06/10/2025</v>
      </c>
      <c r="F3" s="153"/>
      <c r="G3" s="153"/>
      <c r="H3" s="153"/>
    </row>
    <row r="4" spans="1:8" ht="15" customHeight="1" x14ac:dyDescent="0.35">
      <c r="A4" s="77" t="s">
        <v>2</v>
      </c>
      <c r="B4" s="77"/>
      <c r="C4" s="77"/>
      <c r="D4" s="77"/>
      <c r="E4" s="140" t="s">
        <v>179</v>
      </c>
      <c r="F4" s="140"/>
      <c r="G4" s="140"/>
      <c r="H4" s="140"/>
    </row>
    <row r="5" spans="1:8" x14ac:dyDescent="0.35">
      <c r="A5" s="77" t="s">
        <v>3</v>
      </c>
      <c r="B5" s="77"/>
      <c r="C5" s="77"/>
      <c r="D5" s="77"/>
      <c r="E5" s="153">
        <v>45925</v>
      </c>
      <c r="F5" s="153"/>
      <c r="G5" s="153"/>
      <c r="H5" s="153"/>
    </row>
    <row r="6" spans="1:8" ht="16.5" customHeight="1" x14ac:dyDescent="0.35">
      <c r="A6" s="77" t="s">
        <v>4</v>
      </c>
      <c r="B6" s="77"/>
      <c r="C6" s="77"/>
      <c r="D6" s="77"/>
      <c r="E6" s="120" t="s">
        <v>196</v>
      </c>
      <c r="F6" s="120"/>
      <c r="G6" s="120"/>
      <c r="H6" s="120"/>
    </row>
    <row r="7" spans="1:8" ht="15" customHeight="1" x14ac:dyDescent="0.35">
      <c r="A7" s="77" t="s">
        <v>5</v>
      </c>
      <c r="B7" s="77"/>
      <c r="C7" s="77"/>
      <c r="D7" s="77"/>
      <c r="E7" s="120" t="str">
        <f>E6</f>
        <v>Puranik Tokyo Bay Private Limited</v>
      </c>
      <c r="F7" s="120"/>
      <c r="G7" s="120"/>
      <c r="H7" s="120"/>
    </row>
    <row r="8" spans="1:8" x14ac:dyDescent="0.35">
      <c r="A8" s="77" t="s">
        <v>6</v>
      </c>
      <c r="B8" s="77"/>
      <c r="C8" s="77"/>
      <c r="D8" s="77"/>
      <c r="E8" s="155" t="s">
        <v>197</v>
      </c>
      <c r="F8" s="155"/>
      <c r="G8" s="155"/>
      <c r="H8" s="155"/>
    </row>
    <row r="9" spans="1:8" x14ac:dyDescent="0.35">
      <c r="A9" s="77" t="s">
        <v>130</v>
      </c>
      <c r="B9" s="77"/>
      <c r="C9" s="77"/>
      <c r="D9" s="77"/>
      <c r="E9" s="77" t="s">
        <v>198</v>
      </c>
      <c r="F9" s="77"/>
      <c r="G9" s="77"/>
      <c r="H9" s="77"/>
    </row>
    <row r="10" spans="1:8" x14ac:dyDescent="0.35">
      <c r="A10" s="77" t="s">
        <v>201</v>
      </c>
      <c r="B10" s="77"/>
      <c r="C10" s="77"/>
      <c r="D10" s="77"/>
      <c r="E10" s="77" t="s">
        <v>202</v>
      </c>
      <c r="F10" s="77"/>
      <c r="G10" s="77"/>
      <c r="H10" s="77"/>
    </row>
    <row r="11" spans="1:8" x14ac:dyDescent="0.35">
      <c r="A11" s="126" t="s">
        <v>7</v>
      </c>
      <c r="B11" s="126"/>
      <c r="C11" s="126"/>
      <c r="D11" s="126"/>
      <c r="E11" s="127" t="s">
        <v>199</v>
      </c>
      <c r="F11" s="126"/>
      <c r="G11" s="126"/>
      <c r="H11" s="126"/>
    </row>
    <row r="12" spans="1:8" x14ac:dyDescent="0.35">
      <c r="A12" s="77" t="s">
        <v>8</v>
      </c>
      <c r="B12" s="77"/>
      <c r="C12" s="77"/>
      <c r="D12" s="77"/>
      <c r="E12" s="127" t="s">
        <v>186</v>
      </c>
      <c r="F12" s="126"/>
      <c r="G12" s="126"/>
      <c r="H12" s="126"/>
    </row>
    <row r="13" spans="1:8" ht="33" customHeight="1" x14ac:dyDescent="0.35">
      <c r="A13" s="77" t="s">
        <v>200</v>
      </c>
      <c r="B13" s="77"/>
      <c r="C13" s="77"/>
      <c r="D13" s="77"/>
      <c r="E13" s="147" t="s">
        <v>187</v>
      </c>
      <c r="F13" s="147"/>
      <c r="G13" s="147"/>
      <c r="H13" s="147"/>
    </row>
    <row r="14" spans="1:8" ht="49.15" customHeight="1" x14ac:dyDescent="0.35">
      <c r="A14" s="120" t="s">
        <v>9</v>
      </c>
      <c r="B14" s="120"/>
      <c r="C14" s="120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IKIGAI Phase 2, Survey No.45/2/A, 45/2/B, 45/4, 45/5, 45/9/A, 45/9/B, 45/10/A &amp; Amp; 45/10/B, near KIPL Morya, Internal Road, Owale, Thane West, Thane, Thane.</v>
      </c>
      <c r="D14" s="120"/>
      <c r="E14" s="120"/>
      <c r="F14" s="120"/>
      <c r="G14" s="120"/>
      <c r="H14" s="120"/>
    </row>
    <row r="15" spans="1:8" x14ac:dyDescent="0.35">
      <c r="A15" s="147" t="s">
        <v>162</v>
      </c>
      <c r="B15" s="147"/>
      <c r="C15" s="148" t="s">
        <v>204</v>
      </c>
      <c r="D15" s="149"/>
      <c r="E15" s="149"/>
      <c r="F15" s="149"/>
      <c r="G15" s="149"/>
      <c r="H15" s="150"/>
    </row>
    <row r="16" spans="1:8" ht="15.75" customHeight="1" x14ac:dyDescent="0.35">
      <c r="A16" s="120" t="s">
        <v>10</v>
      </c>
      <c r="B16" s="120"/>
      <c r="C16" s="126" t="s">
        <v>209</v>
      </c>
      <c r="D16" s="126"/>
      <c r="E16" s="120" t="s">
        <v>76</v>
      </c>
      <c r="F16" s="120"/>
      <c r="G16" s="127" t="s">
        <v>205</v>
      </c>
      <c r="H16" s="127"/>
    </row>
    <row r="17" spans="1:15" x14ac:dyDescent="0.35">
      <c r="A17" s="77" t="s">
        <v>12</v>
      </c>
      <c r="B17" s="77"/>
      <c r="C17" s="127" t="s">
        <v>160</v>
      </c>
      <c r="D17" s="127"/>
      <c r="E17" s="120" t="s">
        <v>11</v>
      </c>
      <c r="F17" s="120"/>
      <c r="G17" s="151" t="s">
        <v>161</v>
      </c>
      <c r="H17" s="151"/>
    </row>
    <row r="18" spans="1:15" x14ac:dyDescent="0.35">
      <c r="A18" s="77" t="s">
        <v>77</v>
      </c>
      <c r="B18" s="77"/>
      <c r="C18" s="127" t="s">
        <v>161</v>
      </c>
      <c r="D18" s="127"/>
      <c r="E18" s="120" t="s">
        <v>13</v>
      </c>
      <c r="F18" s="120"/>
      <c r="G18" s="127">
        <v>400615</v>
      </c>
      <c r="H18" s="127"/>
    </row>
    <row r="19" spans="1:15" ht="32.25" customHeight="1" x14ac:dyDescent="0.35">
      <c r="A19" s="77" t="s">
        <v>131</v>
      </c>
      <c r="B19" s="77"/>
      <c r="C19" s="152" t="s">
        <v>170</v>
      </c>
      <c r="D19" s="152"/>
      <c r="E19" s="120" t="s">
        <v>14</v>
      </c>
      <c r="F19" s="120"/>
      <c r="G19" s="147" t="s">
        <v>218</v>
      </c>
      <c r="H19" s="147"/>
    </row>
    <row r="20" spans="1:15" ht="15" customHeight="1" x14ac:dyDescent="0.35">
      <c r="A20" s="120" t="s">
        <v>80</v>
      </c>
      <c r="B20" s="120"/>
      <c r="C20" s="120"/>
      <c r="D20" s="120"/>
      <c r="E20" s="126" t="s">
        <v>15</v>
      </c>
      <c r="F20" s="126"/>
      <c r="G20" s="126"/>
      <c r="H20" s="126"/>
    </row>
    <row r="21" spans="1:15" ht="18.75" customHeight="1" x14ac:dyDescent="0.35">
      <c r="A21" s="120"/>
      <c r="B21" s="120"/>
      <c r="C21" s="120"/>
      <c r="D21" s="120"/>
      <c r="E21" s="126"/>
      <c r="F21" s="126"/>
      <c r="G21" s="126"/>
      <c r="H21" s="126"/>
    </row>
    <row r="22" spans="1:15" ht="15" customHeight="1" x14ac:dyDescent="0.35">
      <c r="A22" s="120" t="s">
        <v>16</v>
      </c>
      <c r="B22" s="120"/>
      <c r="C22" s="120"/>
      <c r="D22" s="120"/>
      <c r="E22" s="127" t="s">
        <v>17</v>
      </c>
      <c r="F22" s="127"/>
      <c r="G22" s="127"/>
      <c r="H22" s="127"/>
    </row>
    <row r="23" spans="1:15" ht="15" customHeight="1" x14ac:dyDescent="0.35">
      <c r="A23" s="77" t="s">
        <v>18</v>
      </c>
      <c r="B23" s="77"/>
      <c r="C23" s="77"/>
      <c r="D23" s="77"/>
      <c r="E23" s="127" t="str">
        <f>IF(AND(G17="Mumbai"),"Upper Class","Middle Class")</f>
        <v>Middle Class</v>
      </c>
      <c r="F23" s="127"/>
      <c r="G23" s="127"/>
      <c r="H23" s="127"/>
    </row>
    <row r="24" spans="1:15" x14ac:dyDescent="0.35">
      <c r="A24" s="77" t="s">
        <v>19</v>
      </c>
      <c r="B24" s="77"/>
      <c r="C24" s="77"/>
      <c r="D24" s="77"/>
      <c r="E24" s="127" t="s">
        <v>20</v>
      </c>
      <c r="F24" s="127"/>
      <c r="G24" s="127"/>
      <c r="H24" s="127"/>
    </row>
    <row r="25" spans="1:15" ht="15.75" customHeight="1" x14ac:dyDescent="0.35">
      <c r="A25" s="77" t="s">
        <v>21</v>
      </c>
      <c r="B25" s="77"/>
      <c r="C25" s="77"/>
      <c r="D25" s="77"/>
      <c r="E25" s="127" t="str">
        <f>IF(AND(G17="Mumbai"),"Developed","Developing")</f>
        <v>Developing</v>
      </c>
      <c r="F25" s="127"/>
      <c r="G25" s="127"/>
      <c r="H25" s="127"/>
    </row>
    <row r="26" spans="1:15" x14ac:dyDescent="0.35">
      <c r="A26" s="77" t="s">
        <v>22</v>
      </c>
      <c r="B26" s="77"/>
      <c r="C26" s="77"/>
      <c r="D26" s="77"/>
      <c r="E26" s="127" t="s">
        <v>23</v>
      </c>
      <c r="F26" s="127"/>
      <c r="G26" s="127"/>
      <c r="H26" s="127"/>
    </row>
    <row r="27" spans="1:15" x14ac:dyDescent="0.35">
      <c r="A27" s="77" t="s">
        <v>87</v>
      </c>
      <c r="B27" s="77"/>
      <c r="C27" s="77"/>
      <c r="D27" s="77"/>
      <c r="E27" s="127" t="s">
        <v>88</v>
      </c>
      <c r="F27" s="127"/>
      <c r="G27" s="127"/>
      <c r="H27" s="127"/>
    </row>
    <row r="28" spans="1:15" ht="15" customHeight="1" x14ac:dyDescent="0.35">
      <c r="A28" s="120" t="s">
        <v>31</v>
      </c>
      <c r="B28" s="120"/>
      <c r="C28" s="120"/>
      <c r="D28" s="120"/>
      <c r="E28" s="140" t="s">
        <v>166</v>
      </c>
      <c r="F28" s="140"/>
      <c r="G28" s="140"/>
      <c r="H28" s="140"/>
    </row>
    <row r="29" spans="1:15" x14ac:dyDescent="0.35">
      <c r="A29" s="120" t="s">
        <v>98</v>
      </c>
      <c r="B29" s="120"/>
      <c r="C29" s="120"/>
      <c r="D29" s="120"/>
      <c r="E29" s="120" t="s">
        <v>32</v>
      </c>
      <c r="F29" s="120"/>
      <c r="G29" s="120"/>
      <c r="H29" s="120"/>
    </row>
    <row r="30" spans="1:15" s="6" customFormat="1" x14ac:dyDescent="0.35">
      <c r="A30" s="133" t="s">
        <v>99</v>
      </c>
      <c r="B30" s="133"/>
      <c r="C30" s="66" t="s">
        <v>206</v>
      </c>
      <c r="D30" s="66"/>
      <c r="E30" s="66"/>
      <c r="F30" s="129" t="s">
        <v>29</v>
      </c>
      <c r="G30" s="130"/>
      <c r="H30" s="131"/>
      <c r="J30" s="66" t="s">
        <v>206</v>
      </c>
      <c r="K30" s="66"/>
      <c r="L30" s="66"/>
      <c r="M30" s="66" t="s">
        <v>29</v>
      </c>
      <c r="N30" s="66"/>
      <c r="O30" s="66"/>
    </row>
    <row r="31" spans="1:15" s="6" customFormat="1" ht="15.75" customHeight="1" x14ac:dyDescent="0.35">
      <c r="A31" s="132" t="s">
        <v>24</v>
      </c>
      <c r="B31" s="132" t="s">
        <v>28</v>
      </c>
      <c r="C31" s="67" t="s">
        <v>207</v>
      </c>
      <c r="D31" s="67"/>
      <c r="E31" s="67"/>
      <c r="F31" s="141" t="s">
        <v>208</v>
      </c>
      <c r="G31" s="142"/>
      <c r="H31" s="143"/>
      <c r="J31" s="67" t="s">
        <v>207</v>
      </c>
      <c r="K31" s="67"/>
      <c r="L31" s="67"/>
      <c r="M31" s="68" t="s">
        <v>208</v>
      </c>
      <c r="N31" s="67"/>
      <c r="O31" s="67"/>
    </row>
    <row r="32" spans="1:15" ht="15.75" customHeight="1" x14ac:dyDescent="0.35">
      <c r="A32" s="70" t="s">
        <v>25</v>
      </c>
      <c r="B32" s="70" t="s">
        <v>28</v>
      </c>
      <c r="C32" s="69" t="s">
        <v>213</v>
      </c>
      <c r="D32" s="69"/>
      <c r="E32" s="69"/>
      <c r="F32" s="144" t="s">
        <v>209</v>
      </c>
      <c r="G32" s="145"/>
      <c r="H32" s="146"/>
      <c r="J32" s="69" t="s">
        <v>213</v>
      </c>
      <c r="K32" s="69"/>
      <c r="L32" s="69"/>
      <c r="M32" s="70" t="s">
        <v>209</v>
      </c>
      <c r="N32" s="70"/>
      <c r="O32" s="70"/>
    </row>
    <row r="33" spans="1:15" s="6" customFormat="1" x14ac:dyDescent="0.35">
      <c r="A33" s="132" t="s">
        <v>27</v>
      </c>
      <c r="B33" s="132" t="s">
        <v>28</v>
      </c>
      <c r="C33" s="67" t="s">
        <v>211</v>
      </c>
      <c r="D33" s="67"/>
      <c r="E33" s="67"/>
      <c r="F33" s="137" t="s">
        <v>159</v>
      </c>
      <c r="G33" s="138"/>
      <c r="H33" s="139"/>
      <c r="J33" s="67" t="s">
        <v>211</v>
      </c>
      <c r="K33" s="67"/>
      <c r="L33" s="67"/>
      <c r="M33" s="67" t="s">
        <v>159</v>
      </c>
      <c r="N33" s="67"/>
      <c r="O33" s="67"/>
    </row>
    <row r="34" spans="1:15" x14ac:dyDescent="0.35">
      <c r="A34" s="132" t="s">
        <v>26</v>
      </c>
      <c r="B34" s="132" t="s">
        <v>28</v>
      </c>
      <c r="C34" s="67" t="s">
        <v>212</v>
      </c>
      <c r="D34" s="67"/>
      <c r="E34" s="67"/>
      <c r="F34" s="137" t="s">
        <v>210</v>
      </c>
      <c r="G34" s="138"/>
      <c r="H34" s="139"/>
      <c r="J34" s="67" t="s">
        <v>212</v>
      </c>
      <c r="K34" s="67"/>
      <c r="L34" s="67"/>
      <c r="M34" s="67" t="s">
        <v>210</v>
      </c>
      <c r="N34" s="67"/>
      <c r="O34" s="67"/>
    </row>
    <row r="35" spans="1:15" x14ac:dyDescent="0.35">
      <c r="A35" s="77" t="s">
        <v>30</v>
      </c>
      <c r="B35" s="77"/>
      <c r="C35" s="77"/>
      <c r="D35" s="77"/>
      <c r="E35" s="77"/>
      <c r="F35" s="77"/>
      <c r="G35" s="77"/>
      <c r="H35" s="77"/>
    </row>
    <row r="36" spans="1:15" ht="15.75" customHeight="1" x14ac:dyDescent="0.35">
      <c r="A36" s="128" t="s">
        <v>176</v>
      </c>
      <c r="B36" s="128"/>
      <c r="C36" s="134" t="s">
        <v>219</v>
      </c>
      <c r="D36" s="135"/>
      <c r="E36" s="135"/>
      <c r="F36" s="135"/>
      <c r="G36" s="135"/>
      <c r="H36" s="136"/>
    </row>
    <row r="37" spans="1:15" ht="15.75" customHeight="1" x14ac:dyDescent="0.35">
      <c r="A37" s="128" t="s">
        <v>178</v>
      </c>
      <c r="B37" s="128"/>
      <c r="C37" s="172" t="s">
        <v>177</v>
      </c>
      <c r="D37" s="173"/>
      <c r="E37" s="173"/>
      <c r="F37" s="173"/>
      <c r="G37" s="173"/>
      <c r="H37" s="174"/>
    </row>
    <row r="38" spans="1:15" x14ac:dyDescent="0.35">
      <c r="A38" s="155" t="s">
        <v>33</v>
      </c>
      <c r="B38" s="155"/>
      <c r="C38" s="155"/>
      <c r="D38" s="155"/>
      <c r="E38" s="155"/>
      <c r="F38" s="155"/>
      <c r="G38" s="155"/>
      <c r="H38" s="155"/>
    </row>
    <row r="39" spans="1:15" x14ac:dyDescent="0.35">
      <c r="A39" s="77" t="s">
        <v>34</v>
      </c>
      <c r="B39" s="77"/>
      <c r="C39" s="77"/>
      <c r="D39" s="77"/>
      <c r="E39" s="119">
        <v>9921.1</v>
      </c>
      <c r="F39" s="119"/>
      <c r="G39" s="119"/>
      <c r="H39" s="119"/>
    </row>
    <row r="40" spans="1:15" x14ac:dyDescent="0.35">
      <c r="A40" s="77" t="s">
        <v>35</v>
      </c>
      <c r="B40" s="77"/>
      <c r="C40" s="77"/>
      <c r="D40" s="77"/>
      <c r="E40" s="124">
        <v>1.1000000000000001</v>
      </c>
      <c r="F40" s="124"/>
      <c r="G40" s="124"/>
      <c r="H40" s="124"/>
    </row>
    <row r="41" spans="1:15" x14ac:dyDescent="0.35">
      <c r="A41" s="77" t="s">
        <v>36</v>
      </c>
      <c r="B41" s="77"/>
      <c r="C41" s="77"/>
      <c r="D41" s="77"/>
      <c r="E41" s="124">
        <f>E43/E39-E40</f>
        <v>4.3398302607573758</v>
      </c>
      <c r="F41" s="124"/>
      <c r="G41" s="124"/>
      <c r="H41" s="124"/>
    </row>
    <row r="42" spans="1:15" x14ac:dyDescent="0.35">
      <c r="A42" s="77" t="s">
        <v>37</v>
      </c>
      <c r="B42" s="77"/>
      <c r="C42" s="77"/>
      <c r="D42" s="77"/>
      <c r="E42" s="124">
        <f>E40+E41</f>
        <v>5.4398302607573754</v>
      </c>
      <c r="F42" s="124"/>
      <c r="G42" s="124"/>
      <c r="H42" s="124"/>
    </row>
    <row r="43" spans="1:15" x14ac:dyDescent="0.35">
      <c r="A43" s="77" t="s">
        <v>97</v>
      </c>
      <c r="B43" s="77"/>
      <c r="C43" s="77"/>
      <c r="D43" s="77"/>
      <c r="E43" s="125">
        <v>53969.1</v>
      </c>
      <c r="F43" s="125"/>
      <c r="G43" s="125"/>
      <c r="H43" s="125"/>
    </row>
    <row r="44" spans="1:15" x14ac:dyDescent="0.35">
      <c r="A44" s="126" t="s">
        <v>38</v>
      </c>
      <c r="B44" s="126"/>
      <c r="C44" s="126"/>
      <c r="D44" s="126"/>
      <c r="E44" s="126" t="s">
        <v>180</v>
      </c>
      <c r="F44" s="126"/>
      <c r="G44" s="126"/>
      <c r="H44" s="126"/>
    </row>
    <row r="45" spans="1:15" x14ac:dyDescent="0.35">
      <c r="A45" s="107" t="s">
        <v>39</v>
      </c>
      <c r="B45" s="107"/>
      <c r="C45" s="107"/>
      <c r="D45" s="107"/>
      <c r="E45" s="107"/>
      <c r="F45" s="107"/>
      <c r="G45" s="107"/>
      <c r="H45" s="107"/>
    </row>
    <row r="46" spans="1:15" x14ac:dyDescent="0.35">
      <c r="A46" s="127" t="s">
        <v>40</v>
      </c>
      <c r="B46" s="127"/>
      <c r="C46" s="111" t="s">
        <v>189</v>
      </c>
      <c r="D46" s="112"/>
      <c r="E46" s="113"/>
      <c r="F46" s="40" t="s">
        <v>41</v>
      </c>
      <c r="G46" s="161">
        <v>45230</v>
      </c>
      <c r="H46" s="161"/>
    </row>
    <row r="47" spans="1:15" x14ac:dyDescent="0.35">
      <c r="A47" s="126" t="s">
        <v>42</v>
      </c>
      <c r="B47" s="126"/>
      <c r="C47" s="111" t="str">
        <f>C46</f>
        <v>TMCB/RB/2023/APL/00086</v>
      </c>
      <c r="D47" s="112"/>
      <c r="E47" s="113"/>
      <c r="F47" s="40" t="s">
        <v>41</v>
      </c>
      <c r="G47" s="161">
        <f>G46</f>
        <v>45230</v>
      </c>
      <c r="H47" s="161"/>
    </row>
    <row r="48" spans="1:15" s="5" customFormat="1" x14ac:dyDescent="0.35">
      <c r="A48" s="127" t="s">
        <v>43</v>
      </c>
      <c r="B48" s="127"/>
      <c r="C48" s="165" t="str">
        <f>C47</f>
        <v>TMCB/RB/2023/APL/00086</v>
      </c>
      <c r="D48" s="165"/>
      <c r="E48" s="165"/>
      <c r="F48" s="8" t="s">
        <v>41</v>
      </c>
      <c r="G48" s="161">
        <v>45230</v>
      </c>
      <c r="H48" s="161"/>
    </row>
    <row r="49" spans="1:14" s="5" customFormat="1" x14ac:dyDescent="0.35">
      <c r="A49" s="127"/>
      <c r="B49" s="127"/>
      <c r="C49" s="184" t="s">
        <v>216</v>
      </c>
      <c r="D49" s="185"/>
      <c r="E49" s="185"/>
      <c r="F49" s="185"/>
      <c r="G49" s="185"/>
      <c r="H49" s="186"/>
    </row>
    <row r="50" spans="1:14" x14ac:dyDescent="0.35">
      <c r="A50" s="108" t="s">
        <v>44</v>
      </c>
      <c r="B50" s="108"/>
      <c r="C50" s="180" t="s">
        <v>114</v>
      </c>
      <c r="D50" s="181"/>
      <c r="E50" s="181" t="s">
        <v>45</v>
      </c>
      <c r="F50" s="59" t="s">
        <v>41</v>
      </c>
      <c r="G50" s="183" t="s">
        <v>28</v>
      </c>
      <c r="H50" s="183"/>
    </row>
    <row r="51" spans="1:14" x14ac:dyDescent="0.35">
      <c r="A51" s="182" t="s">
        <v>47</v>
      </c>
      <c r="B51" s="182"/>
      <c r="C51" s="182"/>
      <c r="D51" s="182"/>
      <c r="E51" s="182"/>
      <c r="F51" s="182"/>
      <c r="G51" s="182"/>
      <c r="H51" s="182"/>
    </row>
    <row r="52" spans="1:14" ht="33" customHeight="1" x14ac:dyDescent="0.35">
      <c r="A52" s="127" t="s">
        <v>214</v>
      </c>
      <c r="B52" s="127"/>
      <c r="C52" s="127"/>
      <c r="D52" s="126">
        <v>17308.37</v>
      </c>
      <c r="E52" s="126"/>
      <c r="F52" s="126"/>
      <c r="G52" s="126"/>
      <c r="H52" s="126"/>
    </row>
    <row r="53" spans="1:14" x14ac:dyDescent="0.35">
      <c r="A53" s="127" t="s">
        <v>48</v>
      </c>
      <c r="B53" s="126"/>
      <c r="C53" s="126"/>
      <c r="D53" s="126" t="s">
        <v>193</v>
      </c>
      <c r="E53" s="126"/>
      <c r="F53" s="126"/>
      <c r="G53" s="126"/>
      <c r="H53" s="126"/>
      <c r="I53" s="32">
        <v>43</v>
      </c>
    </row>
    <row r="54" spans="1:14" ht="34.5" customHeight="1" x14ac:dyDescent="0.35">
      <c r="A54" s="158" t="s">
        <v>49</v>
      </c>
      <c r="B54" s="159"/>
      <c r="C54" s="160"/>
      <c r="D54" s="156" t="s">
        <v>217</v>
      </c>
      <c r="E54" s="157"/>
      <c r="F54" s="157"/>
      <c r="G54" s="157"/>
      <c r="H54" s="157"/>
    </row>
    <row r="55" spans="1:14" ht="32.25" customHeight="1" x14ac:dyDescent="0.35">
      <c r="A55" s="158" t="s">
        <v>95</v>
      </c>
      <c r="B55" s="159"/>
      <c r="C55" s="159"/>
      <c r="D55" s="156" t="s">
        <v>217</v>
      </c>
      <c r="E55" s="157"/>
      <c r="F55" s="157"/>
      <c r="G55" s="157"/>
      <c r="H55" s="157"/>
    </row>
    <row r="56" spans="1:14" ht="15.75" hidden="1" customHeight="1" x14ac:dyDescent="0.35">
      <c r="A56" s="175"/>
      <c r="B56" s="176"/>
      <c r="C56" s="176"/>
      <c r="D56" s="177" t="s">
        <v>169</v>
      </c>
      <c r="E56" s="178"/>
      <c r="F56" s="178"/>
      <c r="G56" s="178"/>
      <c r="H56" s="179"/>
    </row>
    <row r="57" spans="1:14" ht="15.75" customHeight="1" x14ac:dyDescent="0.35">
      <c r="A57" s="77" t="s">
        <v>46</v>
      </c>
      <c r="B57" s="77"/>
      <c r="C57" s="77"/>
      <c r="D57" s="120" t="s">
        <v>181</v>
      </c>
      <c r="E57" s="120"/>
      <c r="F57" s="120"/>
      <c r="G57" s="120"/>
      <c r="H57" s="120"/>
      <c r="J57" s="31"/>
      <c r="K57" s="32"/>
      <c r="N57" s="32"/>
    </row>
    <row r="58" spans="1:14" ht="15.75" customHeight="1" x14ac:dyDescent="0.35">
      <c r="A58" s="77" t="s">
        <v>93</v>
      </c>
      <c r="B58" s="77"/>
      <c r="C58" s="77"/>
      <c r="D58" s="123" t="str">
        <f>(IF(G50="NA","60 Years After Completion",IF(G50&lt;&gt;"NA",""&amp;60-ROUNDDOWN((E3-G50)/360,0)&amp;" Years"," ")))</f>
        <v>60 Years After Completion</v>
      </c>
      <c r="E58" s="123"/>
      <c r="F58" s="123"/>
      <c r="G58" s="123"/>
      <c r="H58" s="123"/>
      <c r="N58" s="32"/>
    </row>
    <row r="59" spans="1:14" ht="15.75" customHeight="1" x14ac:dyDescent="0.35">
      <c r="A59" s="77" t="s">
        <v>94</v>
      </c>
      <c r="B59" s="77"/>
      <c r="C59" s="77"/>
      <c r="D59" s="120" t="s">
        <v>23</v>
      </c>
      <c r="E59" s="120"/>
      <c r="F59" s="120"/>
      <c r="G59" s="120"/>
      <c r="H59" s="120"/>
      <c r="J59" s="13"/>
      <c r="K59" s="13"/>
    </row>
    <row r="60" spans="1:14" ht="96.75" customHeight="1" x14ac:dyDescent="0.35">
      <c r="A60" s="77" t="s">
        <v>78</v>
      </c>
      <c r="B60" s="77"/>
      <c r="C60" s="77"/>
      <c r="D60" s="127" t="s">
        <v>215</v>
      </c>
      <c r="E60" s="120"/>
      <c r="F60" s="120"/>
      <c r="G60" s="120"/>
      <c r="H60" s="120"/>
    </row>
    <row r="61" spans="1:14" x14ac:dyDescent="0.35">
      <c r="A61" s="120" t="s">
        <v>157</v>
      </c>
      <c r="B61" s="120"/>
      <c r="C61" s="120"/>
      <c r="D61" s="120" t="s">
        <v>28</v>
      </c>
      <c r="E61" s="120"/>
      <c r="F61" s="120"/>
      <c r="G61" s="120"/>
      <c r="H61" s="120"/>
      <c r="I61" s="37"/>
      <c r="J61" s="37"/>
      <c r="K61" s="37"/>
      <c r="L61" s="37"/>
      <c r="M61" s="37"/>
      <c r="N61" s="37"/>
    </row>
    <row r="62" spans="1:14" ht="15.75" customHeight="1" x14ac:dyDescent="0.35">
      <c r="A62" s="77" t="s">
        <v>92</v>
      </c>
      <c r="B62" s="77"/>
      <c r="C62" s="77"/>
      <c r="D62" s="127" t="str">
        <f ca="1">(IF(G68&gt;95%,"Nothing",IF(G68&gt;0%,"Cement, Aggregate, Steel, etc",IF(G68=0%,"Work not yet Started"))))</f>
        <v>Cement, Aggregate, Steel, etc</v>
      </c>
      <c r="E62" s="127"/>
      <c r="F62" s="127"/>
      <c r="G62" s="127"/>
      <c r="H62" s="127"/>
      <c r="J62" s="13"/>
    </row>
    <row r="63" spans="1:14" ht="33.75" customHeight="1" thickBot="1" x14ac:dyDescent="0.4">
      <c r="A63" s="120" t="s">
        <v>127</v>
      </c>
      <c r="B63" s="120"/>
      <c r="C63" s="120"/>
      <c r="D63" s="127" t="str">
        <f ca="1">(IF(D62="Nothing","Yes",IF(D62="Cement, Aggregate, Steel, etc","Under Construction",IF(D62="Work not yet Started","Work not yet Started"))))</f>
        <v>Under Construction</v>
      </c>
      <c r="E63" s="127"/>
      <c r="F63" s="127" t="str">
        <f ca="1">(IF(D62="Nothing","Yes",IF(D62="Cement, Aggregate, Steel, etc","Under Construction",IF(D62="Work not yet Started","Work not yet Started"))))</f>
        <v>Under Construction</v>
      </c>
      <c r="G63" s="127"/>
      <c r="H63" s="127"/>
    </row>
    <row r="64" spans="1:14" ht="33.75" customHeight="1" x14ac:dyDescent="0.35">
      <c r="A64" s="162" t="s">
        <v>149</v>
      </c>
      <c r="B64" s="162"/>
      <c r="C64" s="162" t="str">
        <f>D55</f>
        <v>Building Type B (Sakura) - LG 1 + Stilt/Gr + 1st to 38th Floor + 40th (Part) Floor</v>
      </c>
      <c r="D64" s="162"/>
      <c r="E64" s="162"/>
      <c r="F64" s="162"/>
      <c r="G64" s="162"/>
      <c r="H64" s="162"/>
      <c r="I64" s="34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Excavation work Completed. Plinth work completed</v>
      </c>
      <c r="J64" s="15"/>
    </row>
    <row r="65" spans="1:10" s="5" customFormat="1" x14ac:dyDescent="0.35">
      <c r="A65" s="35" t="s">
        <v>151</v>
      </c>
      <c r="B65" s="38">
        <v>1</v>
      </c>
      <c r="C65" s="38" t="s">
        <v>75</v>
      </c>
      <c r="D65" s="38">
        <v>1</v>
      </c>
      <c r="E65" s="38" t="s">
        <v>74</v>
      </c>
      <c r="F65" s="38">
        <v>0</v>
      </c>
      <c r="G65" s="38" t="s">
        <v>86</v>
      </c>
      <c r="H65" s="36">
        <f ca="1">--TRIM(RIGHT(SUBSTITUTE(LEFT(C64,_xlfn.AGGREGATE(16,6,FIND({0,1,2,3,4,5,6,7,8,9},C64,ROW(INDIRECT("1:"&amp;LEN(C64)))),1))," ",REPT(" ",LEN(C64))),LEN(C64)))</f>
        <v>40</v>
      </c>
      <c r="I65" s="41"/>
      <c r="J65" s="42"/>
    </row>
    <row r="66" spans="1:10" s="5" customFormat="1" ht="16.5" customHeight="1" x14ac:dyDescent="0.35">
      <c r="A66" s="106" t="s">
        <v>96</v>
      </c>
      <c r="B66" s="107"/>
      <c r="C66" s="108" t="str">
        <f ca="1">I64</f>
        <v>Excavation work Completed. Plinth work completed</v>
      </c>
      <c r="D66" s="108"/>
      <c r="E66" s="108"/>
      <c r="F66" s="108"/>
      <c r="G66" s="108"/>
      <c r="H66" s="109"/>
      <c r="I66" s="41" t="s">
        <v>113</v>
      </c>
      <c r="J66" s="42"/>
    </row>
    <row r="67" spans="1:10" s="5" customFormat="1" ht="15.75" customHeight="1" x14ac:dyDescent="0.35">
      <c r="A67" s="75" t="s">
        <v>50</v>
      </c>
      <c r="B67" s="68"/>
      <c r="C67" s="43" t="s">
        <v>148</v>
      </c>
      <c r="D67" s="43" t="s">
        <v>89</v>
      </c>
      <c r="E67" s="68" t="s">
        <v>91</v>
      </c>
      <c r="F67" s="68"/>
      <c r="G67" s="68" t="s">
        <v>90</v>
      </c>
      <c r="H67" s="110"/>
      <c r="I67" s="44" t="s">
        <v>150</v>
      </c>
      <c r="J67" s="45">
        <f ca="1">H65*25%</f>
        <v>10</v>
      </c>
    </row>
    <row r="68" spans="1:10" s="5" customFormat="1" x14ac:dyDescent="0.35">
      <c r="A68" s="75" t="s">
        <v>137</v>
      </c>
      <c r="B68" s="68"/>
      <c r="C68" s="46">
        <f ca="1">J69</f>
        <v>40</v>
      </c>
      <c r="D68" s="47">
        <f ca="1">((100/H65)*C68)/100</f>
        <v>1</v>
      </c>
      <c r="E68" s="71">
        <f ca="1">(((C69/H65*10)+(40/(D65+F65+H65)*C70)+(7.5/(H65)*C71)+(7.5/(H65)*C72)+(10/H65*C73)+(10/H65*C74)+(5/H65*C75)+(5/H65*C76)+(5/H65*C77))/100)</f>
        <v>0.1</v>
      </c>
      <c r="F68" s="71"/>
      <c r="G68" s="71">
        <f ca="1">((((C68/H65)*20)+((C69/H65)*25)+(30/(H65+F65+D65)*C70)+(5/H65*C71)+(5/H65*C72)+(5/H65*C73)+(5/H65*C74)+(0/H65*C75)+(0/H65*C76)+(5/H65*C77))/100)</f>
        <v>0.45</v>
      </c>
      <c r="H68" s="72"/>
      <c r="I68" s="44" t="s">
        <v>108</v>
      </c>
      <c r="J68" s="48">
        <f ca="1">H65*50%</f>
        <v>20</v>
      </c>
    </row>
    <row r="69" spans="1:10" s="5" customFormat="1" x14ac:dyDescent="0.35">
      <c r="A69" s="75" t="s">
        <v>51</v>
      </c>
      <c r="B69" s="68"/>
      <c r="C69" s="49">
        <f ca="1">J77</f>
        <v>40</v>
      </c>
      <c r="D69" s="47">
        <f ca="1">((100/H65)*C69)/100</f>
        <v>1</v>
      </c>
      <c r="E69" s="71"/>
      <c r="F69" s="71"/>
      <c r="G69" s="71"/>
      <c r="H69" s="72"/>
      <c r="I69" s="44" t="s">
        <v>109</v>
      </c>
      <c r="J69" s="48">
        <f ca="1">H65</f>
        <v>40</v>
      </c>
    </row>
    <row r="70" spans="1:10" s="5" customFormat="1" ht="15.75" customHeight="1" x14ac:dyDescent="0.35">
      <c r="A70" s="75" t="s">
        <v>138</v>
      </c>
      <c r="B70" s="68"/>
      <c r="C70" s="49">
        <v>0</v>
      </c>
      <c r="D70" s="47">
        <f ca="1">((100/(D65+F65+H65))*C70)/100</f>
        <v>0</v>
      </c>
      <c r="E70" s="71"/>
      <c r="F70" s="71"/>
      <c r="G70" s="71"/>
      <c r="H70" s="72"/>
      <c r="I70" s="44" t="s">
        <v>110</v>
      </c>
      <c r="J70" s="50">
        <f ca="1">(IF(B65&gt;1,(H65/(B65+2)),H65/4))</f>
        <v>10</v>
      </c>
    </row>
    <row r="71" spans="1:10" s="5" customFormat="1" ht="15.75" customHeight="1" x14ac:dyDescent="0.35">
      <c r="A71" s="75" t="s">
        <v>145</v>
      </c>
      <c r="B71" s="68" t="s">
        <v>139</v>
      </c>
      <c r="C71" s="46">
        <v>0</v>
      </c>
      <c r="D71" s="47">
        <f ca="1">((100/H65)*C71)/100</f>
        <v>0</v>
      </c>
      <c r="E71" s="71"/>
      <c r="F71" s="71"/>
      <c r="G71" s="71"/>
      <c r="H71" s="72"/>
      <c r="I71" s="44" t="s">
        <v>111</v>
      </c>
      <c r="J71" s="50">
        <f ca="1">(IF(B65&gt;1,(H65/(B65+2)+J70),H65/4+J70))</f>
        <v>20</v>
      </c>
    </row>
    <row r="72" spans="1:10" s="5" customFormat="1" ht="15.75" customHeight="1" x14ac:dyDescent="0.35">
      <c r="A72" s="75" t="s">
        <v>146</v>
      </c>
      <c r="B72" s="68" t="s">
        <v>139</v>
      </c>
      <c r="C72" s="46">
        <v>0</v>
      </c>
      <c r="D72" s="47">
        <f ca="1">((100/H65)*C72)/100</f>
        <v>0</v>
      </c>
      <c r="E72" s="71"/>
      <c r="F72" s="71"/>
      <c r="G72" s="71"/>
      <c r="H72" s="72"/>
      <c r="I72" s="44" t="s">
        <v>155</v>
      </c>
      <c r="J72" s="50">
        <f>(IF(B65&gt;1,(H65/(B65+2)+J71),0))</f>
        <v>0</v>
      </c>
    </row>
    <row r="73" spans="1:10" s="5" customFormat="1" ht="15" customHeight="1" x14ac:dyDescent="0.35">
      <c r="A73" s="75" t="s">
        <v>144</v>
      </c>
      <c r="B73" s="68" t="s">
        <v>141</v>
      </c>
      <c r="C73" s="46">
        <v>0</v>
      </c>
      <c r="D73" s="47">
        <f ca="1">((100/(H65))*C73)/100</f>
        <v>0</v>
      </c>
      <c r="E73" s="71"/>
      <c r="F73" s="71"/>
      <c r="G73" s="71"/>
      <c r="H73" s="72"/>
      <c r="I73" s="44" t="s">
        <v>152</v>
      </c>
      <c r="J73" s="50">
        <f>(IF(B65&gt;2,(H65/(B65+2)+J72),0))</f>
        <v>0</v>
      </c>
    </row>
    <row r="74" spans="1:10" s="5" customFormat="1" ht="15.75" customHeight="1" x14ac:dyDescent="0.35">
      <c r="A74" s="75" t="s">
        <v>140</v>
      </c>
      <c r="B74" s="68" t="s">
        <v>140</v>
      </c>
      <c r="C74" s="46">
        <v>0</v>
      </c>
      <c r="D74" s="47">
        <f ca="1">((100/H65)*C74)/100</f>
        <v>0</v>
      </c>
      <c r="E74" s="71"/>
      <c r="F74" s="71"/>
      <c r="G74" s="71"/>
      <c r="H74" s="72"/>
      <c r="I74" s="44" t="s">
        <v>153</v>
      </c>
      <c r="J74" s="51">
        <f>(IF(B65&gt;3,(H65/(B65+2)+J73),0))</f>
        <v>0</v>
      </c>
    </row>
    <row r="75" spans="1:10" s="5" customFormat="1" ht="15.75" customHeight="1" x14ac:dyDescent="0.35">
      <c r="A75" s="75" t="s">
        <v>147</v>
      </c>
      <c r="B75" s="68"/>
      <c r="C75" s="46">
        <v>0</v>
      </c>
      <c r="D75" s="47">
        <f ca="1">((100/H65)*C75)/100</f>
        <v>0</v>
      </c>
      <c r="E75" s="71"/>
      <c r="F75" s="71"/>
      <c r="G75" s="71"/>
      <c r="H75" s="72"/>
      <c r="I75" s="44" t="s">
        <v>154</v>
      </c>
      <c r="J75" s="50">
        <f>(IF(B65&gt;4,(H65/(B65+2)+J74),0))</f>
        <v>0</v>
      </c>
    </row>
    <row r="76" spans="1:10" s="5" customFormat="1" ht="15.75" customHeight="1" x14ac:dyDescent="0.35">
      <c r="A76" s="75" t="s">
        <v>142</v>
      </c>
      <c r="B76" s="68" t="s">
        <v>142</v>
      </c>
      <c r="C76" s="46">
        <v>0</v>
      </c>
      <c r="D76" s="47">
        <f ca="1">((100/(H65))*C76)/100</f>
        <v>0</v>
      </c>
      <c r="E76" s="71"/>
      <c r="F76" s="71"/>
      <c r="G76" s="71"/>
      <c r="H76" s="72"/>
      <c r="I76" s="44" t="s">
        <v>156</v>
      </c>
      <c r="J76" s="50">
        <f ca="1">(IF(B65=1,(H65/(B65+3)+J71),IF(B65=0,(H65/4+J71),IF(B65&gt;1,0))))</f>
        <v>30</v>
      </c>
    </row>
    <row r="77" spans="1:10" s="5" customFormat="1" ht="16" thickBot="1" x14ac:dyDescent="0.4">
      <c r="A77" s="121" t="s">
        <v>143</v>
      </c>
      <c r="B77" s="122"/>
      <c r="C77" s="52">
        <v>0</v>
      </c>
      <c r="D77" s="53">
        <f ca="1">((100/(H65))*C77)/100</f>
        <v>0</v>
      </c>
      <c r="E77" s="73"/>
      <c r="F77" s="73"/>
      <c r="G77" s="73"/>
      <c r="H77" s="74"/>
      <c r="I77" s="54" t="s">
        <v>112</v>
      </c>
      <c r="J77" s="55">
        <f ca="1">(IF(B65&gt;1.5,(H65/(B65+2)+J71+MAX(0,J72-J71)+MAX(0,J73-J72)+MAX(0,J74-J73)+MAX(0,J75-J74)+MAX(0,J76-J75)),IF(B65=1,(H65/(B65+3)+J76),IF(B65=0,H65/4+J76))))</f>
        <v>40</v>
      </c>
    </row>
    <row r="78" spans="1:10" s="5" customFormat="1" ht="15.75" hidden="1" customHeight="1" x14ac:dyDescent="0.35">
      <c r="A78" s="114" t="s">
        <v>149</v>
      </c>
      <c r="B78" s="115"/>
      <c r="C78" s="116" t="str">
        <f>D56</f>
        <v>A2 Wing = LG1 to LG3 + G + 1st to 45th Floor</v>
      </c>
      <c r="D78" s="117"/>
      <c r="E78" s="117"/>
      <c r="F78" s="117"/>
      <c r="G78" s="117"/>
      <c r="H78" s="118"/>
      <c r="I78" s="56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Work not yet Started.</v>
      </c>
      <c r="J78" s="57"/>
    </row>
    <row r="79" spans="1:10" s="5" customFormat="1" hidden="1" x14ac:dyDescent="0.35">
      <c r="A79" s="35" t="s">
        <v>151</v>
      </c>
      <c r="B79" s="38">
        <v>0</v>
      </c>
      <c r="C79" s="38" t="s">
        <v>75</v>
      </c>
      <c r="D79" s="38">
        <v>1</v>
      </c>
      <c r="E79" s="38" t="s">
        <v>74</v>
      </c>
      <c r="F79" s="38">
        <v>0</v>
      </c>
      <c r="G79" s="38" t="s">
        <v>86</v>
      </c>
      <c r="H79" s="36">
        <f ca="1">--TRIM(RIGHT(SUBSTITUTE(LEFT(C78,_xlfn.AGGREGATE(16,6,FIND({0,1,2,3,4,5,6,7,8,9},C78,ROW(INDIRECT("1:"&amp;LEN(C78)))),1))," ",REPT(" ",LEN(C78))),LEN(C78)))</f>
        <v>45</v>
      </c>
      <c r="I79" s="41"/>
      <c r="J79" s="42"/>
    </row>
    <row r="80" spans="1:10" s="5" customFormat="1" ht="16.5" hidden="1" customHeight="1" x14ac:dyDescent="0.35">
      <c r="A80" s="106" t="s">
        <v>96</v>
      </c>
      <c r="B80" s="107"/>
      <c r="C80" s="108" t="str">
        <f ca="1">I78</f>
        <v>Work not yet Started.</v>
      </c>
      <c r="D80" s="108"/>
      <c r="E80" s="108"/>
      <c r="F80" s="108"/>
      <c r="G80" s="108"/>
      <c r="H80" s="109"/>
      <c r="I80" s="41" t="s">
        <v>113</v>
      </c>
      <c r="J80" s="42"/>
    </row>
    <row r="81" spans="1:10" s="5" customFormat="1" ht="15.75" hidden="1" customHeight="1" x14ac:dyDescent="0.35">
      <c r="A81" s="75" t="s">
        <v>50</v>
      </c>
      <c r="B81" s="68"/>
      <c r="C81" s="43" t="s">
        <v>148</v>
      </c>
      <c r="D81" s="43" t="s">
        <v>89</v>
      </c>
      <c r="E81" s="68" t="s">
        <v>91</v>
      </c>
      <c r="F81" s="68"/>
      <c r="G81" s="68" t="s">
        <v>90</v>
      </c>
      <c r="H81" s="110"/>
      <c r="I81" s="44" t="s">
        <v>150</v>
      </c>
      <c r="J81" s="45">
        <f ca="1">H79*25%</f>
        <v>11.25</v>
      </c>
    </row>
    <row r="82" spans="1:10" s="5" customFormat="1" hidden="1" x14ac:dyDescent="0.35">
      <c r="A82" s="75" t="s">
        <v>137</v>
      </c>
      <c r="B82" s="68"/>
      <c r="C82" s="46">
        <v>0</v>
      </c>
      <c r="D82" s="47">
        <f ca="1">((100/H79)*C82)/100</f>
        <v>0</v>
      </c>
      <c r="E82" s="71">
        <f ca="1">(((C83/H79*10)+(40/(D79+F79+H79)*C84)+(7.5/(H79)*C85)+(7.5/(H79)*C86)+(10/H79*C87)+(10/H79*C88)+(5/H79*C89)+(5/H79*C90)+(5/H79*C91))/100)</f>
        <v>0</v>
      </c>
      <c r="F82" s="71"/>
      <c r="G82" s="71">
        <f ca="1">((((C82/H79)*20)+((C83/H79)*25)+(30/(H79+F79+D79)*C84)+(5/H79*C85)+(5/H79*C86)+(5/H79*C87)+(5/H79*C88)+(0/H79*C89)+(0/H79*C90)+(5/H79*C91))/100)</f>
        <v>0</v>
      </c>
      <c r="H82" s="72"/>
      <c r="I82" s="44" t="s">
        <v>108</v>
      </c>
      <c r="J82" s="48">
        <f ca="1">H79*50%</f>
        <v>22.5</v>
      </c>
    </row>
    <row r="83" spans="1:10" s="5" customFormat="1" hidden="1" x14ac:dyDescent="0.35">
      <c r="A83" s="75" t="s">
        <v>51</v>
      </c>
      <c r="B83" s="68"/>
      <c r="C83" s="49">
        <v>0</v>
      </c>
      <c r="D83" s="47">
        <f ca="1">((100/H79)*C83)/100</f>
        <v>0</v>
      </c>
      <c r="E83" s="71"/>
      <c r="F83" s="71"/>
      <c r="G83" s="71"/>
      <c r="H83" s="72"/>
      <c r="I83" s="44" t="s">
        <v>109</v>
      </c>
      <c r="J83" s="48">
        <f ca="1">H79</f>
        <v>45</v>
      </c>
    </row>
    <row r="84" spans="1:10" s="5" customFormat="1" ht="15.75" hidden="1" customHeight="1" x14ac:dyDescent="0.35">
      <c r="A84" s="75" t="s">
        <v>138</v>
      </c>
      <c r="B84" s="68"/>
      <c r="C84" s="49">
        <v>0</v>
      </c>
      <c r="D84" s="47">
        <f ca="1">((100/(D79+F79+H79))*C84)/100</f>
        <v>0</v>
      </c>
      <c r="E84" s="71"/>
      <c r="F84" s="71"/>
      <c r="G84" s="71"/>
      <c r="H84" s="72"/>
      <c r="I84" s="44" t="s">
        <v>110</v>
      </c>
      <c r="J84" s="50">
        <f ca="1">(IF(B79&gt;1,(H79/(B79+2)),H79/4))</f>
        <v>11.25</v>
      </c>
    </row>
    <row r="85" spans="1:10" s="5" customFormat="1" ht="15.75" hidden="1" customHeight="1" x14ac:dyDescent="0.35">
      <c r="A85" s="75" t="s">
        <v>145</v>
      </c>
      <c r="B85" s="68" t="s">
        <v>139</v>
      </c>
      <c r="C85" s="46">
        <v>0</v>
      </c>
      <c r="D85" s="47">
        <f ca="1">((100/H79)*C85)/100</f>
        <v>0</v>
      </c>
      <c r="E85" s="71"/>
      <c r="F85" s="71"/>
      <c r="G85" s="71"/>
      <c r="H85" s="72"/>
      <c r="I85" s="44" t="s">
        <v>111</v>
      </c>
      <c r="J85" s="50">
        <f ca="1">(IF(B79&gt;1,(H79/(B79+2)+J84),H79/4+J84))</f>
        <v>22.5</v>
      </c>
    </row>
    <row r="86" spans="1:10" s="5" customFormat="1" ht="15.75" hidden="1" customHeight="1" x14ac:dyDescent="0.35">
      <c r="A86" s="75" t="s">
        <v>146</v>
      </c>
      <c r="B86" s="68" t="s">
        <v>139</v>
      </c>
      <c r="C86" s="46">
        <v>0</v>
      </c>
      <c r="D86" s="47">
        <f ca="1">((100/H79)*C86)/100</f>
        <v>0</v>
      </c>
      <c r="E86" s="71"/>
      <c r="F86" s="71"/>
      <c r="G86" s="71"/>
      <c r="H86" s="72"/>
      <c r="I86" s="44" t="s">
        <v>155</v>
      </c>
      <c r="J86" s="50">
        <f>(IF(B79&gt;1,(H79/(B79+2)+J85),0))</f>
        <v>0</v>
      </c>
    </row>
    <row r="87" spans="1:10" s="5" customFormat="1" ht="15" hidden="1" customHeight="1" x14ac:dyDescent="0.35">
      <c r="A87" s="75" t="s">
        <v>144</v>
      </c>
      <c r="B87" s="68" t="s">
        <v>141</v>
      </c>
      <c r="C87" s="46">
        <v>0</v>
      </c>
      <c r="D87" s="47">
        <f ca="1">((100/(H79))*C87)/100</f>
        <v>0</v>
      </c>
      <c r="E87" s="71"/>
      <c r="F87" s="71"/>
      <c r="G87" s="71"/>
      <c r="H87" s="72"/>
      <c r="I87" s="44" t="s">
        <v>152</v>
      </c>
      <c r="J87" s="50">
        <f>(IF(B79&gt;2,(H79/(B79+2)+J86),0))</f>
        <v>0</v>
      </c>
    </row>
    <row r="88" spans="1:10" s="5" customFormat="1" ht="15.75" hidden="1" customHeight="1" x14ac:dyDescent="0.35">
      <c r="A88" s="75" t="s">
        <v>140</v>
      </c>
      <c r="B88" s="68" t="s">
        <v>140</v>
      </c>
      <c r="C88" s="46">
        <v>0</v>
      </c>
      <c r="D88" s="47">
        <f ca="1">((100/H79)*C88)/100</f>
        <v>0</v>
      </c>
      <c r="E88" s="71"/>
      <c r="F88" s="71"/>
      <c r="G88" s="71"/>
      <c r="H88" s="72"/>
      <c r="I88" s="44" t="s">
        <v>153</v>
      </c>
      <c r="J88" s="51">
        <f>(IF(B79&gt;3,(H79/(B79+2)+J87),0))</f>
        <v>0</v>
      </c>
    </row>
    <row r="89" spans="1:10" s="5" customFormat="1" ht="15.75" hidden="1" customHeight="1" x14ac:dyDescent="0.35">
      <c r="A89" s="75" t="s">
        <v>147</v>
      </c>
      <c r="B89" s="68"/>
      <c r="C89" s="46">
        <v>0</v>
      </c>
      <c r="D89" s="47">
        <f ca="1">((100/H79)*C89)/100</f>
        <v>0</v>
      </c>
      <c r="E89" s="71"/>
      <c r="F89" s="71"/>
      <c r="G89" s="71"/>
      <c r="H89" s="72"/>
      <c r="I89" s="44" t="s">
        <v>154</v>
      </c>
      <c r="J89" s="50">
        <f>(IF(B79&gt;4,(H79/(B79+2)+J88),0))</f>
        <v>0</v>
      </c>
    </row>
    <row r="90" spans="1:10" s="5" customFormat="1" ht="15.75" hidden="1" customHeight="1" x14ac:dyDescent="0.35">
      <c r="A90" s="75" t="s">
        <v>142</v>
      </c>
      <c r="B90" s="68" t="s">
        <v>142</v>
      </c>
      <c r="C90" s="46">
        <v>0</v>
      </c>
      <c r="D90" s="47">
        <f ca="1">((100/(H79))*C90)/100</f>
        <v>0</v>
      </c>
      <c r="E90" s="71"/>
      <c r="F90" s="71"/>
      <c r="G90" s="71"/>
      <c r="H90" s="72"/>
      <c r="I90" s="44" t="s">
        <v>156</v>
      </c>
      <c r="J90" s="50">
        <f ca="1">(IF(B79=1,(H79/(B79+3)+J85),IF(B79=0,(H79/4+J85),IF(B79&gt;1,0))))</f>
        <v>33.75</v>
      </c>
    </row>
    <row r="91" spans="1:10" s="5" customFormat="1" ht="16" hidden="1" thickBot="1" x14ac:dyDescent="0.4">
      <c r="A91" s="121" t="s">
        <v>143</v>
      </c>
      <c r="B91" s="122"/>
      <c r="C91" s="52">
        <v>0</v>
      </c>
      <c r="D91" s="53">
        <f ca="1">((100/(H79))*C91)/100</f>
        <v>0</v>
      </c>
      <c r="E91" s="73"/>
      <c r="F91" s="73"/>
      <c r="G91" s="73"/>
      <c r="H91" s="74"/>
      <c r="I91" s="54" t="s">
        <v>112</v>
      </c>
      <c r="J91" s="55">
        <f ca="1">(IF(B79&gt;1.5,(H79/(B79+2)+J85+MAX(0,J86-J85)+MAX(0,J87-J86)+MAX(0,J88-J87)+MAX(0,J89-J88)+MAX(0,J90-J89)),IF(B79=1,(H79/(B79+3)+J90),IF(B79=0,H79/4+J90))))</f>
        <v>45</v>
      </c>
    </row>
    <row r="92" spans="1:10" x14ac:dyDescent="0.35">
      <c r="A92" s="155" t="s">
        <v>52</v>
      </c>
      <c r="B92" s="155"/>
      <c r="C92" s="155"/>
      <c r="D92" s="155"/>
      <c r="E92" s="155"/>
      <c r="F92" s="155"/>
      <c r="G92" s="155"/>
      <c r="H92" s="155"/>
    </row>
    <row r="93" spans="1:10" x14ac:dyDescent="0.35">
      <c r="A93" s="77" t="s">
        <v>79</v>
      </c>
      <c r="B93" s="77"/>
      <c r="C93" s="77"/>
      <c r="D93" s="77"/>
      <c r="E93" s="77"/>
      <c r="F93" s="181">
        <v>8900</v>
      </c>
      <c r="G93" s="181"/>
      <c r="H93" s="181"/>
      <c r="J93" s="32">
        <f>3800000/F117</f>
        <v>5031.7188369173809</v>
      </c>
    </row>
    <row r="94" spans="1:10" hidden="1" x14ac:dyDescent="0.35">
      <c r="A94" s="77" t="s">
        <v>84</v>
      </c>
      <c r="B94" s="77"/>
      <c r="C94" s="77"/>
      <c r="D94" s="77"/>
      <c r="E94" s="77"/>
      <c r="F94" s="76"/>
      <c r="G94" s="76"/>
      <c r="H94" s="76"/>
      <c r="J94" s="32"/>
    </row>
    <row r="95" spans="1:10" hidden="1" x14ac:dyDescent="0.35">
      <c r="A95" s="77" t="s">
        <v>85</v>
      </c>
      <c r="B95" s="77"/>
      <c r="C95" s="77"/>
      <c r="D95" s="77"/>
      <c r="E95" s="77"/>
      <c r="F95" s="76"/>
      <c r="G95" s="76"/>
      <c r="H95" s="76"/>
      <c r="J95" s="32"/>
    </row>
    <row r="96" spans="1:10" s="7" customFormat="1" hidden="1" x14ac:dyDescent="0.3">
      <c r="A96" s="77" t="s">
        <v>100</v>
      </c>
      <c r="B96" s="77"/>
      <c r="C96" s="77"/>
      <c r="D96" s="77"/>
      <c r="E96" s="77"/>
      <c r="F96" s="76" t="s">
        <v>28</v>
      </c>
      <c r="G96" s="76"/>
      <c r="H96" s="76"/>
      <c r="J96" s="61"/>
    </row>
    <row r="97" spans="1:10" s="7" customFormat="1" hidden="1" x14ac:dyDescent="0.3">
      <c r="A97" s="77" t="s">
        <v>101</v>
      </c>
      <c r="B97" s="77"/>
      <c r="C97" s="77"/>
      <c r="D97" s="77"/>
      <c r="E97" s="77"/>
      <c r="F97" s="76" t="s">
        <v>28</v>
      </c>
      <c r="G97" s="76"/>
      <c r="H97" s="76"/>
      <c r="J97" s="61"/>
    </row>
    <row r="98" spans="1:10" s="7" customFormat="1" hidden="1" x14ac:dyDescent="0.3">
      <c r="A98" s="77" t="s">
        <v>102</v>
      </c>
      <c r="B98" s="77"/>
      <c r="C98" s="77"/>
      <c r="D98" s="77"/>
      <c r="E98" s="77"/>
      <c r="F98" s="76" t="s">
        <v>28</v>
      </c>
      <c r="G98" s="76"/>
      <c r="H98" s="76"/>
      <c r="J98" s="61"/>
    </row>
    <row r="99" spans="1:10" s="7" customFormat="1" hidden="1" x14ac:dyDescent="0.3">
      <c r="A99" s="77" t="s">
        <v>103</v>
      </c>
      <c r="B99" s="77"/>
      <c r="C99" s="77"/>
      <c r="D99" s="77"/>
      <c r="E99" s="77"/>
      <c r="F99" s="76" t="s">
        <v>28</v>
      </c>
      <c r="G99" s="76"/>
      <c r="H99" s="76"/>
      <c r="J99" s="61"/>
    </row>
    <row r="100" spans="1:10" s="7" customFormat="1" hidden="1" x14ac:dyDescent="0.3">
      <c r="A100" s="77" t="s">
        <v>104</v>
      </c>
      <c r="B100" s="77"/>
      <c r="C100" s="77"/>
      <c r="D100" s="77"/>
      <c r="E100" s="77"/>
      <c r="F100" s="76" t="s">
        <v>28</v>
      </c>
      <c r="G100" s="76"/>
      <c r="H100" s="76"/>
      <c r="J100" s="61"/>
    </row>
    <row r="101" spans="1:10" s="7" customFormat="1" hidden="1" x14ac:dyDescent="0.3">
      <c r="A101" s="77" t="s">
        <v>105</v>
      </c>
      <c r="B101" s="77"/>
      <c r="C101" s="77"/>
      <c r="D101" s="77"/>
      <c r="E101" s="77"/>
      <c r="F101" s="76" t="s">
        <v>28</v>
      </c>
      <c r="G101" s="76"/>
      <c r="H101" s="76"/>
      <c r="J101" s="61"/>
    </row>
    <row r="102" spans="1:10" s="7" customFormat="1" hidden="1" x14ac:dyDescent="0.3">
      <c r="A102" s="77" t="s">
        <v>106</v>
      </c>
      <c r="B102" s="77"/>
      <c r="C102" s="77"/>
      <c r="D102" s="77"/>
      <c r="E102" s="77"/>
      <c r="F102" s="76" t="s">
        <v>28</v>
      </c>
      <c r="G102" s="76"/>
      <c r="H102" s="76"/>
      <c r="J102" s="61"/>
    </row>
    <row r="103" spans="1:10" s="7" customFormat="1" hidden="1" x14ac:dyDescent="0.3">
      <c r="A103" s="77" t="s">
        <v>107</v>
      </c>
      <c r="B103" s="77"/>
      <c r="C103" s="77"/>
      <c r="D103" s="77"/>
      <c r="E103" s="77"/>
      <c r="F103" s="76" t="s">
        <v>28</v>
      </c>
      <c r="G103" s="76"/>
      <c r="H103" s="76"/>
      <c r="J103" s="61"/>
    </row>
    <row r="104" spans="1:10" x14ac:dyDescent="0.35">
      <c r="A104" s="77" t="s">
        <v>53</v>
      </c>
      <c r="B104" s="77"/>
      <c r="C104" s="77"/>
      <c r="D104" s="77"/>
      <c r="E104" s="77"/>
      <c r="F104" s="165" t="s">
        <v>171</v>
      </c>
      <c r="G104" s="165"/>
      <c r="H104" s="165"/>
      <c r="J104" s="32">
        <f>7000000/F120</f>
        <v>9268.9557522162286</v>
      </c>
    </row>
    <row r="105" spans="1:10" s="4" customFormat="1" x14ac:dyDescent="0.35">
      <c r="A105" s="155" t="s">
        <v>54</v>
      </c>
      <c r="B105" s="155"/>
      <c r="C105" s="155"/>
      <c r="D105" s="155"/>
      <c r="E105" s="155"/>
      <c r="F105" s="76">
        <f>F93*0.8</f>
        <v>7120</v>
      </c>
      <c r="G105" s="76"/>
      <c r="H105" s="76"/>
      <c r="J105" s="62">
        <f>AVERAGE(J93:J104)</f>
        <v>7150.3372945668052</v>
      </c>
    </row>
    <row r="106" spans="1:10" s="1" customFormat="1" x14ac:dyDescent="0.35">
      <c r="A106" s="167" t="s">
        <v>73</v>
      </c>
      <c r="B106" s="167"/>
      <c r="C106" s="167"/>
      <c r="D106" s="167"/>
      <c r="E106" s="167"/>
      <c r="F106" s="167"/>
      <c r="G106" s="167"/>
      <c r="H106" s="167"/>
    </row>
    <row r="107" spans="1:10" s="1" customFormat="1" ht="15.75" customHeight="1" x14ac:dyDescent="0.35">
      <c r="A107" s="92" t="s">
        <v>55</v>
      </c>
      <c r="B107" s="92"/>
      <c r="C107" s="101" t="s">
        <v>82</v>
      </c>
      <c r="D107" s="101"/>
      <c r="E107" s="171" t="s">
        <v>56</v>
      </c>
      <c r="F107" s="171"/>
      <c r="G107" s="92" t="s">
        <v>57</v>
      </c>
      <c r="H107" s="92"/>
    </row>
    <row r="108" spans="1:10" s="1" customFormat="1" x14ac:dyDescent="0.35">
      <c r="A108" s="187" t="s">
        <v>188</v>
      </c>
      <c r="B108" s="187"/>
      <c r="C108" s="81">
        <f>COUNT(D117:D124)*32+COUNT(D126:D129,D131:D133)*7+COUNT(D135,D138,D140:D142)</f>
        <v>310</v>
      </c>
      <c r="D108" s="81"/>
      <c r="E108" s="82">
        <f>SUM(D117:D124)*32+SUM(D126:D129,D131:D133)*7+SUM(D135,D138,D140:D142)</f>
        <v>106593.61003200001</v>
      </c>
      <c r="F108" s="82"/>
      <c r="G108" s="82">
        <f>SUM(F117:F124)*32+SUM(F126:F129,F131:F133)*7+SUM(F135,F138,F140:F142)</f>
        <v>170549.77605119999</v>
      </c>
      <c r="H108" s="82"/>
      <c r="I108" s="1">
        <f>144+50</f>
        <v>194</v>
      </c>
    </row>
    <row r="109" spans="1:10" s="4" customFormat="1" x14ac:dyDescent="0.35">
      <c r="A109" s="128" t="s">
        <v>58</v>
      </c>
      <c r="B109" s="128"/>
      <c r="C109" s="128"/>
      <c r="D109" s="128"/>
      <c r="E109" s="128"/>
      <c r="F109" s="128"/>
      <c r="G109" s="128"/>
      <c r="H109" s="128"/>
    </row>
    <row r="110" spans="1:10" x14ac:dyDescent="0.35">
      <c r="A110" s="128" t="s">
        <v>59</v>
      </c>
      <c r="B110" s="128"/>
      <c r="C110" s="128"/>
      <c r="D110" s="128"/>
      <c r="E110" s="128"/>
      <c r="F110" s="128"/>
      <c r="G110" s="128"/>
      <c r="H110" s="128"/>
    </row>
    <row r="111" spans="1:10" ht="47.25" customHeight="1" x14ac:dyDescent="0.35">
      <c r="A111" s="97" t="s">
        <v>128</v>
      </c>
      <c r="B111" s="97" t="s">
        <v>129</v>
      </c>
      <c r="C111" s="93" t="s">
        <v>60</v>
      </c>
      <c r="D111" s="93" t="s">
        <v>61</v>
      </c>
      <c r="E111" s="95" t="s">
        <v>62</v>
      </c>
      <c r="F111" s="30" t="s">
        <v>158</v>
      </c>
      <c r="G111" s="97" t="s">
        <v>63</v>
      </c>
      <c r="H111" s="98"/>
      <c r="I111" s="29"/>
    </row>
    <row r="112" spans="1:10" s="2" customFormat="1" x14ac:dyDescent="0.35">
      <c r="A112" s="99"/>
      <c r="B112" s="99"/>
      <c r="C112" s="94"/>
      <c r="D112" s="94"/>
      <c r="E112" s="96"/>
      <c r="F112" s="28">
        <v>0.6</v>
      </c>
      <c r="G112" s="99"/>
      <c r="H112" s="100"/>
      <c r="I112" s="29"/>
    </row>
    <row r="113" spans="1:16" s="2" customFormat="1" x14ac:dyDescent="0.35">
      <c r="A113" s="78" t="s">
        <v>188</v>
      </c>
      <c r="B113" s="79"/>
      <c r="C113" s="79"/>
      <c r="D113" s="79"/>
      <c r="E113" s="79"/>
      <c r="F113" s="79"/>
      <c r="G113" s="79"/>
      <c r="H113" s="80"/>
      <c r="J113" s="29"/>
    </row>
    <row r="114" spans="1:16" s="2" customFormat="1" x14ac:dyDescent="0.35">
      <c r="A114" s="78" t="s">
        <v>190</v>
      </c>
      <c r="B114" s="79"/>
      <c r="C114" s="79"/>
      <c r="D114" s="79"/>
      <c r="E114" s="79"/>
      <c r="F114" s="79"/>
      <c r="G114" s="79"/>
      <c r="H114" s="80"/>
      <c r="J114" s="29"/>
    </row>
    <row r="115" spans="1:16" s="2" customFormat="1" x14ac:dyDescent="0.35">
      <c r="A115" s="78" t="s">
        <v>182</v>
      </c>
      <c r="B115" s="79"/>
      <c r="C115" s="79"/>
      <c r="D115" s="79"/>
      <c r="E115" s="79"/>
      <c r="F115" s="79"/>
      <c r="G115" s="79"/>
      <c r="H115" s="80"/>
      <c r="J115" s="29"/>
    </row>
    <row r="116" spans="1:16" s="2" customFormat="1" ht="33" customHeight="1" x14ac:dyDescent="0.35">
      <c r="A116" s="78" t="s">
        <v>194</v>
      </c>
      <c r="B116" s="79"/>
      <c r="C116" s="79"/>
      <c r="D116" s="79"/>
      <c r="E116" s="79"/>
      <c r="F116" s="79"/>
      <c r="G116" s="79"/>
      <c r="H116" s="80"/>
      <c r="I116" s="29">
        <v>30</v>
      </c>
    </row>
    <row r="117" spans="1:16" s="2" customFormat="1" ht="15.75" customHeight="1" x14ac:dyDescent="0.35">
      <c r="A117" s="83">
        <v>1</v>
      </c>
      <c r="B117" s="84"/>
      <c r="C117" s="14" t="s">
        <v>183</v>
      </c>
      <c r="D117" s="29">
        <f>(2.9*4.67+2.5*2.4+2.9*3.43+2.07*1.2+1.2*2.1+0.9*2.5+2.17*2.22+2.18*1.05)*10.764</f>
        <v>472.0057056</v>
      </c>
      <c r="E117" s="14">
        <v>0</v>
      </c>
      <c r="F117" s="14">
        <f t="shared" ref="F117:F121" si="0">D117*(($F$112)+1)+(IF(E117&lt;101,E117,IF(E117&lt;201,E117/2,IF(E117&lt;=301,E117/3,E117/4))))</f>
        <v>755.20912896000004</v>
      </c>
      <c r="G117" s="86" t="str">
        <f>A116</f>
        <v>1st to 4th, 6th &amp; 9th, 11th to 14th, 16th to 19th, 21st to 24th, 26th to 29th, 31st to 34th, 36th to 39th Floors</v>
      </c>
      <c r="H117" s="87"/>
      <c r="I117" s="39">
        <f>2.885*4.55+2.3*2.825+3*2.825+2.8*2.9+1.2*2+2.1*1.2</f>
        <v>41.139249999999997</v>
      </c>
      <c r="J117" s="2">
        <f>8000*F117</f>
        <v>6041673.03168</v>
      </c>
      <c r="K117" s="2">
        <f>2.9*4.67+2.5*2.4+2.9*3.43+2.07*1.2+1.2*2.1+0.9*2.5+2.17*2.22+2.18*1.05</f>
        <v>43.8504</v>
      </c>
      <c r="N117" s="2" t="str">
        <f t="shared" ref="N117:N122" ca="1" si="1">O117&amp;""&amp;",..,"&amp;""&amp;P117</f>
        <v>1401,..,3901</v>
      </c>
      <c r="O117" s="2">
        <f ca="1">(SUMPRODUCT(MID(0&amp;(LEFT(A116,SUM(LEN(A116)-LEN(SUBSTITUTE(A116,{0,1,2},""))))), LARGE(INDEX(ISNUMBER(--MID((LEFT(A116,SUM(LEN(A116)-LEN(SUBSTITUTE(A116,{0,1,2},""))))), ROW(INDIRECT("1:"&amp;LEN((LEFT(A116,SUM(LEN(A116)-LEN(SUBSTITUTE(A116,{0,1,2},"")))))))), 1)) * ROW(INDIRECT("1:"&amp;LEN((LEFT(A116,SUM(LEN(A116)-LEN(SUBSTITUTE(A116,{0,1,2},"")))))))), 0), ROW(INDIRECT("1:"&amp;LEN((LEFT(A116,SUM(LEN(A116)-LEN(SUBSTITUTE(A116,{0,1,2},"")))))))))+1, 1) * 10^ROW(INDIRECT("1:"&amp;LEN((LEFT(A116,SUM(LEN(A116)-LEN(SUBSTITUTE(A116,{0,1,2},""))))))))/10))*100+1</f>
        <v>1401</v>
      </c>
      <c r="P117" s="2">
        <f ca="1">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",LEN(A116))),LEN(A116)))))))/10))*100+1</f>
        <v>3901</v>
      </c>
    </row>
    <row r="118" spans="1:16" s="2" customFormat="1" ht="15.75" customHeight="1" x14ac:dyDescent="0.35">
      <c r="A118" s="83">
        <v>2</v>
      </c>
      <c r="B118" s="84"/>
      <c r="C118" s="14" t="s">
        <v>163</v>
      </c>
      <c r="D118" s="60">
        <f>(2.9*4.1+2.1*2.4+2.9*3.43+1.17*1.5+2.1*1.2+0.9*2.1)*10.764</f>
        <v>355.66408799999999</v>
      </c>
      <c r="E118" s="14">
        <v>0</v>
      </c>
      <c r="F118" s="14">
        <f t="shared" si="0"/>
        <v>569.06254079999997</v>
      </c>
      <c r="G118" s="88"/>
      <c r="H118" s="89"/>
      <c r="I118" s="29"/>
      <c r="N118" s="2" t="str">
        <f t="shared" ca="1" si="1"/>
        <v>1402,..,3902</v>
      </c>
      <c r="O118" s="2">
        <f t="shared" ref="O118:P121" ca="1" si="2">O117+1</f>
        <v>1402</v>
      </c>
      <c r="P118" s="2">
        <f t="shared" ca="1" si="2"/>
        <v>3902</v>
      </c>
    </row>
    <row r="119" spans="1:16" s="2" customFormat="1" ht="15.75" customHeight="1" x14ac:dyDescent="0.35">
      <c r="A119" s="83">
        <v>3</v>
      </c>
      <c r="B119" s="84"/>
      <c r="C119" s="14" t="s">
        <v>163</v>
      </c>
      <c r="D119" s="60">
        <f>(2.9*4.1+2.1*2.4+2.9*3.43+1.17*1.5+2.1*1.2+0.9*2.1)*10.764</f>
        <v>355.66408799999999</v>
      </c>
      <c r="E119" s="14">
        <v>0</v>
      </c>
      <c r="F119" s="14">
        <f t="shared" si="0"/>
        <v>569.06254079999997</v>
      </c>
      <c r="G119" s="88"/>
      <c r="H119" s="89"/>
      <c r="I119" s="29">
        <f>40-8</f>
        <v>32</v>
      </c>
      <c r="N119" s="2" t="str">
        <f t="shared" ca="1" si="1"/>
        <v>1403,..,3903</v>
      </c>
      <c r="O119" s="2">
        <f t="shared" ca="1" si="2"/>
        <v>1403</v>
      </c>
      <c r="P119" s="2">
        <f t="shared" ca="1" si="2"/>
        <v>3903</v>
      </c>
    </row>
    <row r="120" spans="1:16" s="2" customFormat="1" ht="15.75" customHeight="1" x14ac:dyDescent="0.35">
      <c r="A120" s="83">
        <v>4</v>
      </c>
      <c r="B120" s="84"/>
      <c r="C120" s="14" t="s">
        <v>183</v>
      </c>
      <c r="D120" s="29">
        <f>(2.9*4.67+2.5*2.4+2.9*3.43+2.07*1.2+1.2*2.1+0.9*2.5+2.17*2.22+2.18*1.05)*10.764</f>
        <v>472.0057056</v>
      </c>
      <c r="E120" s="14">
        <v>0</v>
      </c>
      <c r="F120" s="14">
        <f t="shared" si="0"/>
        <v>755.20912896000004</v>
      </c>
      <c r="G120" s="88"/>
      <c r="H120" s="89"/>
      <c r="I120" s="29"/>
      <c r="N120" s="2" t="str">
        <f t="shared" ca="1" si="1"/>
        <v>1404,..,3904</v>
      </c>
      <c r="O120" s="2">
        <f t="shared" ca="1" si="2"/>
        <v>1404</v>
      </c>
      <c r="P120" s="2">
        <f t="shared" ca="1" si="2"/>
        <v>3904</v>
      </c>
    </row>
    <row r="121" spans="1:16" s="2" customFormat="1" ht="15.75" customHeight="1" x14ac:dyDescent="0.35">
      <c r="A121" s="83">
        <v>5</v>
      </c>
      <c r="B121" s="84"/>
      <c r="C121" s="14" t="s">
        <v>163</v>
      </c>
      <c r="D121" s="60">
        <f>(2.8*3.3+2.25*2.1+2.75*2.8+1.1*1.5+1.2*1.5)*10.764</f>
        <v>270.33785999999998</v>
      </c>
      <c r="E121" s="14">
        <v>0</v>
      </c>
      <c r="F121" s="14">
        <f t="shared" si="0"/>
        <v>432.54057599999999</v>
      </c>
      <c r="G121" s="88"/>
      <c r="H121" s="89"/>
      <c r="I121" s="29"/>
      <c r="N121" s="2" t="str">
        <f t="shared" ca="1" si="1"/>
        <v>1405,..,3905</v>
      </c>
      <c r="O121" s="2">
        <f t="shared" ca="1" si="2"/>
        <v>1405</v>
      </c>
      <c r="P121" s="2">
        <f t="shared" ca="1" si="2"/>
        <v>3905</v>
      </c>
    </row>
    <row r="122" spans="1:16" s="2" customFormat="1" ht="15.75" customHeight="1" x14ac:dyDescent="0.35">
      <c r="A122" s="83">
        <v>6</v>
      </c>
      <c r="B122" s="84"/>
      <c r="C122" s="14" t="s">
        <v>163</v>
      </c>
      <c r="D122" s="60">
        <f>(2.8*3.3+2.25*2.1+2.75*2.8+1.1*1.5+1.2*1.5)*10.764</f>
        <v>270.33785999999998</v>
      </c>
      <c r="E122" s="14">
        <v>0</v>
      </c>
      <c r="F122" s="14">
        <f>D122*(($F$112)+1)+(IF(E122&lt;101,E122,IF(E122&lt;201,E122/2,IF(E122&lt;=301,E122/3,E122/4))))</f>
        <v>432.54057599999999</v>
      </c>
      <c r="G122" s="88"/>
      <c r="H122" s="89"/>
      <c r="I122" s="29">
        <f>4000000/F122</f>
        <v>9247.687319859675</v>
      </c>
      <c r="N122" s="2" t="str">
        <f t="shared" ca="1" si="1"/>
        <v>1406,..,3906</v>
      </c>
      <c r="O122" s="2">
        <f t="shared" ref="O122:P124" ca="1" si="3">O121+1</f>
        <v>1406</v>
      </c>
      <c r="P122" s="2">
        <f t="shared" ca="1" si="3"/>
        <v>3906</v>
      </c>
    </row>
    <row r="123" spans="1:16" s="2" customFormat="1" ht="15.75" customHeight="1" x14ac:dyDescent="0.35">
      <c r="A123" s="83">
        <v>7</v>
      </c>
      <c r="B123" s="84"/>
      <c r="C123" s="14" t="s">
        <v>163</v>
      </c>
      <c r="D123" s="60">
        <f t="shared" ref="D123:D124" si="4">(2.8*3.3+2.25*2.1+2.75*2.8+1.1*1.5+1.2*1.5)*10.764</f>
        <v>270.33785999999998</v>
      </c>
      <c r="E123" s="14">
        <v>0</v>
      </c>
      <c r="F123" s="14">
        <f>D123*(($F$112)+1)+(IF(E123&lt;101,E123,IF(E123&lt;201,E123/2,IF(E123&lt;=301,E123/3,E123/4))))</f>
        <v>432.54057599999999</v>
      </c>
      <c r="G123" s="88"/>
      <c r="H123" s="89"/>
      <c r="I123" s="29">
        <f>5400000/F123</f>
        <v>12484.377881810562</v>
      </c>
      <c r="J123" s="2">
        <v>8</v>
      </c>
      <c r="N123" s="2" t="str">
        <f ca="1">O123&amp;""&amp;",..,"&amp;""&amp;P123</f>
        <v>1407,..,3907</v>
      </c>
      <c r="O123" s="2">
        <f t="shared" ca="1" si="3"/>
        <v>1407</v>
      </c>
      <c r="P123" s="2">
        <f t="shared" ca="1" si="3"/>
        <v>3907</v>
      </c>
    </row>
    <row r="124" spans="1:16" s="2" customFormat="1" ht="15.75" customHeight="1" x14ac:dyDescent="0.35">
      <c r="A124" s="83">
        <v>8</v>
      </c>
      <c r="B124" s="84"/>
      <c r="C124" s="14" t="s">
        <v>163</v>
      </c>
      <c r="D124" s="60">
        <f t="shared" si="4"/>
        <v>270.33785999999998</v>
      </c>
      <c r="E124" s="14">
        <v>0</v>
      </c>
      <c r="F124" s="14">
        <f>D124*(($F$112)+1)+(IF(E124&lt;101,E124,IF(E124&lt;201,E124/2,IF(E124&lt;=301,E124/3,E124/4))))</f>
        <v>432.54057599999999</v>
      </c>
      <c r="G124" s="90"/>
      <c r="H124" s="91"/>
      <c r="I124" s="29"/>
      <c r="N124" s="2" t="str">
        <f ca="1">O124&amp;""&amp;",..,"&amp;""&amp;P124</f>
        <v>1408,..,3908</v>
      </c>
      <c r="O124" s="2">
        <f t="shared" ca="1" si="3"/>
        <v>1408</v>
      </c>
      <c r="P124" s="2">
        <f t="shared" ca="1" si="3"/>
        <v>3908</v>
      </c>
    </row>
    <row r="125" spans="1:16" s="2" customFormat="1" ht="15.75" customHeight="1" x14ac:dyDescent="0.35">
      <c r="A125" s="78" t="s">
        <v>195</v>
      </c>
      <c r="B125" s="79"/>
      <c r="C125" s="79"/>
      <c r="D125" s="79"/>
      <c r="E125" s="79"/>
      <c r="F125" s="79"/>
      <c r="G125" s="79"/>
      <c r="H125" s="80"/>
      <c r="I125" s="29"/>
    </row>
    <row r="126" spans="1:16" s="2" customFormat="1" ht="15.75" customHeight="1" x14ac:dyDescent="0.35">
      <c r="A126" s="83">
        <v>1</v>
      </c>
      <c r="B126" s="84"/>
      <c r="C126" s="14" t="s">
        <v>183</v>
      </c>
      <c r="D126" s="29">
        <f>(2.9*4.67+2.5*2.4+2.9*3.43+2.07*1.2+1.2*2.1+0.9*2.5+2.17*2.22+2.18*1.05)*10.764</f>
        <v>472.0057056</v>
      </c>
      <c r="E126" s="14">
        <v>0</v>
      </c>
      <c r="F126" s="14">
        <f t="shared" ref="F126:F129" si="5">D126*(($F$112)+1)+(IF(E126&lt;101,E126,IF(E126&lt;201,E126/2,IF(E126&lt;=301,E126/3,E126/4))))</f>
        <v>755.20912896000004</v>
      </c>
      <c r="G126" s="86" t="str">
        <f>A125</f>
        <v>5th, 10th, 15th, 20th, 25th, 30th &amp; 35th Floor (Part Refuge Area)</v>
      </c>
      <c r="H126" s="87"/>
      <c r="I126" s="39"/>
      <c r="N126" s="2" t="str">
        <f t="shared" ref="N126:N133" ca="1" si="6">O126&amp;""&amp;",..,"&amp;""&amp;P126</f>
        <v>51001,..,3501</v>
      </c>
      <c r="O126" s="2">
        <f ca="1">(SUMPRODUCT(MID(0&amp;(LEFT(A125,SUM(LEN(A125)-LEN(SUBSTITUTE(A125,{0,1,2},""))))), LARGE(INDEX(ISNUMBER(--MID((LEFT(A125,SUM(LEN(A125)-LEN(SUBSTITUTE(A125,{0,1,2},""))))), ROW(INDIRECT("1:"&amp;LEN((LEFT(A125,SUM(LEN(A125)-LEN(SUBSTITUTE(A125,{0,1,2},"")))))))), 1)) * ROW(INDIRECT("1:"&amp;LEN((LEFT(A125,SUM(LEN(A125)-LEN(SUBSTITUTE(A125,{0,1,2},"")))))))), 0), ROW(INDIRECT("1:"&amp;LEN((LEFT(A125,SUM(LEN(A125)-LEN(SUBSTITUTE(A125,{0,1,2},"")))))))))+1, 1) * 10^ROW(INDIRECT("1:"&amp;LEN((LEFT(A125,SUM(LEN(A125)-LEN(SUBSTITUTE(A125,{0,1,2},""))))))))/10))*100+1</f>
        <v>51001</v>
      </c>
      <c r="P126" s="2">
        <f ca="1">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",LEN(A125))),LEN(A125)))))))/10))*100+1</f>
        <v>3501</v>
      </c>
    </row>
    <row r="127" spans="1:16" s="2" customFormat="1" ht="15.75" customHeight="1" x14ac:dyDescent="0.35">
      <c r="A127" s="83">
        <v>2</v>
      </c>
      <c r="B127" s="84"/>
      <c r="C127" s="14" t="s">
        <v>163</v>
      </c>
      <c r="D127" s="60">
        <f>(2.9*4.1+2.1*2.4+2.9*3.43+1.17*1.5+2.1*1.2+0.9*2.1)*10.764</f>
        <v>355.66408799999999</v>
      </c>
      <c r="E127" s="14">
        <v>0</v>
      </c>
      <c r="F127" s="14">
        <f t="shared" si="5"/>
        <v>569.06254079999997</v>
      </c>
      <c r="G127" s="88"/>
      <c r="H127" s="89"/>
      <c r="I127" s="29">
        <f>6800000/F127</f>
        <v>11949.477451881508</v>
      </c>
      <c r="N127" s="2" t="str">
        <f t="shared" ca="1" si="6"/>
        <v>51002,..,3502</v>
      </c>
      <c r="O127" s="2">
        <f t="shared" ref="O127:P133" ca="1" si="7">O126+1</f>
        <v>51002</v>
      </c>
      <c r="P127" s="2">
        <f t="shared" ca="1" si="7"/>
        <v>3502</v>
      </c>
    </row>
    <row r="128" spans="1:16" s="2" customFormat="1" ht="15.75" customHeight="1" x14ac:dyDescent="0.35">
      <c r="A128" s="83">
        <v>3</v>
      </c>
      <c r="B128" s="84"/>
      <c r="C128" s="14" t="s">
        <v>163</v>
      </c>
      <c r="D128" s="60">
        <f>(2.9*4.1+2.1*2.4+2.9*3.43+1.17*1.5+2.1*1.2+0.9*2.1)*10.764</f>
        <v>355.66408799999999</v>
      </c>
      <c r="E128" s="14">
        <v>0</v>
      </c>
      <c r="F128" s="14">
        <f t="shared" si="5"/>
        <v>569.06254079999997</v>
      </c>
      <c r="G128" s="88"/>
      <c r="H128" s="89"/>
      <c r="I128" s="29"/>
      <c r="N128" s="2" t="str">
        <f t="shared" ca="1" si="6"/>
        <v>51003,..,3503</v>
      </c>
      <c r="O128" s="2">
        <f t="shared" ca="1" si="7"/>
        <v>51003</v>
      </c>
      <c r="P128" s="2">
        <f t="shared" ca="1" si="7"/>
        <v>3503</v>
      </c>
    </row>
    <row r="129" spans="1:16" s="2" customFormat="1" ht="15.75" customHeight="1" x14ac:dyDescent="0.35">
      <c r="A129" s="83">
        <v>4</v>
      </c>
      <c r="B129" s="84"/>
      <c r="C129" s="14" t="s">
        <v>183</v>
      </c>
      <c r="D129" s="29">
        <f>(2.9*4.67+2.5*2.4+2.9*3.43+2.07*1.2+1.2*2.1+0.9*2.5+2.17*2.22+2.18*1.05)*10.764</f>
        <v>472.0057056</v>
      </c>
      <c r="E129" s="14">
        <v>0</v>
      </c>
      <c r="F129" s="14">
        <f t="shared" si="5"/>
        <v>755.20912896000004</v>
      </c>
      <c r="G129" s="88"/>
      <c r="H129" s="89"/>
      <c r="I129" s="29"/>
      <c r="N129" s="2" t="str">
        <f t="shared" ca="1" si="6"/>
        <v>51004,..,3504</v>
      </c>
      <c r="O129" s="2">
        <f t="shared" ca="1" si="7"/>
        <v>51004</v>
      </c>
      <c r="P129" s="2">
        <f t="shared" ca="1" si="7"/>
        <v>3504</v>
      </c>
    </row>
    <row r="130" spans="1:16" s="2" customFormat="1" ht="15.75" customHeight="1" x14ac:dyDescent="0.35">
      <c r="A130" s="83">
        <v>5</v>
      </c>
      <c r="B130" s="84"/>
      <c r="C130" s="83" t="s">
        <v>164</v>
      </c>
      <c r="D130" s="85"/>
      <c r="E130" s="85"/>
      <c r="F130" s="84"/>
      <c r="G130" s="88"/>
      <c r="H130" s="89"/>
      <c r="I130" s="29"/>
      <c r="N130" s="2" t="str">
        <f t="shared" ca="1" si="6"/>
        <v>51005,..,3505</v>
      </c>
      <c r="O130" s="2">
        <f t="shared" ca="1" si="7"/>
        <v>51005</v>
      </c>
      <c r="P130" s="2">
        <f t="shared" ca="1" si="7"/>
        <v>3505</v>
      </c>
    </row>
    <row r="131" spans="1:16" s="2" customFormat="1" ht="15.75" customHeight="1" x14ac:dyDescent="0.35">
      <c r="A131" s="83">
        <v>6</v>
      </c>
      <c r="B131" s="84"/>
      <c r="C131" s="14" t="s">
        <v>163</v>
      </c>
      <c r="D131" s="60">
        <f>(2.8*3.3+2.25*2.1+2.75*2.8+1.1*1.5+1.2*1.5)*10.764</f>
        <v>270.33785999999998</v>
      </c>
      <c r="E131" s="14">
        <v>0</v>
      </c>
      <c r="F131" s="14">
        <f>D131*(($F$112)+1)+(IF(E131&lt;101,E131,IF(E131&lt;201,E131/2,IF(E131&lt;=301,E131/3,E131/4))))</f>
        <v>432.54057599999999</v>
      </c>
      <c r="G131" s="88"/>
      <c r="H131" s="89"/>
      <c r="I131" s="29"/>
      <c r="N131" s="2" t="str">
        <f t="shared" ca="1" si="6"/>
        <v>51006,..,3506</v>
      </c>
      <c r="O131" s="2">
        <f t="shared" ca="1" si="7"/>
        <v>51006</v>
      </c>
      <c r="P131" s="2">
        <f t="shared" ca="1" si="7"/>
        <v>3506</v>
      </c>
    </row>
    <row r="132" spans="1:16" s="2" customFormat="1" ht="15.75" customHeight="1" x14ac:dyDescent="0.35">
      <c r="A132" s="83">
        <v>7</v>
      </c>
      <c r="B132" s="84"/>
      <c r="C132" s="14" t="s">
        <v>163</v>
      </c>
      <c r="D132" s="60">
        <f t="shared" ref="D132:D133" si="8">(2.8*3.3+2.25*2.1+2.75*2.8+1.1*1.5+1.2*1.5)*10.764</f>
        <v>270.33785999999998</v>
      </c>
      <c r="E132" s="14">
        <v>0</v>
      </c>
      <c r="F132" s="14">
        <f>D132*(($F$112)+1)+(IF(E132&lt;101,E132,IF(E132&lt;201,E132/2,IF(E132&lt;=301,E132/3,E132/4))))</f>
        <v>432.54057599999999</v>
      </c>
      <c r="G132" s="88"/>
      <c r="H132" s="89"/>
      <c r="I132" s="29"/>
      <c r="N132" s="2" t="str">
        <f t="shared" ca="1" si="6"/>
        <v>51007,..,3507</v>
      </c>
      <c r="O132" s="2">
        <f t="shared" ca="1" si="7"/>
        <v>51007</v>
      </c>
      <c r="P132" s="2">
        <f t="shared" ca="1" si="7"/>
        <v>3507</v>
      </c>
    </row>
    <row r="133" spans="1:16" s="2" customFormat="1" ht="15.75" customHeight="1" x14ac:dyDescent="0.35">
      <c r="A133" s="83">
        <v>8</v>
      </c>
      <c r="B133" s="84"/>
      <c r="C133" s="14" t="s">
        <v>163</v>
      </c>
      <c r="D133" s="60">
        <f t="shared" si="8"/>
        <v>270.33785999999998</v>
      </c>
      <c r="E133" s="14">
        <v>0</v>
      </c>
      <c r="F133" s="14">
        <f>D133*(($F$112)+1)+(IF(E133&lt;101,E133,IF(E133&lt;201,E133/2,IF(E133&lt;=301,E133/3,E133/4))))</f>
        <v>432.54057599999999</v>
      </c>
      <c r="G133" s="90"/>
      <c r="H133" s="91"/>
      <c r="I133" s="29"/>
      <c r="N133" s="2" t="str">
        <f t="shared" ca="1" si="6"/>
        <v>51008,..,3508</v>
      </c>
      <c r="O133" s="2">
        <f t="shared" ca="1" si="7"/>
        <v>51008</v>
      </c>
      <c r="P133" s="2">
        <f t="shared" ca="1" si="7"/>
        <v>3508</v>
      </c>
    </row>
    <row r="134" spans="1:16" s="2" customFormat="1" x14ac:dyDescent="0.35">
      <c r="A134" s="166" t="s">
        <v>191</v>
      </c>
      <c r="B134" s="166"/>
      <c r="C134" s="166"/>
      <c r="D134" s="166"/>
      <c r="E134" s="166"/>
      <c r="F134" s="166"/>
      <c r="G134" s="166"/>
      <c r="H134" s="166"/>
      <c r="I134" s="29">
        <v>1</v>
      </c>
      <c r="L134" s="105"/>
      <c r="M134" s="105"/>
    </row>
    <row r="135" spans="1:16" s="2" customFormat="1" ht="15.75" customHeight="1" x14ac:dyDescent="0.35">
      <c r="A135" s="83">
        <v>1</v>
      </c>
      <c r="B135" s="84"/>
      <c r="C135" s="14" t="s">
        <v>183</v>
      </c>
      <c r="D135" s="29">
        <f>(2.9*4.67+2.5*2.4+2.9*3.43+2.07*1.2+1.2*2.1+0.9*2.5+2.17*2.22+2.18*1.05)*10.764</f>
        <v>472.0057056</v>
      </c>
      <c r="E135" s="14">
        <v>0</v>
      </c>
      <c r="F135" s="14">
        <f t="shared" ref="F135:F138" si="9">D135*(($F$112)+1)+(IF(E135&lt;101,E135,IF(E135&lt;201,E135/2,IF(E135&lt;=301,E135/3,E135/4))))</f>
        <v>755.20912896000004</v>
      </c>
      <c r="G135" s="86" t="str">
        <f>A134</f>
        <v>40th Floor (Part Terrace &amp; Refuge Area)</v>
      </c>
      <c r="H135" s="87"/>
      <c r="I135" s="29"/>
      <c r="N135" s="29"/>
    </row>
    <row r="136" spans="1:16" s="2" customFormat="1" ht="15.75" customHeight="1" x14ac:dyDescent="0.35">
      <c r="A136" s="83">
        <v>2</v>
      </c>
      <c r="B136" s="84"/>
      <c r="C136" s="83" t="s">
        <v>184</v>
      </c>
      <c r="D136" s="85">
        <f>(2.9*4.1+2.1*2.4+2.9*3.43+1.17*1.5+2.1*1.2+0.9*2.1)*10.764</f>
        <v>355.66408799999999</v>
      </c>
      <c r="E136" s="85">
        <v>0</v>
      </c>
      <c r="F136" s="84">
        <f t="shared" si="9"/>
        <v>569.06254079999997</v>
      </c>
      <c r="G136" s="88"/>
      <c r="H136" s="89"/>
      <c r="I136" s="29"/>
      <c r="N136" s="29"/>
    </row>
    <row r="137" spans="1:16" s="2" customFormat="1" ht="15.75" customHeight="1" x14ac:dyDescent="0.35">
      <c r="A137" s="83">
        <v>3</v>
      </c>
      <c r="B137" s="84"/>
      <c r="C137" s="83" t="s">
        <v>184</v>
      </c>
      <c r="D137" s="85">
        <f>(2.9*4.1+2.1*2.4+2.9*3.43+1.17*1.5+2.1*1.2+0.9*2.1)*10.764</f>
        <v>355.66408799999999</v>
      </c>
      <c r="E137" s="85">
        <v>1</v>
      </c>
      <c r="F137" s="84">
        <f t="shared" ref="F137" si="10">D137*(($F$112)+1)+(IF(E137&lt;101,E137,IF(E137&lt;201,E137/2,IF(E137&lt;=301,E137/3,E137/4))))</f>
        <v>570.06254079999997</v>
      </c>
      <c r="G137" s="88"/>
      <c r="H137" s="89"/>
      <c r="I137" s="29"/>
      <c r="N137" s="29"/>
    </row>
    <row r="138" spans="1:16" s="2" customFormat="1" ht="15.75" customHeight="1" x14ac:dyDescent="0.35">
      <c r="A138" s="83">
        <v>4</v>
      </c>
      <c r="B138" s="84"/>
      <c r="C138" s="14" t="s">
        <v>183</v>
      </c>
      <c r="D138" s="29">
        <f>(2.9*4.67+2.5*2.4+2.9*3.43+2.07*1.2+1.2*2.1+0.9*2.5+2.17*2.22+2.18*1.05)*10.764</f>
        <v>472.0057056</v>
      </c>
      <c r="E138" s="14">
        <v>0</v>
      </c>
      <c r="F138" s="14">
        <f t="shared" si="9"/>
        <v>755.20912896000004</v>
      </c>
      <c r="G138" s="88"/>
      <c r="H138" s="89"/>
      <c r="I138" s="29"/>
      <c r="N138" s="29"/>
    </row>
    <row r="139" spans="1:16" s="2" customFormat="1" ht="15.75" customHeight="1" x14ac:dyDescent="0.35">
      <c r="A139" s="83">
        <v>5</v>
      </c>
      <c r="B139" s="84"/>
      <c r="C139" s="83" t="s">
        <v>164</v>
      </c>
      <c r="D139" s="85"/>
      <c r="E139" s="85"/>
      <c r="F139" s="84"/>
      <c r="G139" s="88"/>
      <c r="H139" s="89"/>
      <c r="I139" s="29"/>
      <c r="N139" s="2" t="str">
        <f t="shared" ref="N139:N142" si="11">O139&amp;""&amp;",..,"&amp;""&amp;P139</f>
        <v>1,..,1</v>
      </c>
      <c r="O139" s="2">
        <f t="shared" ref="O139:P139" si="12">O138+1</f>
        <v>1</v>
      </c>
      <c r="P139" s="2">
        <f t="shared" si="12"/>
        <v>1</v>
      </c>
    </row>
    <row r="140" spans="1:16" s="2" customFormat="1" ht="15.75" customHeight="1" x14ac:dyDescent="0.35">
      <c r="A140" s="83">
        <v>6</v>
      </c>
      <c r="B140" s="84"/>
      <c r="C140" s="14" t="s">
        <v>163</v>
      </c>
      <c r="D140" s="60">
        <f>(2.8*3.3+2.25*2.1+2.75*2.8+1.1*1.5+1.2*1.5)*10.764</f>
        <v>270.33785999999998</v>
      </c>
      <c r="E140" s="14">
        <v>0</v>
      </c>
      <c r="F140" s="14">
        <f>D140*(($F$112)+1)+(IF(E140&lt;101,E140,IF(E140&lt;201,E140/2,IF(E140&lt;=301,E140/3,E140/4))))</f>
        <v>432.54057599999999</v>
      </c>
      <c r="G140" s="88"/>
      <c r="H140" s="89"/>
      <c r="I140" s="29"/>
      <c r="N140" s="2" t="str">
        <f t="shared" si="11"/>
        <v>2,..,2</v>
      </c>
      <c r="O140" s="2">
        <f t="shared" ref="O140:P140" si="13">O139+1</f>
        <v>2</v>
      </c>
      <c r="P140" s="2">
        <f t="shared" si="13"/>
        <v>2</v>
      </c>
    </row>
    <row r="141" spans="1:16" s="2" customFormat="1" ht="15.75" customHeight="1" x14ac:dyDescent="0.35">
      <c r="A141" s="83">
        <v>7</v>
      </c>
      <c r="B141" s="84"/>
      <c r="C141" s="14" t="s">
        <v>163</v>
      </c>
      <c r="D141" s="60">
        <f t="shared" ref="D141:D142" si="14">(2.8*3.3+2.25*2.1+2.75*2.8+1.1*1.5+1.2*1.5)*10.764</f>
        <v>270.33785999999998</v>
      </c>
      <c r="E141" s="14">
        <v>0</v>
      </c>
      <c r="F141" s="14">
        <f>D141*(($F$112)+1)+(IF(E141&lt;101,E141,IF(E141&lt;201,E141/2,IF(E141&lt;=301,E141/3,E141/4))))</f>
        <v>432.54057599999999</v>
      </c>
      <c r="G141" s="88"/>
      <c r="H141" s="89"/>
      <c r="I141" s="29"/>
      <c r="N141" s="2" t="str">
        <f t="shared" si="11"/>
        <v>3,..,3</v>
      </c>
      <c r="O141" s="2">
        <f t="shared" ref="O141:P141" si="15">O140+1</f>
        <v>3</v>
      </c>
      <c r="P141" s="2">
        <f t="shared" si="15"/>
        <v>3</v>
      </c>
    </row>
    <row r="142" spans="1:16" s="2" customFormat="1" ht="15.75" customHeight="1" x14ac:dyDescent="0.35">
      <c r="A142" s="83">
        <v>8</v>
      </c>
      <c r="B142" s="84"/>
      <c r="C142" s="14" t="s">
        <v>163</v>
      </c>
      <c r="D142" s="60">
        <f t="shared" si="14"/>
        <v>270.33785999999998</v>
      </c>
      <c r="E142" s="14">
        <v>0</v>
      </c>
      <c r="F142" s="14">
        <f>D142*(($F$112)+1)+(IF(E142&lt;101,E142,IF(E142&lt;201,E142/2,IF(E142&lt;=301,E142/3,E142/4))))</f>
        <v>432.54057599999999</v>
      </c>
      <c r="G142" s="90"/>
      <c r="H142" s="91"/>
      <c r="I142" s="29"/>
      <c r="N142" s="2" t="str">
        <f t="shared" si="11"/>
        <v>4,..,4</v>
      </c>
      <c r="O142" s="2">
        <f t="shared" ref="O142:P142" si="16">O141+1</f>
        <v>4</v>
      </c>
      <c r="P142" s="2">
        <f t="shared" si="16"/>
        <v>4</v>
      </c>
    </row>
    <row r="143" spans="1:16" s="1" customFormat="1" x14ac:dyDescent="0.35">
      <c r="A143" s="168" t="s">
        <v>71</v>
      </c>
      <c r="B143" s="168"/>
      <c r="C143" s="168"/>
      <c r="D143" s="168"/>
      <c r="E143" s="168"/>
      <c r="F143" s="168"/>
      <c r="G143" s="168"/>
      <c r="H143" s="168"/>
    </row>
    <row r="144" spans="1:16" s="1" customFormat="1" x14ac:dyDescent="0.35">
      <c r="A144" s="33">
        <v>1</v>
      </c>
      <c r="B144" s="102" t="s">
        <v>220</v>
      </c>
      <c r="C144" s="103"/>
      <c r="D144" s="103"/>
      <c r="E144" s="103"/>
      <c r="F144" s="103"/>
      <c r="G144" s="103"/>
      <c r="H144" s="104"/>
    </row>
    <row r="145" spans="1:8" s="1" customFormat="1" x14ac:dyDescent="0.35">
      <c r="A145" s="33">
        <f t="shared" ref="A145:A152" si="17">A144+1</f>
        <v>2</v>
      </c>
      <c r="B145" s="102" t="str">
        <f>(IF(F111="Saleable area Loading :","We have considered Saleable area of Flats as per our Calculation.","We considered Saleable area of Flat as per Builder area Sheet."))</f>
        <v>We have considered Saleable area of Flats as per our Calculation.</v>
      </c>
      <c r="C145" s="103"/>
      <c r="D145" s="103"/>
      <c r="E145" s="103"/>
      <c r="F145" s="103"/>
      <c r="G145" s="103"/>
      <c r="H145" s="104"/>
    </row>
    <row r="146" spans="1:8" s="1" customFormat="1" x14ac:dyDescent="0.35">
      <c r="A146" s="33">
        <v>3</v>
      </c>
      <c r="B146" s="63" t="s">
        <v>132</v>
      </c>
      <c r="C146" s="64"/>
      <c r="D146" s="64"/>
      <c r="E146" s="64"/>
      <c r="F146" s="64"/>
      <c r="G146" s="64"/>
      <c r="H146" s="65"/>
    </row>
    <row r="147" spans="1:8" s="1" customFormat="1" x14ac:dyDescent="0.35">
      <c r="A147" s="33">
        <f t="shared" si="17"/>
        <v>4</v>
      </c>
      <c r="B147" s="63" t="s">
        <v>165</v>
      </c>
      <c r="C147" s="64"/>
      <c r="D147" s="64"/>
      <c r="E147" s="64"/>
      <c r="F147" s="64"/>
      <c r="G147" s="64"/>
      <c r="H147" s="65"/>
    </row>
    <row r="148" spans="1:8" s="1" customFormat="1" x14ac:dyDescent="0.35">
      <c r="A148" s="33">
        <f t="shared" si="17"/>
        <v>5</v>
      </c>
      <c r="B148" s="63" t="s">
        <v>133</v>
      </c>
      <c r="C148" s="64"/>
      <c r="D148" s="64"/>
      <c r="E148" s="64"/>
      <c r="F148" s="64"/>
      <c r="G148" s="64"/>
      <c r="H148" s="65"/>
    </row>
    <row r="149" spans="1:8" s="1" customFormat="1" ht="32.25" customHeight="1" x14ac:dyDescent="0.35">
      <c r="A149" s="33">
        <f>A148+1</f>
        <v>6</v>
      </c>
      <c r="B149" s="63" t="s">
        <v>172</v>
      </c>
      <c r="C149" s="64"/>
      <c r="D149" s="64"/>
      <c r="E149" s="64"/>
      <c r="F149" s="64"/>
      <c r="G149" s="64"/>
      <c r="H149" s="65"/>
    </row>
    <row r="150" spans="1:8" s="1" customFormat="1" x14ac:dyDescent="0.35">
      <c r="A150" s="33">
        <v>7</v>
      </c>
      <c r="B150" s="63" t="s">
        <v>134</v>
      </c>
      <c r="C150" s="64"/>
      <c r="D150" s="64"/>
      <c r="E150" s="64"/>
      <c r="F150" s="64"/>
      <c r="G150" s="64"/>
      <c r="H150" s="65"/>
    </row>
    <row r="151" spans="1:8" s="1" customFormat="1" x14ac:dyDescent="0.35">
      <c r="A151" s="33">
        <f t="shared" si="17"/>
        <v>8</v>
      </c>
      <c r="B151" s="63" t="s">
        <v>192</v>
      </c>
      <c r="C151" s="64"/>
      <c r="D151" s="64"/>
      <c r="E151" s="64"/>
      <c r="F151" s="64"/>
      <c r="G151" s="64"/>
      <c r="H151" s="65"/>
    </row>
    <row r="152" spans="1:8" s="1" customFormat="1" ht="30" customHeight="1" x14ac:dyDescent="0.35">
      <c r="A152" s="33">
        <f t="shared" si="17"/>
        <v>9</v>
      </c>
      <c r="B152" s="63" t="s">
        <v>203</v>
      </c>
      <c r="C152" s="64"/>
      <c r="D152" s="64"/>
      <c r="E152" s="64"/>
      <c r="F152" s="64"/>
      <c r="G152" s="64"/>
      <c r="H152" s="65"/>
    </row>
    <row r="153" spans="1:8" s="1" customFormat="1" hidden="1" x14ac:dyDescent="0.35">
      <c r="A153" s="33">
        <v>9</v>
      </c>
      <c r="B153" s="102" t="s">
        <v>173</v>
      </c>
      <c r="C153" s="103"/>
      <c r="D153" s="103"/>
      <c r="E153" s="103"/>
      <c r="F153" s="103"/>
      <c r="G153" s="103"/>
      <c r="H153" s="104"/>
    </row>
    <row r="154" spans="1:8" x14ac:dyDescent="0.35">
      <c r="A154" s="169" t="s">
        <v>64</v>
      </c>
      <c r="B154" s="169"/>
      <c r="C154" s="169"/>
      <c r="D154" s="169"/>
      <c r="E154" s="169"/>
      <c r="F154" s="169"/>
      <c r="G154" s="169"/>
      <c r="H154" s="169"/>
    </row>
    <row r="155" spans="1:8" x14ac:dyDescent="0.35">
      <c r="A155" s="77" t="s">
        <v>65</v>
      </c>
      <c r="B155" s="77"/>
      <c r="C155" s="77"/>
      <c r="D155" s="77"/>
      <c r="E155" s="77"/>
      <c r="F155" s="77"/>
      <c r="G155" s="77"/>
      <c r="H155" s="77"/>
    </row>
    <row r="156" spans="1:8" ht="15.75" customHeight="1" x14ac:dyDescent="0.35">
      <c r="A156" s="170" t="s">
        <v>66</v>
      </c>
      <c r="B156" s="170"/>
      <c r="C156" s="170"/>
      <c r="D156" s="170"/>
      <c r="E156" s="170"/>
      <c r="F156" s="170"/>
      <c r="G156" s="170"/>
      <c r="H156" s="170"/>
    </row>
    <row r="157" spans="1:8" x14ac:dyDescent="0.35">
      <c r="A157" s="77" t="s">
        <v>67</v>
      </c>
      <c r="B157" s="77"/>
      <c r="C157" s="77"/>
      <c r="D157" s="77"/>
      <c r="E157" s="77"/>
      <c r="F157" s="77"/>
      <c r="G157" s="77"/>
      <c r="H157" s="77"/>
    </row>
    <row r="158" spans="1:8" x14ac:dyDescent="0.35">
      <c r="A158" s="77" t="s">
        <v>68</v>
      </c>
      <c r="B158" s="77"/>
      <c r="C158" s="77"/>
      <c r="D158" s="77"/>
      <c r="E158" s="77"/>
      <c r="F158" s="77"/>
      <c r="G158" s="77"/>
      <c r="H158" s="77"/>
    </row>
    <row r="159" spans="1:8" x14ac:dyDescent="0.35">
      <c r="A159" s="77" t="s">
        <v>135</v>
      </c>
      <c r="B159" s="77"/>
      <c r="C159" s="77"/>
      <c r="D159" s="77"/>
      <c r="E159" s="77"/>
      <c r="F159" s="77"/>
      <c r="G159" s="77"/>
      <c r="H159" s="77"/>
    </row>
    <row r="160" spans="1:8" x14ac:dyDescent="0.35">
      <c r="A160" s="120" t="s">
        <v>136</v>
      </c>
      <c r="B160" s="120"/>
      <c r="C160" s="120"/>
      <c r="D160" s="120"/>
      <c r="E160" s="120"/>
      <c r="F160" s="120"/>
      <c r="G160" s="120"/>
      <c r="H160" s="120"/>
    </row>
    <row r="161" spans="1:8" x14ac:dyDescent="0.35">
      <c r="A161" s="164" t="s">
        <v>81</v>
      </c>
      <c r="B161" s="164"/>
      <c r="C161" s="164" t="s">
        <v>174</v>
      </c>
      <c r="D161" s="164"/>
      <c r="E161" s="164" t="s">
        <v>115</v>
      </c>
      <c r="F161" s="164"/>
      <c r="G161" s="164" t="s">
        <v>221</v>
      </c>
      <c r="H161" s="164"/>
    </row>
    <row r="162" spans="1:8" x14ac:dyDescent="0.35">
      <c r="A162" s="163" t="s">
        <v>83</v>
      </c>
      <c r="B162" s="163"/>
      <c r="C162" s="163"/>
      <c r="D162" s="163"/>
      <c r="E162" s="163"/>
      <c r="F162" s="163"/>
      <c r="G162" s="163"/>
      <c r="H162" s="163"/>
    </row>
    <row r="163" spans="1:8" x14ac:dyDescent="0.35">
      <c r="A163" s="163"/>
      <c r="B163" s="163"/>
      <c r="C163" s="163"/>
      <c r="D163" s="163"/>
      <c r="E163" s="163"/>
      <c r="F163" s="163"/>
      <c r="G163" s="163"/>
      <c r="H163" s="163"/>
    </row>
    <row r="164" spans="1:8" x14ac:dyDescent="0.35">
      <c r="A164" s="163"/>
      <c r="B164" s="163"/>
      <c r="C164" s="163"/>
      <c r="D164" s="163"/>
      <c r="E164" s="163"/>
      <c r="F164" s="163"/>
      <c r="G164" s="163"/>
      <c r="H164" s="163"/>
    </row>
    <row r="165" spans="1:8" x14ac:dyDescent="0.35">
      <c r="A165" s="163"/>
      <c r="B165" s="163"/>
      <c r="C165" s="163"/>
      <c r="D165" s="163"/>
      <c r="E165" s="163"/>
      <c r="F165" s="163"/>
      <c r="G165" s="163"/>
      <c r="H165" s="163"/>
    </row>
    <row r="166" spans="1:8" x14ac:dyDescent="0.35">
      <c r="A166" s="9" t="s">
        <v>69</v>
      </c>
      <c r="B166" s="10"/>
      <c r="C166" s="10"/>
      <c r="D166" s="9" t="str">
        <f>E8</f>
        <v>IKIGAI Phase 2</v>
      </c>
      <c r="F166" s="10"/>
      <c r="G166" s="10"/>
      <c r="H166" s="10"/>
    </row>
    <row r="167" spans="1:8" x14ac:dyDescent="0.35">
      <c r="A167" s="10"/>
      <c r="B167" s="10"/>
      <c r="C167" s="10"/>
      <c r="D167" s="10"/>
      <c r="E167" s="10"/>
      <c r="F167" s="10"/>
      <c r="G167" s="10"/>
      <c r="H167" s="10"/>
    </row>
    <row r="168" spans="1:8" x14ac:dyDescent="0.35">
      <c r="A168" s="10"/>
      <c r="B168" s="10"/>
      <c r="C168" s="10"/>
      <c r="D168" s="10"/>
      <c r="E168" s="10"/>
      <c r="F168" s="10"/>
      <c r="G168" s="10"/>
      <c r="H168" s="10"/>
    </row>
    <row r="169" spans="1:8" ht="15" customHeight="1" x14ac:dyDescent="0.35"/>
    <row r="201" spans="1:1" hidden="1" x14ac:dyDescent="0.35"/>
    <row r="202" spans="1:1" hidden="1" x14ac:dyDescent="0.35"/>
    <row r="203" spans="1:1" hidden="1" x14ac:dyDescent="0.35"/>
    <row r="204" spans="1:1" hidden="1" x14ac:dyDescent="0.35"/>
    <row r="205" spans="1:1" hidden="1" x14ac:dyDescent="0.35"/>
    <row r="206" spans="1:1" x14ac:dyDescent="0.35">
      <c r="A206" s="12" t="s">
        <v>185</v>
      </c>
    </row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62" spans="1:1" x14ac:dyDescent="0.35">
      <c r="A262" s="12" t="s">
        <v>70</v>
      </c>
    </row>
  </sheetData>
  <mergeCells count="286">
    <mergeCell ref="A102:E102"/>
    <mergeCell ref="C111:C112"/>
    <mergeCell ref="B150:H150"/>
    <mergeCell ref="B153:H153"/>
    <mergeCell ref="B144:H144"/>
    <mergeCell ref="A128:B128"/>
    <mergeCell ref="A129:B129"/>
    <mergeCell ref="A130:B130"/>
    <mergeCell ref="A90:B90"/>
    <mergeCell ref="A91:B91"/>
    <mergeCell ref="F101:H101"/>
    <mergeCell ref="F103:H103"/>
    <mergeCell ref="A110:H110"/>
    <mergeCell ref="A101:E101"/>
    <mergeCell ref="A131:B131"/>
    <mergeCell ref="F93:H93"/>
    <mergeCell ref="A92:H92"/>
    <mergeCell ref="G108:H108"/>
    <mergeCell ref="F99:H99"/>
    <mergeCell ref="A93:E93"/>
    <mergeCell ref="E82:F91"/>
    <mergeCell ref="A89:B89"/>
    <mergeCell ref="A86:B86"/>
    <mergeCell ref="A108:B108"/>
    <mergeCell ref="A37:B37"/>
    <mergeCell ref="C37:H37"/>
    <mergeCell ref="E40:H40"/>
    <mergeCell ref="A40:D40"/>
    <mergeCell ref="G48:H48"/>
    <mergeCell ref="D52:H52"/>
    <mergeCell ref="C48:E48"/>
    <mergeCell ref="A55:C56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A38:H38"/>
    <mergeCell ref="G46:H46"/>
    <mergeCell ref="A48:B49"/>
    <mergeCell ref="C49:H49"/>
    <mergeCell ref="A46:B46"/>
    <mergeCell ref="A162:H165"/>
    <mergeCell ref="A161:B161"/>
    <mergeCell ref="E161:F161"/>
    <mergeCell ref="C161:D161"/>
    <mergeCell ref="G161:H161"/>
    <mergeCell ref="A104:E104"/>
    <mergeCell ref="F104:H104"/>
    <mergeCell ref="A105:E105"/>
    <mergeCell ref="F105:H105"/>
    <mergeCell ref="A134:H134"/>
    <mergeCell ref="A119:B119"/>
    <mergeCell ref="A157:H157"/>
    <mergeCell ref="A106:H106"/>
    <mergeCell ref="A160:H160"/>
    <mergeCell ref="A158:H158"/>
    <mergeCell ref="A143:H143"/>
    <mergeCell ref="B111:B112"/>
    <mergeCell ref="A116:H116"/>
    <mergeCell ref="A154:H154"/>
    <mergeCell ref="A159:H159"/>
    <mergeCell ref="A156:H156"/>
    <mergeCell ref="A155:H155"/>
    <mergeCell ref="E107:F107"/>
    <mergeCell ref="A109:H109"/>
    <mergeCell ref="A43:D43"/>
    <mergeCell ref="A44:D44"/>
    <mergeCell ref="A45:H45"/>
    <mergeCell ref="D54:H54"/>
    <mergeCell ref="A54:C54"/>
    <mergeCell ref="G47:H47"/>
    <mergeCell ref="A74:B74"/>
    <mergeCell ref="A67:B67"/>
    <mergeCell ref="A70:B70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C66:H6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C36:H36"/>
    <mergeCell ref="C34:E34"/>
    <mergeCell ref="F34:H34"/>
    <mergeCell ref="A39:D39"/>
    <mergeCell ref="E39:H39"/>
    <mergeCell ref="A57:C57"/>
    <mergeCell ref="A58:C58"/>
    <mergeCell ref="D57:H57"/>
    <mergeCell ref="E68:F77"/>
    <mergeCell ref="G68:H77"/>
    <mergeCell ref="A76:B76"/>
    <mergeCell ref="A77:B77"/>
    <mergeCell ref="D58:H58"/>
    <mergeCell ref="A41:D41"/>
    <mergeCell ref="E41:H41"/>
    <mergeCell ref="E42:H42"/>
    <mergeCell ref="E43:H43"/>
    <mergeCell ref="E44:H44"/>
    <mergeCell ref="A42:D42"/>
    <mergeCell ref="A73:B73"/>
    <mergeCell ref="A60:C60"/>
    <mergeCell ref="D60:H60"/>
    <mergeCell ref="A63:C63"/>
    <mergeCell ref="D63:H63"/>
    <mergeCell ref="A61:C61"/>
    <mergeCell ref="D61:H61"/>
    <mergeCell ref="A69:B69"/>
    <mergeCell ref="A80:B80"/>
    <mergeCell ref="C80:H80"/>
    <mergeCell ref="A81:B81"/>
    <mergeCell ref="E81:F81"/>
    <mergeCell ref="G81:H81"/>
    <mergeCell ref="C46:E46"/>
    <mergeCell ref="F95:H95"/>
    <mergeCell ref="A100:E100"/>
    <mergeCell ref="A95:E95"/>
    <mergeCell ref="F100:H100"/>
    <mergeCell ref="A98:E98"/>
    <mergeCell ref="F98:H98"/>
    <mergeCell ref="A99:E99"/>
    <mergeCell ref="A87:B87"/>
    <mergeCell ref="A88:B88"/>
    <mergeCell ref="A78:B78"/>
    <mergeCell ref="C78:H78"/>
    <mergeCell ref="A71:B71"/>
    <mergeCell ref="E67:F67"/>
    <mergeCell ref="A75:B75"/>
    <mergeCell ref="A82:B82"/>
    <mergeCell ref="L134:M134"/>
    <mergeCell ref="A111:A112"/>
    <mergeCell ref="A136:B136"/>
    <mergeCell ref="A137:B137"/>
    <mergeCell ref="A138:B138"/>
    <mergeCell ref="A122:B122"/>
    <mergeCell ref="A121:B121"/>
    <mergeCell ref="A120:B120"/>
    <mergeCell ref="A117:B117"/>
    <mergeCell ref="A114:H114"/>
    <mergeCell ref="A123:B123"/>
    <mergeCell ref="A118:B118"/>
    <mergeCell ref="C130:F130"/>
    <mergeCell ref="A124:B124"/>
    <mergeCell ref="A113:H113"/>
    <mergeCell ref="A133:B133"/>
    <mergeCell ref="A135:B135"/>
    <mergeCell ref="B149:H149"/>
    <mergeCell ref="A107:B107"/>
    <mergeCell ref="D111:D112"/>
    <mergeCell ref="E111:E112"/>
    <mergeCell ref="G111:H112"/>
    <mergeCell ref="C107:D107"/>
    <mergeCell ref="G107:H107"/>
    <mergeCell ref="G117:H124"/>
    <mergeCell ref="A126:B126"/>
    <mergeCell ref="G126:H133"/>
    <mergeCell ref="B145:H145"/>
    <mergeCell ref="B146:H146"/>
    <mergeCell ref="B147:H147"/>
    <mergeCell ref="A103:E103"/>
    <mergeCell ref="B148:H148"/>
    <mergeCell ref="A125:H125"/>
    <mergeCell ref="C108:D108"/>
    <mergeCell ref="E108:F108"/>
    <mergeCell ref="A132:B132"/>
    <mergeCell ref="A127:B127"/>
    <mergeCell ref="A139:B139"/>
    <mergeCell ref="C139:F139"/>
    <mergeCell ref="A140:B140"/>
    <mergeCell ref="A141:B141"/>
    <mergeCell ref="A142:B142"/>
    <mergeCell ref="G135:H142"/>
    <mergeCell ref="C136:F136"/>
    <mergeCell ref="C137:F137"/>
    <mergeCell ref="B152:H152"/>
    <mergeCell ref="J30:L30"/>
    <mergeCell ref="M30:O30"/>
    <mergeCell ref="J31:L31"/>
    <mergeCell ref="M31:O31"/>
    <mergeCell ref="J32:L32"/>
    <mergeCell ref="M32:O32"/>
    <mergeCell ref="J33:L33"/>
    <mergeCell ref="M33:O33"/>
    <mergeCell ref="J34:L34"/>
    <mergeCell ref="M34:O34"/>
    <mergeCell ref="B151:H151"/>
    <mergeCell ref="G82:H91"/>
    <mergeCell ref="A83:B83"/>
    <mergeCell ref="A84:B84"/>
    <mergeCell ref="A85:B85"/>
    <mergeCell ref="F94:H94"/>
    <mergeCell ref="A94:E94"/>
    <mergeCell ref="A96:E96"/>
    <mergeCell ref="A97:E97"/>
    <mergeCell ref="F97:H97"/>
    <mergeCell ref="F96:H96"/>
    <mergeCell ref="F102:H102"/>
    <mergeCell ref="A115:H115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3" max="7" man="1"/>
    <brk id="165" max="16383" man="1"/>
    <brk id="205" max="16383" man="1"/>
    <brk id="26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6"/>
    <col min="2" max="2" width="22.1796875" style="16" customWidth="1"/>
    <col min="3" max="3" width="37" style="16" customWidth="1"/>
    <col min="4" max="5" width="11.453125" style="16" customWidth="1"/>
    <col min="6" max="6" width="14" style="16" customWidth="1"/>
    <col min="7" max="7" width="20" style="16" customWidth="1"/>
    <col min="8" max="8" width="16.453125" style="16" customWidth="1"/>
    <col min="9" max="16384" width="8.7265625" style="16"/>
  </cols>
  <sheetData>
    <row r="1" spans="1:9" ht="15" customHeight="1" x14ac:dyDescent="0.35"/>
    <row r="2" spans="1:9" ht="15" customHeight="1" x14ac:dyDescent="0.35">
      <c r="A2" s="17"/>
      <c r="B2" s="17"/>
      <c r="C2" s="17"/>
      <c r="D2" s="17"/>
      <c r="E2" s="17"/>
      <c r="F2" s="17"/>
      <c r="G2" s="17"/>
      <c r="H2" s="17"/>
    </row>
    <row r="3" spans="1:9" ht="15.75" customHeight="1" x14ac:dyDescent="0.35">
      <c r="A3" s="17"/>
      <c r="B3" s="188" t="s">
        <v>116</v>
      </c>
      <c r="C3" s="188"/>
      <c r="D3" s="188"/>
      <c r="E3" s="188"/>
      <c r="F3" s="188"/>
      <c r="G3" s="188"/>
      <c r="H3" s="188"/>
    </row>
    <row r="4" spans="1:9" x14ac:dyDescent="0.35">
      <c r="A4" s="17"/>
      <c r="B4" s="18" t="s">
        <v>117</v>
      </c>
      <c r="C4" s="18" t="s">
        <v>118</v>
      </c>
      <c r="D4" s="18" t="s">
        <v>72</v>
      </c>
      <c r="E4" s="18" t="s">
        <v>119</v>
      </c>
      <c r="F4" s="18" t="s">
        <v>125</v>
      </c>
      <c r="G4" s="18" t="s">
        <v>126</v>
      </c>
      <c r="H4" s="18" t="s">
        <v>120</v>
      </c>
    </row>
    <row r="5" spans="1:9" ht="15" customHeight="1" x14ac:dyDescent="0.35">
      <c r="A5" s="17"/>
      <c r="B5" s="20" t="s">
        <v>121</v>
      </c>
      <c r="C5" s="21"/>
      <c r="D5" s="20"/>
      <c r="E5" s="20"/>
      <c r="F5" s="22">
        <f>E5*1.6</f>
        <v>0</v>
      </c>
      <c r="G5" s="22" t="e">
        <f>H5/F5</f>
        <v>#DIV/0!</v>
      </c>
      <c r="H5" s="23"/>
    </row>
    <row r="6" spans="1:9" x14ac:dyDescent="0.35">
      <c r="A6" s="17"/>
      <c r="B6" s="20" t="s">
        <v>121</v>
      </c>
      <c r="C6" s="24"/>
      <c r="D6" s="20"/>
      <c r="E6" s="20"/>
      <c r="F6" s="22">
        <f>E6*1.6</f>
        <v>0</v>
      </c>
      <c r="G6" s="22" t="e">
        <f t="shared" ref="G6:G11" si="0">H6/F6</f>
        <v>#DIV/0!</v>
      </c>
      <c r="H6" s="23"/>
    </row>
    <row r="7" spans="1:9" ht="15" customHeight="1" x14ac:dyDescent="0.35">
      <c r="A7" s="17"/>
      <c r="B7" s="20" t="s">
        <v>121</v>
      </c>
      <c r="C7" s="21"/>
      <c r="D7" s="20"/>
      <c r="E7" s="20"/>
      <c r="F7" s="22">
        <f>E7*1.6</f>
        <v>0</v>
      </c>
      <c r="G7" s="22" t="e">
        <f t="shared" si="0"/>
        <v>#DIV/0!</v>
      </c>
      <c r="H7" s="23"/>
    </row>
    <row r="8" spans="1:9" x14ac:dyDescent="0.35">
      <c r="A8" s="17"/>
      <c r="B8" s="20" t="s">
        <v>121</v>
      </c>
      <c r="C8" s="24"/>
      <c r="D8" s="20"/>
      <c r="E8" s="20"/>
      <c r="F8" s="22">
        <f>E8*1.6</f>
        <v>0</v>
      </c>
      <c r="G8" s="22" t="e">
        <f t="shared" si="0"/>
        <v>#DIV/0!</v>
      </c>
      <c r="H8" s="23"/>
    </row>
    <row r="9" spans="1:9" ht="15" customHeight="1" x14ac:dyDescent="0.35">
      <c r="A9" s="17"/>
      <c r="B9" s="20" t="s">
        <v>121</v>
      </c>
      <c r="C9" s="24"/>
      <c r="D9" s="20"/>
      <c r="E9" s="20"/>
      <c r="F9" s="22">
        <f>E9*1.6</f>
        <v>0</v>
      </c>
      <c r="G9" s="22" t="e">
        <f t="shared" si="0"/>
        <v>#DIV/0!</v>
      </c>
      <c r="H9" s="23"/>
    </row>
    <row r="10" spans="1:9" ht="15" customHeight="1" x14ac:dyDescent="0.35">
      <c r="A10" s="17"/>
      <c r="B10" s="20" t="s">
        <v>122</v>
      </c>
      <c r="C10" s="21"/>
      <c r="D10" s="58" t="s">
        <v>167</v>
      </c>
      <c r="E10" s="20">
        <v>319</v>
      </c>
      <c r="F10" s="22">
        <f>E10*1.55</f>
        <v>494.45</v>
      </c>
      <c r="G10" s="22">
        <f t="shared" si="0"/>
        <v>8089.7967438568112</v>
      </c>
      <c r="H10" s="23">
        <v>4000000</v>
      </c>
    </row>
    <row r="11" spans="1:9" ht="15" customHeight="1" x14ac:dyDescent="0.35">
      <c r="A11" s="17"/>
      <c r="B11" s="20" t="s">
        <v>122</v>
      </c>
      <c r="C11" s="21"/>
      <c r="D11" s="58" t="s">
        <v>168</v>
      </c>
      <c r="E11" s="20">
        <v>535</v>
      </c>
      <c r="F11" s="22">
        <f>E11*1.55</f>
        <v>829.25</v>
      </c>
      <c r="G11" s="22">
        <f t="shared" si="0"/>
        <v>8540.2472113355434</v>
      </c>
      <c r="H11" s="23">
        <v>7082000</v>
      </c>
    </row>
    <row r="12" spans="1:9" ht="15" customHeight="1" x14ac:dyDescent="0.35">
      <c r="A12" s="17"/>
      <c r="B12" s="25" t="s">
        <v>123</v>
      </c>
      <c r="C12" s="20"/>
      <c r="D12" s="20"/>
      <c r="E12" s="20"/>
      <c r="F12" s="20"/>
      <c r="G12" s="26">
        <f>AVERAGE(G10:G11)</f>
        <v>8315.0219775961777</v>
      </c>
      <c r="H12" s="20"/>
    </row>
    <row r="13" spans="1:9" ht="15" customHeight="1" x14ac:dyDescent="0.35">
      <c r="B13" s="25" t="s">
        <v>124</v>
      </c>
      <c r="C13" s="20"/>
      <c r="D13" s="20"/>
      <c r="E13" s="20"/>
      <c r="F13" s="27"/>
      <c r="G13" s="25"/>
      <c r="H13" s="25"/>
      <c r="I13" s="19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2025-09-25T15:50:21Z</cp:lastPrinted>
  <dcterms:created xsi:type="dcterms:W3CDTF">2019-07-16T09:29:46Z</dcterms:created>
  <dcterms:modified xsi:type="dcterms:W3CDTF">2025-10-06T07:04:14Z</dcterms:modified>
</cp:coreProperties>
</file>