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4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1" l="1"/>
  <c r="D132" i="1" l="1"/>
  <c r="D133" i="1" l="1"/>
  <c r="H133" i="1" s="1"/>
  <c r="D130" i="1"/>
  <c r="F130" i="1" s="1"/>
  <c r="D129" i="1"/>
  <c r="D128" i="1"/>
  <c r="D127" i="1"/>
  <c r="F132" i="1"/>
  <c r="I115" i="1"/>
  <c r="I114" i="1"/>
  <c r="G168" i="1"/>
  <c r="G167" i="1"/>
  <c r="G166" i="1"/>
  <c r="D184" i="1"/>
  <c r="F184" i="1" s="1"/>
  <c r="H184" i="1" s="1"/>
  <c r="D183" i="1"/>
  <c r="D181" i="1"/>
  <c r="F181" i="1" s="1"/>
  <c r="H181" i="1" s="1"/>
  <c r="D180" i="1"/>
  <c r="F180" i="1" s="1"/>
  <c r="H180" i="1" s="1"/>
  <c r="D178" i="1"/>
  <c r="D177" i="1"/>
  <c r="D175" i="1"/>
  <c r="D173" i="1"/>
  <c r="F173" i="1" s="1"/>
  <c r="H173" i="1" s="1"/>
  <c r="D172" i="1"/>
  <c r="F172" i="1" s="1"/>
  <c r="H172" i="1" s="1"/>
  <c r="D171" i="1"/>
  <c r="F171" i="1" s="1"/>
  <c r="H171" i="1" s="1"/>
  <c r="D170" i="1"/>
  <c r="F170" i="1" s="1"/>
  <c r="H170" i="1" s="1"/>
  <c r="D168" i="1"/>
  <c r="F168" i="1" s="1"/>
  <c r="D167" i="1"/>
  <c r="F167" i="1" s="1"/>
  <c r="D166" i="1"/>
  <c r="D165" i="1"/>
  <c r="F165" i="1" s="1"/>
  <c r="D162" i="1"/>
  <c r="F162" i="1" s="1"/>
  <c r="H162" i="1" s="1"/>
  <c r="D160" i="1"/>
  <c r="F160" i="1" s="1"/>
  <c r="H160" i="1" s="1"/>
  <c r="D159" i="1"/>
  <c r="F159" i="1" s="1"/>
  <c r="H159" i="1" s="1"/>
  <c r="D157" i="1"/>
  <c r="F157" i="1" s="1"/>
  <c r="H157" i="1" s="1"/>
  <c r="D155" i="1"/>
  <c r="F155" i="1" s="1"/>
  <c r="H155" i="1" s="1"/>
  <c r="D154" i="1"/>
  <c r="F154" i="1" s="1"/>
  <c r="H154" i="1" s="1"/>
  <c r="D152" i="1"/>
  <c r="D151" i="1"/>
  <c r="F151" i="1" s="1"/>
  <c r="H151" i="1" s="1"/>
  <c r="D150" i="1"/>
  <c r="F150" i="1" s="1"/>
  <c r="H150" i="1" s="1"/>
  <c r="D149" i="1"/>
  <c r="F149" i="1" s="1"/>
  <c r="H149" i="1" s="1"/>
  <c r="D147" i="1"/>
  <c r="D146" i="1"/>
  <c r="D145" i="1"/>
  <c r="D144" i="1"/>
  <c r="D141" i="1"/>
  <c r="D140" i="1"/>
  <c r="D139" i="1"/>
  <c r="I181" i="1"/>
  <c r="F183" i="1"/>
  <c r="H183" i="1" s="1"/>
  <c r="A181" i="1"/>
  <c r="A183" i="1" s="1"/>
  <c r="A184" i="1" s="1"/>
  <c r="A160" i="1"/>
  <c r="F178" i="1"/>
  <c r="H178" i="1" s="1"/>
  <c r="F177" i="1"/>
  <c r="H177" i="1" s="1"/>
  <c r="A176" i="1"/>
  <c r="A177" i="1" s="1"/>
  <c r="A178" i="1" s="1"/>
  <c r="F175" i="1"/>
  <c r="H175" i="1" s="1"/>
  <c r="J175" i="1" s="1"/>
  <c r="A155" i="1"/>
  <c r="A156" i="1" s="1"/>
  <c r="A157" i="1" s="1"/>
  <c r="A171" i="1"/>
  <c r="A172" i="1" s="1"/>
  <c r="A173" i="1" s="1"/>
  <c r="F152" i="1"/>
  <c r="H152" i="1" s="1"/>
  <c r="A150" i="1"/>
  <c r="A151" i="1" s="1"/>
  <c r="A152" i="1" s="1"/>
  <c r="I158" i="1"/>
  <c r="F166" i="1"/>
  <c r="I155" i="1"/>
  <c r="A166" i="1"/>
  <c r="A167" i="1" s="1"/>
  <c r="A168" i="1" s="1"/>
  <c r="A145" i="1"/>
  <c r="A146" i="1" s="1"/>
  <c r="I139" i="1"/>
  <c r="I141" i="1"/>
  <c r="A140" i="1"/>
  <c r="A141" i="1" s="1"/>
  <c r="A133" i="1"/>
  <c r="G50" i="1"/>
  <c r="H130" i="1" l="1"/>
  <c r="H132" i="1"/>
  <c r="H165" i="1"/>
  <c r="E115" i="1"/>
  <c r="C115" i="1"/>
  <c r="F133" i="1"/>
  <c r="H166" i="1"/>
  <c r="H168" i="1"/>
  <c r="H167" i="1"/>
  <c r="G115" i="1" l="1"/>
  <c r="H126" i="1"/>
  <c r="F127" i="1"/>
  <c r="F128" i="1"/>
  <c r="F129" i="1"/>
  <c r="F126" i="1"/>
  <c r="H127" i="1"/>
  <c r="H128" i="1"/>
  <c r="H129" i="1"/>
  <c r="F147" i="1"/>
  <c r="H147" i="1" s="1"/>
  <c r="F146" i="1"/>
  <c r="H146" i="1" s="1"/>
  <c r="F145" i="1"/>
  <c r="H145" i="1" s="1"/>
  <c r="F144" i="1"/>
  <c r="H144" i="1" s="1"/>
  <c r="B188" i="1"/>
  <c r="B187" i="1"/>
  <c r="F139" i="1"/>
  <c r="F140" i="1"/>
  <c r="F141" i="1"/>
  <c r="G110" i="1" l="1"/>
  <c r="G111" i="1" s="1"/>
  <c r="C110" i="1"/>
  <c r="C111" i="1" s="1"/>
  <c r="E110" i="1"/>
  <c r="E111" i="1" s="1"/>
  <c r="E114" i="1"/>
  <c r="E116" i="1" s="1"/>
  <c r="C114" i="1"/>
  <c r="C116" i="1" s="1"/>
  <c r="C15" i="1"/>
  <c r="Z12" i="1" l="1"/>
  <c r="I14" i="1"/>
  <c r="E117" i="1" l="1"/>
  <c r="C117" i="1"/>
  <c r="E43" i="1" l="1"/>
  <c r="E44" i="1" s="1"/>
  <c r="E30" i="1" l="1"/>
  <c r="H139" i="1" l="1"/>
  <c r="H140" i="1"/>
  <c r="H141" i="1"/>
  <c r="G114" i="1" l="1"/>
  <c r="G116" i="1" s="1"/>
  <c r="G117" i="1" s="1"/>
  <c r="F10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1" i="1"/>
  <c r="A147" i="1"/>
  <c r="A127" i="1"/>
  <c r="A128" i="1" s="1"/>
  <c r="A129" i="1" s="1"/>
  <c r="C81" i="1"/>
  <c r="B82" i="1" s="1"/>
  <c r="C67" i="1"/>
  <c r="B68" i="1" s="1"/>
  <c r="D55" i="1"/>
  <c r="C50" i="1"/>
  <c r="E27" i="1"/>
  <c r="E25" i="1"/>
  <c r="E3" i="1"/>
  <c r="D61" i="1" l="1"/>
  <c r="H82" i="1"/>
  <c r="J86" i="1" l="1"/>
  <c r="C85" i="1" s="1"/>
  <c r="D85" i="1" s="1"/>
  <c r="J84" i="1"/>
  <c r="J87" i="1"/>
  <c r="J88" i="1" s="1"/>
  <c r="J93" i="1" s="1"/>
  <c r="J81" i="1"/>
  <c r="J83" i="1" s="1"/>
  <c r="D89" i="1"/>
  <c r="D91" i="1"/>
  <c r="D94" i="1"/>
  <c r="D88" i="1"/>
  <c r="D92" i="1"/>
  <c r="D93" i="1"/>
  <c r="D90" i="1"/>
  <c r="J85" i="1"/>
  <c r="D80" i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D71" i="1" s="1"/>
  <c r="J70" i="1"/>
  <c r="J89" i="1"/>
  <c r="J90" i="1" s="1"/>
  <c r="J91" i="1" s="1"/>
  <c r="J92" i="1" s="1"/>
  <c r="J75" i="1"/>
  <c r="J76" i="1" s="1"/>
  <c r="J77" i="1" s="1"/>
  <c r="J78" i="1" s="1"/>
  <c r="D87" i="1"/>
  <c r="D73" i="1"/>
  <c r="J80" i="1" l="1"/>
  <c r="G71" i="1" s="1"/>
  <c r="D65" i="1" s="1"/>
  <c r="D66" i="1" s="1"/>
  <c r="J94" i="1"/>
  <c r="J82" i="1" s="1"/>
  <c r="J68" i="1" l="1"/>
  <c r="D72" i="1"/>
  <c r="I68" i="1" s="1"/>
  <c r="I69" i="1" s="1"/>
  <c r="E71" i="1"/>
  <c r="F66" i="1"/>
  <c r="E85" i="1"/>
  <c r="G85" i="1"/>
  <c r="D86" i="1"/>
  <c r="I82" i="1" s="1"/>
  <c r="I83" i="1" s="1"/>
  <c r="I67" i="1" l="1"/>
  <c r="C69" i="1" s="1"/>
  <c r="I81" i="1"/>
  <c r="C83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<sst xmlns="http://schemas.openxmlformats.org/spreadsheetml/2006/main" count="490" uniqueCount="306">
  <si>
    <t xml:space="preserve">Valuation Report </t>
  </si>
  <si>
    <t>Date:</t>
  </si>
  <si>
    <t>CPC Name:</t>
  </si>
  <si>
    <t>Date Of Property Visit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</si>
  <si>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</si>
  <si>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</si>
  <si>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</si>
  <si>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</si>
  <si>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</si>
  <si>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</si>
  <si>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</si>
  <si>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</si>
  <si>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</si>
  <si>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</si>
  <si>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</si>
  <si>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</si>
  <si>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</si>
  <si>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</si>
  <si>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</si>
  <si>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</si>
  <si>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</si>
  <si>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</si>
  <si>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</si>
  <si>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</si>
  <si>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</si>
  <si>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</si>
  <si>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</si>
  <si>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</si>
  <si>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</si>
  <si>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</si>
  <si>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</si>
  <si>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</si>
  <si>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</si>
  <si>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</si>
  <si>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</si>
  <si>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</si>
  <si>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</si>
  <si>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</si>
  <si>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</si>
  <si>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</si>
  <si>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</si>
  <si>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</si>
  <si>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</si>
  <si>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</si>
  <si>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</si>
  <si>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</si>
  <si>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</si>
  <si>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</si>
  <si>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</si>
  <si>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</si>
  <si>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</si>
  <si>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</si>
  <si>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</si>
  <si>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</si>
  <si>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</si>
  <si>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</si>
  <si>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</si>
  <si>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</si>
  <si>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</si>
  <si>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</si>
  <si>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</si>
  <si>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</si>
  <si>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</si>
  <si>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</si>
  <si>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</si>
  <si>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</si>
  <si>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</si>
  <si>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</si>
  <si>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</si>
  <si>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</si>
  <si>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</si>
  <si>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</si>
  <si>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</si>
  <si>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</si>
  <si>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</si>
  <si>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</si>
  <si>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</si>
  <si>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</si>
  <si>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</si>
  <si>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</si>
  <si>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</si>
  <si>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</si>
  <si>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</si>
  <si>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</si>
  <si>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</si>
  <si>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</si>
  <si>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</si>
  <si>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</si>
  <si>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</si>
  <si>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</si>
  <si>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</si>
  <si>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</si>
  <si>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</si>
  <si>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</si>
  <si>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</si>
  <si>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</si>
  <si>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</si>
  <si>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</si>
  <si>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</si>
  <si>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</si>
  <si>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</si>
  <si>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</si>
  <si>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</si>
  <si>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</si>
  <si>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</si>
  <si>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</si>
  <si>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</si>
  <si>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</si>
  <si>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</si>
  <si>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</si>
  <si>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</si>
  <si>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</si>
  <si>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</si>
  <si>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</si>
  <si>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</si>
  <si>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</si>
  <si>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</si>
  <si>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</si>
  <si>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</si>
  <si>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</si>
  <si>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</si>
  <si>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</si>
  <si>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</si>
  <si>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</si>
  <si>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</si>
  <si>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</si>
  <si>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</si>
  <si>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</si>
  <si>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</si>
  <si>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</si>
  <si>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</si>
  <si>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</si>
  <si>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</si>
  <si>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</si>
  <si>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</si>
  <si>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</si>
  <si>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</si>
  <si>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</si>
  <si>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</si>
  <si>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</si>
  <si>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</si>
  <si>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</si>
  <si>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</si>
  <si>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</si>
  <si>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</si>
  <si>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</si>
  <si>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</si>
  <si>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</si>
  <si>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</si>
  <si>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</si>
  <si>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</si>
  <si>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</si>
  <si>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</si>
  <si>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Flat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</si>
  <si>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</si>
  <si>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</si>
  <si>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</si>
  <si>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</si>
  <si>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</si>
  <si>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</si>
  <si>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</si>
  <si>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</si>
  <si>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</si>
  <si>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</si>
  <si>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</si>
  <si>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</si>
  <si>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</si>
  <si>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</si>
  <si>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</si>
  <si>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</si>
  <si>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</si>
  <si>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</si>
  <si>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</si>
  <si>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</si>
  <si>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</si>
  <si>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</si>
  <si>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</si>
  <si>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</si>
  <si>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</si>
  <si>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</si>
  <si>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</si>
  <si>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</si>
  <si>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</si>
  <si>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</si>
  <si>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</si>
  <si>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</si>
  <si>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</si>
  <si>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</si>
  <si>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</si>
  <si>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</si>
  <si>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</si>
  <si>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</si>
  <si>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</si>
  <si>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</si>
  <si>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</si>
  <si>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</si>
  <si>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</si>
  <si>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</si>
  <si>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</si>
  <si>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</si>
  <si>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</si>
  <si>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</si>
  <si>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</si>
  <si>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</si>
  <si>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</si>
  <si>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</si>
  <si>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</si>
  <si>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</si>
  <si>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</si>
  <si>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</si>
  <si>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</si>
  <si>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</si>
  <si>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</si>
  <si>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</si>
  <si>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</si>
  <si>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</si>
  <si>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</si>
  <si>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</si>
  <si>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</si>
  <si>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</si>
  <si>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</si>
  <si>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</si>
  <si>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</si>
  <si>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</si>
  <si>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</si>
  <si>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Carpet area</t>
  </si>
  <si>
    <t>Parsn Foundation &amp; Engg Corporation</t>
  </si>
  <si>
    <t>Nehru Nagar Panchratna CHS Ltd, Bldg  No.5</t>
  </si>
  <si>
    <t>Mr. Panchanan Parida  9321483573</t>
  </si>
  <si>
    <t>Maharashtra Housing and Area Development Authority (MHADA)</t>
  </si>
  <si>
    <t>Nehru Nagar</t>
  </si>
  <si>
    <t>Kedarnath Mandir Road</t>
  </si>
  <si>
    <t>Building No.5</t>
  </si>
  <si>
    <t>P51800015096</t>
  </si>
  <si>
    <t>plan</t>
  </si>
  <si>
    <t>19.062722,72.880000</t>
  </si>
  <si>
    <t>https://maps.app.goo.gl/fLfCR7dfZahZbvV87</t>
  </si>
  <si>
    <t>Wing A &amp; B</t>
  </si>
  <si>
    <t>350 M from Kurla Railway Station</t>
  </si>
  <si>
    <t>Kurla East</t>
  </si>
  <si>
    <t>Puneet Kalpavriksha</t>
  </si>
  <si>
    <t>Kedarnath Mandir Road/28, Vishwa Darshan CHS</t>
  </si>
  <si>
    <t>Other Plot</t>
  </si>
  <si>
    <t>House</t>
  </si>
  <si>
    <t>30.Mtr Wide Road</t>
  </si>
  <si>
    <t>Open Plot</t>
  </si>
  <si>
    <t>18.40 Mtr Wide D.P Road</t>
  </si>
  <si>
    <t>02 Wings</t>
  </si>
  <si>
    <t>MHADA-22/563/2023</t>
  </si>
  <si>
    <t xml:space="preserve">A Wing = Gr + 1st to 16th Floor
B Wing = Gr + 1st to 16th Floor
</t>
  </si>
  <si>
    <t>B Wing = Gr + 1st to 16th Floor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</si>
  <si>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</si>
  <si>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Decorative Lobby, Recreation Area, CCTV Surveillance, Childern Play Area, Health Club, Spacious and Speedy Lifts, Power Back-up for Lifts, Vitrified Tiles, Granite Kitchen Platform With branded SS Sink, Fire Rated Main Door, Branded CP Fittings, Hi-tech Fire Fighting System, Branded Sanitary Fittings, Concealed Plumbing, Concealed Electrical Fittings, Rooftop Club</t>
  </si>
  <si>
    <t>Wing A</t>
  </si>
  <si>
    <t xml:space="preserve"> A Wing</t>
  </si>
  <si>
    <t>Ground Floor For Commercial, Electric Substation &amp; Parking</t>
  </si>
  <si>
    <t>Office</t>
  </si>
  <si>
    <t>1st Floor For Commercial</t>
  </si>
  <si>
    <t>Ground Floor For Parking</t>
  </si>
  <si>
    <t xml:space="preserve"> B Wing</t>
  </si>
  <si>
    <t>1st Floor For Residential &amp; Fitness Center</t>
  </si>
  <si>
    <t>2BHK</t>
  </si>
  <si>
    <t>1RK</t>
  </si>
  <si>
    <t>-</t>
  </si>
  <si>
    <t>Fitness Center</t>
  </si>
  <si>
    <t>2nd Floor For Residential</t>
  </si>
  <si>
    <t>1BHK</t>
  </si>
  <si>
    <t>3rd to 7th &amp; 9th to 14th &amp; 16th Floor</t>
  </si>
  <si>
    <t>8th Floor (Part Refuge Area)</t>
  </si>
  <si>
    <t>Refuge Area</t>
  </si>
  <si>
    <t>Construction work is in process at the time of Visit.</t>
  </si>
  <si>
    <t>We considered Gross carpet area = Net carpet</t>
  </si>
  <si>
    <t>15th Floor (Part Refuge Area)</t>
  </si>
  <si>
    <t>Chajja Area</t>
  </si>
  <si>
    <t>Wing B</t>
  </si>
  <si>
    <t>Flats - 120, Offices - 7</t>
  </si>
  <si>
    <t>Approved Plans, CC, Sale Plans, Cost Sheet</t>
  </si>
  <si>
    <t>CTS No</t>
  </si>
  <si>
    <t>11(Pt), Redevlopement of "Building No.5"</t>
  </si>
  <si>
    <t>Dated
Valid Upto 
Date</t>
  </si>
  <si>
    <t xml:space="preserve">Commencement-CC No
Valid Up to: </t>
  </si>
  <si>
    <t>Development Charges, Water, Electricity</t>
  </si>
  <si>
    <t>Other Charges</t>
  </si>
  <si>
    <t>Recommended rate of the Office Per Sq. Ft. (Ground Floor)</t>
  </si>
  <si>
    <t>Recommended rate of the Office Per Sq. Ft. (1st  Floor)</t>
  </si>
  <si>
    <t>verbal</t>
  </si>
  <si>
    <t>19000 to 20000</t>
  </si>
  <si>
    <t xml:space="preserve"> smith </t>
  </si>
  <si>
    <t>Name of the builder group (As per RERA)</t>
  </si>
  <si>
    <t>Name of the builder group (As per Builder)</t>
  </si>
  <si>
    <t>Parsn Construction and Developer Private limited.</t>
  </si>
  <si>
    <t>Axis Sanpada</t>
  </si>
  <si>
    <t>13500 to 13700</t>
  </si>
  <si>
    <t>Bharghav</t>
  </si>
  <si>
    <t xml:space="preserve">Recommended Rates/Other Charges of the Property have been revised on 18/10/2024.
</t>
  </si>
  <si>
    <t>market</t>
  </si>
  <si>
    <t xml:space="preserve">As per RERA, completion period of Nehru Nagar Panchratna CHS Ltd, Bldg  No.5 is expired on 31/12/2024 but still project is under construction.
</t>
  </si>
  <si>
    <t>MH/EE/(BP)/GM/MHADA-22/563/2025/FCC/2/Amend</t>
  </si>
  <si>
    <t>03/03/2025
22/06/2025</t>
  </si>
  <si>
    <t>This C.C. is now extended upto top of 16th floor level of Wing A &amp; Wing B including OHT &amp; LMR “ {i.e. for Entire work of building comprising of two wings as Wing- A &amp; B. In which Wing ‘A’ is consist of Part Ground &amp; Part Stilt Floor for 1 level Pit parking + 2 level Stack parking + 1st Floor for part Residential user &amp; part Fitness Centre area + 2nd to 16th upper Residential Floor with total building ht. 50.90 mt. from AGL and Wing ‘B’ consist of Ground floor (Part) for Commercial user + Stilt (Part) for 1 level Pit parking + 2 level Stack parking + 1st Floor for Commercial use + 2nd to 16th upper residential floors with total building height is 50.90 Mt. from AGL + LMR + OHT as per last approved Amended plans issued on dated- 03.01.2023.</t>
  </si>
  <si>
    <t>A &amp; B Wing = Gr + 1st to 16th Floor</t>
  </si>
  <si>
    <t>Construction work is in process at the time of visit.</t>
  </si>
  <si>
    <t>We have updated latest CC from Mhada site (On 12/05/2025).</t>
  </si>
  <si>
    <t>Akash Kadam</t>
  </si>
  <si>
    <t>As per RERA - 31/12/2025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</si>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</sst>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0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29" xfId="0" applyFont="1" applyBorder="1"/>
    <xf numFmtId="0" fontId="24" fillId="0" borderId="1" xfId="0" applyFont="1" applyBorder="1"/>
    <xf numFmtId="0" fontId="24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28" fillId="2" borderId="28" xfId="0" applyFont="1" applyFill="1" applyBorder="1"/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28" fillId="0" borderId="1" xfId="0" applyFont="1" applyBorder="1"/>
    <xf numFmtId="0" fontId="16" fillId="0" borderId="0" xfId="0" applyFont="1" applyProtection="1">
      <protection hidden="1"/>
    </xf>
    <xf numFmtId="0" fontId="16" fillId="0" borderId="10" xfId="0" applyFont="1" applyBorder="1" applyProtection="1">
      <protection hidden="1"/>
    </xf>
    <xf numFmtId="0" fontId="7" fillId="0" borderId="0" xfId="0" applyFont="1" applyAlignment="1">
      <alignment horizontal="center" vertical="top"/>
    </xf>
    <xf numFmtId="1" fontId="7" fillId="0" borderId="0" xfId="0" applyNumberFormat="1" applyFont="1" applyAlignment="1">
      <alignment horizontal="center" vertical="top"/>
    </xf>
    <xf numFmtId="1" fontId="7" fillId="0" borderId="0" xfId="1" applyNumberFormat="1" applyFont="1" applyAlignment="1">
      <alignment horizontal="center" vertical="top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25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29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0" fillId="0" borderId="1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649431</xdr:colOff>
      <xdr:row>312</xdr:row>
      <xdr:rowOff>147555</xdr:rowOff>
    </xdr:from>
    <xdr:to>
      <xdr:col>7</xdr:col>
      <xdr:colOff>372531</xdr:colOff>
      <xdr:row>334</xdr:row>
      <xdr:rowOff>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756" t="21226" r="25037" b="12972"/>
        <a:stretch/>
      </xdr:blipFill>
      <xdr:spPr>
        <a:xfrm>
          <a:off x="649431" y="65471737"/>
          <a:ext cx="5400000" cy="4232023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433523</xdr:colOff>
      <xdr:row>295</xdr:row>
      <xdr:rowOff>60614</xdr:rowOff>
    </xdr:from>
    <xdr:to>
      <xdr:col>6</xdr:col>
      <xdr:colOff>512239</xdr:colOff>
      <xdr:row>311</xdr:row>
      <xdr:rowOff>152107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254" t="32783" r="32198" b="22405"/>
        <a:stretch/>
      </xdr:blipFill>
      <xdr:spPr>
        <a:xfrm>
          <a:off x="1100273" y="61999091"/>
          <a:ext cx="4364966" cy="3278038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2</xdr:col>
      <xdr:colOff>616908</xdr:colOff>
      <xdr:row>319</xdr:row>
      <xdr:rowOff>165852</xdr:rowOff>
    </xdr:from>
    <xdr:to>
      <xdr:col>3</xdr:col>
      <xdr:colOff>635708</xdr:colOff>
      <xdr:row>324</xdr:row>
      <xdr:rowOff>71647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395227">
          <a:off x="2080294" y="66884147"/>
          <a:ext cx="867391" cy="901591"/>
        </a:xfrm>
        <a:custGeom>
          <a:avLst/>
          <a:gdLst>
            <a:gd name="connsiteX0" fmla="*/ 0 w 2105025"/>
            <a:gd name="connsiteY0" fmla="*/ 1790700 h 2143125"/>
            <a:gd name="connsiteX1" fmla="*/ 152400 w 2105025"/>
            <a:gd name="connsiteY1" fmla="*/ 1247775 h 2143125"/>
            <a:gd name="connsiteX2" fmla="*/ 847725 w 2105025"/>
            <a:gd name="connsiteY2" fmla="*/ 304800 h 2143125"/>
            <a:gd name="connsiteX3" fmla="*/ 1123950 w 2105025"/>
            <a:gd name="connsiteY3" fmla="*/ 0 h 2143125"/>
            <a:gd name="connsiteX4" fmla="*/ 1352550 w 2105025"/>
            <a:gd name="connsiteY4" fmla="*/ 552450 h 2143125"/>
            <a:gd name="connsiteX5" fmla="*/ 1838325 w 2105025"/>
            <a:gd name="connsiteY5" fmla="*/ 695325 h 2143125"/>
            <a:gd name="connsiteX6" fmla="*/ 2105025 w 2105025"/>
            <a:gd name="connsiteY6" fmla="*/ 1362075 h 2143125"/>
            <a:gd name="connsiteX7" fmla="*/ 1847850 w 2105025"/>
            <a:gd name="connsiteY7" fmla="*/ 1695450 h 2143125"/>
            <a:gd name="connsiteX8" fmla="*/ 1704975 w 2105025"/>
            <a:gd name="connsiteY8" fmla="*/ 1905000 h 2143125"/>
            <a:gd name="connsiteX9" fmla="*/ 1647825 w 2105025"/>
            <a:gd name="connsiteY9" fmla="*/ 2143125 h 2143125"/>
            <a:gd name="connsiteX10" fmla="*/ 762000 w 2105025"/>
            <a:gd name="connsiteY10" fmla="*/ 1981200 h 2143125"/>
            <a:gd name="connsiteX11" fmla="*/ 609600 w 2105025"/>
            <a:gd name="connsiteY11" fmla="*/ 1857375 h 2143125"/>
            <a:gd name="connsiteX12" fmla="*/ 0 w 2105025"/>
            <a:gd name="connsiteY12" fmla="*/ 1790700 h 2143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2105025" h="2143125">
              <a:moveTo>
                <a:pt x="0" y="1790700"/>
              </a:moveTo>
              <a:lnTo>
                <a:pt x="152400" y="1247775"/>
              </a:lnTo>
              <a:lnTo>
                <a:pt x="847725" y="304800"/>
              </a:lnTo>
              <a:lnTo>
                <a:pt x="1123950" y="0"/>
              </a:lnTo>
              <a:lnTo>
                <a:pt x="1352550" y="552450"/>
              </a:lnTo>
              <a:lnTo>
                <a:pt x="1838325" y="695325"/>
              </a:lnTo>
              <a:lnTo>
                <a:pt x="2105025" y="1362075"/>
              </a:lnTo>
              <a:lnTo>
                <a:pt x="1847850" y="1695450"/>
              </a:lnTo>
              <a:lnTo>
                <a:pt x="1704975" y="1905000"/>
              </a:lnTo>
              <a:lnTo>
                <a:pt x="1647825" y="2143125"/>
              </a:lnTo>
              <a:lnTo>
                <a:pt x="762000" y="1981200"/>
              </a:lnTo>
              <a:lnTo>
                <a:pt x="609600" y="1857375"/>
              </a:lnTo>
              <a:lnTo>
                <a:pt x="0" y="1790700"/>
              </a:lnTo>
              <a:close/>
            </a:path>
          </a:pathLst>
        </a:cu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2</xdr:col>
      <xdr:colOff>540000</xdr:colOff>
      <xdr:row>254</xdr:row>
      <xdr:rowOff>0</xdr:rowOff>
    </xdr:from>
    <xdr:to>
      <xdr:col>5</xdr:col>
      <xdr:colOff>348177</xdr:colOff>
      <xdr:row>268</xdr:row>
      <xdr:rowOff>84505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3032" t="20387" r="31226" b="17291"/>
        <a:stretch/>
      </xdr:blipFill>
      <xdr:spPr>
        <a:xfrm>
          <a:off x="2007971" y="53933912"/>
          <a:ext cx="2520000" cy="2908387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0</xdr:colOff>
      <xdr:row>269</xdr:row>
      <xdr:rowOff>16149</xdr:rowOff>
    </xdr:from>
    <xdr:to>
      <xdr:col>6</xdr:col>
      <xdr:colOff>103765</xdr:colOff>
      <xdr:row>287</xdr:row>
      <xdr:rowOff>31449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29" t="16129" r="11097" b="22517"/>
        <a:stretch/>
      </xdr:blipFill>
      <xdr:spPr>
        <a:xfrm>
          <a:off x="1467971" y="56975649"/>
          <a:ext cx="3600000" cy="3646006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>
    <xdr:from>
      <xdr:col>2</xdr:col>
      <xdr:colOff>364667</xdr:colOff>
      <xdr:row>270</xdr:row>
      <xdr:rowOff>155291</xdr:rowOff>
    </xdr:from>
    <xdr:to>
      <xdr:col>4</xdr:col>
      <xdr:colOff>708635</xdr:colOff>
      <xdr:row>281</xdr:row>
      <xdr:rowOff>12068</xdr:rowOff>
    </xdr:to>
    <xdr:sp macro="" textlink="">
      <xdr:nvSpPr>
        <xdr:cNvPr id="7" name="Freefor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32638" y="57316497"/>
          <a:ext cx="2148115" cy="2075542"/>
        </a:xfrm>
        <a:custGeom>
          <a:avLst/>
          <a:gdLst>
            <a:gd name="connsiteX0" fmla="*/ 0 w 2148115"/>
            <a:gd name="connsiteY0" fmla="*/ 1785257 h 2075542"/>
            <a:gd name="connsiteX1" fmla="*/ 145143 w 2148115"/>
            <a:gd name="connsiteY1" fmla="*/ 1291771 h 2075542"/>
            <a:gd name="connsiteX2" fmla="*/ 754743 w 2148115"/>
            <a:gd name="connsiteY2" fmla="*/ 391885 h 2075542"/>
            <a:gd name="connsiteX3" fmla="*/ 1146629 w 2148115"/>
            <a:gd name="connsiteY3" fmla="*/ 0 h 2075542"/>
            <a:gd name="connsiteX4" fmla="*/ 1320800 w 2148115"/>
            <a:gd name="connsiteY4" fmla="*/ 537028 h 2075542"/>
            <a:gd name="connsiteX5" fmla="*/ 1828800 w 2148115"/>
            <a:gd name="connsiteY5" fmla="*/ 653142 h 2075542"/>
            <a:gd name="connsiteX6" fmla="*/ 2148115 w 2148115"/>
            <a:gd name="connsiteY6" fmla="*/ 1320800 h 2075542"/>
            <a:gd name="connsiteX7" fmla="*/ 1770743 w 2148115"/>
            <a:gd name="connsiteY7" fmla="*/ 1770742 h 2075542"/>
            <a:gd name="connsiteX8" fmla="*/ 1640115 w 2148115"/>
            <a:gd name="connsiteY8" fmla="*/ 2075542 h 2075542"/>
            <a:gd name="connsiteX9" fmla="*/ 638629 w 2148115"/>
            <a:gd name="connsiteY9" fmla="*/ 1944914 h 2075542"/>
            <a:gd name="connsiteX10" fmla="*/ 609600 w 2148115"/>
            <a:gd name="connsiteY10" fmla="*/ 1814285 h 2075542"/>
            <a:gd name="connsiteX11" fmla="*/ 0 w 2148115"/>
            <a:gd name="connsiteY11" fmla="*/ 1785257 h 20755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2148115" h="2075542">
              <a:moveTo>
                <a:pt x="0" y="1785257"/>
              </a:moveTo>
              <a:lnTo>
                <a:pt x="145143" y="1291771"/>
              </a:lnTo>
              <a:lnTo>
                <a:pt x="754743" y="391885"/>
              </a:lnTo>
              <a:lnTo>
                <a:pt x="1146629" y="0"/>
              </a:lnTo>
              <a:lnTo>
                <a:pt x="1320800" y="537028"/>
              </a:lnTo>
              <a:lnTo>
                <a:pt x="1828800" y="653142"/>
              </a:lnTo>
              <a:lnTo>
                <a:pt x="2148115" y="1320800"/>
              </a:lnTo>
              <a:lnTo>
                <a:pt x="1770743" y="1770742"/>
              </a:lnTo>
              <a:lnTo>
                <a:pt x="1640115" y="2075542"/>
              </a:lnTo>
              <a:lnTo>
                <a:pt x="638629" y="1944914"/>
              </a:lnTo>
              <a:lnTo>
                <a:pt x="609600" y="1814285"/>
              </a:lnTo>
              <a:lnTo>
                <a:pt x="0" y="1785257"/>
              </a:lnTo>
              <a:close/>
            </a:path>
          </a:pathLst>
        </a:custGeom>
        <a:noFill/>
        <a:ln w="12700"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noFill/>
          </a:endParaRPr>
        </a:p>
      </xdr:txBody>
    </xdr:sp>
    <xdr:clientData/>
  </xdr:twoCellAnchor>
  <xdr:twoCellAnchor>
    <xdr:from>
      <xdr:col>3</xdr:col>
      <xdr:colOff>511329</xdr:colOff>
      <xdr:row>275</xdr:row>
      <xdr:rowOff>54357</xdr:rowOff>
    </xdr:from>
    <xdr:to>
      <xdr:col>4</xdr:col>
      <xdr:colOff>403379</xdr:colOff>
      <xdr:row>279</xdr:row>
      <xdr:rowOff>187333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8051133">
          <a:off x="2783322" y="58271717"/>
          <a:ext cx="939800" cy="844550"/>
        </a:xfrm>
        <a:prstGeom prst="rect">
          <a:avLst/>
        </a:prstGeom>
        <a:noFill/>
        <a:ln>
          <a:solidFill>
            <a:srgbClr val="00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solidFill>
              <a:srgbClr val="0066FF"/>
            </a:solidFill>
          </a:endParaRPr>
        </a:p>
      </xdr:txBody>
    </xdr:sp>
    <xdr:clientData/>
  </xdr:twoCellAnchor>
  <xdr:twoCellAnchor>
    <xdr:from>
      <xdr:col>3</xdr:col>
      <xdr:colOff>9671</xdr:colOff>
      <xdr:row>273</xdr:row>
      <xdr:rowOff>84840</xdr:rowOff>
    </xdr:from>
    <xdr:to>
      <xdr:col>3</xdr:col>
      <xdr:colOff>599092</xdr:colOff>
      <xdr:row>278</xdr:row>
      <xdr:rowOff>57322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8051133">
          <a:off x="2133494" y="58046959"/>
          <a:ext cx="981011" cy="589421"/>
        </a:xfrm>
        <a:prstGeom prst="rect">
          <a:avLst/>
        </a:prstGeom>
        <a:noFill/>
        <a:ln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solidFill>
              <a:srgbClr val="FF00FF"/>
            </a:solidFill>
          </a:endParaRPr>
        </a:p>
      </xdr:txBody>
    </xdr:sp>
    <xdr:clientData/>
  </xdr:twoCellAnchor>
  <xdr:twoCellAnchor>
    <xdr:from>
      <xdr:col>4</xdr:col>
      <xdr:colOff>176448</xdr:colOff>
      <xdr:row>273</xdr:row>
      <xdr:rowOff>169926</xdr:rowOff>
    </xdr:from>
    <xdr:to>
      <xdr:col>4</xdr:col>
      <xdr:colOff>484225</xdr:colOff>
      <xdr:row>280</xdr:row>
      <xdr:rowOff>110535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rot="17911983">
          <a:off x="2926180" y="58458636"/>
          <a:ext cx="1352550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0066FF"/>
              </a:solidFill>
            </a:rPr>
            <a:t>Wing B</a:t>
          </a:r>
          <a:endParaRPr lang="en-IN" sz="1400" b="1">
            <a:solidFill>
              <a:srgbClr val="0066FF"/>
            </a:solidFill>
          </a:endParaRPr>
        </a:p>
      </xdr:txBody>
    </xdr:sp>
    <xdr:clientData/>
  </xdr:twoCellAnchor>
  <xdr:twoCellAnchor>
    <xdr:from>
      <xdr:col>3</xdr:col>
      <xdr:colOff>401244</xdr:colOff>
      <xdr:row>271</xdr:row>
      <xdr:rowOff>154236</xdr:rowOff>
    </xdr:from>
    <xdr:to>
      <xdr:col>3</xdr:col>
      <xdr:colOff>709021</xdr:colOff>
      <xdr:row>278</xdr:row>
      <xdr:rowOff>94845</xdr:rowOff>
    </xdr:to>
    <xdr:sp macro="" textlink="">
      <xdr:nvSpPr>
        <xdr:cNvPr id="11" name="TextBox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rot="17911983">
          <a:off x="2198476" y="58039534"/>
          <a:ext cx="1352550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FF00FF"/>
              </a:solidFill>
            </a:rPr>
            <a:t>Wing A</a:t>
          </a:r>
          <a:endParaRPr lang="en-IN" sz="1400" b="1">
            <a:solidFill>
              <a:srgbClr val="FF00FF"/>
            </a:solidFill>
          </a:endParaRPr>
        </a:p>
      </xdr:txBody>
    </xdr:sp>
    <xdr:clientData/>
  </xdr:twoCellAnchor>
  <xdr:twoCellAnchor>
    <xdr:from>
      <xdr:col>8</xdr:col>
      <xdr:colOff>1148080</xdr:colOff>
      <xdr:row>213</xdr:row>
      <xdr:rowOff>129540</xdr:rowOff>
    </xdr:from>
    <xdr:to>
      <xdr:col>16</xdr:col>
      <xdr:colOff>480069</xdr:colOff>
      <xdr:row>245</xdr:row>
      <xdr:rowOff>101640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745730" y="44700190"/>
          <a:ext cx="6107439" cy="6271300"/>
          <a:chOff x="203200" y="44291250"/>
          <a:chExt cx="6085849" cy="6271300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00" y="442912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4305" y="48402550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8232" y="48402550"/>
            <a:ext cx="384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19049" y="442912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76200</xdr:colOff>
      <xdr:row>211</xdr:row>
      <xdr:rowOff>57150</xdr:rowOff>
    </xdr:from>
    <xdr:to>
      <xdr:col>7</xdr:col>
      <xdr:colOff>590551</xdr:colOff>
      <xdr:row>243</xdr:row>
      <xdr:rowOff>11596</xdr:rowOff>
    </xdr:to>
    <xdr:grpSp>
      <xdr:nvGrpSpPr>
        <xdr:cNvPr id="16" name="Group 15"/>
        <xdr:cNvGrpSpPr/>
      </xdr:nvGrpSpPr>
      <xdr:grpSpPr>
        <a:xfrm>
          <a:off x="76200" y="44234100"/>
          <a:ext cx="6445251" cy="6253646"/>
          <a:chOff x="76200" y="44234100"/>
          <a:chExt cx="6445251" cy="6253646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200" y="48327746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42311" y="48327746"/>
            <a:ext cx="337914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4117" y="442341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1755" y="48327746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555" y="442341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fLfCR7dfZahZbvV8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95"/>
  <sheetViews>
    <sheetView tabSelected="1" view="pageBreakPreview" topLeftCell="A3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0" style="38" customWidth="1"/>
    <col min="2" max="2" width="12" style="38" customWidth="1"/>
    <col min="3" max="3" width="12.54296875" style="38" customWidth="1"/>
    <col min="4" max="4" width="14.453125" style="38" customWidth="1"/>
    <col min="5" max="5" width="13.54296875" style="38" customWidth="1"/>
    <col min="6" max="6" width="11.54296875" style="38" customWidth="1"/>
    <col min="7" max="7" width="10.81640625" style="38" customWidth="1"/>
    <col min="8" max="8" width="9.54296875" style="38" customWidth="1"/>
    <col min="9" max="9" width="17.453125" style="19" customWidth="1"/>
    <col min="10" max="10" width="11.453125" style="19" customWidth="1"/>
    <col min="11" max="11" width="11.8164062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54296875" style="19" customWidth="1"/>
    <col min="17" max="247" width="9.1796875" style="19"/>
    <col min="248" max="248" width="8.54296875" style="19" customWidth="1"/>
    <col min="249" max="249" width="9.81640625" style="19" customWidth="1"/>
    <col min="250" max="250" width="14.453125" style="19" customWidth="1"/>
    <col min="251" max="251" width="7.4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54296875" style="19" customWidth="1"/>
    <col min="505" max="505" width="9.81640625" style="19" customWidth="1"/>
    <col min="506" max="506" width="14.453125" style="19" customWidth="1"/>
    <col min="507" max="507" width="7.4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54296875" style="19" customWidth="1"/>
    <col min="761" max="761" width="9.81640625" style="19" customWidth="1"/>
    <col min="762" max="762" width="14.453125" style="19" customWidth="1"/>
    <col min="763" max="763" width="7.4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54296875" style="19" customWidth="1"/>
    <col min="1017" max="1017" width="9.81640625" style="19" customWidth="1"/>
    <col min="1018" max="1018" width="14.453125" style="19" customWidth="1"/>
    <col min="1019" max="1019" width="7.4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54296875" style="19" customWidth="1"/>
    <col min="1273" max="1273" width="9.81640625" style="19" customWidth="1"/>
    <col min="1274" max="1274" width="14.453125" style="19" customWidth="1"/>
    <col min="1275" max="1275" width="7.4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54296875" style="19" customWidth="1"/>
    <col min="1529" max="1529" width="9.81640625" style="19" customWidth="1"/>
    <col min="1530" max="1530" width="14.453125" style="19" customWidth="1"/>
    <col min="1531" max="1531" width="7.4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54296875" style="19" customWidth="1"/>
    <col min="1785" max="1785" width="9.81640625" style="19" customWidth="1"/>
    <col min="1786" max="1786" width="14.453125" style="19" customWidth="1"/>
    <col min="1787" max="1787" width="7.4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54296875" style="19" customWidth="1"/>
    <col min="2041" max="2041" width="9.81640625" style="19" customWidth="1"/>
    <col min="2042" max="2042" width="14.453125" style="19" customWidth="1"/>
    <col min="2043" max="2043" width="7.4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54296875" style="19" customWidth="1"/>
    <col min="2297" max="2297" width="9.81640625" style="19" customWidth="1"/>
    <col min="2298" max="2298" width="14.453125" style="19" customWidth="1"/>
    <col min="2299" max="2299" width="7.4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54296875" style="19" customWidth="1"/>
    <col min="2553" max="2553" width="9.81640625" style="19" customWidth="1"/>
    <col min="2554" max="2554" width="14.453125" style="19" customWidth="1"/>
    <col min="2555" max="2555" width="7.4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54296875" style="19" customWidth="1"/>
    <col min="2809" max="2809" width="9.81640625" style="19" customWidth="1"/>
    <col min="2810" max="2810" width="14.453125" style="19" customWidth="1"/>
    <col min="2811" max="2811" width="7.4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54296875" style="19" customWidth="1"/>
    <col min="3065" max="3065" width="9.81640625" style="19" customWidth="1"/>
    <col min="3066" max="3066" width="14.453125" style="19" customWidth="1"/>
    <col min="3067" max="3067" width="7.4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54296875" style="19" customWidth="1"/>
    <col min="3321" max="3321" width="9.81640625" style="19" customWidth="1"/>
    <col min="3322" max="3322" width="14.453125" style="19" customWidth="1"/>
    <col min="3323" max="3323" width="7.4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54296875" style="19" customWidth="1"/>
    <col min="3577" max="3577" width="9.81640625" style="19" customWidth="1"/>
    <col min="3578" max="3578" width="14.453125" style="19" customWidth="1"/>
    <col min="3579" max="3579" width="7.4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54296875" style="19" customWidth="1"/>
    <col min="3833" max="3833" width="9.81640625" style="19" customWidth="1"/>
    <col min="3834" max="3834" width="14.453125" style="19" customWidth="1"/>
    <col min="3835" max="3835" width="7.4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54296875" style="19" customWidth="1"/>
    <col min="4089" max="4089" width="9.81640625" style="19" customWidth="1"/>
    <col min="4090" max="4090" width="14.453125" style="19" customWidth="1"/>
    <col min="4091" max="4091" width="7.4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54296875" style="19" customWidth="1"/>
    <col min="4345" max="4345" width="9.81640625" style="19" customWidth="1"/>
    <col min="4346" max="4346" width="14.453125" style="19" customWidth="1"/>
    <col min="4347" max="4347" width="7.4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54296875" style="19" customWidth="1"/>
    <col min="4601" max="4601" width="9.81640625" style="19" customWidth="1"/>
    <col min="4602" max="4602" width="14.453125" style="19" customWidth="1"/>
    <col min="4603" max="4603" width="7.4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54296875" style="19" customWidth="1"/>
    <col min="4857" max="4857" width="9.81640625" style="19" customWidth="1"/>
    <col min="4858" max="4858" width="14.453125" style="19" customWidth="1"/>
    <col min="4859" max="4859" width="7.4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54296875" style="19" customWidth="1"/>
    <col min="5113" max="5113" width="9.81640625" style="19" customWidth="1"/>
    <col min="5114" max="5114" width="14.453125" style="19" customWidth="1"/>
    <col min="5115" max="5115" width="7.4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54296875" style="19" customWidth="1"/>
    <col min="5369" max="5369" width="9.81640625" style="19" customWidth="1"/>
    <col min="5370" max="5370" width="14.453125" style="19" customWidth="1"/>
    <col min="5371" max="5371" width="7.4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54296875" style="19" customWidth="1"/>
    <col min="5625" max="5625" width="9.81640625" style="19" customWidth="1"/>
    <col min="5626" max="5626" width="14.453125" style="19" customWidth="1"/>
    <col min="5627" max="5627" width="7.4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54296875" style="19" customWidth="1"/>
    <col min="5881" max="5881" width="9.81640625" style="19" customWidth="1"/>
    <col min="5882" max="5882" width="14.453125" style="19" customWidth="1"/>
    <col min="5883" max="5883" width="7.4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54296875" style="19" customWidth="1"/>
    <col min="6137" max="6137" width="9.81640625" style="19" customWidth="1"/>
    <col min="6138" max="6138" width="14.453125" style="19" customWidth="1"/>
    <col min="6139" max="6139" width="7.4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54296875" style="19" customWidth="1"/>
    <col min="6393" max="6393" width="9.81640625" style="19" customWidth="1"/>
    <col min="6394" max="6394" width="14.453125" style="19" customWidth="1"/>
    <col min="6395" max="6395" width="7.4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54296875" style="19" customWidth="1"/>
    <col min="6649" max="6649" width="9.81640625" style="19" customWidth="1"/>
    <col min="6650" max="6650" width="14.453125" style="19" customWidth="1"/>
    <col min="6651" max="6651" width="7.4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54296875" style="19" customWidth="1"/>
    <col min="6905" max="6905" width="9.81640625" style="19" customWidth="1"/>
    <col min="6906" max="6906" width="14.453125" style="19" customWidth="1"/>
    <col min="6907" max="6907" width="7.4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54296875" style="19" customWidth="1"/>
    <col min="7161" max="7161" width="9.81640625" style="19" customWidth="1"/>
    <col min="7162" max="7162" width="14.453125" style="19" customWidth="1"/>
    <col min="7163" max="7163" width="7.4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54296875" style="19" customWidth="1"/>
    <col min="7417" max="7417" width="9.81640625" style="19" customWidth="1"/>
    <col min="7418" max="7418" width="14.453125" style="19" customWidth="1"/>
    <col min="7419" max="7419" width="7.4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54296875" style="19" customWidth="1"/>
    <col min="7673" max="7673" width="9.81640625" style="19" customWidth="1"/>
    <col min="7674" max="7674" width="14.453125" style="19" customWidth="1"/>
    <col min="7675" max="7675" width="7.4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54296875" style="19" customWidth="1"/>
    <col min="7929" max="7929" width="9.81640625" style="19" customWidth="1"/>
    <col min="7930" max="7930" width="14.453125" style="19" customWidth="1"/>
    <col min="7931" max="7931" width="7.4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54296875" style="19" customWidth="1"/>
    <col min="8185" max="8185" width="9.81640625" style="19" customWidth="1"/>
    <col min="8186" max="8186" width="14.453125" style="19" customWidth="1"/>
    <col min="8187" max="8187" width="7.4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54296875" style="19" customWidth="1"/>
    <col min="8441" max="8441" width="9.81640625" style="19" customWidth="1"/>
    <col min="8442" max="8442" width="14.453125" style="19" customWidth="1"/>
    <col min="8443" max="8443" width="7.4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54296875" style="19" customWidth="1"/>
    <col min="8697" max="8697" width="9.81640625" style="19" customWidth="1"/>
    <col min="8698" max="8698" width="14.453125" style="19" customWidth="1"/>
    <col min="8699" max="8699" width="7.4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54296875" style="19" customWidth="1"/>
    <col min="8953" max="8953" width="9.81640625" style="19" customWidth="1"/>
    <col min="8954" max="8954" width="14.453125" style="19" customWidth="1"/>
    <col min="8955" max="8955" width="7.4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54296875" style="19" customWidth="1"/>
    <col min="9209" max="9209" width="9.81640625" style="19" customWidth="1"/>
    <col min="9210" max="9210" width="14.453125" style="19" customWidth="1"/>
    <col min="9211" max="9211" width="7.4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54296875" style="19" customWidth="1"/>
    <col min="9465" max="9465" width="9.81640625" style="19" customWidth="1"/>
    <col min="9466" max="9466" width="14.453125" style="19" customWidth="1"/>
    <col min="9467" max="9467" width="7.4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54296875" style="19" customWidth="1"/>
    <col min="9721" max="9721" width="9.81640625" style="19" customWidth="1"/>
    <col min="9722" max="9722" width="14.453125" style="19" customWidth="1"/>
    <col min="9723" max="9723" width="7.4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54296875" style="19" customWidth="1"/>
    <col min="9977" max="9977" width="9.81640625" style="19" customWidth="1"/>
    <col min="9978" max="9978" width="14.453125" style="19" customWidth="1"/>
    <col min="9979" max="9979" width="7.4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54296875" style="19" customWidth="1"/>
    <col min="10233" max="10233" width="9.81640625" style="19" customWidth="1"/>
    <col min="10234" max="10234" width="14.453125" style="19" customWidth="1"/>
    <col min="10235" max="10235" width="7.4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54296875" style="19" customWidth="1"/>
    <col min="10489" max="10489" width="9.81640625" style="19" customWidth="1"/>
    <col min="10490" max="10490" width="14.453125" style="19" customWidth="1"/>
    <col min="10491" max="10491" width="7.4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54296875" style="19" customWidth="1"/>
    <col min="10745" max="10745" width="9.81640625" style="19" customWidth="1"/>
    <col min="10746" max="10746" width="14.453125" style="19" customWidth="1"/>
    <col min="10747" max="10747" width="7.4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54296875" style="19" customWidth="1"/>
    <col min="11001" max="11001" width="9.81640625" style="19" customWidth="1"/>
    <col min="11002" max="11002" width="14.453125" style="19" customWidth="1"/>
    <col min="11003" max="11003" width="7.4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54296875" style="19" customWidth="1"/>
    <col min="11257" max="11257" width="9.81640625" style="19" customWidth="1"/>
    <col min="11258" max="11258" width="14.453125" style="19" customWidth="1"/>
    <col min="11259" max="11259" width="7.4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54296875" style="19" customWidth="1"/>
    <col min="11513" max="11513" width="9.81640625" style="19" customWidth="1"/>
    <col min="11514" max="11514" width="14.453125" style="19" customWidth="1"/>
    <col min="11515" max="11515" width="7.4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54296875" style="19" customWidth="1"/>
    <col min="11769" max="11769" width="9.81640625" style="19" customWidth="1"/>
    <col min="11770" max="11770" width="14.453125" style="19" customWidth="1"/>
    <col min="11771" max="11771" width="7.4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54296875" style="19" customWidth="1"/>
    <col min="12025" max="12025" width="9.81640625" style="19" customWidth="1"/>
    <col min="12026" max="12026" width="14.453125" style="19" customWidth="1"/>
    <col min="12027" max="12027" width="7.4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54296875" style="19" customWidth="1"/>
    <col min="12281" max="12281" width="9.81640625" style="19" customWidth="1"/>
    <col min="12282" max="12282" width="14.453125" style="19" customWidth="1"/>
    <col min="12283" max="12283" width="7.4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54296875" style="19" customWidth="1"/>
    <col min="12537" max="12537" width="9.81640625" style="19" customWidth="1"/>
    <col min="12538" max="12538" width="14.453125" style="19" customWidth="1"/>
    <col min="12539" max="12539" width="7.4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54296875" style="19" customWidth="1"/>
    <col min="12793" max="12793" width="9.81640625" style="19" customWidth="1"/>
    <col min="12794" max="12794" width="14.453125" style="19" customWidth="1"/>
    <col min="12795" max="12795" width="7.4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54296875" style="19" customWidth="1"/>
    <col min="13049" max="13049" width="9.81640625" style="19" customWidth="1"/>
    <col min="13050" max="13050" width="14.453125" style="19" customWidth="1"/>
    <col min="13051" max="13051" width="7.4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54296875" style="19" customWidth="1"/>
    <col min="13305" max="13305" width="9.81640625" style="19" customWidth="1"/>
    <col min="13306" max="13306" width="14.453125" style="19" customWidth="1"/>
    <col min="13307" max="13307" width="7.4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54296875" style="19" customWidth="1"/>
    <col min="13561" max="13561" width="9.81640625" style="19" customWidth="1"/>
    <col min="13562" max="13562" width="14.453125" style="19" customWidth="1"/>
    <col min="13563" max="13563" width="7.4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54296875" style="19" customWidth="1"/>
    <col min="13817" max="13817" width="9.81640625" style="19" customWidth="1"/>
    <col min="13818" max="13818" width="14.453125" style="19" customWidth="1"/>
    <col min="13819" max="13819" width="7.4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54296875" style="19" customWidth="1"/>
    <col min="14073" max="14073" width="9.81640625" style="19" customWidth="1"/>
    <col min="14074" max="14074" width="14.453125" style="19" customWidth="1"/>
    <col min="14075" max="14075" width="7.4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54296875" style="19" customWidth="1"/>
    <col min="14329" max="14329" width="9.81640625" style="19" customWidth="1"/>
    <col min="14330" max="14330" width="14.453125" style="19" customWidth="1"/>
    <col min="14331" max="14331" width="7.4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54296875" style="19" customWidth="1"/>
    <col min="14585" max="14585" width="9.81640625" style="19" customWidth="1"/>
    <col min="14586" max="14586" width="14.453125" style="19" customWidth="1"/>
    <col min="14587" max="14587" width="7.4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54296875" style="19" customWidth="1"/>
    <col min="14841" max="14841" width="9.81640625" style="19" customWidth="1"/>
    <col min="14842" max="14842" width="14.453125" style="19" customWidth="1"/>
    <col min="14843" max="14843" width="7.4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54296875" style="19" customWidth="1"/>
    <col min="15097" max="15097" width="9.81640625" style="19" customWidth="1"/>
    <col min="15098" max="15098" width="14.453125" style="19" customWidth="1"/>
    <col min="15099" max="15099" width="7.4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54296875" style="19" customWidth="1"/>
    <col min="15353" max="15353" width="9.81640625" style="19" customWidth="1"/>
    <col min="15354" max="15354" width="14.453125" style="19" customWidth="1"/>
    <col min="15355" max="15355" width="7.4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54296875" style="19" customWidth="1"/>
    <col min="15609" max="15609" width="9.81640625" style="19" customWidth="1"/>
    <col min="15610" max="15610" width="14.453125" style="19" customWidth="1"/>
    <col min="15611" max="15611" width="7.4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54296875" style="19" customWidth="1"/>
    <col min="15865" max="15865" width="9.81640625" style="19" customWidth="1"/>
    <col min="15866" max="15866" width="14.453125" style="19" customWidth="1"/>
    <col min="15867" max="15867" width="7.4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54296875" style="19" customWidth="1"/>
    <col min="16121" max="16121" width="9.81640625" style="19" customWidth="1"/>
    <col min="16122" max="16122" width="14.453125" style="19" customWidth="1"/>
    <col min="16123" max="16123" width="7.4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26" ht="46.5" customHeight="1" x14ac:dyDescent="0.35">
      <c r="A1" s="175" t="s">
        <v>158</v>
      </c>
      <c r="B1" s="175"/>
      <c r="C1" s="175"/>
      <c r="D1" s="175"/>
      <c r="E1" s="175"/>
      <c r="F1" s="175"/>
      <c r="G1" s="175"/>
      <c r="H1" s="175"/>
    </row>
    <row r="2" spans="1:26" ht="16.5" customHeight="1" x14ac:dyDescent="0.35">
      <c r="A2" s="101" t="s">
        <v>0</v>
      </c>
      <c r="B2" s="101"/>
      <c r="C2" s="101"/>
      <c r="D2" s="101"/>
      <c r="E2" s="101"/>
      <c r="F2" s="101"/>
      <c r="G2" s="101"/>
      <c r="H2" s="101"/>
    </row>
    <row r="3" spans="1:26" x14ac:dyDescent="0.35">
      <c r="A3" s="137" t="s">
        <v>1</v>
      </c>
      <c r="B3" s="137"/>
      <c r="C3" s="137"/>
      <c r="D3" s="137"/>
      <c r="E3" s="137" t="str">
        <f ca="1">TEXT(TODAY(),"DD/MM/YYYY")</f>
        <v>24/09/2025</v>
      </c>
      <c r="F3" s="137"/>
      <c r="G3" s="137"/>
      <c r="H3" s="137"/>
    </row>
    <row r="4" spans="1:26" x14ac:dyDescent="0.35">
      <c r="A4" s="137" t="s">
        <v>2</v>
      </c>
      <c r="B4" s="137"/>
      <c r="C4" s="137"/>
      <c r="D4" s="137"/>
      <c r="E4" s="137" t="s">
        <v>291</v>
      </c>
      <c r="F4" s="137"/>
      <c r="G4" s="137"/>
      <c r="H4" s="137"/>
    </row>
    <row r="5" spans="1:26" x14ac:dyDescent="0.35">
      <c r="A5" s="137" t="s">
        <v>3</v>
      </c>
      <c r="B5" s="137"/>
      <c r="C5" s="137"/>
      <c r="D5" s="137"/>
      <c r="E5" s="176">
        <v>45924</v>
      </c>
      <c r="F5" s="137"/>
      <c r="G5" s="137"/>
      <c r="H5" s="137"/>
    </row>
    <row r="6" spans="1:26" ht="16.5" customHeight="1" x14ac:dyDescent="0.35">
      <c r="A6" s="137" t="s">
        <v>288</v>
      </c>
      <c r="B6" s="137"/>
      <c r="C6" s="137"/>
      <c r="D6" s="137"/>
      <c r="E6" s="137" t="s">
        <v>226</v>
      </c>
      <c r="F6" s="137"/>
      <c r="G6" s="137"/>
      <c r="H6" s="137"/>
    </row>
    <row r="7" spans="1:26" ht="15" customHeight="1" x14ac:dyDescent="0.35">
      <c r="A7" s="137" t="s">
        <v>289</v>
      </c>
      <c r="B7" s="137"/>
      <c r="C7" s="137"/>
      <c r="D7" s="137"/>
      <c r="E7" s="137" t="s">
        <v>290</v>
      </c>
      <c r="F7" s="137"/>
      <c r="G7" s="137"/>
      <c r="H7" s="137"/>
    </row>
    <row r="8" spans="1:26" x14ac:dyDescent="0.35">
      <c r="A8" s="137" t="s">
        <v>4</v>
      </c>
      <c r="B8" s="137"/>
      <c r="C8" s="137"/>
      <c r="D8" s="137"/>
      <c r="E8" s="123" t="s">
        <v>227</v>
      </c>
      <c r="F8" s="123"/>
      <c r="G8" s="123"/>
      <c r="H8" s="123"/>
    </row>
    <row r="9" spans="1:26" x14ac:dyDescent="0.35">
      <c r="A9" s="137" t="s">
        <v>161</v>
      </c>
      <c r="B9" s="137"/>
      <c r="C9" s="137"/>
      <c r="D9" s="137"/>
      <c r="E9" s="131" t="s">
        <v>228</v>
      </c>
      <c r="F9" s="137"/>
      <c r="G9" s="137"/>
      <c r="H9" s="137"/>
    </row>
    <row r="10" spans="1:26" x14ac:dyDescent="0.35">
      <c r="A10" s="137" t="s">
        <v>162</v>
      </c>
      <c r="B10" s="137"/>
      <c r="C10" s="137"/>
      <c r="D10" s="137"/>
      <c r="E10" s="137" t="s">
        <v>27</v>
      </c>
      <c r="F10" s="137"/>
      <c r="G10" s="137"/>
      <c r="H10" s="137"/>
    </row>
    <row r="11" spans="1:26" x14ac:dyDescent="0.35">
      <c r="A11" s="137" t="s">
        <v>5</v>
      </c>
      <c r="B11" s="137"/>
      <c r="C11" s="137"/>
      <c r="D11" s="137"/>
      <c r="E11" s="137" t="s">
        <v>237</v>
      </c>
      <c r="F11" s="137"/>
      <c r="G11" s="137"/>
      <c r="H11" s="137"/>
    </row>
    <row r="12" spans="1:26" x14ac:dyDescent="0.35">
      <c r="A12" s="137" t="s">
        <v>164</v>
      </c>
      <c r="B12" s="137"/>
      <c r="C12" s="137"/>
      <c r="D12" s="137"/>
      <c r="E12" s="137" t="s">
        <v>232</v>
      </c>
      <c r="F12" s="137"/>
      <c r="G12" s="137"/>
      <c r="H12" s="137"/>
      <c r="I12" s="19" t="s">
        <v>234</v>
      </c>
      <c r="S12" s="50" t="s">
        <v>172</v>
      </c>
      <c r="T12" s="50" t="s">
        <v>182</v>
      </c>
      <c r="U12" s="50" t="s">
        <v>165</v>
      </c>
      <c r="V12" s="50" t="s">
        <v>187</v>
      </c>
      <c r="W12" s="50" t="s">
        <v>205</v>
      </c>
      <c r="X12"/>
      <c r="Y12" t="s">
        <v>187</v>
      </c>
      <c r="Z12" t="e">
        <f ca="1">OFFSET($S$12,1,MATCH($G19,$S$12:$W$12,0)-1,15,1)</f>
        <v>#VALUE!</v>
      </c>
    </row>
    <row r="13" spans="1:26" x14ac:dyDescent="0.35">
      <c r="A13" s="140" t="s">
        <v>6</v>
      </c>
      <c r="B13" s="140"/>
      <c r="C13" s="140"/>
      <c r="D13" s="140"/>
      <c r="E13" s="139" t="s">
        <v>276</v>
      </c>
      <c r="F13" s="139"/>
      <c r="G13" s="139"/>
      <c r="H13" s="139"/>
      <c r="S13" s="50" t="s">
        <v>173</v>
      </c>
      <c r="T13" s="50" t="s">
        <v>180</v>
      </c>
      <c r="U13" s="50" t="s">
        <v>202</v>
      </c>
      <c r="V13" s="50" t="s">
        <v>188</v>
      </c>
      <c r="W13" s="50" t="s">
        <v>206</v>
      </c>
      <c r="X13"/>
      <c r="Y13"/>
      <c r="Z13"/>
    </row>
    <row r="14" spans="1:26" x14ac:dyDescent="0.35">
      <c r="A14" s="140" t="s">
        <v>7</v>
      </c>
      <c r="B14" s="140"/>
      <c r="C14" s="140"/>
      <c r="D14" s="140"/>
      <c r="E14" s="139" t="s">
        <v>233</v>
      </c>
      <c r="F14" s="140"/>
      <c r="G14" s="140"/>
      <c r="H14" s="140"/>
      <c r="I14" s="196" t="e">
        <f ca="1">OFFSET($D$4,1,MATCH($J12,$D$4:$H$4,0)-1,15,1)</f>
        <v>#N/A</v>
      </c>
      <c r="J14" s="197"/>
      <c r="K14" s="197"/>
      <c r="L14" s="197"/>
      <c r="M14" s="197"/>
      <c r="N14" s="197"/>
      <c r="O14" s="197"/>
      <c r="P14" s="197"/>
      <c r="S14" s="50" t="s">
        <v>174</v>
      </c>
      <c r="T14" s="50" t="s">
        <v>181</v>
      </c>
      <c r="U14" s="50" t="s">
        <v>203</v>
      </c>
      <c r="V14" s="50" t="s">
        <v>189</v>
      </c>
      <c r="W14" s="50" t="s">
        <v>219</v>
      </c>
      <c r="X14"/>
      <c r="Y14"/>
      <c r="Z14"/>
    </row>
    <row r="15" spans="1:26" ht="47.25" customHeight="1" x14ac:dyDescent="0.35">
      <c r="A15" s="131" t="s">
        <v>8</v>
      </c>
      <c r="B15" s="131"/>
      <c r="C15" s="13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Nehru Nagar Panchratna CHS Ltd, Bldg  No.5, CTS No.11(Pt), Redevlopement of "Building No.5", near Puneet Kalpavriksha, Kedarnath Mandir Road, Nehru Nagar, Nehru Nagar, Kurla East, Kurla, Mumbai - 400024.</v>
      </c>
      <c r="D15" s="131"/>
      <c r="E15" s="131"/>
      <c r="F15" s="131"/>
      <c r="G15" s="131"/>
      <c r="H15" s="131"/>
      <c r="S15" s="50" t="s">
        <v>175</v>
      </c>
      <c r="T15" s="50" t="s">
        <v>183</v>
      </c>
      <c r="U15" s="50" t="s">
        <v>204</v>
      </c>
      <c r="V15" s="50" t="s">
        <v>190</v>
      </c>
      <c r="W15" s="50" t="s">
        <v>207</v>
      </c>
      <c r="X15"/>
      <c r="Y15"/>
      <c r="Z15"/>
    </row>
    <row r="16" spans="1:26" x14ac:dyDescent="0.35">
      <c r="A16" s="131" t="s">
        <v>277</v>
      </c>
      <c r="B16" s="131"/>
      <c r="C16" s="131" t="s">
        <v>278</v>
      </c>
      <c r="D16" s="131"/>
      <c r="E16" s="131"/>
      <c r="F16" s="131"/>
      <c r="G16" s="131"/>
      <c r="H16" s="131"/>
      <c r="S16" s="50" t="s">
        <v>176</v>
      </c>
      <c r="T16" s="50" t="s">
        <v>184</v>
      </c>
      <c r="U16" s="50" t="s">
        <v>165</v>
      </c>
      <c r="V16" s="50" t="s">
        <v>191</v>
      </c>
      <c r="W16" s="50" t="s">
        <v>208</v>
      </c>
      <c r="X16"/>
      <c r="Y16"/>
      <c r="Z16"/>
    </row>
    <row r="17" spans="1:26" ht="15.75" customHeight="1" x14ac:dyDescent="0.35">
      <c r="A17" s="131" t="s">
        <v>156</v>
      </c>
      <c r="B17" s="131"/>
      <c r="C17" s="131" t="s">
        <v>230</v>
      </c>
      <c r="D17" s="131"/>
      <c r="E17" s="131"/>
      <c r="F17" s="131"/>
      <c r="G17" s="131"/>
      <c r="H17" s="131"/>
      <c r="S17" s="50" t="s">
        <v>177</v>
      </c>
      <c r="T17" s="50" t="s">
        <v>182</v>
      </c>
      <c r="U17" s="50"/>
      <c r="V17" s="50" t="s">
        <v>192</v>
      </c>
      <c r="W17" s="50" t="s">
        <v>209</v>
      </c>
      <c r="X17"/>
      <c r="Y17"/>
      <c r="Z17"/>
    </row>
    <row r="18" spans="1:26" ht="15.75" customHeight="1" x14ac:dyDescent="0.35">
      <c r="A18" s="131" t="s">
        <v>9</v>
      </c>
      <c r="B18" s="131"/>
      <c r="C18" s="137" t="s">
        <v>231</v>
      </c>
      <c r="D18" s="137"/>
      <c r="E18" s="131" t="s">
        <v>70</v>
      </c>
      <c r="F18" s="131"/>
      <c r="G18" s="131" t="s">
        <v>230</v>
      </c>
      <c r="H18" s="131"/>
      <c r="S18" s="50" t="s">
        <v>178</v>
      </c>
      <c r="T18" s="50" t="s">
        <v>185</v>
      </c>
      <c r="U18" s="50"/>
      <c r="V18" s="50" t="s">
        <v>193</v>
      </c>
      <c r="W18" s="50" t="s">
        <v>210</v>
      </c>
      <c r="X18"/>
      <c r="Y18"/>
      <c r="Z18"/>
    </row>
    <row r="19" spans="1:26" x14ac:dyDescent="0.35">
      <c r="A19" s="140" t="s">
        <v>11</v>
      </c>
      <c r="B19" s="140"/>
      <c r="C19" s="139" t="s">
        <v>239</v>
      </c>
      <c r="D19" s="139"/>
      <c r="E19" s="139" t="s">
        <v>10</v>
      </c>
      <c r="F19" s="139"/>
      <c r="G19" s="174" t="s">
        <v>165</v>
      </c>
      <c r="H19" s="174"/>
      <c r="S19" s="50" t="s">
        <v>179</v>
      </c>
      <c r="T19" s="50" t="s">
        <v>186</v>
      </c>
      <c r="U19" s="50"/>
      <c r="V19" s="50" t="s">
        <v>194</v>
      </c>
      <c r="W19" s="50" t="s">
        <v>211</v>
      </c>
      <c r="X19"/>
      <c r="Y19"/>
      <c r="Z19"/>
    </row>
    <row r="20" spans="1:26" x14ac:dyDescent="0.35">
      <c r="A20" s="140" t="s">
        <v>71</v>
      </c>
      <c r="B20" s="140"/>
      <c r="C20" s="139" t="s">
        <v>204</v>
      </c>
      <c r="D20" s="139"/>
      <c r="E20" s="139" t="s">
        <v>12</v>
      </c>
      <c r="F20" s="139"/>
      <c r="G20" s="139">
        <v>400024</v>
      </c>
      <c r="H20" s="139"/>
      <c r="S20" s="50"/>
      <c r="T20" s="50"/>
      <c r="U20" s="50"/>
      <c r="V20" s="50" t="s">
        <v>195</v>
      </c>
      <c r="W20" s="50" t="s">
        <v>212</v>
      </c>
      <c r="X20"/>
      <c r="Y20"/>
      <c r="Z20"/>
    </row>
    <row r="21" spans="1:26" ht="32.25" customHeight="1" x14ac:dyDescent="0.35">
      <c r="A21" s="140" t="s">
        <v>118</v>
      </c>
      <c r="B21" s="140"/>
      <c r="C21" s="139" t="s">
        <v>240</v>
      </c>
      <c r="D21" s="139"/>
      <c r="E21" s="139" t="s">
        <v>13</v>
      </c>
      <c r="F21" s="139"/>
      <c r="G21" s="139" t="s">
        <v>238</v>
      </c>
      <c r="H21" s="139"/>
      <c r="S21" s="50"/>
      <c r="T21" s="50"/>
      <c r="U21" s="50"/>
      <c r="V21" s="50" t="s">
        <v>196</v>
      </c>
      <c r="W21" s="50" t="s">
        <v>213</v>
      </c>
      <c r="X21"/>
      <c r="Y21"/>
      <c r="Z21"/>
    </row>
    <row r="22" spans="1:26" ht="15" customHeight="1" x14ac:dyDescent="0.35">
      <c r="A22" s="173" t="s">
        <v>73</v>
      </c>
      <c r="B22" s="173"/>
      <c r="C22" s="173"/>
      <c r="D22" s="173"/>
      <c r="E22" s="137" t="s">
        <v>14</v>
      </c>
      <c r="F22" s="137"/>
      <c r="G22" s="137"/>
      <c r="H22" s="137"/>
      <c r="S22" s="50"/>
      <c r="T22" s="50"/>
      <c r="U22" s="50"/>
      <c r="V22" s="50" t="s">
        <v>197</v>
      </c>
      <c r="W22" s="50" t="s">
        <v>214</v>
      </c>
      <c r="X22"/>
      <c r="Y22"/>
      <c r="Z22"/>
    </row>
    <row r="23" spans="1:26" ht="18.75" customHeight="1" x14ac:dyDescent="0.35">
      <c r="A23" s="173"/>
      <c r="B23" s="173"/>
      <c r="C23" s="173"/>
      <c r="D23" s="173"/>
      <c r="E23" s="137"/>
      <c r="F23" s="137"/>
      <c r="G23" s="137"/>
      <c r="H23" s="137"/>
      <c r="S23" s="50"/>
      <c r="T23" s="50"/>
      <c r="U23" s="50"/>
      <c r="V23" s="50" t="s">
        <v>198</v>
      </c>
      <c r="W23" s="50" t="s">
        <v>215</v>
      </c>
      <c r="X23"/>
      <c r="Y23"/>
      <c r="Z23"/>
    </row>
    <row r="24" spans="1:26" ht="15" customHeight="1" x14ac:dyDescent="0.35">
      <c r="A24" s="173" t="s">
        <v>15</v>
      </c>
      <c r="B24" s="173"/>
      <c r="C24" s="173"/>
      <c r="D24" s="173"/>
      <c r="E24" s="131" t="s">
        <v>16</v>
      </c>
      <c r="F24" s="131"/>
      <c r="G24" s="131"/>
      <c r="H24" s="131"/>
      <c r="S24" s="50"/>
      <c r="T24" s="50"/>
      <c r="U24" s="50"/>
      <c r="V24" s="50" t="s">
        <v>199</v>
      </c>
      <c r="W24" s="50" t="s">
        <v>216</v>
      </c>
      <c r="X24"/>
      <c r="Y24"/>
      <c r="Z24"/>
    </row>
    <row r="25" spans="1:26" ht="15" customHeight="1" x14ac:dyDescent="0.35">
      <c r="A25" s="116" t="s">
        <v>17</v>
      </c>
      <c r="B25" s="116"/>
      <c r="C25" s="116"/>
      <c r="D25" s="116"/>
      <c r="E25" s="131" t="str">
        <f>IF(AND(G19="Mumbai"),"Upper Class","Middle Class")</f>
        <v>Upper Class</v>
      </c>
      <c r="F25" s="131"/>
      <c r="G25" s="131"/>
      <c r="H25" s="131"/>
      <c r="S25" s="50"/>
      <c r="T25" s="50"/>
      <c r="U25" s="50"/>
      <c r="V25" s="50" t="s">
        <v>200</v>
      </c>
      <c r="W25" s="50" t="s">
        <v>217</v>
      </c>
      <c r="X25"/>
      <c r="Y25"/>
      <c r="Z25"/>
    </row>
    <row r="26" spans="1:26" x14ac:dyDescent="0.35">
      <c r="A26" s="116" t="s">
        <v>18</v>
      </c>
      <c r="B26" s="116"/>
      <c r="C26" s="116"/>
      <c r="D26" s="116"/>
      <c r="E26" s="131" t="s">
        <v>19</v>
      </c>
      <c r="F26" s="131"/>
      <c r="G26" s="131"/>
      <c r="H26" s="131"/>
      <c r="S26" s="50"/>
      <c r="T26" s="50"/>
      <c r="U26" s="50"/>
      <c r="V26" s="50" t="s">
        <v>201</v>
      </c>
      <c r="W26" s="50" t="s">
        <v>218</v>
      </c>
      <c r="X26"/>
      <c r="Y26"/>
      <c r="Z26"/>
    </row>
    <row r="27" spans="1:26" ht="15.75" customHeight="1" x14ac:dyDescent="0.35">
      <c r="A27" s="116" t="s">
        <v>20</v>
      </c>
      <c r="B27" s="116"/>
      <c r="C27" s="116"/>
      <c r="D27" s="116"/>
      <c r="E27" s="131" t="str">
        <f>IF(AND(G19="Mumbai"),"Developed","Developing")</f>
        <v>Developed</v>
      </c>
      <c r="F27" s="131"/>
      <c r="G27" s="131"/>
      <c r="H27" s="131"/>
    </row>
    <row r="28" spans="1:26" x14ac:dyDescent="0.35">
      <c r="A28" s="116" t="s">
        <v>21</v>
      </c>
      <c r="B28" s="116"/>
      <c r="C28" s="116"/>
      <c r="D28" s="116"/>
      <c r="E28" s="131" t="s">
        <v>22</v>
      </c>
      <c r="F28" s="131"/>
      <c r="G28" s="131"/>
      <c r="H28" s="131"/>
    </row>
    <row r="29" spans="1:26" ht="15.75" customHeight="1" x14ac:dyDescent="0.35">
      <c r="A29" s="116" t="s">
        <v>78</v>
      </c>
      <c r="B29" s="116"/>
      <c r="C29" s="116"/>
      <c r="D29" s="116"/>
      <c r="E29" s="131" t="s">
        <v>79</v>
      </c>
      <c r="F29" s="131"/>
      <c r="G29" s="131"/>
      <c r="H29" s="131"/>
    </row>
    <row r="30" spans="1:26" ht="15" customHeight="1" x14ac:dyDescent="0.35">
      <c r="A30" s="116" t="s">
        <v>30</v>
      </c>
      <c r="B30" s="116"/>
      <c r="C30" s="116"/>
      <c r="D30" s="116"/>
      <c r="E30" s="131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31"/>
      <c r="G30" s="131"/>
      <c r="H30" s="131"/>
    </row>
    <row r="31" spans="1:26" ht="15.75" customHeight="1" x14ac:dyDescent="0.35">
      <c r="A31" s="116" t="s">
        <v>90</v>
      </c>
      <c r="B31" s="116"/>
      <c r="C31" s="116"/>
      <c r="D31" s="116"/>
      <c r="E31" s="131" t="s">
        <v>31</v>
      </c>
      <c r="F31" s="131"/>
      <c r="G31" s="131"/>
      <c r="H31" s="131"/>
    </row>
    <row r="32" spans="1:26" s="20" customFormat="1" x14ac:dyDescent="0.35">
      <c r="A32" s="163" t="s">
        <v>91</v>
      </c>
      <c r="B32" s="163"/>
      <c r="C32" s="159" t="s">
        <v>166</v>
      </c>
      <c r="D32" s="160"/>
      <c r="E32" s="161"/>
      <c r="F32" s="159" t="s">
        <v>28</v>
      </c>
      <c r="G32" s="160"/>
      <c r="H32" s="161"/>
    </row>
    <row r="33" spans="1:11" s="20" customFormat="1" ht="34.5" customHeight="1" x14ac:dyDescent="0.35">
      <c r="A33" s="162" t="s">
        <v>23</v>
      </c>
      <c r="B33" s="162" t="s">
        <v>27</v>
      </c>
      <c r="C33" s="164" t="s">
        <v>244</v>
      </c>
      <c r="D33" s="165"/>
      <c r="E33" s="166"/>
      <c r="F33" s="170" t="s">
        <v>241</v>
      </c>
      <c r="G33" s="171"/>
      <c r="H33" s="172"/>
    </row>
    <row r="34" spans="1:11" x14ac:dyDescent="0.35">
      <c r="A34" s="158" t="s">
        <v>24</v>
      </c>
      <c r="B34" s="158" t="s">
        <v>27</v>
      </c>
      <c r="C34" s="167" t="s">
        <v>246</v>
      </c>
      <c r="D34" s="168"/>
      <c r="E34" s="169"/>
      <c r="F34" s="167" t="s">
        <v>243</v>
      </c>
      <c r="G34" s="168"/>
      <c r="H34" s="169"/>
    </row>
    <row r="35" spans="1:11" s="20" customFormat="1" x14ac:dyDescent="0.35">
      <c r="A35" s="158" t="s">
        <v>26</v>
      </c>
      <c r="B35" s="158" t="s">
        <v>27</v>
      </c>
      <c r="C35" s="152" t="s">
        <v>242</v>
      </c>
      <c r="D35" s="152"/>
      <c r="E35" s="152"/>
      <c r="F35" s="152" t="s">
        <v>240</v>
      </c>
      <c r="G35" s="152"/>
      <c r="H35" s="152"/>
    </row>
    <row r="36" spans="1:11" x14ac:dyDescent="0.35">
      <c r="A36" s="151" t="s">
        <v>25</v>
      </c>
      <c r="B36" s="151" t="s">
        <v>27</v>
      </c>
      <c r="C36" s="152" t="s">
        <v>242</v>
      </c>
      <c r="D36" s="152"/>
      <c r="E36" s="152"/>
      <c r="F36" s="152" t="s">
        <v>245</v>
      </c>
      <c r="G36" s="152"/>
      <c r="H36" s="152"/>
    </row>
    <row r="37" spans="1:11" x14ac:dyDescent="0.35">
      <c r="A37" s="116" t="s">
        <v>29</v>
      </c>
      <c r="B37" s="116"/>
      <c r="C37" s="116"/>
      <c r="D37" s="116"/>
      <c r="E37" s="116"/>
      <c r="F37" s="116"/>
      <c r="G37" s="116"/>
      <c r="H37" s="116"/>
    </row>
    <row r="38" spans="1:11" ht="15.75" customHeight="1" x14ac:dyDescent="0.35">
      <c r="A38" s="116" t="s">
        <v>159</v>
      </c>
      <c r="B38" s="116"/>
      <c r="C38" s="136" t="s">
        <v>235</v>
      </c>
      <c r="D38" s="136"/>
      <c r="E38" s="136"/>
      <c r="F38" s="136"/>
      <c r="G38" s="136"/>
      <c r="H38" s="136"/>
    </row>
    <row r="39" spans="1:11" x14ac:dyDescent="0.35">
      <c r="A39" s="116" t="s">
        <v>155</v>
      </c>
      <c r="B39" s="116"/>
      <c r="C39" s="130" t="s">
        <v>236</v>
      </c>
      <c r="D39" s="131"/>
      <c r="E39" s="131"/>
      <c r="F39" s="131"/>
      <c r="G39" s="131"/>
      <c r="H39" s="131"/>
    </row>
    <row r="40" spans="1:11" x14ac:dyDescent="0.35">
      <c r="A40" s="138" t="s">
        <v>32</v>
      </c>
      <c r="B40" s="138"/>
      <c r="C40" s="138"/>
      <c r="D40" s="138"/>
      <c r="E40" s="138"/>
      <c r="F40" s="138"/>
      <c r="G40" s="138"/>
      <c r="H40" s="138"/>
    </row>
    <row r="41" spans="1:11" x14ac:dyDescent="0.35">
      <c r="A41" s="116" t="s">
        <v>33</v>
      </c>
      <c r="B41" s="116"/>
      <c r="C41" s="116"/>
      <c r="D41" s="116"/>
      <c r="E41" s="153">
        <v>1098.53</v>
      </c>
      <c r="F41" s="153"/>
      <c r="G41" s="153"/>
      <c r="H41" s="153"/>
    </row>
    <row r="42" spans="1:11" x14ac:dyDescent="0.35">
      <c r="A42" s="116" t="s">
        <v>34</v>
      </c>
      <c r="B42" s="116"/>
      <c r="C42" s="116"/>
      <c r="D42" s="116"/>
      <c r="E42" s="155">
        <v>2.5</v>
      </c>
      <c r="F42" s="155"/>
      <c r="G42" s="155"/>
      <c r="H42" s="155"/>
    </row>
    <row r="43" spans="1:11" x14ac:dyDescent="0.35">
      <c r="A43" s="116" t="s">
        <v>35</v>
      </c>
      <c r="B43" s="116"/>
      <c r="C43" s="116"/>
      <c r="D43" s="116"/>
      <c r="E43" s="155">
        <f>E45/E41-E42</f>
        <v>3.2142271945235912</v>
      </c>
      <c r="F43" s="155"/>
      <c r="G43" s="155"/>
      <c r="H43" s="155"/>
      <c r="K43" s="23"/>
    </row>
    <row r="44" spans="1:11" x14ac:dyDescent="0.35">
      <c r="A44" s="116" t="s">
        <v>36</v>
      </c>
      <c r="B44" s="116"/>
      <c r="C44" s="116"/>
      <c r="D44" s="116"/>
      <c r="E44" s="155">
        <f>E42+E43</f>
        <v>5.7142271945235912</v>
      </c>
      <c r="F44" s="155"/>
      <c r="G44" s="155"/>
      <c r="H44" s="155"/>
    </row>
    <row r="45" spans="1:11" x14ac:dyDescent="0.35">
      <c r="A45" s="116" t="s">
        <v>89</v>
      </c>
      <c r="B45" s="116"/>
      <c r="C45" s="116"/>
      <c r="D45" s="116"/>
      <c r="E45" s="156">
        <v>6277.25</v>
      </c>
      <c r="F45" s="156"/>
      <c r="G45" s="156"/>
      <c r="H45" s="156"/>
    </row>
    <row r="46" spans="1:11" x14ac:dyDescent="0.35">
      <c r="A46" s="137" t="s">
        <v>37</v>
      </c>
      <c r="B46" s="137"/>
      <c r="C46" s="137"/>
      <c r="D46" s="137"/>
      <c r="E46" s="140" t="s">
        <v>247</v>
      </c>
      <c r="F46" s="140"/>
      <c r="G46" s="140"/>
      <c r="H46" s="140"/>
    </row>
    <row r="47" spans="1:11" x14ac:dyDescent="0.35">
      <c r="A47" s="138" t="s">
        <v>38</v>
      </c>
      <c r="B47" s="138"/>
      <c r="C47" s="138"/>
      <c r="D47" s="138"/>
      <c r="E47" s="138"/>
      <c r="F47" s="138"/>
      <c r="G47" s="138"/>
      <c r="H47" s="138"/>
    </row>
    <row r="48" spans="1:11" ht="33.75" customHeight="1" x14ac:dyDescent="0.35">
      <c r="A48" s="102" t="s">
        <v>147</v>
      </c>
      <c r="B48" s="103"/>
      <c r="C48" s="104" t="s">
        <v>229</v>
      </c>
      <c r="D48" s="105"/>
      <c r="E48" s="105"/>
      <c r="F48" s="105"/>
      <c r="G48" s="105"/>
      <c r="H48" s="106"/>
    </row>
    <row r="49" spans="1:14" ht="15.75" customHeight="1" x14ac:dyDescent="0.35">
      <c r="A49" s="102" t="s">
        <v>39</v>
      </c>
      <c r="B49" s="103"/>
      <c r="C49" s="102" t="s">
        <v>248</v>
      </c>
      <c r="D49" s="157"/>
      <c r="E49" s="103"/>
      <c r="F49" s="16" t="s">
        <v>40</v>
      </c>
      <c r="G49" s="141">
        <v>44929</v>
      </c>
      <c r="H49" s="103"/>
    </row>
    <row r="50" spans="1:14" x14ac:dyDescent="0.35">
      <c r="A50" s="102" t="s">
        <v>41</v>
      </c>
      <c r="B50" s="103"/>
      <c r="C50" s="102" t="str">
        <f>C49</f>
        <v>MHADA-22/563/2023</v>
      </c>
      <c r="D50" s="157"/>
      <c r="E50" s="103"/>
      <c r="F50" s="16" t="s">
        <v>40</v>
      </c>
      <c r="G50" s="141">
        <f>G49</f>
        <v>44929</v>
      </c>
      <c r="H50" s="103"/>
    </row>
    <row r="51" spans="1:14" s="21" customFormat="1" ht="31.5" customHeight="1" x14ac:dyDescent="0.35">
      <c r="A51" s="142" t="s">
        <v>280</v>
      </c>
      <c r="B51" s="143"/>
      <c r="C51" s="102" t="s">
        <v>297</v>
      </c>
      <c r="D51" s="157"/>
      <c r="E51" s="103"/>
      <c r="F51" s="16" t="s">
        <v>279</v>
      </c>
      <c r="G51" s="141" t="s">
        <v>298</v>
      </c>
      <c r="H51" s="103"/>
    </row>
    <row r="52" spans="1:14" s="21" customFormat="1" ht="162" customHeight="1" x14ac:dyDescent="0.35">
      <c r="A52" s="144"/>
      <c r="B52" s="145"/>
      <c r="C52" s="102" t="s">
        <v>299</v>
      </c>
      <c r="D52" s="157"/>
      <c r="E52" s="157"/>
      <c r="F52" s="157"/>
      <c r="G52" s="157"/>
      <c r="H52" s="103"/>
    </row>
    <row r="53" spans="1:14" x14ac:dyDescent="0.35">
      <c r="A53" s="199" t="s">
        <v>42</v>
      </c>
      <c r="B53" s="200"/>
      <c r="C53" s="199" t="s">
        <v>101</v>
      </c>
      <c r="D53" s="201"/>
      <c r="E53" s="200"/>
      <c r="F53" s="43" t="s">
        <v>40</v>
      </c>
      <c r="G53" s="186" t="s">
        <v>27</v>
      </c>
      <c r="H53" s="187"/>
    </row>
    <row r="54" spans="1:14" x14ac:dyDescent="0.35">
      <c r="A54" s="180" t="s">
        <v>44</v>
      </c>
      <c r="B54" s="180"/>
      <c r="C54" s="180"/>
      <c r="D54" s="180"/>
      <c r="E54" s="180"/>
      <c r="F54" s="180"/>
      <c r="G54" s="180"/>
      <c r="H54" s="180"/>
    </row>
    <row r="55" spans="1:14" x14ac:dyDescent="0.35">
      <c r="A55" s="173" t="s">
        <v>88</v>
      </c>
      <c r="B55" s="173"/>
      <c r="C55" s="173"/>
      <c r="D55" s="116">
        <f>E45</f>
        <v>6277.25</v>
      </c>
      <c r="E55" s="116"/>
      <c r="F55" s="116"/>
      <c r="G55" s="116"/>
      <c r="H55" s="116"/>
    </row>
    <row r="56" spans="1:14" x14ac:dyDescent="0.35">
      <c r="A56" s="131" t="s">
        <v>45</v>
      </c>
      <c r="B56" s="137"/>
      <c r="C56" s="137"/>
      <c r="D56" s="140" t="s">
        <v>275</v>
      </c>
      <c r="E56" s="140"/>
      <c r="F56" s="140"/>
      <c r="G56" s="140"/>
      <c r="H56" s="140"/>
      <c r="I56" s="22"/>
    </row>
    <row r="57" spans="1:14" ht="31.5" customHeight="1" x14ac:dyDescent="0.35">
      <c r="A57" s="131" t="s">
        <v>46</v>
      </c>
      <c r="B57" s="131"/>
      <c r="C57" s="131"/>
      <c r="D57" s="139" t="s">
        <v>249</v>
      </c>
      <c r="E57" s="140"/>
      <c r="F57" s="140"/>
      <c r="G57" s="140"/>
      <c r="H57" s="140"/>
    </row>
    <row r="58" spans="1:14" ht="15.75" customHeight="1" x14ac:dyDescent="0.35">
      <c r="A58" s="131" t="s">
        <v>86</v>
      </c>
      <c r="B58" s="131"/>
      <c r="C58" s="131"/>
      <c r="D58" s="140" t="s">
        <v>300</v>
      </c>
      <c r="E58" s="140"/>
      <c r="F58" s="140"/>
      <c r="G58" s="140"/>
      <c r="H58" s="140"/>
    </row>
    <row r="59" spans="1:14" ht="15.75" hidden="1" customHeight="1" x14ac:dyDescent="0.35">
      <c r="A59" s="131"/>
      <c r="B59" s="131"/>
      <c r="C59" s="131"/>
      <c r="D59" s="140" t="s">
        <v>250</v>
      </c>
      <c r="E59" s="140"/>
      <c r="F59" s="140"/>
      <c r="G59" s="140"/>
      <c r="H59" s="140"/>
    </row>
    <row r="60" spans="1:14" ht="15.75" customHeight="1" x14ac:dyDescent="0.35">
      <c r="A60" s="116" t="s">
        <v>43</v>
      </c>
      <c r="B60" s="116"/>
      <c r="C60" s="116"/>
      <c r="D60" s="139" t="s">
        <v>304</v>
      </c>
      <c r="E60" s="139"/>
      <c r="F60" s="139"/>
      <c r="G60" s="139"/>
      <c r="H60" s="139"/>
      <c r="J60" s="23"/>
      <c r="K60" s="22"/>
      <c r="N60" s="22"/>
    </row>
    <row r="61" spans="1:14" ht="15.75" customHeight="1" x14ac:dyDescent="0.35">
      <c r="A61" s="116" t="s">
        <v>84</v>
      </c>
      <c r="B61" s="116"/>
      <c r="C61" s="116"/>
      <c r="D61" s="154" t="str">
        <f>(IF(G53="NA","60 Years After Completion",IF(G53&lt;&gt;"NA",""&amp;60-ROUNDDOWN((E3-G53)/360,0)&amp;" Years"," ")))</f>
        <v>60 Years After Completion</v>
      </c>
      <c r="E61" s="154"/>
      <c r="F61" s="154"/>
      <c r="G61" s="154"/>
      <c r="H61" s="154"/>
      <c r="N61" s="22"/>
    </row>
    <row r="62" spans="1:14" ht="15.75" customHeight="1" x14ac:dyDescent="0.35">
      <c r="A62" s="116" t="s">
        <v>85</v>
      </c>
      <c r="B62" s="116"/>
      <c r="C62" s="116"/>
      <c r="D62" s="173" t="s">
        <v>22</v>
      </c>
      <c r="E62" s="173"/>
      <c r="F62" s="173"/>
      <c r="G62" s="173"/>
      <c r="H62" s="173"/>
      <c r="J62" s="24"/>
      <c r="K62" s="24"/>
    </row>
    <row r="63" spans="1:14" ht="100.5" customHeight="1" x14ac:dyDescent="0.35">
      <c r="A63" s="140" t="s">
        <v>251</v>
      </c>
      <c r="B63" s="140"/>
      <c r="C63" s="140"/>
      <c r="D63" s="131" t="s">
        <v>252</v>
      </c>
      <c r="E63" s="173"/>
      <c r="F63" s="173"/>
      <c r="G63" s="173"/>
      <c r="H63" s="173"/>
    </row>
    <row r="64" spans="1:14" x14ac:dyDescent="0.35">
      <c r="A64" s="173" t="s">
        <v>144</v>
      </c>
      <c r="B64" s="173"/>
      <c r="C64" s="173"/>
      <c r="D64" s="173" t="s">
        <v>27</v>
      </c>
      <c r="E64" s="173"/>
      <c r="F64" s="173"/>
      <c r="G64" s="173"/>
      <c r="H64" s="173"/>
      <c r="I64" s="25"/>
      <c r="J64" s="25"/>
      <c r="K64" s="25"/>
      <c r="L64" s="25"/>
      <c r="M64" s="25"/>
      <c r="N64" s="25"/>
    </row>
    <row r="65" spans="1:10" ht="15.75" customHeight="1" x14ac:dyDescent="0.35">
      <c r="A65" s="202" t="s">
        <v>83</v>
      </c>
      <c r="B65" s="202"/>
      <c r="C65" s="202"/>
      <c r="D65" s="192" t="str">
        <f>(IF(G71&gt;95%,"Nothing",IF(G71&gt;0%,"Cement, Aggregate, Steel, etc",IF(G71=0%,"Work not yet Started"))))</f>
        <v>Cement, Aggregate, Steel, etc</v>
      </c>
      <c r="E65" s="192"/>
      <c r="F65" s="192"/>
      <c r="G65" s="192"/>
      <c r="H65" s="192"/>
      <c r="J65" s="24"/>
    </row>
    <row r="66" spans="1:10" ht="33.75" customHeight="1" thickBot="1" x14ac:dyDescent="0.4">
      <c r="A66" s="191" t="s">
        <v>114</v>
      </c>
      <c r="B66" s="191"/>
      <c r="C66" s="191"/>
      <c r="D66" s="191" t="str">
        <f>(IF(D65="Nothing","Yes",IF(D65="Cement, Aggregate, Steel, etc","Under Construction",IF(D65="Work not yet Started","Work not yet Started"))))</f>
        <v>Under Construction</v>
      </c>
      <c r="E66" s="191"/>
      <c r="F66" s="191" t="str">
        <f>(IF(D65="Nothing","Yes",IF(D65="Cement, Aggregate, Steel, etc","Under Construction",IF(D65="Work not yet Started","Work not yet Started"))))</f>
        <v>Under Construction</v>
      </c>
      <c r="G66" s="191"/>
      <c r="H66" s="191"/>
    </row>
    <row r="67" spans="1:10" ht="15.75" customHeight="1" x14ac:dyDescent="0.35">
      <c r="A67" s="124" t="s">
        <v>136</v>
      </c>
      <c r="B67" s="125"/>
      <c r="C67" s="126" t="str">
        <f>D58</f>
        <v>A &amp; B Wing = Gr + 1st to 16th Floor</v>
      </c>
      <c r="D67" s="127"/>
      <c r="E67" s="127"/>
      <c r="F67" s="127"/>
      <c r="G67" s="127"/>
      <c r="H67" s="128"/>
      <c r="I67" s="52" t="str">
        <f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14 Floor, Painting upto 13 Floor Completed</v>
      </c>
      <c r="J67" s="45" t="str">
        <f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14 Floor, Painting upto 13 Floor</v>
      </c>
    </row>
    <row r="68" spans="1:10" x14ac:dyDescent="0.35">
      <c r="A68" s="63" t="s">
        <v>138</v>
      </c>
      <c r="B68" s="64">
        <f>IF(AND(ISNUMBER(SEARCH("1B",C67))),1,IF(AND(ISNUMBER(SEARCH("2B",C67))),2,IF(AND(ISNUMBER(SEARCH("3B",C67))),3,IF(AND(ISNUMBER(SEARCH("4B",C67))),4,IF(ISNUMBER(SEARCH("5B",C67)),5,0)))))</f>
        <v>0</v>
      </c>
      <c r="C68" s="53" t="s">
        <v>69</v>
      </c>
      <c r="D68" s="53">
        <v>1</v>
      </c>
      <c r="E68" s="53" t="s">
        <v>68</v>
      </c>
      <c r="F68" s="53">
        <v>0</v>
      </c>
      <c r="G68" s="53" t="s">
        <v>77</v>
      </c>
      <c r="H68" s="54">
        <v>16</v>
      </c>
      <c r="I68" s="55" t="str">
        <f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47" t="str">
        <f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46" customHeight="1" x14ac:dyDescent="0.35">
      <c r="A69" s="122" t="s">
        <v>87</v>
      </c>
      <c r="B69" s="123"/>
      <c r="C69" s="189" t="str">
        <f>I67</f>
        <v>Excavation, Plinth, RCC Slab, Brickwork, Internal Plaster, External Plaster Completed, Flooring upto 14 Floor, Painting upto 13 Floor Completed</v>
      </c>
      <c r="D69" s="189"/>
      <c r="E69" s="189"/>
      <c r="F69" s="189"/>
      <c r="G69" s="189"/>
      <c r="H69" s="190"/>
      <c r="I69" s="55" t="str">
        <f>IF(I68&lt;&gt;""," Completed","")</f>
        <v xml:space="preserve"> Completed</v>
      </c>
      <c r="J69" s="47" t="str">
        <f>IF(J67&lt;&gt;"","Completed","")</f>
        <v>Completed</v>
      </c>
    </row>
    <row r="70" spans="1:10" ht="15.75" customHeight="1" x14ac:dyDescent="0.35">
      <c r="A70" s="113" t="s">
        <v>47</v>
      </c>
      <c r="B70" s="114"/>
      <c r="C70" s="41" t="s">
        <v>135</v>
      </c>
      <c r="D70" s="41" t="s">
        <v>80</v>
      </c>
      <c r="E70" s="182" t="s">
        <v>82</v>
      </c>
      <c r="F70" s="182"/>
      <c r="G70" s="182" t="s">
        <v>81</v>
      </c>
      <c r="H70" s="188"/>
      <c r="I70" s="56" t="s">
        <v>137</v>
      </c>
      <c r="J70" s="26">
        <f>H68*25%</f>
        <v>4</v>
      </c>
    </row>
    <row r="71" spans="1:10" x14ac:dyDescent="0.35">
      <c r="A71" s="113" t="s">
        <v>124</v>
      </c>
      <c r="B71" s="114"/>
      <c r="C71" s="41">
        <v>16</v>
      </c>
      <c r="D71" s="17">
        <f>((100/H68)*C71)/100</f>
        <v>1</v>
      </c>
      <c r="E71" s="107">
        <f>(((C72/H68*10)+(40/(D68+F68+H68)*C73)+(7.5/(H68)*C74)+(7.5/(H68)*C75)+(10/H68*C76)+(10/H68*C77)+(5/H68*C78)+(5/H68*C79)+(5/H68*C80))/100)</f>
        <v>0.87812500000000004</v>
      </c>
      <c r="F71" s="146"/>
      <c r="G71" s="107">
        <f>((((C71/H68)*20)+((C72/H68)*25)+(30/(H68+F68+D68)*C73)+(5/H68*C74)+(5/H68*C75)+(5/H68*C76)+(5/H68*C77)+(0/H68*C78)+(0/H68*C79)+(5/H68*C80))/100)</f>
        <v>0.94374999999999998</v>
      </c>
      <c r="H71" s="108"/>
      <c r="I71" s="56" t="s">
        <v>96</v>
      </c>
      <c r="J71" s="27">
        <f>H68*50%</f>
        <v>8</v>
      </c>
    </row>
    <row r="72" spans="1:10" x14ac:dyDescent="0.35">
      <c r="A72" s="113" t="s">
        <v>48</v>
      </c>
      <c r="B72" s="114"/>
      <c r="C72" s="41">
        <v>16</v>
      </c>
      <c r="D72" s="17">
        <f>((100/H68)*C72)/100</f>
        <v>1</v>
      </c>
      <c r="E72" s="109"/>
      <c r="F72" s="147"/>
      <c r="G72" s="109"/>
      <c r="H72" s="110"/>
      <c r="I72" s="56" t="s">
        <v>97</v>
      </c>
      <c r="J72" s="27">
        <f>H68</f>
        <v>16</v>
      </c>
    </row>
    <row r="73" spans="1:10" ht="15.75" customHeight="1" x14ac:dyDescent="0.35">
      <c r="A73" s="113" t="s">
        <v>125</v>
      </c>
      <c r="B73" s="114"/>
      <c r="C73" s="41">
        <v>17</v>
      </c>
      <c r="D73" s="17">
        <f>((100/(D68+F68+H68))*C73)/100</f>
        <v>1</v>
      </c>
      <c r="E73" s="109"/>
      <c r="F73" s="147"/>
      <c r="G73" s="109"/>
      <c r="H73" s="110"/>
      <c r="I73" s="56" t="s">
        <v>98</v>
      </c>
      <c r="J73" s="28">
        <f>(IF(B68&gt;1,(H68/(B68+2)),H68/4))</f>
        <v>4</v>
      </c>
    </row>
    <row r="74" spans="1:10" ht="15.75" customHeight="1" x14ac:dyDescent="0.35">
      <c r="A74" s="113" t="s">
        <v>132</v>
      </c>
      <c r="B74" s="114" t="s">
        <v>126</v>
      </c>
      <c r="C74" s="41">
        <v>16</v>
      </c>
      <c r="D74" s="17">
        <f>((100/H68)*C74)/100</f>
        <v>1</v>
      </c>
      <c r="E74" s="109"/>
      <c r="F74" s="147"/>
      <c r="G74" s="109"/>
      <c r="H74" s="110"/>
      <c r="I74" s="56" t="s">
        <v>99</v>
      </c>
      <c r="J74" s="28">
        <f>(IF(B68&gt;1,(H68/(B68+2)+J73),H68/4+J73))</f>
        <v>8</v>
      </c>
    </row>
    <row r="75" spans="1:10" ht="15.75" customHeight="1" x14ac:dyDescent="0.35">
      <c r="A75" s="113" t="s">
        <v>133</v>
      </c>
      <c r="B75" s="114" t="s">
        <v>126</v>
      </c>
      <c r="C75" s="41">
        <v>16</v>
      </c>
      <c r="D75" s="17">
        <f>((100/H68)*C75)/100</f>
        <v>1</v>
      </c>
      <c r="E75" s="109"/>
      <c r="F75" s="147"/>
      <c r="G75" s="109"/>
      <c r="H75" s="110"/>
      <c r="I75" s="56" t="s">
        <v>142</v>
      </c>
      <c r="J75" s="28">
        <f>(IF(B68&gt;1,(H68/(B68+2)+J74),0))</f>
        <v>0</v>
      </c>
    </row>
    <row r="76" spans="1:10" ht="15" customHeight="1" x14ac:dyDescent="0.35">
      <c r="A76" s="113" t="s">
        <v>131</v>
      </c>
      <c r="B76" s="114" t="s">
        <v>128</v>
      </c>
      <c r="C76" s="41">
        <v>16</v>
      </c>
      <c r="D76" s="17">
        <f>((100/(H68))*C76)/100</f>
        <v>1</v>
      </c>
      <c r="E76" s="109"/>
      <c r="F76" s="147"/>
      <c r="G76" s="109"/>
      <c r="H76" s="110"/>
      <c r="I76" s="56" t="s">
        <v>139</v>
      </c>
      <c r="J76" s="28">
        <f>(IF(B68&gt;2,(H68/(B68+2)+J75),0))</f>
        <v>0</v>
      </c>
    </row>
    <row r="77" spans="1:10" ht="15.75" customHeight="1" x14ac:dyDescent="0.35">
      <c r="A77" s="113" t="s">
        <v>127</v>
      </c>
      <c r="B77" s="114" t="s">
        <v>127</v>
      </c>
      <c r="C77" s="41">
        <v>14</v>
      </c>
      <c r="D77" s="17">
        <f>((100/H68)*C77)/100</f>
        <v>0.875</v>
      </c>
      <c r="E77" s="109"/>
      <c r="F77" s="147"/>
      <c r="G77" s="109"/>
      <c r="H77" s="110"/>
      <c r="I77" s="56" t="s">
        <v>140</v>
      </c>
      <c r="J77" s="29">
        <f>(IF(B68&gt;3,(H68/(B68+2)+J76),0))</f>
        <v>0</v>
      </c>
    </row>
    <row r="78" spans="1:10" ht="15.75" customHeight="1" x14ac:dyDescent="0.35">
      <c r="A78" s="113" t="s">
        <v>134</v>
      </c>
      <c r="B78" s="114"/>
      <c r="C78" s="41">
        <v>13</v>
      </c>
      <c r="D78" s="17">
        <f>((100/H68)*C78)/100</f>
        <v>0.8125</v>
      </c>
      <c r="E78" s="109"/>
      <c r="F78" s="147"/>
      <c r="G78" s="109"/>
      <c r="H78" s="110"/>
      <c r="I78" s="56" t="s">
        <v>141</v>
      </c>
      <c r="J78" s="28">
        <f>(IF(B68&gt;4,(H68/(B68+2)+J77),0))</f>
        <v>0</v>
      </c>
    </row>
    <row r="79" spans="1:10" ht="15.75" customHeight="1" x14ac:dyDescent="0.35">
      <c r="A79" s="113" t="s">
        <v>129</v>
      </c>
      <c r="B79" s="114" t="s">
        <v>129</v>
      </c>
      <c r="C79" s="41">
        <v>0</v>
      </c>
      <c r="D79" s="17">
        <f>((100/(H68))*C79)/100</f>
        <v>0</v>
      </c>
      <c r="E79" s="109"/>
      <c r="F79" s="147"/>
      <c r="G79" s="109"/>
      <c r="H79" s="110"/>
      <c r="I79" s="56" t="s">
        <v>143</v>
      </c>
      <c r="J79" s="28">
        <f>(IF(B68=1,(H68/(B68+3)+J74),IF(B68=0,(H68/4+J74),IF(B68&gt;1,0))))</f>
        <v>12</v>
      </c>
    </row>
    <row r="80" spans="1:10" ht="16" thickBot="1" x14ac:dyDescent="0.4">
      <c r="A80" s="149" t="s">
        <v>130</v>
      </c>
      <c r="B80" s="150"/>
      <c r="C80" s="42">
        <v>0</v>
      </c>
      <c r="D80" s="18">
        <f>((100/(H68))*C80)/100</f>
        <v>0</v>
      </c>
      <c r="E80" s="111"/>
      <c r="F80" s="148"/>
      <c r="G80" s="111"/>
      <c r="H80" s="112"/>
      <c r="I80" s="57" t="s">
        <v>100</v>
      </c>
      <c r="J80" s="30">
        <f>(IF(B68&gt;1.5,(H68/(B68+2)+J74+MAX(0,J75-J74)+MAX(0,J76-J75)+MAX(0,J77-J76)+MAX(0,J78-J77)+MAX(0,J79-J78)),IF(B68=1,(H68/(B68+3)+J79),IF(B68=0,H68/4+J79))))</f>
        <v>16</v>
      </c>
    </row>
    <row r="81" spans="1:13" ht="15.75" hidden="1" customHeight="1" x14ac:dyDescent="0.35">
      <c r="A81" s="124" t="s">
        <v>136</v>
      </c>
      <c r="B81" s="125"/>
      <c r="C81" s="126" t="str">
        <f>D59</f>
        <v>B Wing = Gr + 1st to 16th Floor</v>
      </c>
      <c r="D81" s="127"/>
      <c r="E81" s="127"/>
      <c r="F81" s="127"/>
      <c r="G81" s="127"/>
      <c r="H81" s="128"/>
      <c r="I81" s="52" t="str">
        <f ca="1">IF(D94=100%,"All work Completed. Possession granted to the Building.",IF(D93=100%,"All work Completed, Waiting for OC",I82&amp;""&amp;I83&amp;""&amp;J82&amp;""&amp;J81&amp;" "&amp;J83))</f>
        <v>Excavation, Plinth Completed, RCC upto 16 Slab, Brickwork upto 14 Floor, Internal Plaster upto 12 Floor, External Plaster upto 12 Floor Completed</v>
      </c>
      <c r="J81" s="45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16 Slab, Brickwork upto 14 Floor, Internal Plaster upto 12 Floor, External Plaster upto 12 Floor</v>
      </c>
    </row>
    <row r="82" spans="1:13" hidden="1" x14ac:dyDescent="0.35">
      <c r="A82" s="63" t="s">
        <v>138</v>
      </c>
      <c r="B82" s="64">
        <f>IF(AND(ISNUMBER(SEARCH("1B",C81))),1,IF(AND(ISNUMBER(SEARCH("2B",C81))),2,IF(AND(ISNUMBER(SEARCH("3B",C81))),3,IF(AND(ISNUMBER(SEARCH("4B",C81))),4,IF(ISNUMBER(SEARCH("5B",C81)),5,0)))))</f>
        <v>0</v>
      </c>
      <c r="C82" s="53" t="s">
        <v>69</v>
      </c>
      <c r="D82" s="53">
        <v>1</v>
      </c>
      <c r="E82" s="53" t="s">
        <v>68</v>
      </c>
      <c r="F82" s="53">
        <v>0</v>
      </c>
      <c r="G82" s="53" t="s">
        <v>77</v>
      </c>
      <c r="H82" s="54">
        <f ca="1">--TRIM(RIGHT(SUBSTITUTE(LEFT(C81,_xlfn.AGGREGATE(16,6,FIND({0,1,2,3,4,5,6,7,8,9},C81,ROW(INDIRECT("1:"&amp;LEN(C81)))),1))," ",REPT(" ",LEN(C81))),LEN(C81)))</f>
        <v>16</v>
      </c>
      <c r="I82" s="55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47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3" ht="33.75" hidden="1" customHeight="1" x14ac:dyDescent="0.35">
      <c r="A83" s="122" t="s">
        <v>87</v>
      </c>
      <c r="B83" s="123"/>
      <c r="C83" s="134" t="str">
        <f ca="1">(IF($G$53="NA",I81,"All work Completed. OC Received."))</f>
        <v>Excavation, Plinth Completed, RCC upto 16 Slab, Brickwork upto 14 Floor, Internal Plaster upto 12 Floor, External Plaster upto 12 Floor Completed</v>
      </c>
      <c r="D83" s="134"/>
      <c r="E83" s="134"/>
      <c r="F83" s="134"/>
      <c r="G83" s="134"/>
      <c r="H83" s="135"/>
      <c r="I83" s="46" t="str">
        <f ca="1">IF(I82&lt;&gt;""," Completed","")</f>
        <v xml:space="preserve"> Completed</v>
      </c>
      <c r="J83" s="47" t="str">
        <f ca="1">IF(J81&lt;&gt;"","Completed","")</f>
        <v>Completed</v>
      </c>
    </row>
    <row r="84" spans="1:13" ht="15.75" hidden="1" customHeight="1" x14ac:dyDescent="0.35">
      <c r="A84" s="113" t="s">
        <v>47</v>
      </c>
      <c r="B84" s="114"/>
      <c r="C84" s="41" t="s">
        <v>135</v>
      </c>
      <c r="D84" s="41" t="s">
        <v>80</v>
      </c>
      <c r="E84" s="182" t="s">
        <v>82</v>
      </c>
      <c r="F84" s="182"/>
      <c r="G84" s="182" t="s">
        <v>81</v>
      </c>
      <c r="H84" s="188"/>
      <c r="I84" s="14" t="s">
        <v>137</v>
      </c>
      <c r="J84" s="26">
        <f ca="1">H82*25%</f>
        <v>4</v>
      </c>
    </row>
    <row r="85" spans="1:13" hidden="1" x14ac:dyDescent="0.35">
      <c r="A85" s="113" t="s">
        <v>124</v>
      </c>
      <c r="B85" s="114"/>
      <c r="C85" s="41">
        <f ca="1">J86</f>
        <v>16</v>
      </c>
      <c r="D85" s="17">
        <f ca="1">((100/H82)*C85)/100</f>
        <v>1</v>
      </c>
      <c r="E85" s="107">
        <f ca="1">(((C86/H82*10)+(40/(D82+F82+H82)*C87)+(7.5/(H82)*C88)+(7.5/(H82)*C89)+(10/H82*C90)+(10/H82*C91)+(5/H82*C92)+(5/H82*C93)+(5/H82*C94))/100)</f>
        <v>0.67334558823529422</v>
      </c>
      <c r="F85" s="146"/>
      <c r="G85" s="107">
        <f ca="1">((((C85/H82)*20)+((C86/H82)*25)+(30/(H82+F82+D82)*C87)+(5/H82*C88)+(5/H82*C89)+(5/H82*C90)+(5/H82*C91)+(0/H82*C92)+(0/H82*C93)+(5/H82*C94))/100)</f>
        <v>0.85110294117647056</v>
      </c>
      <c r="H85" s="108"/>
      <c r="I85" s="14" t="s">
        <v>96</v>
      </c>
      <c r="J85" s="27">
        <f ca="1">H82*50%</f>
        <v>8</v>
      </c>
    </row>
    <row r="86" spans="1:13" hidden="1" x14ac:dyDescent="0.35">
      <c r="A86" s="113" t="s">
        <v>48</v>
      </c>
      <c r="B86" s="114"/>
      <c r="C86" s="48">
        <v>16</v>
      </c>
      <c r="D86" s="17">
        <f ca="1">((100/H82)*C86)/100</f>
        <v>1</v>
      </c>
      <c r="E86" s="109"/>
      <c r="F86" s="147"/>
      <c r="G86" s="109"/>
      <c r="H86" s="110"/>
      <c r="I86" s="14" t="s">
        <v>97</v>
      </c>
      <c r="J86" s="27">
        <f ca="1">H82</f>
        <v>16</v>
      </c>
    </row>
    <row r="87" spans="1:13" ht="15.75" hidden="1" customHeight="1" x14ac:dyDescent="0.35">
      <c r="A87" s="113" t="s">
        <v>125</v>
      </c>
      <c r="B87" s="114"/>
      <c r="C87" s="41">
        <v>16</v>
      </c>
      <c r="D87" s="17">
        <f ca="1">((100/(D82+F82+H82))*C87)/100</f>
        <v>0.94117647058823539</v>
      </c>
      <c r="E87" s="109"/>
      <c r="F87" s="147"/>
      <c r="G87" s="109"/>
      <c r="H87" s="110"/>
      <c r="I87" s="14" t="s">
        <v>98</v>
      </c>
      <c r="J87" s="28">
        <f ca="1">(IF(B82&gt;1,(H82/(B82+2)),H82/4))</f>
        <v>4</v>
      </c>
    </row>
    <row r="88" spans="1:13" ht="15.75" hidden="1" customHeight="1" x14ac:dyDescent="0.35">
      <c r="A88" s="113" t="s">
        <v>132</v>
      </c>
      <c r="B88" s="114" t="s">
        <v>126</v>
      </c>
      <c r="C88" s="41">
        <v>14</v>
      </c>
      <c r="D88" s="17">
        <f ca="1">((100/H82)*C88)/100</f>
        <v>0.875</v>
      </c>
      <c r="E88" s="109"/>
      <c r="F88" s="147"/>
      <c r="G88" s="109"/>
      <c r="H88" s="110"/>
      <c r="I88" s="14" t="s">
        <v>99</v>
      </c>
      <c r="J88" s="28">
        <f ca="1">(IF(B82&gt;1,(H82/(B82+2)+J87),H82/4+J87))</f>
        <v>8</v>
      </c>
    </row>
    <row r="89" spans="1:13" ht="15.75" hidden="1" customHeight="1" x14ac:dyDescent="0.35">
      <c r="A89" s="113" t="s">
        <v>133</v>
      </c>
      <c r="B89" s="114" t="s">
        <v>126</v>
      </c>
      <c r="C89" s="41">
        <v>12</v>
      </c>
      <c r="D89" s="17">
        <f ca="1">((100/H82)*C89)/100</f>
        <v>0.75</v>
      </c>
      <c r="E89" s="109"/>
      <c r="F89" s="147"/>
      <c r="G89" s="109"/>
      <c r="H89" s="110"/>
      <c r="I89" s="14" t="s">
        <v>142</v>
      </c>
      <c r="J89" s="28">
        <f>(IF(B82&gt;1,(H82/(B82+2)+J88),0))</f>
        <v>0</v>
      </c>
    </row>
    <row r="90" spans="1:13" ht="15" hidden="1" customHeight="1" x14ac:dyDescent="0.35">
      <c r="A90" s="113" t="s">
        <v>131</v>
      </c>
      <c r="B90" s="114" t="s">
        <v>128</v>
      </c>
      <c r="C90" s="41">
        <v>12</v>
      </c>
      <c r="D90" s="17">
        <f ca="1">((100/(H82))*C90)/100</f>
        <v>0.75</v>
      </c>
      <c r="E90" s="109"/>
      <c r="F90" s="147"/>
      <c r="G90" s="109"/>
      <c r="H90" s="110"/>
      <c r="I90" s="14" t="s">
        <v>139</v>
      </c>
      <c r="J90" s="28">
        <f>(IF(B82&gt;2,(H82/(B82+2)+J89),0))</f>
        <v>0</v>
      </c>
    </row>
    <row r="91" spans="1:13" ht="15.75" hidden="1" customHeight="1" x14ac:dyDescent="0.35">
      <c r="A91" s="181" t="s">
        <v>127</v>
      </c>
      <c r="B91" s="182" t="s">
        <v>127</v>
      </c>
      <c r="C91" s="41">
        <v>0</v>
      </c>
      <c r="D91" s="17">
        <f ca="1">((100/H82)*C91)/100</f>
        <v>0</v>
      </c>
      <c r="E91" s="109"/>
      <c r="F91" s="147"/>
      <c r="G91" s="109"/>
      <c r="H91" s="110"/>
      <c r="I91" s="14" t="s">
        <v>140</v>
      </c>
      <c r="J91" s="29">
        <f>(IF(B82&gt;3,(H82/(B82+2)+J90),0))</f>
        <v>0</v>
      </c>
    </row>
    <row r="92" spans="1:13" ht="15.75" hidden="1" customHeight="1" x14ac:dyDescent="0.35">
      <c r="A92" s="181" t="s">
        <v>134</v>
      </c>
      <c r="B92" s="182"/>
      <c r="C92" s="41">
        <v>0</v>
      </c>
      <c r="D92" s="17">
        <f ca="1">((100/H82)*C92)/100</f>
        <v>0</v>
      </c>
      <c r="E92" s="109"/>
      <c r="F92" s="147"/>
      <c r="G92" s="109"/>
      <c r="H92" s="110"/>
      <c r="I92" s="14" t="s">
        <v>141</v>
      </c>
      <c r="J92" s="28">
        <f>(IF(B82&gt;4,(H82/(B82+2)+J91),0))</f>
        <v>0</v>
      </c>
    </row>
    <row r="93" spans="1:13" ht="15.75" hidden="1" customHeight="1" x14ac:dyDescent="0.35">
      <c r="A93" s="181" t="s">
        <v>129</v>
      </c>
      <c r="B93" s="182" t="s">
        <v>129</v>
      </c>
      <c r="C93" s="41">
        <v>0</v>
      </c>
      <c r="D93" s="17">
        <f ca="1">((100/(H82))*C93)/100</f>
        <v>0</v>
      </c>
      <c r="E93" s="109"/>
      <c r="F93" s="147"/>
      <c r="G93" s="109"/>
      <c r="H93" s="110"/>
      <c r="I93" s="14" t="s">
        <v>143</v>
      </c>
      <c r="J93" s="28">
        <f ca="1">(IF(B82=1,(H82/(B82+3)+J88),IF(B82=0,(H82/4+J88),IF(B82&gt;1,0))))</f>
        <v>12</v>
      </c>
    </row>
    <row r="94" spans="1:13" ht="16" hidden="1" thickBot="1" x14ac:dyDescent="0.4">
      <c r="A94" s="183" t="s">
        <v>130</v>
      </c>
      <c r="B94" s="184"/>
      <c r="C94" s="42">
        <v>0</v>
      </c>
      <c r="D94" s="18">
        <f ca="1">((100/(H82))*C94)/100</f>
        <v>0</v>
      </c>
      <c r="E94" s="111"/>
      <c r="F94" s="148"/>
      <c r="G94" s="111"/>
      <c r="H94" s="112"/>
      <c r="I94" s="15" t="s">
        <v>100</v>
      </c>
      <c r="J94" s="30">
        <f ca="1">(IF(B82&gt;1.5,(H82/(B82+2)+J88+MAX(0,J89-J88)+MAX(0,J90-J89)+MAX(0,J91-J90)+MAX(0,J92-J91)+MAX(0,J93-J92)),IF(B82=1,(H82/(B82+3)+J93),IF(B82=0,H82/4+J93))))</f>
        <v>16</v>
      </c>
    </row>
    <row r="95" spans="1:13" x14ac:dyDescent="0.35">
      <c r="A95" s="119" t="s">
        <v>152</v>
      </c>
      <c r="B95" s="119"/>
      <c r="C95" s="119"/>
      <c r="D95" s="119"/>
      <c r="E95" s="119"/>
      <c r="F95" s="185" t="s">
        <v>154</v>
      </c>
      <c r="G95" s="185"/>
      <c r="H95" s="185"/>
    </row>
    <row r="96" spans="1:13" x14ac:dyDescent="0.35">
      <c r="A96" s="116" t="s">
        <v>153</v>
      </c>
      <c r="B96" s="116"/>
      <c r="C96" s="116"/>
      <c r="D96" s="116"/>
      <c r="E96" s="116"/>
      <c r="F96" s="115">
        <v>13700</v>
      </c>
      <c r="G96" s="115"/>
      <c r="H96" s="115"/>
      <c r="J96" s="19" t="s">
        <v>292</v>
      </c>
      <c r="K96" s="23">
        <v>45583</v>
      </c>
      <c r="L96" s="19" t="s">
        <v>293</v>
      </c>
      <c r="M96" s="19" t="s">
        <v>295</v>
      </c>
    </row>
    <row r="97" spans="1:12" x14ac:dyDescent="0.35">
      <c r="A97" s="116" t="s">
        <v>283</v>
      </c>
      <c r="B97" s="116"/>
      <c r="C97" s="116"/>
      <c r="D97" s="116"/>
      <c r="E97" s="116"/>
      <c r="F97" s="115">
        <v>22000</v>
      </c>
      <c r="G97" s="115"/>
      <c r="H97" s="115"/>
    </row>
    <row r="98" spans="1:12" x14ac:dyDescent="0.35">
      <c r="A98" s="116" t="s">
        <v>284</v>
      </c>
      <c r="B98" s="116"/>
      <c r="C98" s="116"/>
      <c r="D98" s="116"/>
      <c r="E98" s="116"/>
      <c r="F98" s="115">
        <v>20000</v>
      </c>
      <c r="G98" s="115"/>
      <c r="H98" s="115"/>
      <c r="I98" s="66" t="s">
        <v>286</v>
      </c>
      <c r="J98" s="66" t="s">
        <v>287</v>
      </c>
      <c r="K98" s="67">
        <v>45290</v>
      </c>
      <c r="L98" s="66" t="s">
        <v>285</v>
      </c>
    </row>
    <row r="99" spans="1:12" s="31" customFormat="1" hidden="1" x14ac:dyDescent="0.3">
      <c r="A99" s="116" t="s">
        <v>168</v>
      </c>
      <c r="B99" s="116"/>
      <c r="C99" s="116"/>
      <c r="D99" s="116"/>
      <c r="E99" s="116"/>
      <c r="F99" s="115"/>
      <c r="G99" s="115"/>
      <c r="H99" s="115"/>
    </row>
    <row r="100" spans="1:12" s="31" customFormat="1" x14ac:dyDescent="0.3">
      <c r="A100" s="116" t="s">
        <v>281</v>
      </c>
      <c r="B100" s="116"/>
      <c r="C100" s="116"/>
      <c r="D100" s="116"/>
      <c r="E100" s="116"/>
      <c r="F100" s="115">
        <v>200000</v>
      </c>
      <c r="G100" s="115"/>
      <c r="H100" s="115"/>
    </row>
    <row r="101" spans="1:12" s="31" customFormat="1" x14ac:dyDescent="0.3">
      <c r="A101" s="116" t="s">
        <v>282</v>
      </c>
      <c r="B101" s="116"/>
      <c r="C101" s="116"/>
      <c r="D101" s="116"/>
      <c r="E101" s="116"/>
      <c r="F101" s="115">
        <v>25000</v>
      </c>
      <c r="G101" s="115"/>
      <c r="H101" s="115"/>
    </row>
    <row r="102" spans="1:12" s="31" customFormat="1" hidden="1" x14ac:dyDescent="0.3">
      <c r="A102" s="116" t="s">
        <v>92</v>
      </c>
      <c r="B102" s="116"/>
      <c r="C102" s="116"/>
      <c r="D102" s="116"/>
      <c r="E102" s="116"/>
      <c r="F102" s="115"/>
      <c r="G102" s="115"/>
      <c r="H102" s="115"/>
    </row>
    <row r="103" spans="1:12" s="31" customFormat="1" hidden="1" x14ac:dyDescent="0.3">
      <c r="A103" s="116" t="s">
        <v>93</v>
      </c>
      <c r="B103" s="116"/>
      <c r="C103" s="116"/>
      <c r="D103" s="116"/>
      <c r="E103" s="116"/>
      <c r="F103" s="115"/>
      <c r="G103" s="115"/>
      <c r="H103" s="115"/>
    </row>
    <row r="104" spans="1:12" s="31" customFormat="1" hidden="1" x14ac:dyDescent="0.3">
      <c r="A104" s="116" t="s">
        <v>94</v>
      </c>
      <c r="B104" s="116"/>
      <c r="C104" s="116"/>
      <c r="D104" s="116"/>
      <c r="E104" s="116"/>
      <c r="F104" s="115"/>
      <c r="G104" s="115"/>
      <c r="H104" s="115"/>
    </row>
    <row r="105" spans="1:12" s="31" customFormat="1" hidden="1" x14ac:dyDescent="0.3">
      <c r="A105" s="116" t="s">
        <v>95</v>
      </c>
      <c r="B105" s="116"/>
      <c r="C105" s="116"/>
      <c r="D105" s="116"/>
      <c r="E105" s="116"/>
      <c r="F105" s="115"/>
      <c r="G105" s="115"/>
      <c r="H105" s="115"/>
    </row>
    <row r="106" spans="1:12" x14ac:dyDescent="0.35">
      <c r="A106" s="116" t="s">
        <v>49</v>
      </c>
      <c r="B106" s="116"/>
      <c r="C106" s="116"/>
      <c r="D106" s="116"/>
      <c r="E106" s="116"/>
      <c r="F106" s="115">
        <v>600000</v>
      </c>
      <c r="G106" s="115"/>
      <c r="H106" s="115"/>
    </row>
    <row r="107" spans="1:12" s="32" customFormat="1" x14ac:dyDescent="0.35">
      <c r="A107" s="138" t="s">
        <v>50</v>
      </c>
      <c r="B107" s="138"/>
      <c r="C107" s="138"/>
      <c r="D107" s="138"/>
      <c r="E107" s="138"/>
      <c r="F107" s="115">
        <f>F96*0.8</f>
        <v>10960</v>
      </c>
      <c r="G107" s="115"/>
      <c r="H107" s="115"/>
    </row>
    <row r="108" spans="1:12" s="33" customFormat="1" ht="15.75" customHeight="1" x14ac:dyDescent="0.35">
      <c r="A108" s="98" t="s">
        <v>72</v>
      </c>
      <c r="B108" s="98"/>
      <c r="C108" s="98"/>
      <c r="D108" s="98"/>
      <c r="E108" s="98"/>
      <c r="F108" s="98"/>
      <c r="G108" s="98"/>
      <c r="H108" s="98"/>
    </row>
    <row r="109" spans="1:12" s="33" customFormat="1" ht="15.75" customHeight="1" x14ac:dyDescent="0.35">
      <c r="A109" s="94" t="s">
        <v>51</v>
      </c>
      <c r="B109" s="94"/>
      <c r="C109" s="100" t="s">
        <v>75</v>
      </c>
      <c r="D109" s="100"/>
      <c r="E109" s="93" t="s">
        <v>52</v>
      </c>
      <c r="F109" s="93"/>
      <c r="G109" s="94" t="s">
        <v>53</v>
      </c>
      <c r="H109" s="94"/>
    </row>
    <row r="110" spans="1:12" s="33" customFormat="1" x14ac:dyDescent="0.35">
      <c r="A110" s="95" t="s">
        <v>274</v>
      </c>
      <c r="B110" s="95"/>
      <c r="C110" s="132">
        <f>COUNT(F126:F130)+COUNT(F132:F133)</f>
        <v>7</v>
      </c>
      <c r="D110" s="96"/>
      <c r="E110" s="97">
        <f>SUM(F126:F130)+SUM(F132:F133)</f>
        <v>4819.0169664000005</v>
      </c>
      <c r="F110" s="133"/>
      <c r="G110" s="97">
        <f>SUM(H126:H130)+SUM(H132:H133)</f>
        <v>7710.4271462399993</v>
      </c>
      <c r="H110" s="133"/>
    </row>
    <row r="111" spans="1:12" s="33" customFormat="1" x14ac:dyDescent="0.35">
      <c r="A111" s="98" t="s">
        <v>146</v>
      </c>
      <c r="B111" s="98"/>
      <c r="C111" s="99">
        <f t="shared" ref="C111:G111" si="0">SUM(C110)</f>
        <v>7</v>
      </c>
      <c r="D111" s="100"/>
      <c r="E111" s="92">
        <f t="shared" si="0"/>
        <v>4819.0169664000005</v>
      </c>
      <c r="F111" s="93"/>
      <c r="G111" s="94">
        <f t="shared" si="0"/>
        <v>7710.4271462399993</v>
      </c>
      <c r="H111" s="94"/>
    </row>
    <row r="112" spans="1:12" s="33" customFormat="1" x14ac:dyDescent="0.35">
      <c r="A112" s="98" t="s">
        <v>67</v>
      </c>
      <c r="B112" s="98"/>
      <c r="C112" s="98"/>
      <c r="D112" s="98"/>
      <c r="E112" s="98"/>
      <c r="F112" s="98"/>
      <c r="G112" s="98"/>
      <c r="H112" s="98"/>
    </row>
    <row r="113" spans="1:14" s="33" customFormat="1" ht="15.75" customHeight="1" x14ac:dyDescent="0.35">
      <c r="A113" s="94" t="s">
        <v>51</v>
      </c>
      <c r="B113" s="94"/>
      <c r="C113" s="100" t="s">
        <v>75</v>
      </c>
      <c r="D113" s="100"/>
      <c r="E113" s="93" t="s">
        <v>52</v>
      </c>
      <c r="F113" s="93"/>
      <c r="G113" s="94" t="s">
        <v>53</v>
      </c>
      <c r="H113" s="94"/>
    </row>
    <row r="114" spans="1:14" s="33" customFormat="1" x14ac:dyDescent="0.35">
      <c r="A114" s="95" t="s">
        <v>253</v>
      </c>
      <c r="B114" s="95"/>
      <c r="C114" s="96">
        <f>COUNT(F139:F141)+COUNT(F144:F147)+COUNT(F149:F152)*12+COUNT(F154:F155,F157)+COUNT(F159:F160,F162)</f>
        <v>61</v>
      </c>
      <c r="D114" s="96"/>
      <c r="E114" s="97">
        <f>SUM(F139:F141)+SUM(F144:F147)+SUM(F149:F152)*12+SUM(F154:F155,F157)+SUM(F159:F160,F162)</f>
        <v>26901.065880000002</v>
      </c>
      <c r="F114" s="97"/>
      <c r="G114" s="97">
        <f>SUM(H139:H141)+SUM(H144:H147)+SUM(H149:H152)*12+SUM(H154:H155,H157)+SUM(H159:H160,H162)</f>
        <v>40351.598819999992</v>
      </c>
      <c r="H114" s="97"/>
      <c r="I114" s="33">
        <f>14+15+32</f>
        <v>61</v>
      </c>
    </row>
    <row r="115" spans="1:14" s="33" customFormat="1" x14ac:dyDescent="0.35">
      <c r="A115" s="95" t="s">
        <v>274</v>
      </c>
      <c r="B115" s="95"/>
      <c r="C115" s="96">
        <f>COUNT(F165:F168)+COUNT(F170:F173)*12+COUNT(F175,F177:F178)+COUNT(F180:F181,F183:F184)</f>
        <v>59</v>
      </c>
      <c r="D115" s="96"/>
      <c r="E115" s="97">
        <f>SUM(F165:F168)+SUM(F170:F173)*12+SUM(F175,F177:F178)+SUM(F180:F181,F183:F184)</f>
        <v>29753.956439999998</v>
      </c>
      <c r="F115" s="97"/>
      <c r="G115" s="97">
        <f>SUM(H165:H168)+SUM(H170:H173)*12+SUM(H175,H177:H178)+SUM(H180:H181,H183:H184)</f>
        <v>44857.602972000001</v>
      </c>
      <c r="H115" s="97"/>
      <c r="I115" s="33">
        <f>1+15+13+30</f>
        <v>59</v>
      </c>
    </row>
    <row r="116" spans="1:14" s="33" customFormat="1" x14ac:dyDescent="0.35">
      <c r="A116" s="98" t="s">
        <v>146</v>
      </c>
      <c r="B116" s="98"/>
      <c r="C116" s="100">
        <f t="shared" ref="C116:G116" si="1">SUM(C114:D115)</f>
        <v>120</v>
      </c>
      <c r="D116" s="100"/>
      <c r="E116" s="92">
        <f t="shared" si="1"/>
        <v>56655.022320000004</v>
      </c>
      <c r="F116" s="92"/>
      <c r="G116" s="94">
        <f t="shared" si="1"/>
        <v>85209.201791999993</v>
      </c>
      <c r="H116" s="94"/>
    </row>
    <row r="117" spans="1:14" s="33" customFormat="1" x14ac:dyDescent="0.35">
      <c r="A117" s="98" t="s">
        <v>160</v>
      </c>
      <c r="B117" s="98"/>
      <c r="C117" s="100">
        <f>C111+C116</f>
        <v>127</v>
      </c>
      <c r="D117" s="100"/>
      <c r="E117" s="92">
        <f>E111+E116</f>
        <v>61474.039286400002</v>
      </c>
      <c r="F117" s="92"/>
      <c r="G117" s="94">
        <f>G111+G116</f>
        <v>92919.628938239999</v>
      </c>
      <c r="H117" s="94"/>
    </row>
    <row r="118" spans="1:14" s="32" customFormat="1" x14ac:dyDescent="0.35">
      <c r="A118" s="101" t="s">
        <v>54</v>
      </c>
      <c r="B118" s="101"/>
      <c r="C118" s="101"/>
      <c r="D118" s="101"/>
      <c r="E118" s="101"/>
      <c r="F118" s="101"/>
      <c r="G118" s="101"/>
      <c r="H118" s="101"/>
    </row>
    <row r="119" spans="1:14" x14ac:dyDescent="0.35">
      <c r="A119" s="198" t="s">
        <v>167</v>
      </c>
      <c r="B119" s="198"/>
      <c r="C119" s="198"/>
      <c r="D119" s="198"/>
      <c r="E119" s="198"/>
      <c r="F119" s="198"/>
      <c r="G119" s="198"/>
      <c r="H119" s="198"/>
    </row>
    <row r="120" spans="1:14" ht="47.25" customHeight="1" x14ac:dyDescent="0.35">
      <c r="A120" s="117" t="s">
        <v>116</v>
      </c>
      <c r="B120" s="117" t="s">
        <v>169</v>
      </c>
      <c r="C120" s="117" t="s">
        <v>55</v>
      </c>
      <c r="D120" s="117" t="s">
        <v>225</v>
      </c>
      <c r="E120" s="120" t="s">
        <v>151</v>
      </c>
      <c r="F120" s="117" t="s">
        <v>56</v>
      </c>
      <c r="G120" s="120" t="s">
        <v>57</v>
      </c>
      <c r="H120" s="51" t="s">
        <v>145</v>
      </c>
    </row>
    <row r="121" spans="1:14" s="35" customFormat="1" x14ac:dyDescent="0.35">
      <c r="A121" s="118"/>
      <c r="B121" s="118"/>
      <c r="C121" s="118"/>
      <c r="D121" s="118"/>
      <c r="E121" s="121"/>
      <c r="F121" s="118"/>
      <c r="G121" s="121"/>
      <c r="H121" s="13">
        <v>0.6</v>
      </c>
    </row>
    <row r="122" spans="1:14" s="35" customFormat="1" ht="15.75" customHeight="1" x14ac:dyDescent="0.35">
      <c r="A122" s="85" t="s">
        <v>254</v>
      </c>
      <c r="B122" s="86"/>
      <c r="C122" s="86"/>
      <c r="D122" s="86"/>
      <c r="E122" s="86"/>
      <c r="F122" s="86"/>
      <c r="G122" s="86"/>
      <c r="H122" s="87"/>
    </row>
    <row r="123" spans="1:14" s="35" customFormat="1" ht="15.75" customHeight="1" x14ac:dyDescent="0.35">
      <c r="A123" s="72" t="s">
        <v>258</v>
      </c>
      <c r="B123" s="73"/>
      <c r="C123" s="73"/>
      <c r="D123" s="73"/>
      <c r="E123" s="73"/>
      <c r="F123" s="73"/>
      <c r="G123" s="73"/>
      <c r="H123" s="74"/>
      <c r="J123" s="34"/>
    </row>
    <row r="124" spans="1:14" x14ac:dyDescent="0.35">
      <c r="A124" s="85" t="s">
        <v>259</v>
      </c>
      <c r="B124" s="86"/>
      <c r="C124" s="86"/>
      <c r="D124" s="86"/>
      <c r="E124" s="86"/>
      <c r="F124" s="86"/>
      <c r="G124" s="86"/>
      <c r="H124" s="87"/>
      <c r="I124" s="34"/>
    </row>
    <row r="125" spans="1:14" s="35" customFormat="1" x14ac:dyDescent="0.35">
      <c r="A125" s="72" t="s">
        <v>255</v>
      </c>
      <c r="B125" s="73"/>
      <c r="C125" s="73"/>
      <c r="D125" s="73"/>
      <c r="E125" s="73"/>
      <c r="F125" s="73"/>
      <c r="G125" s="73"/>
      <c r="H125" s="74"/>
      <c r="I125" s="34"/>
    </row>
    <row r="126" spans="1:14" s="35" customFormat="1" x14ac:dyDescent="0.35">
      <c r="A126" s="69">
        <v>1</v>
      </c>
      <c r="B126" s="70"/>
      <c r="C126" s="40" t="s">
        <v>256</v>
      </c>
      <c r="D126" s="65">
        <f>(5.72*10.48+1.81*2.75+1.08*1.09+3.45*2.75+2*1.1*2)*10.764</f>
        <v>860.98867919999998</v>
      </c>
      <c r="E126" s="40">
        <v>0</v>
      </c>
      <c r="F126" s="40">
        <f>D126+E126</f>
        <v>860.98867919999998</v>
      </c>
      <c r="G126" s="40">
        <v>0</v>
      </c>
      <c r="H126" s="40">
        <f>(D126+E126)*(($H$121)+1)</f>
        <v>1377.5818867200001</v>
      </c>
      <c r="J126" s="34"/>
    </row>
    <row r="127" spans="1:14" s="35" customFormat="1" ht="15.75" customHeight="1" x14ac:dyDescent="0.35">
      <c r="A127" s="69">
        <f t="shared" ref="A127:A133" si="2">A126+1</f>
        <v>2</v>
      </c>
      <c r="B127" s="70"/>
      <c r="C127" s="40" t="s">
        <v>256</v>
      </c>
      <c r="D127" s="65">
        <f>(6.65*10.48+2*1.1)*10.764</f>
        <v>773.84548800000005</v>
      </c>
      <c r="E127" s="40">
        <v>0</v>
      </c>
      <c r="F127" s="40">
        <f t="shared" ref="F127:F129" si="3">D127+E127</f>
        <v>773.84548800000005</v>
      </c>
      <c r="G127" s="40">
        <v>0</v>
      </c>
      <c r="H127" s="40">
        <f t="shared" ref="H127:H129" si="4">(D127+E127)*(($H$121)+1)</f>
        <v>1238.1527808000001</v>
      </c>
      <c r="I127" s="34"/>
      <c r="L127" s="129"/>
      <c r="M127" s="129"/>
      <c r="N127" s="34"/>
    </row>
    <row r="128" spans="1:14" s="35" customFormat="1" ht="15.75" customHeight="1" x14ac:dyDescent="0.35">
      <c r="A128" s="69">
        <f t="shared" si="2"/>
        <v>3</v>
      </c>
      <c r="B128" s="70"/>
      <c r="C128" s="40" t="s">
        <v>256</v>
      </c>
      <c r="D128" s="62">
        <f>(2.76*3.24)*10.764</f>
        <v>96.255993599999982</v>
      </c>
      <c r="E128" s="40">
        <v>0</v>
      </c>
      <c r="F128" s="40">
        <f t="shared" si="3"/>
        <v>96.255993599999982</v>
      </c>
      <c r="G128" s="40">
        <v>0</v>
      </c>
      <c r="H128" s="40">
        <f t="shared" si="4"/>
        <v>154.00958975999998</v>
      </c>
      <c r="I128" s="34"/>
      <c r="L128" s="129"/>
      <c r="M128" s="129"/>
      <c r="N128" s="34"/>
    </row>
    <row r="129" spans="1:14" s="35" customFormat="1" ht="15.75" customHeight="1" x14ac:dyDescent="0.35">
      <c r="A129" s="69">
        <f t="shared" si="2"/>
        <v>4</v>
      </c>
      <c r="B129" s="70"/>
      <c r="C129" s="40" t="s">
        <v>256</v>
      </c>
      <c r="D129" s="62">
        <f>(3.89*2.74)*10.764</f>
        <v>114.72917040000002</v>
      </c>
      <c r="E129" s="40">
        <v>0</v>
      </c>
      <c r="F129" s="40">
        <f t="shared" si="3"/>
        <v>114.72917040000002</v>
      </c>
      <c r="G129" s="40">
        <v>0</v>
      </c>
      <c r="H129" s="40">
        <f t="shared" si="4"/>
        <v>183.56667264000004</v>
      </c>
      <c r="I129" s="34"/>
      <c r="L129" s="129"/>
      <c r="M129" s="129"/>
      <c r="N129" s="34"/>
    </row>
    <row r="130" spans="1:14" s="35" customFormat="1" ht="15.75" customHeight="1" x14ac:dyDescent="0.35">
      <c r="A130" s="69">
        <v>5</v>
      </c>
      <c r="B130" s="70"/>
      <c r="C130" s="40" t="s">
        <v>256</v>
      </c>
      <c r="D130" s="62">
        <f>(6.57*7.84+1.95*1.1)*10.764</f>
        <v>577.52950320000002</v>
      </c>
      <c r="E130" s="40">
        <v>0</v>
      </c>
      <c r="F130" s="40">
        <f>D130+E130</f>
        <v>577.52950320000002</v>
      </c>
      <c r="G130" s="40">
        <v>0</v>
      </c>
      <c r="H130" s="40">
        <f>(D130+E130)*(($H$121)+1)</f>
        <v>924.04720512000006</v>
      </c>
      <c r="I130" s="34"/>
      <c r="L130" s="129"/>
      <c r="M130" s="129"/>
      <c r="N130" s="34"/>
    </row>
    <row r="131" spans="1:14" s="35" customFormat="1" x14ac:dyDescent="0.35">
      <c r="A131" s="72" t="s">
        <v>257</v>
      </c>
      <c r="B131" s="73"/>
      <c r="C131" s="73"/>
      <c r="D131" s="73"/>
      <c r="E131" s="73"/>
      <c r="F131" s="73"/>
      <c r="G131" s="73"/>
      <c r="H131" s="74"/>
      <c r="I131" s="34"/>
      <c r="L131" s="129"/>
      <c r="M131" s="129"/>
    </row>
    <row r="132" spans="1:14" s="35" customFormat="1" x14ac:dyDescent="0.35">
      <c r="A132" s="40">
        <v>1</v>
      </c>
      <c r="B132" s="40">
        <v>2</v>
      </c>
      <c r="C132" s="40" t="s">
        <v>256</v>
      </c>
      <c r="D132" s="65">
        <f>(12.08*2.75+11.57*7.3+1.68*2.16+0.3*0.8+0.93*1.1+2.71*2.15+6.57*10.19+2*1.1*2)*10.764</f>
        <v>2150.0831663999998</v>
      </c>
      <c r="E132" s="40">
        <v>0</v>
      </c>
      <c r="F132" s="40">
        <f t="shared" ref="F132:F133" si="5">D132+E132</f>
        <v>2150.0831663999998</v>
      </c>
      <c r="G132" s="40">
        <v>0</v>
      </c>
      <c r="H132" s="40">
        <f t="shared" ref="H132:H133" si="6">(D132+E132)*(($H$121)+1)</f>
        <v>3440.1330662399996</v>
      </c>
      <c r="I132" s="34"/>
      <c r="N132" s="34"/>
    </row>
    <row r="133" spans="1:14" s="35" customFormat="1" x14ac:dyDescent="0.35">
      <c r="A133" s="40">
        <f t="shared" si="2"/>
        <v>2</v>
      </c>
      <c r="B133" s="40">
        <v>1</v>
      </c>
      <c r="C133" s="40" t="s">
        <v>256</v>
      </c>
      <c r="D133" s="62">
        <f>(4.32*4.47+2*1.3+3.62*0.25)*10.764</f>
        <v>245.58496560000003</v>
      </c>
      <c r="E133" s="40">
        <v>0</v>
      </c>
      <c r="F133" s="40">
        <f t="shared" si="5"/>
        <v>245.58496560000003</v>
      </c>
      <c r="G133" s="40">
        <v>0</v>
      </c>
      <c r="H133" s="40">
        <f t="shared" si="6"/>
        <v>392.93594496000009</v>
      </c>
      <c r="I133" s="34"/>
      <c r="N133" s="34"/>
    </row>
    <row r="134" spans="1:14" s="35" customFormat="1" ht="15.75" customHeight="1" x14ac:dyDescent="0.35">
      <c r="A134" s="69"/>
      <c r="B134" s="71"/>
      <c r="C134" s="71"/>
      <c r="D134" s="71"/>
      <c r="E134" s="71"/>
      <c r="F134" s="71"/>
      <c r="G134" s="71"/>
      <c r="H134" s="70"/>
      <c r="I134" s="34"/>
    </row>
    <row r="135" spans="1:14" s="35" customFormat="1" ht="36" customHeight="1" x14ac:dyDescent="0.35">
      <c r="A135" s="77" t="s">
        <v>117</v>
      </c>
      <c r="B135" s="117" t="s">
        <v>170</v>
      </c>
      <c r="C135" s="117" t="s">
        <v>55</v>
      </c>
      <c r="D135" s="117" t="s">
        <v>225</v>
      </c>
      <c r="E135" s="117" t="s">
        <v>273</v>
      </c>
      <c r="F135" s="117" t="s">
        <v>56</v>
      </c>
      <c r="G135" s="120" t="s">
        <v>57</v>
      </c>
      <c r="H135" s="51" t="s">
        <v>145</v>
      </c>
      <c r="I135" s="34"/>
    </row>
    <row r="136" spans="1:14" s="35" customFormat="1" x14ac:dyDescent="0.35">
      <c r="A136" s="78"/>
      <c r="B136" s="118"/>
      <c r="C136" s="118"/>
      <c r="D136" s="118"/>
      <c r="E136" s="118"/>
      <c r="F136" s="118"/>
      <c r="G136" s="121"/>
      <c r="H136" s="13">
        <v>0.5</v>
      </c>
      <c r="I136" s="62">
        <v>10.763999999999999</v>
      </c>
    </row>
    <row r="137" spans="1:14" s="35" customFormat="1" ht="15.75" customHeight="1" x14ac:dyDescent="0.35">
      <c r="A137" s="85" t="s">
        <v>254</v>
      </c>
      <c r="B137" s="86"/>
      <c r="C137" s="86"/>
      <c r="D137" s="86"/>
      <c r="E137" s="86"/>
      <c r="F137" s="86"/>
      <c r="G137" s="86"/>
      <c r="H137" s="87"/>
      <c r="I137" s="34"/>
    </row>
    <row r="138" spans="1:14" s="35" customFormat="1" ht="15.75" customHeight="1" x14ac:dyDescent="0.35">
      <c r="A138" s="72" t="s">
        <v>260</v>
      </c>
      <c r="B138" s="73"/>
      <c r="C138" s="73"/>
      <c r="D138" s="73"/>
      <c r="E138" s="73"/>
      <c r="F138" s="73"/>
      <c r="G138" s="73"/>
      <c r="H138" s="74"/>
    </row>
    <row r="139" spans="1:14" s="35" customFormat="1" x14ac:dyDescent="0.35">
      <c r="A139" s="69">
        <v>1</v>
      </c>
      <c r="B139" s="70"/>
      <c r="C139" s="40" t="s">
        <v>261</v>
      </c>
      <c r="D139" s="62">
        <f>(56.72)*10.764</f>
        <v>610.5340799999999</v>
      </c>
      <c r="E139" s="40">
        <v>0</v>
      </c>
      <c r="F139" s="40">
        <f t="shared" ref="F139:F141" si="7">D139+E139</f>
        <v>610.5340799999999</v>
      </c>
      <c r="G139" s="40">
        <v>0</v>
      </c>
      <c r="H139" s="40">
        <f t="shared" ref="H139:H141" si="8">F139*(($H$136)+1)+(IF(G139&lt;101,G139,IF(G139&lt;201,G139/2,IF(G139&lt;=301,G139/3,G139/4))))</f>
        <v>915.80111999999986</v>
      </c>
      <c r="I139" s="34">
        <f>3*5.48+2.24*2.07+2.12*3.03+3.93*2.75*2+1.1*2+2*1.1+1*0.9+1.2*0.9</f>
        <v>55.495400000000011</v>
      </c>
    </row>
    <row r="140" spans="1:14" s="35" customFormat="1" ht="15.75" customHeight="1" x14ac:dyDescent="0.35">
      <c r="A140" s="69">
        <f t="shared" ref="A140:A141" si="9">A139+1</f>
        <v>2</v>
      </c>
      <c r="B140" s="70"/>
      <c r="C140" s="40" t="s">
        <v>261</v>
      </c>
      <c r="D140" s="62">
        <f>(56.72)*10.764</f>
        <v>610.5340799999999</v>
      </c>
      <c r="E140" s="40">
        <v>0</v>
      </c>
      <c r="F140" s="40">
        <f t="shared" si="7"/>
        <v>610.5340799999999</v>
      </c>
      <c r="G140" s="40">
        <v>0</v>
      </c>
      <c r="H140" s="40">
        <f t="shared" si="8"/>
        <v>915.80111999999986</v>
      </c>
      <c r="I140" s="34"/>
    </row>
    <row r="141" spans="1:14" s="35" customFormat="1" ht="15.75" customHeight="1" x14ac:dyDescent="0.35">
      <c r="A141" s="69">
        <f t="shared" si="9"/>
        <v>3</v>
      </c>
      <c r="B141" s="70"/>
      <c r="C141" s="40" t="s">
        <v>262</v>
      </c>
      <c r="D141" s="62">
        <f>(23.57)*10.764</f>
        <v>253.70747999999998</v>
      </c>
      <c r="E141" s="40">
        <v>0</v>
      </c>
      <c r="F141" s="40">
        <f t="shared" si="7"/>
        <v>253.70747999999998</v>
      </c>
      <c r="G141" s="40">
        <v>0</v>
      </c>
      <c r="H141" s="40">
        <f t="shared" si="8"/>
        <v>380.56121999999993</v>
      </c>
      <c r="I141" s="34">
        <f>4.47*2.75+2.27*2.15+2.1*1.25+0.9*1.25+1.1*2</f>
        <v>23.122999999999998</v>
      </c>
    </row>
    <row r="142" spans="1:14" s="35" customFormat="1" ht="15.75" customHeight="1" x14ac:dyDescent="0.35">
      <c r="A142" s="69" t="s">
        <v>263</v>
      </c>
      <c r="B142" s="70"/>
      <c r="C142" s="69" t="s">
        <v>264</v>
      </c>
      <c r="D142" s="71"/>
      <c r="E142" s="71"/>
      <c r="F142" s="71"/>
      <c r="G142" s="71"/>
      <c r="H142" s="70"/>
      <c r="I142" s="34"/>
    </row>
    <row r="143" spans="1:14" s="35" customFormat="1" ht="15.75" customHeight="1" x14ac:dyDescent="0.35">
      <c r="A143" s="76" t="s">
        <v>115</v>
      </c>
      <c r="B143" s="76"/>
      <c r="C143" s="76"/>
      <c r="D143" s="76"/>
      <c r="E143" s="76"/>
      <c r="F143" s="76"/>
      <c r="G143" s="76"/>
      <c r="H143" s="76"/>
      <c r="I143" s="34"/>
    </row>
    <row r="144" spans="1:14" s="35" customFormat="1" ht="15.75" customHeight="1" x14ac:dyDescent="0.35">
      <c r="A144" s="69">
        <v>1</v>
      </c>
      <c r="B144" s="70"/>
      <c r="C144" s="40" t="s">
        <v>261</v>
      </c>
      <c r="D144" s="62">
        <f>(56.72)*10.764</f>
        <v>610.5340799999999</v>
      </c>
      <c r="E144" s="40">
        <v>0</v>
      </c>
      <c r="F144" s="40">
        <f>D144+E144</f>
        <v>610.5340799999999</v>
      </c>
      <c r="G144" s="40">
        <v>0</v>
      </c>
      <c r="H144" s="40">
        <f>F144*(($H$136)+1)+(IF(G144&lt;101,G144,IF(G144&lt;201,G144/2,IF(G144&lt;=301,G144/3,G144/4))))</f>
        <v>915.80111999999986</v>
      </c>
      <c r="I144" s="34"/>
    </row>
    <row r="145" spans="1:10" s="35" customFormat="1" ht="15.75" customHeight="1" x14ac:dyDescent="0.35">
      <c r="A145" s="69">
        <f t="shared" ref="A145:A146" si="10">A144+1</f>
        <v>2</v>
      </c>
      <c r="B145" s="70"/>
      <c r="C145" s="40" t="s">
        <v>261</v>
      </c>
      <c r="D145" s="62">
        <f>(56.72)*10.764</f>
        <v>610.5340799999999</v>
      </c>
      <c r="E145" s="40">
        <v>0</v>
      </c>
      <c r="F145" s="40">
        <f t="shared" ref="F145:F147" si="11">D145+E145</f>
        <v>610.5340799999999</v>
      </c>
      <c r="G145" s="40">
        <v>0</v>
      </c>
      <c r="H145" s="40">
        <f t="shared" ref="H145:H147" si="12">F145*(($H$136)+1)+(IF(G145&lt;101,G145,IF(G145&lt;201,G145/2,IF(G145&lt;=301,G145/3,G145/4))))</f>
        <v>915.80111999999986</v>
      </c>
      <c r="I145" s="34"/>
    </row>
    <row r="146" spans="1:10" s="35" customFormat="1" x14ac:dyDescent="0.35">
      <c r="A146" s="69">
        <f t="shared" si="10"/>
        <v>3</v>
      </c>
      <c r="B146" s="70"/>
      <c r="C146" s="40" t="s">
        <v>262</v>
      </c>
      <c r="D146" s="62">
        <f>(23.57)*10.764</f>
        <v>253.70747999999998</v>
      </c>
      <c r="E146" s="40">
        <v>0</v>
      </c>
      <c r="F146" s="40">
        <f t="shared" si="11"/>
        <v>253.70747999999998</v>
      </c>
      <c r="G146" s="40">
        <v>0</v>
      </c>
      <c r="H146" s="40">
        <f t="shared" si="12"/>
        <v>380.56121999999993</v>
      </c>
      <c r="I146" s="34"/>
    </row>
    <row r="147" spans="1:10" s="35" customFormat="1" ht="15.75" customHeight="1" x14ac:dyDescent="0.35">
      <c r="A147" s="68">
        <f>A146+1</f>
        <v>4</v>
      </c>
      <c r="B147" s="68"/>
      <c r="C147" s="40" t="s">
        <v>262</v>
      </c>
      <c r="D147" s="62">
        <f>(23.61)*10.764</f>
        <v>254.13803999999999</v>
      </c>
      <c r="E147" s="40">
        <v>0</v>
      </c>
      <c r="F147" s="40">
        <f t="shared" si="11"/>
        <v>254.13803999999999</v>
      </c>
      <c r="G147" s="40">
        <v>0</v>
      </c>
      <c r="H147" s="40">
        <f t="shared" si="12"/>
        <v>381.20705999999996</v>
      </c>
      <c r="I147" s="34"/>
    </row>
    <row r="148" spans="1:10" s="35" customFormat="1" ht="15.75" customHeight="1" x14ac:dyDescent="0.35">
      <c r="A148" s="76" t="s">
        <v>267</v>
      </c>
      <c r="B148" s="76"/>
      <c r="C148" s="76"/>
      <c r="D148" s="76"/>
      <c r="E148" s="76"/>
      <c r="F148" s="76"/>
      <c r="G148" s="76"/>
      <c r="H148" s="76"/>
      <c r="I148" s="34"/>
    </row>
    <row r="149" spans="1:10" s="35" customFormat="1" ht="15.75" customHeight="1" x14ac:dyDescent="0.35">
      <c r="A149" s="68">
        <v>1</v>
      </c>
      <c r="B149" s="68"/>
      <c r="C149" s="40" t="s">
        <v>261</v>
      </c>
      <c r="D149" s="62">
        <f>(56.72)*10.764</f>
        <v>610.5340799999999</v>
      </c>
      <c r="E149" s="40">
        <v>0</v>
      </c>
      <c r="F149" s="40">
        <f>D149+E149</f>
        <v>610.5340799999999</v>
      </c>
      <c r="G149" s="40">
        <v>0</v>
      </c>
      <c r="H149" s="40">
        <f>F149*(($H$136)+1)+(IF(G149&lt;101,G149,IF(G149&lt;201,G149/2,IF(G149&lt;=301,G149/3,G149/4))))</f>
        <v>915.80111999999986</v>
      </c>
      <c r="I149" s="34"/>
    </row>
    <row r="150" spans="1:10" s="35" customFormat="1" ht="15.75" customHeight="1" x14ac:dyDescent="0.35">
      <c r="A150" s="68">
        <f t="shared" ref="A150:A151" si="13">A149+1</f>
        <v>2</v>
      </c>
      <c r="B150" s="68"/>
      <c r="C150" s="40" t="s">
        <v>261</v>
      </c>
      <c r="D150" s="62">
        <f>(56.72)*10.764</f>
        <v>610.5340799999999</v>
      </c>
      <c r="E150" s="40">
        <v>0</v>
      </c>
      <c r="F150" s="40">
        <f t="shared" ref="F150:F152" si="14">D150+E150</f>
        <v>610.5340799999999</v>
      </c>
      <c r="G150" s="40">
        <v>0</v>
      </c>
      <c r="H150" s="40">
        <f t="shared" ref="H150:H152" si="15">F150*(($H$136)+1)+(IF(G150&lt;101,G150,IF(G150&lt;201,G150/2,IF(G150&lt;=301,G150/3,G150/4))))</f>
        <v>915.80111999999986</v>
      </c>
      <c r="I150" s="34"/>
    </row>
    <row r="151" spans="1:10" s="33" customFormat="1" ht="15.75" customHeight="1" x14ac:dyDescent="0.35">
      <c r="A151" s="68">
        <f t="shared" si="13"/>
        <v>3</v>
      </c>
      <c r="B151" s="68"/>
      <c r="C151" s="40" t="s">
        <v>262</v>
      </c>
      <c r="D151" s="62">
        <f>(23.57)*10.764</f>
        <v>253.70747999999998</v>
      </c>
      <c r="E151" s="40">
        <v>0</v>
      </c>
      <c r="F151" s="40">
        <f t="shared" si="14"/>
        <v>253.70747999999998</v>
      </c>
      <c r="G151" s="40">
        <v>0</v>
      </c>
      <c r="H151" s="40">
        <f t="shared" si="15"/>
        <v>380.56121999999993</v>
      </c>
    </row>
    <row r="152" spans="1:10" s="33" customFormat="1" ht="15.75" customHeight="1" x14ac:dyDescent="0.35">
      <c r="A152" s="68">
        <f>A151+1</f>
        <v>4</v>
      </c>
      <c r="B152" s="68"/>
      <c r="C152" s="40" t="s">
        <v>262</v>
      </c>
      <c r="D152" s="62">
        <f>(23.61)*10.764</f>
        <v>254.13803999999999</v>
      </c>
      <c r="E152" s="40">
        <v>0</v>
      </c>
      <c r="F152" s="40">
        <f t="shared" si="14"/>
        <v>254.13803999999999</v>
      </c>
      <c r="G152" s="40">
        <v>0</v>
      </c>
      <c r="H152" s="40">
        <f t="shared" si="15"/>
        <v>381.20705999999996</v>
      </c>
    </row>
    <row r="153" spans="1:10" s="33" customFormat="1" x14ac:dyDescent="0.35">
      <c r="A153" s="76" t="s">
        <v>268</v>
      </c>
      <c r="B153" s="76"/>
      <c r="C153" s="76"/>
      <c r="D153" s="76"/>
      <c r="E153" s="76"/>
      <c r="F153" s="76"/>
      <c r="G153" s="76"/>
      <c r="H153" s="76"/>
    </row>
    <row r="154" spans="1:10" s="33" customFormat="1" x14ac:dyDescent="0.35">
      <c r="A154" s="68">
        <v>1</v>
      </c>
      <c r="B154" s="68"/>
      <c r="C154" s="40" t="s">
        <v>261</v>
      </c>
      <c r="D154" s="62">
        <f>(56.72)*10.764</f>
        <v>610.5340799999999</v>
      </c>
      <c r="E154" s="40">
        <v>0</v>
      </c>
      <c r="F154" s="40">
        <f>D154+E154</f>
        <v>610.5340799999999</v>
      </c>
      <c r="G154" s="40">
        <v>0</v>
      </c>
      <c r="H154" s="40">
        <f>F154*(($H$136)+1)+(IF(G154&lt;101,G154,IF(G154&lt;201,G154/2,IF(G154&lt;=301,G154/3,G154/4))))</f>
        <v>915.80111999999986</v>
      </c>
      <c r="I154" s="58"/>
    </row>
    <row r="155" spans="1:10" s="33" customFormat="1" x14ac:dyDescent="0.35">
      <c r="A155" s="68">
        <f t="shared" ref="A155:A156" si="16">A154+1</f>
        <v>2</v>
      </c>
      <c r="B155" s="68"/>
      <c r="C155" s="40" t="s">
        <v>261</v>
      </c>
      <c r="D155" s="62">
        <f>(56.72)*10.764</f>
        <v>610.5340799999999</v>
      </c>
      <c r="E155" s="40">
        <v>0</v>
      </c>
      <c r="F155" s="40">
        <f t="shared" ref="F155:F157" si="17">D155+E155</f>
        <v>610.5340799999999</v>
      </c>
      <c r="G155" s="40">
        <v>0</v>
      </c>
      <c r="H155" s="40">
        <f t="shared" ref="H155:H157" si="18">F155*(($H$136)+1)+(IF(G155&lt;101,G155,IF(G155&lt;201,G155/2,IF(G155&lt;=301,G155/3,G155/4))))</f>
        <v>915.80111999999986</v>
      </c>
      <c r="I155" s="59">
        <f>4.38*2.75+3.3*2.14+4.38*2.75+2.27*1.1+1.95*1.1</f>
        <v>35.794000000000004</v>
      </c>
    </row>
    <row r="156" spans="1:10" s="33" customFormat="1" x14ac:dyDescent="0.35">
      <c r="A156" s="68">
        <f t="shared" si="16"/>
        <v>3</v>
      </c>
      <c r="B156" s="68"/>
      <c r="C156" s="68" t="s">
        <v>269</v>
      </c>
      <c r="D156" s="68"/>
      <c r="E156" s="68"/>
      <c r="F156" s="68"/>
      <c r="G156" s="68"/>
      <c r="H156" s="68"/>
      <c r="I156" s="59"/>
    </row>
    <row r="157" spans="1:10" x14ac:dyDescent="0.35">
      <c r="A157" s="68">
        <f>A156+1</f>
        <v>4</v>
      </c>
      <c r="B157" s="68"/>
      <c r="C157" s="40" t="s">
        <v>262</v>
      </c>
      <c r="D157" s="62">
        <f>(23.61)*10.764</f>
        <v>254.13803999999999</v>
      </c>
      <c r="E157" s="40">
        <v>0</v>
      </c>
      <c r="F157" s="40">
        <f t="shared" si="17"/>
        <v>254.13803999999999</v>
      </c>
      <c r="G157" s="40">
        <v>0</v>
      </c>
      <c r="H157" s="40">
        <f t="shared" si="18"/>
        <v>381.20705999999996</v>
      </c>
      <c r="I157" s="60"/>
      <c r="J157" s="33"/>
    </row>
    <row r="158" spans="1:10" x14ac:dyDescent="0.35">
      <c r="A158" s="76" t="s">
        <v>272</v>
      </c>
      <c r="B158" s="76"/>
      <c r="C158" s="76"/>
      <c r="D158" s="76"/>
      <c r="E158" s="76"/>
      <c r="F158" s="76"/>
      <c r="G158" s="76"/>
      <c r="H158" s="76"/>
      <c r="I158" s="60">
        <f>4.65*3.05+2.1*2.68+2.45*2.78+3.78*2.75*2+2*1.1+2*1.1+1*1.1</f>
        <v>52.911500000000011</v>
      </c>
    </row>
    <row r="159" spans="1:10" ht="15.75" customHeight="1" x14ac:dyDescent="0.35">
      <c r="A159" s="68">
        <v>1</v>
      </c>
      <c r="B159" s="68"/>
      <c r="C159" s="40" t="s">
        <v>261</v>
      </c>
      <c r="D159" s="62">
        <f>(56.72)*10.764</f>
        <v>610.5340799999999</v>
      </c>
      <c r="E159" s="40">
        <v>0</v>
      </c>
      <c r="F159" s="40">
        <f>D159+E159</f>
        <v>610.5340799999999</v>
      </c>
      <c r="G159" s="40">
        <v>0</v>
      </c>
      <c r="H159" s="40">
        <f>F159*(($H$136)+1)+(IF(G159&lt;101,G159,IF(G159&lt;201,G159/2,IF(G159&lt;=301,G159/3,G159/4))))</f>
        <v>915.80111999999986</v>
      </c>
    </row>
    <row r="160" spans="1:10" ht="15.75" customHeight="1" x14ac:dyDescent="0.35">
      <c r="A160" s="68">
        <f t="shared" ref="A160" si="19">A159+1</f>
        <v>2</v>
      </c>
      <c r="B160" s="68"/>
      <c r="C160" s="40" t="s">
        <v>261</v>
      </c>
      <c r="D160" s="62">
        <f>(56.72)*10.764</f>
        <v>610.5340799999999</v>
      </c>
      <c r="E160" s="40">
        <v>0</v>
      </c>
      <c r="F160" s="40">
        <f t="shared" ref="F160" si="20">D160+E160</f>
        <v>610.5340799999999</v>
      </c>
      <c r="G160" s="40">
        <v>0</v>
      </c>
      <c r="H160" s="40">
        <f t="shared" ref="H160" si="21">F160*(($H$136)+1)+(IF(G160&lt;101,G160,IF(G160&lt;201,G160/2,IF(G160&lt;=301,G160/3,G160/4))))</f>
        <v>915.80111999999986</v>
      </c>
    </row>
    <row r="161" spans="1:10" ht="15.75" customHeight="1" x14ac:dyDescent="0.35">
      <c r="A161" s="69" t="s">
        <v>263</v>
      </c>
      <c r="B161" s="70"/>
      <c r="C161" s="69" t="s">
        <v>269</v>
      </c>
      <c r="D161" s="71"/>
      <c r="E161" s="71"/>
      <c r="F161" s="71"/>
      <c r="G161" s="71"/>
      <c r="H161" s="70"/>
    </row>
    <row r="162" spans="1:10" ht="15.75" customHeight="1" x14ac:dyDescent="0.35">
      <c r="A162" s="68">
        <v>4</v>
      </c>
      <c r="B162" s="68"/>
      <c r="C162" s="40" t="s">
        <v>262</v>
      </c>
      <c r="D162" s="62">
        <f>(23.61)*10.764</f>
        <v>254.13803999999999</v>
      </c>
      <c r="E162" s="40">
        <v>0</v>
      </c>
      <c r="F162" s="40">
        <f t="shared" ref="F162" si="22">D162+E162</f>
        <v>254.13803999999999</v>
      </c>
      <c r="G162" s="40">
        <v>0</v>
      </c>
      <c r="H162" s="40">
        <f t="shared" ref="H162" si="23">F162*(($H$136)+1)+(IF(G162&lt;101,G162,IF(G162&lt;201,G162/2,IF(G162&lt;=301,G162/3,G162/4))))</f>
        <v>381.20705999999996</v>
      </c>
    </row>
    <row r="163" spans="1:10" x14ac:dyDescent="0.35">
      <c r="A163" s="85" t="s">
        <v>259</v>
      </c>
      <c r="B163" s="86"/>
      <c r="C163" s="86"/>
      <c r="D163" s="86"/>
      <c r="E163" s="86"/>
      <c r="F163" s="86"/>
      <c r="G163" s="86"/>
      <c r="H163" s="87"/>
    </row>
    <row r="164" spans="1:10" x14ac:dyDescent="0.35">
      <c r="A164" s="76" t="s">
        <v>265</v>
      </c>
      <c r="B164" s="76"/>
      <c r="C164" s="76"/>
      <c r="D164" s="76"/>
      <c r="E164" s="76"/>
      <c r="F164" s="76"/>
      <c r="G164" s="76"/>
      <c r="H164" s="76"/>
    </row>
    <row r="165" spans="1:10" x14ac:dyDescent="0.35">
      <c r="A165" s="69">
        <v>1</v>
      </c>
      <c r="B165" s="70"/>
      <c r="C165" s="40" t="s">
        <v>266</v>
      </c>
      <c r="D165" s="62">
        <f>(36.35)*10.764</f>
        <v>391.27139999999997</v>
      </c>
      <c r="E165" s="40">
        <v>0</v>
      </c>
      <c r="F165" s="40">
        <f>D165+E165</f>
        <v>391.27139999999997</v>
      </c>
      <c r="G165" s="40">
        <v>0</v>
      </c>
      <c r="H165" s="40">
        <f>F165*(($H$136)+1)+(IF(G165&lt;101,G165,IF(G165&lt;201,G165/2,IF(G165&lt;=301,G165/3,G165/4))))</f>
        <v>586.9070999999999</v>
      </c>
    </row>
    <row r="166" spans="1:10" x14ac:dyDescent="0.35">
      <c r="A166" s="69">
        <f t="shared" ref="A166:A167" si="24">A165+1</f>
        <v>2</v>
      </c>
      <c r="B166" s="70"/>
      <c r="C166" s="40" t="s">
        <v>266</v>
      </c>
      <c r="D166" s="62">
        <f>(36.27)*10.764</f>
        <v>390.41028</v>
      </c>
      <c r="E166" s="40">
        <v>0</v>
      </c>
      <c r="F166" s="40">
        <f t="shared" ref="F166:F168" si="25">D166+E166</f>
        <v>390.41028</v>
      </c>
      <c r="G166" s="62">
        <f>(2.3*2.9+3.1*2.14+2.3*2.9)*10.764</f>
        <v>215.00013599999994</v>
      </c>
      <c r="H166" s="40">
        <f t="shared" ref="H166:H168" si="26">F166*(($H$136)+1)+(IF(G166&lt;101,G166,IF(G166&lt;201,G166/2,IF(G166&lt;=301,G166/3,G166/4))))</f>
        <v>657.28213199999993</v>
      </c>
    </row>
    <row r="167" spans="1:10" x14ac:dyDescent="0.35">
      <c r="A167" s="69">
        <f t="shared" si="24"/>
        <v>3</v>
      </c>
      <c r="B167" s="70"/>
      <c r="C167" s="40" t="s">
        <v>261</v>
      </c>
      <c r="D167" s="62">
        <f>(56.92)*10.764</f>
        <v>612.68687999999997</v>
      </c>
      <c r="E167" s="40">
        <v>0</v>
      </c>
      <c r="F167" s="40">
        <f t="shared" si="25"/>
        <v>612.68687999999997</v>
      </c>
      <c r="G167" s="62">
        <f>(4.65*4+1.2*2.5)*10.764</f>
        <v>232.50239999999999</v>
      </c>
      <c r="H167" s="40">
        <f t="shared" si="26"/>
        <v>996.53111999999999</v>
      </c>
    </row>
    <row r="168" spans="1:10" x14ac:dyDescent="0.35">
      <c r="A168" s="68">
        <f>A167+1</f>
        <v>4</v>
      </c>
      <c r="B168" s="68"/>
      <c r="C168" s="40" t="s">
        <v>261</v>
      </c>
      <c r="D168" s="62">
        <f>(56.92)*10.764</f>
        <v>612.68687999999997</v>
      </c>
      <c r="E168" s="40">
        <v>0</v>
      </c>
      <c r="F168" s="40">
        <f t="shared" si="25"/>
        <v>612.68687999999997</v>
      </c>
      <c r="G168" s="62">
        <f>(4.65*4+1.2*2.5)*10.764</f>
        <v>232.50239999999999</v>
      </c>
      <c r="H168" s="40">
        <f t="shared" si="26"/>
        <v>996.53111999999999</v>
      </c>
    </row>
    <row r="169" spans="1:10" ht="15.75" customHeight="1" x14ac:dyDescent="0.35">
      <c r="A169" s="72" t="s">
        <v>267</v>
      </c>
      <c r="B169" s="73"/>
      <c r="C169" s="73"/>
      <c r="D169" s="73"/>
      <c r="E169" s="73"/>
      <c r="F169" s="73"/>
      <c r="G169" s="73"/>
      <c r="H169" s="74"/>
    </row>
    <row r="170" spans="1:10" ht="15" customHeight="1" x14ac:dyDescent="0.35">
      <c r="A170" s="69">
        <v>1</v>
      </c>
      <c r="B170" s="70"/>
      <c r="C170" s="40" t="s">
        <v>266</v>
      </c>
      <c r="D170" s="62">
        <f>(36.35)*10.764</f>
        <v>391.27139999999997</v>
      </c>
      <c r="E170" s="40">
        <v>0</v>
      </c>
      <c r="F170" s="40">
        <f>D170+E170</f>
        <v>391.27139999999997</v>
      </c>
      <c r="G170" s="40">
        <v>0</v>
      </c>
      <c r="H170" s="40">
        <f>F170*(($H$136)+1)+(IF(G170&lt;101,G170,IF(G170&lt;201,G170/2,IF(G170&lt;=301,G170/3,G170/4))))</f>
        <v>586.9070999999999</v>
      </c>
    </row>
    <row r="171" spans="1:10" ht="15.75" customHeight="1" x14ac:dyDescent="0.35">
      <c r="A171" s="69">
        <f t="shared" ref="A171:A172" si="27">A170+1</f>
        <v>2</v>
      </c>
      <c r="B171" s="70"/>
      <c r="C171" s="40" t="s">
        <v>266</v>
      </c>
      <c r="D171" s="62">
        <f>(36.27)*10.764</f>
        <v>390.41028</v>
      </c>
      <c r="E171" s="40">
        <v>0</v>
      </c>
      <c r="F171" s="40">
        <f t="shared" ref="F171:F173" si="28">D171+E171</f>
        <v>390.41028</v>
      </c>
      <c r="G171" s="40">
        <v>0</v>
      </c>
      <c r="H171" s="40">
        <f t="shared" ref="H171:H173" si="29">F171*(($H$136)+1)+(IF(G171&lt;101,G171,IF(G171&lt;201,G171/2,IF(G171&lt;=301,G171/3,G171/4))))</f>
        <v>585.61541999999997</v>
      </c>
    </row>
    <row r="172" spans="1:10" ht="15.75" customHeight="1" x14ac:dyDescent="0.35">
      <c r="A172" s="69">
        <f t="shared" si="27"/>
        <v>3</v>
      </c>
      <c r="B172" s="70"/>
      <c r="C172" s="40" t="s">
        <v>261</v>
      </c>
      <c r="D172" s="62">
        <f>(56.92)*10.764</f>
        <v>612.68687999999997</v>
      </c>
      <c r="E172" s="40">
        <v>0</v>
      </c>
      <c r="F172" s="40">
        <f t="shared" si="28"/>
        <v>612.68687999999997</v>
      </c>
      <c r="G172" s="40">
        <v>0</v>
      </c>
      <c r="H172" s="40">
        <f t="shared" si="29"/>
        <v>919.03031999999996</v>
      </c>
    </row>
    <row r="173" spans="1:10" ht="15.75" customHeight="1" x14ac:dyDescent="0.35">
      <c r="A173" s="68">
        <f>A172+1</f>
        <v>4</v>
      </c>
      <c r="B173" s="68"/>
      <c r="C173" s="40" t="s">
        <v>261</v>
      </c>
      <c r="D173" s="62">
        <f>(56.92)*10.764</f>
        <v>612.68687999999997</v>
      </c>
      <c r="E173" s="40">
        <v>0</v>
      </c>
      <c r="F173" s="40">
        <f t="shared" si="28"/>
        <v>612.68687999999997</v>
      </c>
      <c r="G173" s="40">
        <v>0</v>
      </c>
      <c r="H173" s="40">
        <f t="shared" si="29"/>
        <v>919.03031999999996</v>
      </c>
    </row>
    <row r="174" spans="1:10" x14ac:dyDescent="0.35">
      <c r="A174" s="72" t="s">
        <v>268</v>
      </c>
      <c r="B174" s="73"/>
      <c r="C174" s="73"/>
      <c r="D174" s="73"/>
      <c r="E174" s="73"/>
      <c r="F174" s="73"/>
      <c r="G174" s="73"/>
      <c r="H174" s="74"/>
    </row>
    <row r="175" spans="1:10" x14ac:dyDescent="0.35">
      <c r="A175" s="69">
        <v>1</v>
      </c>
      <c r="B175" s="70"/>
      <c r="C175" s="40" t="s">
        <v>266</v>
      </c>
      <c r="D175" s="62">
        <f>(36.35)*10.764</f>
        <v>391.27139999999997</v>
      </c>
      <c r="E175" s="40">
        <v>0</v>
      </c>
      <c r="F175" s="40">
        <f>D175+E175</f>
        <v>391.27139999999997</v>
      </c>
      <c r="G175" s="40">
        <v>0</v>
      </c>
      <c r="H175" s="40">
        <f>F175*(($H$136)+1)+(IF(G175&lt;101,G175,IF(G175&lt;201,G175/2,IF(G175&lt;=301,G175/3,G175/4))))</f>
        <v>586.9070999999999</v>
      </c>
      <c r="J175" s="19">
        <f>95000000/H175</f>
        <v>161865.48092534579</v>
      </c>
    </row>
    <row r="176" spans="1:10" x14ac:dyDescent="0.35">
      <c r="A176" s="69">
        <f t="shared" ref="A176:A177" si="30">A175+1</f>
        <v>2</v>
      </c>
      <c r="B176" s="70"/>
      <c r="C176" s="69" t="s">
        <v>269</v>
      </c>
      <c r="D176" s="71"/>
      <c r="E176" s="71"/>
      <c r="F176" s="71"/>
      <c r="G176" s="71"/>
      <c r="H176" s="70"/>
    </row>
    <row r="177" spans="1:9" x14ac:dyDescent="0.35">
      <c r="A177" s="69">
        <f t="shared" si="30"/>
        <v>3</v>
      </c>
      <c r="B177" s="70"/>
      <c r="C177" s="40" t="s">
        <v>261</v>
      </c>
      <c r="D177" s="62">
        <f>(56.92)*10.764</f>
        <v>612.68687999999997</v>
      </c>
      <c r="E177" s="40">
        <v>0</v>
      </c>
      <c r="F177" s="40">
        <f t="shared" ref="F177:F178" si="31">D177+E177</f>
        <v>612.68687999999997</v>
      </c>
      <c r="G177" s="40">
        <v>0</v>
      </c>
      <c r="H177" s="40">
        <f t="shared" ref="H177:H178" si="32">F177*(($H$136)+1)+(IF(G177&lt;101,G177,IF(G177&lt;201,G177/2,IF(G177&lt;=301,G177/3,G177/4))))</f>
        <v>919.03031999999996</v>
      </c>
    </row>
    <row r="178" spans="1:9" x14ac:dyDescent="0.35">
      <c r="A178" s="68">
        <f>A177+1</f>
        <v>4</v>
      </c>
      <c r="B178" s="68"/>
      <c r="C178" s="40" t="s">
        <v>261</v>
      </c>
      <c r="D178" s="62">
        <f>(56.92)*10.764</f>
        <v>612.68687999999997</v>
      </c>
      <c r="E178" s="40">
        <v>0</v>
      </c>
      <c r="F178" s="40">
        <f t="shared" si="31"/>
        <v>612.68687999999997</v>
      </c>
      <c r="G178" s="40">
        <v>0</v>
      </c>
      <c r="H178" s="40">
        <f t="shared" si="32"/>
        <v>919.03031999999996</v>
      </c>
    </row>
    <row r="179" spans="1:9" ht="15.75" customHeight="1" x14ac:dyDescent="0.35">
      <c r="A179" s="72" t="s">
        <v>272</v>
      </c>
      <c r="B179" s="73"/>
      <c r="C179" s="73"/>
      <c r="D179" s="73"/>
      <c r="E179" s="73"/>
      <c r="F179" s="73"/>
      <c r="G179" s="73"/>
      <c r="H179" s="74"/>
    </row>
    <row r="180" spans="1:9" x14ac:dyDescent="0.35">
      <c r="A180" s="69">
        <v>1</v>
      </c>
      <c r="B180" s="70"/>
      <c r="C180" s="40" t="s">
        <v>266</v>
      </c>
      <c r="D180" s="62">
        <f>(36.35)*10.764</f>
        <v>391.27139999999997</v>
      </c>
      <c r="E180" s="40">
        <v>0</v>
      </c>
      <c r="F180" s="40">
        <f>D180+E180</f>
        <v>391.27139999999997</v>
      </c>
      <c r="G180" s="40">
        <v>0</v>
      </c>
      <c r="H180" s="40">
        <f>F180*(($H$136)+1)+(IF(G180&lt;101,G180,IF(G180&lt;201,G180/2,IF(G180&lt;=301,G180/3,G180/4))))</f>
        <v>586.9070999999999</v>
      </c>
    </row>
    <row r="181" spans="1:9" x14ac:dyDescent="0.35">
      <c r="A181" s="69">
        <f t="shared" ref="A181" si="33">A180+1</f>
        <v>2</v>
      </c>
      <c r="B181" s="70"/>
      <c r="C181" s="40" t="s">
        <v>266</v>
      </c>
      <c r="D181" s="62">
        <f>(39.85)*10.764</f>
        <v>428.94540000000001</v>
      </c>
      <c r="E181" s="40">
        <v>0</v>
      </c>
      <c r="F181" s="40">
        <f>D181+E181</f>
        <v>428.94540000000001</v>
      </c>
      <c r="G181" s="40">
        <v>0</v>
      </c>
      <c r="H181" s="40">
        <f>F181*(($H$136)+1)+(IF(G181&lt;101,G181,IF(G181&lt;201,G181/2,IF(G181&lt;=301,G181/3,G181/4))))</f>
        <v>643.41809999999998</v>
      </c>
      <c r="I181" s="19">
        <f>4.38*2.75+4.38*2.14+3.47*3.33+1*1.25+0.9*1.25+1.95*1.1+1.5*1.75</f>
        <v>40.118300000000005</v>
      </c>
    </row>
    <row r="182" spans="1:9" x14ac:dyDescent="0.35">
      <c r="A182" s="69" t="s">
        <v>263</v>
      </c>
      <c r="B182" s="70"/>
      <c r="C182" s="69" t="s">
        <v>269</v>
      </c>
      <c r="D182" s="71"/>
      <c r="E182" s="71"/>
      <c r="F182" s="71"/>
      <c r="G182" s="71"/>
      <c r="H182" s="70"/>
    </row>
    <row r="183" spans="1:9" x14ac:dyDescent="0.35">
      <c r="A183" s="69">
        <f>A181+1</f>
        <v>3</v>
      </c>
      <c r="B183" s="70"/>
      <c r="C183" s="40" t="s">
        <v>261</v>
      </c>
      <c r="D183" s="62">
        <f>(56.92)*10.764</f>
        <v>612.68687999999997</v>
      </c>
      <c r="E183" s="40">
        <v>0</v>
      </c>
      <c r="F183" s="40">
        <f t="shared" ref="F183:F184" si="34">D183+E183</f>
        <v>612.68687999999997</v>
      </c>
      <c r="G183" s="40">
        <v>0</v>
      </c>
      <c r="H183" s="40">
        <f t="shared" ref="H183:H184" si="35">F183*(($H$136)+1)+(IF(G183&lt;101,G183,IF(G183&lt;201,G183/2,IF(G183&lt;=301,G183/3,G183/4))))</f>
        <v>919.03031999999996</v>
      </c>
    </row>
    <row r="184" spans="1:9" x14ac:dyDescent="0.35">
      <c r="A184" s="68">
        <f>A183+1</f>
        <v>4</v>
      </c>
      <c r="B184" s="68"/>
      <c r="C184" s="40" t="s">
        <v>261</v>
      </c>
      <c r="D184" s="62">
        <f>(56.92)*10.764</f>
        <v>612.68687999999997</v>
      </c>
      <c r="E184" s="40">
        <v>0</v>
      </c>
      <c r="F184" s="40">
        <f t="shared" si="34"/>
        <v>612.68687999999997</v>
      </c>
      <c r="G184" s="40">
        <v>0</v>
      </c>
      <c r="H184" s="40">
        <f t="shared" si="35"/>
        <v>919.03031999999996</v>
      </c>
    </row>
    <row r="185" spans="1:9" x14ac:dyDescent="0.35">
      <c r="A185" s="195" t="s">
        <v>65</v>
      </c>
      <c r="B185" s="195"/>
      <c r="C185" s="195"/>
      <c r="D185" s="195"/>
      <c r="E185" s="195"/>
      <c r="F185" s="195"/>
      <c r="G185" s="195"/>
      <c r="H185" s="195"/>
    </row>
    <row r="186" spans="1:9" x14ac:dyDescent="0.35">
      <c r="A186" s="44" t="s">
        <v>149</v>
      </c>
      <c r="B186" s="79" t="s">
        <v>301</v>
      </c>
      <c r="C186" s="80"/>
      <c r="D186" s="80"/>
      <c r="E186" s="80"/>
      <c r="F186" s="80"/>
      <c r="G186" s="80"/>
      <c r="H186" s="81"/>
      <c r="I186" s="19" t="s">
        <v>270</v>
      </c>
    </row>
    <row r="187" spans="1:9" x14ac:dyDescent="0.35">
      <c r="A187" s="44" t="s">
        <v>149</v>
      </c>
      <c r="B187" s="82" t="str">
        <f>(IF(H135="Saleable area Loading :","We have considered Saleable area of Flats as per our Calculation.","We considered Saleable area of Flat as per Builder area Sheet."))</f>
        <v>We have considered Saleable area of Flats as per our Calculation.</v>
      </c>
      <c r="C187" s="83"/>
      <c r="D187" s="83"/>
      <c r="E187" s="83"/>
      <c r="F187" s="83"/>
      <c r="G187" s="83"/>
      <c r="H187" s="84"/>
    </row>
    <row r="188" spans="1:9" x14ac:dyDescent="0.35">
      <c r="A188" s="44" t="s">
        <v>149</v>
      </c>
      <c r="B188" s="82" t="str">
        <f>(IF(H120="Saleable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8" s="83"/>
      <c r="D188" s="83"/>
      <c r="E188" s="83"/>
      <c r="F188" s="83"/>
      <c r="G188" s="83"/>
      <c r="H188" s="84"/>
    </row>
    <row r="189" spans="1:9" x14ac:dyDescent="0.35">
      <c r="A189" s="44" t="s">
        <v>149</v>
      </c>
      <c r="B189" s="89" t="s">
        <v>119</v>
      </c>
      <c r="C189" s="90"/>
      <c r="D189" s="90"/>
      <c r="E189" s="90"/>
      <c r="F189" s="90"/>
      <c r="G189" s="90"/>
      <c r="H189" s="91"/>
    </row>
    <row r="190" spans="1:9" x14ac:dyDescent="0.35">
      <c r="A190" s="44" t="s">
        <v>149</v>
      </c>
      <c r="B190" s="89" t="s">
        <v>271</v>
      </c>
      <c r="C190" s="90"/>
      <c r="D190" s="90"/>
      <c r="E190" s="90"/>
      <c r="F190" s="90"/>
      <c r="G190" s="90"/>
      <c r="H190" s="91"/>
    </row>
    <row r="191" spans="1:9" x14ac:dyDescent="0.35">
      <c r="A191" s="44" t="s">
        <v>149</v>
      </c>
      <c r="B191" s="89" t="s">
        <v>148</v>
      </c>
      <c r="C191" s="90"/>
      <c r="D191" s="90"/>
      <c r="E191" s="90"/>
      <c r="F191" s="90"/>
      <c r="G191" s="90"/>
      <c r="H191" s="91"/>
    </row>
    <row r="192" spans="1:9" x14ac:dyDescent="0.35">
      <c r="A192" s="44" t="s">
        <v>149</v>
      </c>
      <c r="B192" s="89" t="s">
        <v>120</v>
      </c>
      <c r="C192" s="90"/>
      <c r="D192" s="90"/>
      <c r="E192" s="90"/>
      <c r="F192" s="90"/>
      <c r="G192" s="90"/>
      <c r="H192" s="91"/>
    </row>
    <row r="193" spans="1:8" ht="31.5" customHeight="1" x14ac:dyDescent="0.35">
      <c r="A193" s="44" t="s">
        <v>149</v>
      </c>
      <c r="B193" s="75" t="s">
        <v>150</v>
      </c>
      <c r="C193" s="75"/>
      <c r="D193" s="75"/>
      <c r="E193" s="75"/>
      <c r="F193" s="75"/>
      <c r="G193" s="75"/>
      <c r="H193" s="75"/>
    </row>
    <row r="194" spans="1:8" x14ac:dyDescent="0.35">
      <c r="A194" s="44" t="s">
        <v>149</v>
      </c>
      <c r="B194" s="75" t="s">
        <v>121</v>
      </c>
      <c r="C194" s="75"/>
      <c r="D194" s="75"/>
      <c r="E194" s="75"/>
      <c r="F194" s="75"/>
      <c r="G194" s="75"/>
      <c r="H194" s="75"/>
    </row>
    <row r="195" spans="1:8" ht="34.5" customHeight="1" x14ac:dyDescent="0.35">
      <c r="A195" s="61" t="s">
        <v>149</v>
      </c>
      <c r="B195" s="88" t="s">
        <v>171</v>
      </c>
      <c r="C195" s="88"/>
      <c r="D195" s="88"/>
      <c r="E195" s="88"/>
      <c r="F195" s="88"/>
      <c r="G195" s="88"/>
      <c r="H195" s="88"/>
    </row>
    <row r="196" spans="1:8" x14ac:dyDescent="0.35">
      <c r="A196" s="44" t="s">
        <v>149</v>
      </c>
      <c r="B196" s="75" t="s">
        <v>294</v>
      </c>
      <c r="C196" s="75"/>
      <c r="D196" s="75"/>
      <c r="E196" s="75"/>
      <c r="F196" s="75"/>
      <c r="G196" s="75"/>
      <c r="H196" s="75"/>
    </row>
    <row r="197" spans="1:8" ht="31.5" hidden="1" customHeight="1" x14ac:dyDescent="0.35">
      <c r="A197" s="44" t="s">
        <v>149</v>
      </c>
      <c r="B197" s="194" t="s">
        <v>296</v>
      </c>
      <c r="C197" s="194"/>
      <c r="D197" s="194"/>
      <c r="E197" s="194"/>
      <c r="F197" s="194"/>
      <c r="G197" s="194"/>
      <c r="H197" s="194"/>
    </row>
    <row r="198" spans="1:8" x14ac:dyDescent="0.35">
      <c r="A198" s="44" t="s">
        <v>149</v>
      </c>
      <c r="B198" s="75" t="s">
        <v>302</v>
      </c>
      <c r="C198" s="75"/>
      <c r="D198" s="75"/>
      <c r="E198" s="75"/>
      <c r="F198" s="75"/>
      <c r="G198" s="75"/>
      <c r="H198" s="75"/>
    </row>
    <row r="199" spans="1:8" x14ac:dyDescent="0.35">
      <c r="A199" s="180" t="s">
        <v>58</v>
      </c>
      <c r="B199" s="180"/>
      <c r="C199" s="180"/>
      <c r="D199" s="180"/>
      <c r="E199" s="180"/>
      <c r="F199" s="180"/>
      <c r="G199" s="180"/>
      <c r="H199" s="180"/>
    </row>
    <row r="200" spans="1:8" x14ac:dyDescent="0.35">
      <c r="A200" s="116" t="s">
        <v>59</v>
      </c>
      <c r="B200" s="116"/>
      <c r="C200" s="116"/>
      <c r="D200" s="116"/>
      <c r="E200" s="116"/>
      <c r="F200" s="116"/>
      <c r="G200" s="116"/>
      <c r="H200" s="116"/>
    </row>
    <row r="201" spans="1:8" x14ac:dyDescent="0.35">
      <c r="A201" s="193" t="s">
        <v>60</v>
      </c>
      <c r="B201" s="193"/>
      <c r="C201" s="193"/>
      <c r="D201" s="193"/>
      <c r="E201" s="193"/>
      <c r="F201" s="193"/>
      <c r="G201" s="193"/>
      <c r="H201" s="193"/>
    </row>
    <row r="202" spans="1:8" x14ac:dyDescent="0.35">
      <c r="A202" s="116" t="s">
        <v>61</v>
      </c>
      <c r="B202" s="116"/>
      <c r="C202" s="116"/>
      <c r="D202" s="116"/>
      <c r="E202" s="116"/>
      <c r="F202" s="116"/>
      <c r="G202" s="116"/>
      <c r="H202" s="116"/>
    </row>
    <row r="203" spans="1:8" x14ac:dyDescent="0.35">
      <c r="A203" s="116" t="s">
        <v>62</v>
      </c>
      <c r="B203" s="116"/>
      <c r="C203" s="116"/>
      <c r="D203" s="116"/>
      <c r="E203" s="116"/>
      <c r="F203" s="116"/>
      <c r="G203" s="116"/>
      <c r="H203" s="116"/>
    </row>
    <row r="204" spans="1:8" x14ac:dyDescent="0.35">
      <c r="A204" s="116" t="s">
        <v>122</v>
      </c>
      <c r="B204" s="116"/>
      <c r="C204" s="116"/>
      <c r="D204" s="116"/>
      <c r="E204" s="116"/>
      <c r="F204" s="116"/>
      <c r="G204" s="116"/>
      <c r="H204" s="116"/>
    </row>
    <row r="205" spans="1:8" ht="32.25" customHeight="1" x14ac:dyDescent="0.35">
      <c r="A205" s="173" t="s">
        <v>123</v>
      </c>
      <c r="B205" s="173"/>
      <c r="C205" s="173"/>
      <c r="D205" s="173"/>
      <c r="E205" s="173"/>
      <c r="F205" s="173"/>
      <c r="G205" s="173"/>
      <c r="H205" s="173"/>
    </row>
    <row r="206" spans="1:8" x14ac:dyDescent="0.35">
      <c r="A206" s="178" t="s">
        <v>74</v>
      </c>
      <c r="B206" s="178"/>
      <c r="C206" s="178" t="s">
        <v>303</v>
      </c>
      <c r="D206" s="178"/>
      <c r="E206" s="178" t="s">
        <v>102</v>
      </c>
      <c r="F206" s="178"/>
      <c r="G206" s="179" t="s">
        <v>305</v>
      </c>
      <c r="H206" s="179"/>
    </row>
    <row r="207" spans="1:8" x14ac:dyDescent="0.35">
      <c r="A207" s="177" t="s">
        <v>76</v>
      </c>
      <c r="B207" s="177"/>
      <c r="C207" s="177"/>
      <c r="D207" s="177"/>
      <c r="E207" s="177"/>
      <c r="F207" s="177"/>
      <c r="G207" s="177"/>
      <c r="H207" s="177"/>
    </row>
    <row r="208" spans="1:8" x14ac:dyDescent="0.35">
      <c r="A208" s="177"/>
      <c r="B208" s="177"/>
      <c r="C208" s="177"/>
      <c r="D208" s="177"/>
      <c r="E208" s="177"/>
      <c r="F208" s="177"/>
      <c r="G208" s="177"/>
      <c r="H208" s="177"/>
    </row>
    <row r="209" spans="1:8" x14ac:dyDescent="0.35">
      <c r="A209" s="177"/>
      <c r="B209" s="177"/>
      <c r="C209" s="177"/>
      <c r="D209" s="177"/>
      <c r="E209" s="177"/>
      <c r="F209" s="177"/>
      <c r="G209" s="177"/>
      <c r="H209" s="177"/>
    </row>
    <row r="210" spans="1:8" x14ac:dyDescent="0.35">
      <c r="A210" s="177"/>
      <c r="B210" s="177"/>
      <c r="C210" s="177"/>
      <c r="D210" s="177"/>
      <c r="E210" s="177"/>
      <c r="F210" s="177"/>
      <c r="G210" s="177"/>
      <c r="H210" s="177"/>
    </row>
    <row r="211" spans="1:8" x14ac:dyDescent="0.35">
      <c r="A211" s="36" t="s">
        <v>63</v>
      </c>
      <c r="B211" s="37"/>
      <c r="C211" s="37"/>
      <c r="D211" s="36" t="str">
        <f>E8</f>
        <v>Nehru Nagar Panchratna CHS Ltd, Bldg  No.5</v>
      </c>
      <c r="F211" s="37"/>
      <c r="G211" s="37"/>
      <c r="H211" s="37"/>
    </row>
    <row r="212" spans="1:8" x14ac:dyDescent="0.35">
      <c r="A212" s="37"/>
      <c r="B212" s="37"/>
      <c r="C212" s="37"/>
      <c r="D212" s="37"/>
      <c r="E212" s="37"/>
      <c r="F212" s="37"/>
      <c r="G212" s="37"/>
      <c r="H212" s="37"/>
    </row>
    <row r="213" spans="1:8" x14ac:dyDescent="0.35">
      <c r="A213" s="37"/>
      <c r="B213" s="37"/>
      <c r="C213" s="37"/>
      <c r="D213" s="37"/>
      <c r="E213" s="37"/>
      <c r="F213" s="37"/>
      <c r="G213" s="37"/>
      <c r="H213" s="37"/>
    </row>
    <row r="247" spans="1:1" hidden="1" x14ac:dyDescent="0.35"/>
    <row r="248" spans="1:1" hidden="1" x14ac:dyDescent="0.35"/>
    <row r="249" spans="1:1" hidden="1" x14ac:dyDescent="0.35"/>
    <row r="250" spans="1:1" hidden="1" x14ac:dyDescent="0.35"/>
    <row r="251" spans="1:1" hidden="1" x14ac:dyDescent="0.35"/>
    <row r="253" spans="1:1" x14ac:dyDescent="0.35">
      <c r="A253" s="39" t="s">
        <v>157</v>
      </c>
    </row>
    <row r="295" spans="1:1" x14ac:dyDescent="0.35">
      <c r="A295" s="39" t="s">
        <v>64</v>
      </c>
    </row>
  </sheetData>
  <mergeCells count="349">
    <mergeCell ref="I14:P14"/>
    <mergeCell ref="F105:H105"/>
    <mergeCell ref="F103:H103"/>
    <mergeCell ref="A150:B150"/>
    <mergeCell ref="A119:H119"/>
    <mergeCell ref="G109:H109"/>
    <mergeCell ref="A104:E104"/>
    <mergeCell ref="A127:B127"/>
    <mergeCell ref="A53:B53"/>
    <mergeCell ref="C53:E53"/>
    <mergeCell ref="D55:H55"/>
    <mergeCell ref="F104:H104"/>
    <mergeCell ref="E109:F109"/>
    <mergeCell ref="A109:B109"/>
    <mergeCell ref="C113:D113"/>
    <mergeCell ref="D64:H64"/>
    <mergeCell ref="A65:C65"/>
    <mergeCell ref="E42:H42"/>
    <mergeCell ref="A42:D42"/>
    <mergeCell ref="A81:B81"/>
    <mergeCell ref="C81:H81"/>
    <mergeCell ref="A76:B76"/>
    <mergeCell ref="A49:B49"/>
    <mergeCell ref="G49:H49"/>
    <mergeCell ref="A204:H204"/>
    <mergeCell ref="A201:H201"/>
    <mergeCell ref="A144:B144"/>
    <mergeCell ref="A113:B113"/>
    <mergeCell ref="D135:D136"/>
    <mergeCell ref="E135:E136"/>
    <mergeCell ref="A89:B89"/>
    <mergeCell ref="A90:B90"/>
    <mergeCell ref="A91:B91"/>
    <mergeCell ref="F96:H96"/>
    <mergeCell ref="G110:H110"/>
    <mergeCell ref="F102:H102"/>
    <mergeCell ref="C109:D109"/>
    <mergeCell ref="C116:D116"/>
    <mergeCell ref="A137:H137"/>
    <mergeCell ref="A152:B152"/>
    <mergeCell ref="B197:H197"/>
    <mergeCell ref="B189:H189"/>
    <mergeCell ref="B190:H190"/>
    <mergeCell ref="A185:H185"/>
    <mergeCell ref="A173:B173"/>
    <mergeCell ref="A169:H169"/>
    <mergeCell ref="A148:H148"/>
    <mergeCell ref="A101:E101"/>
    <mergeCell ref="G51:H51"/>
    <mergeCell ref="A50:B50"/>
    <mergeCell ref="A54:H54"/>
    <mergeCell ref="A55:C55"/>
    <mergeCell ref="A56:C56"/>
    <mergeCell ref="D56:H56"/>
    <mergeCell ref="G53:H53"/>
    <mergeCell ref="C52:H52"/>
    <mergeCell ref="E84:F84"/>
    <mergeCell ref="G84:H84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5:H65"/>
    <mergeCell ref="A71:B71"/>
    <mergeCell ref="G70:H70"/>
    <mergeCell ref="F101:H101"/>
    <mergeCell ref="A103:E103"/>
    <mergeCell ref="F98:H98"/>
    <mergeCell ref="A102:E102"/>
    <mergeCell ref="E85:F94"/>
    <mergeCell ref="A92:B92"/>
    <mergeCell ref="A93:B93"/>
    <mergeCell ref="A100:E100"/>
    <mergeCell ref="A94:B94"/>
    <mergeCell ref="F95:H95"/>
    <mergeCell ref="F100:H100"/>
    <mergeCell ref="A207:H210"/>
    <mergeCell ref="A206:B206"/>
    <mergeCell ref="E206:F206"/>
    <mergeCell ref="C206:D206"/>
    <mergeCell ref="G206:H206"/>
    <mergeCell ref="A108:H108"/>
    <mergeCell ref="A106:E106"/>
    <mergeCell ref="F106:H106"/>
    <mergeCell ref="A107:E107"/>
    <mergeCell ref="F107:H107"/>
    <mergeCell ref="A143:H143"/>
    <mergeCell ref="A114:B114"/>
    <mergeCell ref="A151:B151"/>
    <mergeCell ref="A110:B110"/>
    <mergeCell ref="A202:H202"/>
    <mergeCell ref="A112:H112"/>
    <mergeCell ref="A205:H205"/>
    <mergeCell ref="A203:H203"/>
    <mergeCell ref="A199:H199"/>
    <mergeCell ref="G113:H113"/>
    <mergeCell ref="C120:C121"/>
    <mergeCell ref="B135:B136"/>
    <mergeCell ref="A200:H200"/>
    <mergeCell ref="A129:B12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37:H37"/>
    <mergeCell ref="A36:B36"/>
    <mergeCell ref="C36:E36"/>
    <mergeCell ref="A41:D41"/>
    <mergeCell ref="E41:H41"/>
    <mergeCell ref="A40:H40"/>
    <mergeCell ref="A60:C60"/>
    <mergeCell ref="A61:C61"/>
    <mergeCell ref="D60:H60"/>
    <mergeCell ref="D61:H61"/>
    <mergeCell ref="A43:D43"/>
    <mergeCell ref="E43:H43"/>
    <mergeCell ref="E44:H44"/>
    <mergeCell ref="E45:H45"/>
    <mergeCell ref="E46:H46"/>
    <mergeCell ref="A44:D44"/>
    <mergeCell ref="F36:H36"/>
    <mergeCell ref="C51:E51"/>
    <mergeCell ref="A58:C59"/>
    <mergeCell ref="D58:H58"/>
    <mergeCell ref="D59:H59"/>
    <mergeCell ref="C50:E50"/>
    <mergeCell ref="C49:E49"/>
    <mergeCell ref="A38:B38"/>
    <mergeCell ref="C38:H38"/>
    <mergeCell ref="A45:D45"/>
    <mergeCell ref="A78:B78"/>
    <mergeCell ref="C114:D114"/>
    <mergeCell ref="E114:F114"/>
    <mergeCell ref="G114:H114"/>
    <mergeCell ref="A96:E96"/>
    <mergeCell ref="A125:H125"/>
    <mergeCell ref="E120:E121"/>
    <mergeCell ref="A85:B85"/>
    <mergeCell ref="A46:D46"/>
    <mergeCell ref="A47:H47"/>
    <mergeCell ref="D57:H57"/>
    <mergeCell ref="A57:C57"/>
    <mergeCell ref="G50:H50"/>
    <mergeCell ref="A51:B52"/>
    <mergeCell ref="A77:B77"/>
    <mergeCell ref="E71:F80"/>
    <mergeCell ref="G71:H80"/>
    <mergeCell ref="A79:B79"/>
    <mergeCell ref="A80:B80"/>
    <mergeCell ref="A84:B84"/>
    <mergeCell ref="A83:B83"/>
    <mergeCell ref="A116:B116"/>
    <mergeCell ref="L131:M131"/>
    <mergeCell ref="A145:B145"/>
    <mergeCell ref="A146:B146"/>
    <mergeCell ref="A170:B170"/>
    <mergeCell ref="A39:B39"/>
    <mergeCell ref="C39:H39"/>
    <mergeCell ref="F120:F121"/>
    <mergeCell ref="C110:D110"/>
    <mergeCell ref="E110:F110"/>
    <mergeCell ref="B120:B121"/>
    <mergeCell ref="A120:A121"/>
    <mergeCell ref="C135:C136"/>
    <mergeCell ref="G135:G136"/>
    <mergeCell ref="L130:M130"/>
    <mergeCell ref="L127:M127"/>
    <mergeCell ref="A139:B139"/>
    <mergeCell ref="G117:H117"/>
    <mergeCell ref="L128:M128"/>
    <mergeCell ref="A140:B140"/>
    <mergeCell ref="L129:M129"/>
    <mergeCell ref="A141:B141"/>
    <mergeCell ref="A70:B70"/>
    <mergeCell ref="A73:B73"/>
    <mergeCell ref="C83:H83"/>
    <mergeCell ref="A48:B48"/>
    <mergeCell ref="C48:H48"/>
    <mergeCell ref="B191:H191"/>
    <mergeCell ref="G85:H94"/>
    <mergeCell ref="A86:B86"/>
    <mergeCell ref="A87:B87"/>
    <mergeCell ref="A88:B88"/>
    <mergeCell ref="F97:H97"/>
    <mergeCell ref="A97:E97"/>
    <mergeCell ref="D120:D121"/>
    <mergeCell ref="A99:E99"/>
    <mergeCell ref="A98:E98"/>
    <mergeCell ref="A95:E95"/>
    <mergeCell ref="F99:H99"/>
    <mergeCell ref="F135:F136"/>
    <mergeCell ref="G120:G121"/>
    <mergeCell ref="A171:B171"/>
    <mergeCell ref="A69:B69"/>
    <mergeCell ref="A67:B67"/>
    <mergeCell ref="C67:H67"/>
    <mergeCell ref="A75:B75"/>
    <mergeCell ref="E116:F116"/>
    <mergeCell ref="A105:E105"/>
    <mergeCell ref="G116:H116"/>
    <mergeCell ref="E111:F111"/>
    <mergeCell ref="G111:H111"/>
    <mergeCell ref="A115:B115"/>
    <mergeCell ref="C115:D115"/>
    <mergeCell ref="E115:F115"/>
    <mergeCell ref="G115:H115"/>
    <mergeCell ref="E113:F113"/>
    <mergeCell ref="A130:B130"/>
    <mergeCell ref="A131:H131"/>
    <mergeCell ref="A128:B128"/>
    <mergeCell ref="A122:H122"/>
    <mergeCell ref="A123:H123"/>
    <mergeCell ref="A111:B111"/>
    <mergeCell ref="C111:D111"/>
    <mergeCell ref="A118:H118"/>
    <mergeCell ref="A124:H124"/>
    <mergeCell ref="A126:B126"/>
    <mergeCell ref="A117:B117"/>
    <mergeCell ref="C117:D117"/>
    <mergeCell ref="E117:F117"/>
    <mergeCell ref="B196:H196"/>
    <mergeCell ref="A158:H158"/>
    <mergeCell ref="A159:B159"/>
    <mergeCell ref="A160:B160"/>
    <mergeCell ref="A161:B161"/>
    <mergeCell ref="C161:H161"/>
    <mergeCell ref="A162:B162"/>
    <mergeCell ref="A179:H179"/>
    <mergeCell ref="A166:B166"/>
    <mergeCell ref="A167:B167"/>
    <mergeCell ref="A168:B168"/>
    <mergeCell ref="A163:H163"/>
    <mergeCell ref="A164:H164"/>
    <mergeCell ref="A165:B165"/>
    <mergeCell ref="A180:B180"/>
    <mergeCell ref="A181:B181"/>
    <mergeCell ref="A183:B183"/>
    <mergeCell ref="B193:H193"/>
    <mergeCell ref="A172:B172"/>
    <mergeCell ref="B195:H195"/>
    <mergeCell ref="B194:H194"/>
    <mergeCell ref="B192:H192"/>
    <mergeCell ref="B188:H188"/>
    <mergeCell ref="A176:B176"/>
    <mergeCell ref="A184:B184"/>
    <mergeCell ref="A182:B182"/>
    <mergeCell ref="C182:H182"/>
    <mergeCell ref="A174:H174"/>
    <mergeCell ref="C176:H176"/>
    <mergeCell ref="B198:H198"/>
    <mergeCell ref="A134:H134"/>
    <mergeCell ref="A153:H153"/>
    <mergeCell ref="A154:B154"/>
    <mergeCell ref="A155:B155"/>
    <mergeCell ref="A156:B156"/>
    <mergeCell ref="A157:B157"/>
    <mergeCell ref="C156:H156"/>
    <mergeCell ref="A147:B147"/>
    <mergeCell ref="A138:H138"/>
    <mergeCell ref="A142:B142"/>
    <mergeCell ref="C142:H142"/>
    <mergeCell ref="A135:A136"/>
    <mergeCell ref="A149:B149"/>
    <mergeCell ref="A175:B175"/>
    <mergeCell ref="A178:B178"/>
    <mergeCell ref="A177:B177"/>
    <mergeCell ref="B186:H186"/>
    <mergeCell ref="B187:H187"/>
  </mergeCells>
  <dataValidations count="11"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20:E121">
      <formula1>"Attached Loft area,Attached Otla area,Attached Mezzanine area"</formula1>
    </dataValidation>
    <dataValidation type="list" allowBlank="1" showInputMessage="1" showErrorMessage="1" sqref="G206:H206">
      <formula1>"Kunal Kadam,Shruti Tathare,Pranita Mhatre,Shruti Fule,Pooja Kawale,Mansee Mohite,Anjali Kamble, Hitakshi Mhatre, Sachin Sawant"</formula1>
    </dataValidation>
    <dataValidation type="list" allowBlank="1" showInputMessage="1" showErrorMessage="1" sqref="F95:H95">
      <formula1>"On Saleable Area,On Builtup Area,On Carpet Area,On Plot Area"</formula1>
    </dataValidation>
    <dataValidation type="list" allowBlank="1" showInputMessage="1" showErrorMessage="1" sqref="F106:H106">
      <formula1>"100000,150000,200000,250000,300000,350000,400000,500000,600000,700000,800000,900000,1000000,1200000,1400000,1500000"</formula1>
    </dataValidation>
    <dataValidation type="list" allowBlank="1" showInputMessage="1" showErrorMessage="1" sqref="B120:B121">
      <formula1>"Shop No. (Sale Plan),Sale / Rehab,Sale / Mhada"</formula1>
    </dataValidation>
    <dataValidation type="list" allowBlank="1" showInputMessage="1" showErrorMessage="1" sqref="B135:B136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E135:E136">
      <formula1>"Fungible area,Balcony Area,Chajja Area,Cornice Area,AP Area,WS Area"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10" max="7" man="1"/>
    <brk id="252" max="7" man="1"/>
    <brk id="294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K3" sqref="K3"/>
    </sheetView>
  </sheetViews>
  <sheetFormatPr defaultColWidth="8.54296875" defaultRowHeight="14.5" x14ac:dyDescent="0.35"/>
  <cols>
    <col min="1" max="1" width="8.5429687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5429687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3" t="s">
        <v>103</v>
      </c>
      <c r="C3" s="203"/>
      <c r="D3" s="203"/>
      <c r="E3" s="203"/>
      <c r="F3" s="203"/>
      <c r="G3" s="203"/>
      <c r="H3" s="203"/>
    </row>
    <row r="4" spans="1:9" x14ac:dyDescent="0.35">
      <c r="A4" s="2"/>
      <c r="B4" s="3" t="s">
        <v>104</v>
      </c>
      <c r="C4" s="3" t="s">
        <v>105</v>
      </c>
      <c r="D4" s="3" t="s">
        <v>66</v>
      </c>
      <c r="E4" s="3" t="s">
        <v>106</v>
      </c>
      <c r="F4" s="3" t="s">
        <v>112</v>
      </c>
      <c r="G4" s="3" t="s">
        <v>113</v>
      </c>
      <c r="H4" s="3" t="s">
        <v>107</v>
      </c>
    </row>
    <row r="5" spans="1:9" ht="15" customHeight="1" x14ac:dyDescent="0.35">
      <c r="A5" s="2"/>
      <c r="B5" s="5" t="s">
        <v>108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111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zoomScale="130" zoomScaleNormal="130" workbookViewId="0">
      <selection activeCell="C3" sqref="C3:K18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9"/>
      <c r="C4" s="49" t="s">
        <v>10</v>
      </c>
      <c r="D4" s="50" t="s">
        <v>172</v>
      </c>
      <c r="E4" s="50" t="s">
        <v>182</v>
      </c>
      <c r="F4" s="50" t="s">
        <v>165</v>
      </c>
      <c r="G4" s="50" t="s">
        <v>187</v>
      </c>
      <c r="H4" s="50" t="s">
        <v>205</v>
      </c>
      <c r="J4" t="s">
        <v>187</v>
      </c>
      <c r="K4" t="s">
        <v>203</v>
      </c>
    </row>
    <row r="5" spans="2:11" x14ac:dyDescent="0.35">
      <c r="B5" s="49"/>
      <c r="C5" s="49"/>
      <c r="D5" s="50" t="s">
        <v>173</v>
      </c>
      <c r="E5" s="50" t="s">
        <v>180</v>
      </c>
      <c r="F5" s="50" t="s">
        <v>202</v>
      </c>
      <c r="G5" s="50" t="s">
        <v>188</v>
      </c>
      <c r="H5" s="50" t="s">
        <v>206</v>
      </c>
    </row>
    <row r="6" spans="2:11" x14ac:dyDescent="0.35">
      <c r="B6" s="49"/>
      <c r="C6" s="49"/>
      <c r="D6" s="50" t="s">
        <v>174</v>
      </c>
      <c r="E6" s="50" t="s">
        <v>181</v>
      </c>
      <c r="F6" s="50" t="s">
        <v>203</v>
      </c>
      <c r="G6" s="50" t="s">
        <v>189</v>
      </c>
      <c r="H6" s="50" t="s">
        <v>219</v>
      </c>
    </row>
    <row r="7" spans="2:11" x14ac:dyDescent="0.35">
      <c r="B7" s="49"/>
      <c r="C7" s="49"/>
      <c r="D7" s="50" t="s">
        <v>175</v>
      </c>
      <c r="E7" s="50" t="s">
        <v>183</v>
      </c>
      <c r="F7" s="50" t="s">
        <v>204</v>
      </c>
      <c r="G7" s="50" t="s">
        <v>190</v>
      </c>
      <c r="H7" s="50" t="s">
        <v>207</v>
      </c>
    </row>
    <row r="8" spans="2:11" x14ac:dyDescent="0.35">
      <c r="B8" s="49"/>
      <c r="C8" s="49"/>
      <c r="D8" s="50" t="s">
        <v>176</v>
      </c>
      <c r="E8" s="50" t="s">
        <v>184</v>
      </c>
      <c r="F8" s="50"/>
      <c r="G8" s="50" t="s">
        <v>191</v>
      </c>
      <c r="H8" s="50" t="s">
        <v>208</v>
      </c>
    </row>
    <row r="9" spans="2:11" x14ac:dyDescent="0.35">
      <c r="B9" s="49"/>
      <c r="C9" s="49"/>
      <c r="D9" s="50" t="s">
        <v>177</v>
      </c>
      <c r="E9" s="50" t="s">
        <v>182</v>
      </c>
      <c r="F9" s="50"/>
      <c r="G9" s="50" t="s">
        <v>192</v>
      </c>
      <c r="H9" s="50" t="s">
        <v>209</v>
      </c>
    </row>
    <row r="10" spans="2:11" x14ac:dyDescent="0.35">
      <c r="B10" s="49"/>
      <c r="C10" s="49"/>
      <c r="D10" s="50" t="s">
        <v>178</v>
      </c>
      <c r="E10" s="50" t="s">
        <v>185</v>
      </c>
      <c r="F10" s="50"/>
      <c r="G10" s="50" t="s">
        <v>193</v>
      </c>
      <c r="H10" s="50" t="s">
        <v>210</v>
      </c>
    </row>
    <row r="11" spans="2:11" x14ac:dyDescent="0.35">
      <c r="B11" s="49"/>
      <c r="C11" s="49"/>
      <c r="D11" s="50" t="s">
        <v>179</v>
      </c>
      <c r="E11" s="50" t="s">
        <v>186</v>
      </c>
      <c r="F11" s="50"/>
      <c r="G11" s="50" t="s">
        <v>194</v>
      </c>
      <c r="H11" s="50" t="s">
        <v>211</v>
      </c>
    </row>
    <row r="12" spans="2:11" x14ac:dyDescent="0.35">
      <c r="B12" s="49"/>
      <c r="C12" s="49"/>
      <c r="D12" s="50"/>
      <c r="E12" s="50"/>
      <c r="F12" s="50"/>
      <c r="G12" s="50" t="s">
        <v>195</v>
      </c>
      <c r="H12" s="50" t="s">
        <v>212</v>
      </c>
    </row>
    <row r="13" spans="2:11" x14ac:dyDescent="0.35">
      <c r="B13" s="49"/>
      <c r="C13" s="49"/>
      <c r="D13" s="50"/>
      <c r="E13" s="50"/>
      <c r="F13" s="50"/>
      <c r="G13" s="50" t="s">
        <v>196</v>
      </c>
      <c r="H13" s="50" t="s">
        <v>213</v>
      </c>
    </row>
    <row r="14" spans="2:11" x14ac:dyDescent="0.35">
      <c r="B14" s="49"/>
      <c r="C14" s="49"/>
      <c r="D14" s="50"/>
      <c r="E14" s="50"/>
      <c r="F14" s="50"/>
      <c r="G14" s="50" t="s">
        <v>197</v>
      </c>
      <c r="H14" s="50" t="s">
        <v>214</v>
      </c>
    </row>
    <row r="15" spans="2:11" x14ac:dyDescent="0.35">
      <c r="B15" s="49"/>
      <c r="C15" s="49"/>
      <c r="D15" s="50"/>
      <c r="E15" s="50"/>
      <c r="F15" s="50"/>
      <c r="G15" s="50" t="s">
        <v>198</v>
      </c>
      <c r="H15" s="50" t="s">
        <v>215</v>
      </c>
    </row>
    <row r="16" spans="2:11" x14ac:dyDescent="0.35">
      <c r="B16" s="49"/>
      <c r="C16" s="49"/>
      <c r="D16" s="50"/>
      <c r="E16" s="50"/>
      <c r="F16" s="50"/>
      <c r="G16" s="50" t="s">
        <v>199</v>
      </c>
      <c r="H16" s="50" t="s">
        <v>216</v>
      </c>
    </row>
    <row r="17" spans="2:8" x14ac:dyDescent="0.35">
      <c r="B17" s="49"/>
      <c r="C17" s="49"/>
      <c r="D17" s="50"/>
      <c r="E17" s="50"/>
      <c r="F17" s="50"/>
      <c r="G17" s="50" t="s">
        <v>200</v>
      </c>
      <c r="H17" s="50" t="s">
        <v>217</v>
      </c>
    </row>
    <row r="18" spans="2:8" x14ac:dyDescent="0.35">
      <c r="B18" s="49"/>
      <c r="C18" s="49"/>
      <c r="D18" s="50"/>
      <c r="E18" s="50"/>
      <c r="F18" s="50"/>
      <c r="G18" s="50" t="s">
        <v>201</v>
      </c>
      <c r="H18" s="50" t="s">
        <v>218</v>
      </c>
    </row>
    <row r="24" spans="2:8" x14ac:dyDescent="0.35">
      <c r="C24" t="s">
        <v>163</v>
      </c>
    </row>
    <row r="25" spans="2:8" x14ac:dyDescent="0.35">
      <c r="C25" t="s">
        <v>220</v>
      </c>
    </row>
    <row r="26" spans="2:8" x14ac:dyDescent="0.35">
      <c r="C26" t="s">
        <v>221</v>
      </c>
    </row>
    <row r="27" spans="2:8" x14ac:dyDescent="0.35">
      <c r="C27" t="s">
        <v>222</v>
      </c>
    </row>
    <row r="28" spans="2:8" x14ac:dyDescent="0.35">
      <c r="C28" t="s">
        <v>223</v>
      </c>
    </row>
    <row r="29" spans="2:8" x14ac:dyDescent="0.35">
      <c r="C29" t="s">
        <v>224</v>
      </c>
    </row>
    <row r="30" spans="2:8" x14ac:dyDescent="0.35">
      <c r="C30" t="s">
        <v>163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2025-08-20T07:17:32Z</cp:lastPrinted>
  <dcterms:created xsi:type="dcterms:W3CDTF">2019-07-16T09:29:46Z</dcterms:created>
  <dcterms:modified xsi:type="dcterms:W3CDTF">2025-09-24T08:21:38Z</dcterms:modified>
</cp:coreProperties>
</file>