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25-26\Sep 2025\AXIS\New\Pranita\22631 - Elements\Report\"/>
    </mc:Choice>
  </mc:AlternateContent>
  <bookViews>
    <workbookView xWindow="-105" yWindow="-105" windowWidth="23250" windowHeight="12450" tabRatio="725"/>
  </bookViews>
  <sheets>
    <sheet name="Report" sheetId="1" r:id="rId1"/>
    <sheet name="valuation" sheetId="5" r:id="rId2"/>
    <sheet name="Research" sheetId="4" r:id="rId3"/>
    <sheet name="Remarks" sheetId="6" r:id="rId4"/>
    <sheet name="Area Calculation" sheetId="7" r:id="rId5"/>
    <sheet name="Construction Table" sheetId="8" r:id="rId6"/>
  </sheets>
  <definedNames>
    <definedName name="_xlnm.Print_Area" localSheetId="0">Report!$A$1:$H$337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8" i="1" l="1"/>
  <c r="J147" i="1"/>
  <c r="K147" i="1"/>
  <c r="L155" i="1"/>
  <c r="E177" i="1" l="1"/>
  <c r="D177" i="1"/>
  <c r="F177" i="1" s="1"/>
  <c r="H177" i="1" s="1"/>
  <c r="E176" i="1"/>
  <c r="D176" i="1"/>
  <c r="E175" i="1"/>
  <c r="D175" i="1"/>
  <c r="E173" i="1"/>
  <c r="D173" i="1"/>
  <c r="E172" i="1"/>
  <c r="D172" i="1"/>
  <c r="E171" i="1"/>
  <c r="D171" i="1"/>
  <c r="E170" i="1"/>
  <c r="D170" i="1"/>
  <c r="F170" i="1" s="1"/>
  <c r="H170" i="1" s="1"/>
  <c r="E168" i="1"/>
  <c r="D168" i="1"/>
  <c r="E166" i="1"/>
  <c r="D166" i="1"/>
  <c r="E165" i="1"/>
  <c r="D165" i="1"/>
  <c r="G157" i="1"/>
  <c r="E160" i="1"/>
  <c r="D160" i="1"/>
  <c r="E159" i="1"/>
  <c r="D159" i="1"/>
  <c r="E158" i="1"/>
  <c r="F158" i="1" s="1"/>
  <c r="H158" i="1" s="1"/>
  <c r="D158" i="1"/>
  <c r="D157" i="1"/>
  <c r="F157" i="1" s="1"/>
  <c r="E156" i="1"/>
  <c r="D156" i="1"/>
  <c r="E154" i="1"/>
  <c r="D154" i="1"/>
  <c r="E153" i="1"/>
  <c r="D153" i="1"/>
  <c r="E152" i="1"/>
  <c r="D152" i="1"/>
  <c r="E151" i="1"/>
  <c r="D151" i="1"/>
  <c r="D150" i="1"/>
  <c r="E149" i="1"/>
  <c r="D149" i="1"/>
  <c r="E147" i="1"/>
  <c r="F147" i="1" s="1"/>
  <c r="H147" i="1" s="1"/>
  <c r="D147" i="1"/>
  <c r="E146" i="1"/>
  <c r="D146" i="1"/>
  <c r="E145" i="1"/>
  <c r="D145" i="1"/>
  <c r="E144" i="1"/>
  <c r="D144" i="1"/>
  <c r="D143" i="1"/>
  <c r="E142" i="1"/>
  <c r="D142" i="1"/>
  <c r="D135" i="1"/>
  <c r="D133" i="1"/>
  <c r="A176" i="1"/>
  <c r="A177" i="1" s="1"/>
  <c r="A157" i="1"/>
  <c r="A158" i="1" s="1"/>
  <c r="A159" i="1" s="1"/>
  <c r="A160" i="1" s="1"/>
  <c r="A161" i="1" s="1"/>
  <c r="A171" i="1"/>
  <c r="A172" i="1" s="1"/>
  <c r="A150" i="1"/>
  <c r="A151" i="1" s="1"/>
  <c r="A152" i="1" s="1"/>
  <c r="A153" i="1" s="1"/>
  <c r="A154" i="1" s="1"/>
  <c r="A166" i="1"/>
  <c r="J142" i="1"/>
  <c r="I142" i="1"/>
  <c r="F156" i="1" l="1"/>
  <c r="H156" i="1" s="1"/>
  <c r="F159" i="1"/>
  <c r="H159" i="1" s="1"/>
  <c r="F160" i="1"/>
  <c r="H160" i="1" s="1"/>
  <c r="F175" i="1"/>
  <c r="H175" i="1" s="1"/>
  <c r="F176" i="1"/>
  <c r="H176" i="1" s="1"/>
  <c r="H157" i="1"/>
  <c r="F173" i="1"/>
  <c r="H173" i="1" s="1"/>
  <c r="F154" i="1"/>
  <c r="H154" i="1" s="1"/>
  <c r="F171" i="1"/>
  <c r="H171" i="1" s="1"/>
  <c r="F172" i="1"/>
  <c r="H172" i="1" s="1"/>
  <c r="F146" i="1"/>
  <c r="H146" i="1" s="1"/>
  <c r="K142" i="1"/>
  <c r="I133" i="1"/>
  <c r="J154" i="1" l="1"/>
  <c r="L154" i="1"/>
  <c r="M154" i="1" s="1"/>
  <c r="E43" i="1"/>
  <c r="C75" i="1" l="1"/>
  <c r="H4" i="8"/>
  <c r="J6" i="8" l="1"/>
  <c r="D16" i="8"/>
  <c r="D10" i="8"/>
  <c r="D11" i="8"/>
  <c r="D15" i="8"/>
  <c r="D9" i="8"/>
  <c r="J8" i="8"/>
  <c r="C7" i="8" s="1"/>
  <c r="D14" i="8"/>
  <c r="D13" i="8"/>
  <c r="J7" i="8"/>
  <c r="J3" i="8"/>
  <c r="J5" i="8" s="1"/>
  <c r="D12" i="8"/>
  <c r="B4" i="8"/>
  <c r="F133" i="1"/>
  <c r="B38" i="6"/>
  <c r="B39" i="6" s="1"/>
  <c r="B40" i="6" s="1"/>
  <c r="B41" i="6" s="1"/>
  <c r="B42" i="6" s="1"/>
  <c r="B43" i="6" s="1"/>
  <c r="B44" i="6" s="1"/>
  <c r="B45" i="6" s="1"/>
  <c r="B46" i="6" s="1"/>
  <c r="B47" i="6" s="1"/>
  <c r="B48" i="6" s="1"/>
  <c r="B49" i="6" s="1"/>
  <c r="B50" i="6" s="1"/>
  <c r="B51" i="6" s="1"/>
  <c r="B52" i="6" s="1"/>
  <c r="B53" i="6" s="1"/>
  <c r="B54" i="6" s="1"/>
  <c r="C118" i="1" l="1"/>
  <c r="E118" i="1"/>
  <c r="D7" i="8"/>
  <c r="J9" i="8"/>
  <c r="J10" i="8" s="1"/>
  <c r="J15" i="8" s="1"/>
  <c r="J16" i="8" s="1"/>
  <c r="E7" i="8" s="1"/>
  <c r="J14" i="8"/>
  <c r="J13" i="8"/>
  <c r="J11" i="8"/>
  <c r="J12" i="8"/>
  <c r="H133" i="1"/>
  <c r="G118" i="1" s="1"/>
  <c r="G7" i="8" l="1"/>
  <c r="D8" i="8"/>
  <c r="I4" i="8" s="1"/>
  <c r="J4" i="8"/>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06" i="1"/>
  <c r="B182" i="1"/>
  <c r="B181" i="1"/>
  <c r="F168" i="1"/>
  <c r="H168" i="1" s="1"/>
  <c r="F166" i="1"/>
  <c r="H166" i="1" s="1"/>
  <c r="F165" i="1"/>
  <c r="F153" i="1"/>
  <c r="H153" i="1" s="1"/>
  <c r="F152" i="1"/>
  <c r="H152" i="1" s="1"/>
  <c r="F151" i="1"/>
  <c r="H151" i="1" s="1"/>
  <c r="L151" i="1" s="1"/>
  <c r="M151" i="1" s="1"/>
  <c r="F150" i="1"/>
  <c r="H150" i="1" s="1"/>
  <c r="F149" i="1"/>
  <c r="H149" i="1" s="1"/>
  <c r="L149" i="1" s="1"/>
  <c r="M149" i="1" s="1"/>
  <c r="F145" i="1"/>
  <c r="H145" i="1" s="1"/>
  <c r="F144" i="1"/>
  <c r="H144" i="1" s="1"/>
  <c r="F143" i="1"/>
  <c r="H143" i="1" s="1"/>
  <c r="A143" i="1"/>
  <c r="A144" i="1" s="1"/>
  <c r="A145" i="1" s="1"/>
  <c r="A146" i="1" s="1"/>
  <c r="A147" i="1" s="1"/>
  <c r="F142" i="1"/>
  <c r="F135" i="1"/>
  <c r="F115" i="1"/>
  <c r="C89" i="1"/>
  <c r="B76" i="1"/>
  <c r="D69" i="1"/>
  <c r="D63" i="1"/>
  <c r="G56" i="1"/>
  <c r="C56" i="1"/>
  <c r="K54" i="1"/>
  <c r="C54" i="1"/>
  <c r="C51" i="1"/>
  <c r="C52" i="1" s="1"/>
  <c r="E44" i="1"/>
  <c r="E45" i="1" s="1"/>
  <c r="S33" i="1"/>
  <c r="E31" i="1"/>
  <c r="E28" i="1"/>
  <c r="E26" i="1"/>
  <c r="C16" i="1"/>
  <c r="I15" i="1"/>
  <c r="Z13" i="1"/>
  <c r="E8" i="1"/>
  <c r="E3" i="1"/>
  <c r="B192" i="1" s="1"/>
  <c r="H90" i="1"/>
  <c r="H142" i="1" l="1"/>
  <c r="G123" i="1" s="1"/>
  <c r="C123" i="1"/>
  <c r="E123" i="1"/>
  <c r="E125" i="1" s="1"/>
  <c r="L153" i="1"/>
  <c r="M153" i="1" s="1"/>
  <c r="I153" i="1"/>
  <c r="L150" i="1"/>
  <c r="M150" i="1" s="1"/>
  <c r="I150" i="1"/>
  <c r="H165" i="1"/>
  <c r="G124" i="1" s="1"/>
  <c r="C124" i="1"/>
  <c r="E124" i="1"/>
  <c r="J152" i="1"/>
  <c r="L152" i="1"/>
  <c r="M152" i="1" s="1"/>
  <c r="H135" i="1"/>
  <c r="G119" i="1" s="1"/>
  <c r="G120" i="1" s="1"/>
  <c r="C119" i="1"/>
  <c r="C120" i="1" s="1"/>
  <c r="E119" i="1"/>
  <c r="E120" i="1" s="1"/>
  <c r="E126" i="1" s="1"/>
  <c r="I5" i="8"/>
  <c r="I3" i="8" s="1"/>
  <c r="C5" i="8" s="1"/>
  <c r="E42" i="7"/>
  <c r="J83" i="1"/>
  <c r="J84" i="1"/>
  <c r="I42" i="7"/>
  <c r="H42" i="7" s="1"/>
  <c r="L42" i="7"/>
  <c r="K42" i="7" s="1"/>
  <c r="J89" i="1"/>
  <c r="J91" i="1" s="1"/>
  <c r="D98" i="1"/>
  <c r="D97" i="1"/>
  <c r="D102" i="1"/>
  <c r="D96" i="1"/>
  <c r="J92" i="1"/>
  <c r="D101" i="1"/>
  <c r="J94" i="1"/>
  <c r="D95" i="1"/>
  <c r="D100" i="1"/>
  <c r="J93" i="1"/>
  <c r="D99" i="1"/>
  <c r="D42" i="7"/>
  <c r="L54" i="1"/>
  <c r="B90" i="1"/>
  <c r="J85" i="1"/>
  <c r="J86" i="1"/>
  <c r="I52" i="1"/>
  <c r="H76" i="1"/>
  <c r="C125" i="1" l="1"/>
  <c r="C126" i="1" s="1"/>
  <c r="G126" i="1"/>
  <c r="G125" i="1"/>
  <c r="D87" i="1"/>
  <c r="D81" i="1"/>
  <c r="J81" i="1"/>
  <c r="J82" i="1" s="1"/>
  <c r="J87" i="1" s="1"/>
  <c r="J88" i="1" s="1"/>
  <c r="C80" i="1" s="1"/>
  <c r="E79" i="1" s="1"/>
  <c r="J80" i="1"/>
  <c r="C79" i="1" s="1"/>
  <c r="D79" i="1" s="1"/>
  <c r="D86" i="1"/>
  <c r="D85" i="1"/>
  <c r="J75" i="1"/>
  <c r="J77" i="1" s="1"/>
  <c r="D84" i="1"/>
  <c r="D88" i="1"/>
  <c r="D82" i="1"/>
  <c r="J79" i="1"/>
  <c r="J78" i="1"/>
  <c r="D83" i="1"/>
  <c r="D44" i="7"/>
  <c r="E44" i="7"/>
  <c r="D93" i="1"/>
  <c r="J98" i="1"/>
  <c r="J95" i="1"/>
  <c r="J96" i="1" s="1"/>
  <c r="J101" i="1" s="1"/>
  <c r="J102" i="1" s="1"/>
  <c r="J100" i="1"/>
  <c r="J97" i="1"/>
  <c r="J99" i="1"/>
  <c r="G79" i="1" l="1"/>
  <c r="D73" i="1" s="1"/>
  <c r="D74" i="1" s="1"/>
  <c r="D80" i="1"/>
  <c r="I76" i="1" s="1"/>
  <c r="I77" i="1" s="1"/>
  <c r="J76" i="1"/>
  <c r="E93" i="1"/>
  <c r="D94" i="1"/>
  <c r="I90" i="1" s="1"/>
  <c r="J90" i="1"/>
  <c r="G93" i="1"/>
  <c r="F74" i="1" l="1"/>
  <c r="I75" i="1"/>
  <c r="C77" i="1" s="1"/>
  <c r="I91" i="1"/>
  <c r="I89" i="1" s="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<sst xmlns="http://schemas.openxmlformats.org/spreadsheetml/2006/main" count="743" uniqueCount="449">
  <si>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</si>
  <si>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</si>
  <si>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</si>
  <si>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</si>
  <si>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</si>
  <si>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</si>
  <si>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</si>
  <si>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</si>
  <si>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</si>
  <si>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</si>
  <si>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</si>
  <si>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</si>
  <si>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</si>
  <si>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</si>
  <si>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</si>
  <si>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</si>
  <si>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</si>
  <si>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</si>
  <si>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</si>
  <si>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</si>
  <si>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</si>
  <si>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</si>
  <si>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</si>
  <si>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</si>
  <si>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</si>
  <si>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</si>
  <si>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</si>
  <si>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</si>
  <si>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</si>
  <si>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</si>
  <si>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</si>
  <si>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</si>
  <si>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</si>
  <si>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</si>
  <si>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</si>
  <si>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</si>
  <si>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</si>
  <si>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</si>
  <si>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</si>
  <si>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</si>
  <si>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</si>
  <si>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</si>
  <si>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</si>
  <si>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</si>
  <si>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</si>
  <si>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</si>
  <si>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</si>
  <si>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</si>
  <si>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</si>
  <si>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</si>
  <si>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</si>
  <si>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</si>
  <si>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</si>
  <si>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</si>
  <si>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</si>
  <si>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</si>
  <si>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</si>
  <si>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</si>
  <si>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</si>
  <si>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</si>
  <si>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</si>
  <si>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</si>
  <si>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</si>
  <si>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</si>
  <si>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</si>
  <si>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</si>
  <si>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</si>
  <si>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</si>
  <si>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</si>
  <si>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</si>
  <si>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</si>
  <si>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</si>
  <si>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</si>
  <si>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</si>
  <si>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</si>
  <si>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</si>
  <si>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</si>
  <si>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</si>
  <si>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</si>
  <si>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</si>
  <si>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</si>
  <si>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</si>
  <si>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</si>
  <si>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</si>
  <si>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</si>
  <si>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</si>
  <si>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</si>
  <si>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</si>
  <si>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</si>
  <si>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</si>
  <si>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</si>
  <si>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</si>
  <si>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</si>
  <si>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</si>
  <si>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</si>
  <si>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</si>
  <si>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</si>
  <si>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</si>
  <si>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</si>
  <si>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</si>
  <si>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</si>
  <si>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</si>
  <si>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</si>
  <si>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</si>
  <si>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</si>
  <si>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</si>
  <si>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</si>
  <si>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</si>
  <si>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</si>
  <si>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</si>
  <si>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</si>
  <si>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</si>
  <si>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</si>
  <si>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</si>
  <si>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</si>
  <si>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</si>
  <si>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</si>
  <si>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</si>
  <si>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</si>
  <si>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</si>
  <si>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</si>
  <si>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</si>
  <si>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</si>
  <si>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</si>
  <si>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</si>
  <si>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</si>
  <si>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</si>
  <si>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</si>
  <si>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</si>
  <si>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</si>
  <si>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</si>
  <si>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</si>
  <si>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</si>
  <si>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</si>
  <si>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</si>
  <si>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</si>
  <si>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</si>
  <si>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</si>
  <si>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</si>
  <si>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</si>
  <si>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</si>
  <si>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</si>
  <si>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</si>
  <si>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</si>
  <si>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</si>
  <si>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</si>
  <si>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</si>
  <si>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</si>
  <si>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</si>
  <si>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</si>
  <si>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</si>
  <si>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</si>
  <si>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</si>
  <si>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</si>
  <si>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</si>
  <si>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</si>
  <si>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</si>
  <si>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</si>
  <si>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</si>
  <si>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</si>
  <si>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</si>
  <si>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</si>
  <si>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</si>
  <si>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</si>
  <si>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</si>
  <si>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</si>
  <si>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</si>
  <si>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</si>
  <si>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</si>
  <si>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</si>
  <si>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</si>
  <si>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</si>
  <si>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</si>
  <si>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</si>
  <si>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</si>
  <si>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</si>
  <si>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</si>
  <si>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</si>
  <si>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</si>
  <si>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</si>
  <si>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</si>
  <si>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</si>
  <si>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</si>
  <si>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</si>
  <si>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</si>
  <si>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</si>
  <si>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</si>
  <si>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</si>
  <si>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</si>
  <si>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</si>
  <si>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</si>
  <si>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</si>
  <si>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</si>
  <si>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</si>
  <si>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</si>
  <si>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</si>
  <si>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</si>
  <si>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</si>
  <si>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</si>
  <si>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</si>
  <si>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</si>
  <si>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</si>
  <si>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</si>
  <si>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</si>
  <si>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</si>
  <si>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</si>
  <si>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</si>
  <si>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</si>
  <si>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</si>
  <si>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</si>
  <si>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</si>
  <si>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</si>
  <si>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</si>
  <si>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</si>
  <si>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</si>
  <si>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</si>
  <si>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</si>
  <si>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</si>
  <si>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</si>
  <si>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</si>
  <si>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</si>
  <si>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</si>
  <si>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</si>
  <si>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</si>
  <si>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</si>
  <si>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</si>
  <si>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</si>
  <si>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</si>
  <si>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</si>
  <si>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</si>
  <si>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</si>
  <si>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</si>
  <si>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</si>
  <si>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</si>
  <si>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</si>
  <si>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</si>
  <si>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</si>
  <si>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</si>
  <si>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</si>
  <si>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</si>
  <si>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</si>
  <si>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</si>
  <si>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</si>
  <si>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</si>
  <si>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</si>
  <si>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</si>
  <si>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</si>
  <si>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</si>
  <si>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</si>
  <si>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</si>
  <si>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</si>
  <si>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</si>
  <si>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</si>
  <si>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</si>
  <si>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</si>
  <si>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</si>
  <si>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</si>
  <si>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</si>
  <si>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</si>
  <si>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</si>
  <si>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</si>
  <si>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</si>
  <si>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</si>
  <si>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</si>
  <si>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</si>
  <si>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</si>
  <si>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</si>
  <si>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</si>
  <si>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</si>
  <si>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</si>
  <si>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</si>
  <si>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</si>
  <si>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</si>
  <si>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</si>
  <si>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</si>
  <si>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</si>
  <si>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</si>
  <si>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</si>
  <si>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</si>
  <si>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</si>
  <si>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</si>
  <si>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</si>
  <si>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</si>
  <si>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</si>
  <si>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</si>
  <si>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</si>
  <si>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</si>
  <si>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</si>
  <si>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</si>
  <si>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</si>
  <si>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</si>
  <si>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</si>
  <si>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</si>
  <si>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</si>
  <si>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</si>
  <si>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</si>
  <si>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</si>
  <si>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</si>
  <si>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</si>
  <si>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</si>
  <si>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</si>
  <si>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</si>
  <si>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</si>
  <si>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</si>
  <si>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</si>
  <si>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</si>
  <si>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</si>
  <si>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</si>
  <si>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</si>
  <si>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</si>
  <si>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</si>
  <si>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</si>
  <si>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</si>
  <si>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</si>
  <si>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</si>
  <si>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</si>
  <si>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</si>
  <si>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</si>
  <si>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</si>
  <si>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</si>
  <si>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</si>
  <si>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</si>
  <si>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</si>
  <si>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</si>
  <si>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</si>
  <si>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</si>
  <si>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</si>
  <si>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</si>
  <si>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</si>
  <si>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</si>
  <si>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</si>
  <si>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</si>
  <si>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</si>
  <si>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</si>
  <si>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</si>
  <si>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</si>
  <si>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</si>
  <si>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</si>
  <si>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</si>
  <si>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</si>
  <si>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</si>
  <si>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</si>
  <si>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</si>
  <si>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</si>
  <si>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</si>
  <si>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</si>
  <si>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</si>
  <si>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</si>
  <si>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</si>
  <si>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</si>
  <si>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</si>
  <si>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</si>
  <si>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</si>
  <si>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</si>
  <si>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</si>
  <si>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</si>
  <si>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</si>
  <si>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</si>
  <si>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</si>
  <si>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</si>
  <si>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</si>
  <si>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</si>
  <si>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</si>
  <si>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</si>
  <si>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</si>
  <si>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</si>
  <si>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</si>
  <si>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</si>
  <si>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</si>
  <si>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</si>
  <si>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</si>
  <si>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</si>
  <si>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</si>
  <si>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</si>
  <si>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</si>
  <si>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</si>
  <si>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</si>
  <si>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</si>
  <si>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</si>
  <si>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</si>
  <si>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</si>
  <si>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Truhome Finance</t>
  </si>
  <si>
    <t>Truhome Vasai</t>
  </si>
  <si>
    <t>Ground + 20th Floor</t>
  </si>
  <si>
    <t xml:space="preserve">Jio Finance Table </t>
  </si>
  <si>
    <t>P51700079384</t>
  </si>
  <si>
    <t>Elements</t>
  </si>
  <si>
    <t>Uma Realty</t>
  </si>
  <si>
    <t>Mr. Rohit Shah 8108106393</t>
  </si>
  <si>
    <t>Ms. Jyoti 8291910095</t>
  </si>
  <si>
    <t>Approved Plans, CC, Builder Profile, Cost Sheet</t>
  </si>
  <si>
    <t>Pranita Mhatre</t>
  </si>
  <si>
    <t>Diaghar</t>
  </si>
  <si>
    <t>28, H. No.2A</t>
  </si>
  <si>
    <t>Survey No</t>
  </si>
  <si>
    <t>5.2 KM from Nilaje Railway Station</t>
  </si>
  <si>
    <t>Elements Road</t>
  </si>
  <si>
    <t>Nilaje West</t>
  </si>
  <si>
    <t>Green woods</t>
  </si>
  <si>
    <t>Open Plot</t>
  </si>
  <si>
    <t>Elements (Building A, B &amp; C)</t>
  </si>
  <si>
    <t>Other Plot</t>
  </si>
  <si>
    <t>25 Mt Wide DP Road</t>
  </si>
  <si>
    <t>03 Wings</t>
  </si>
  <si>
    <t>TMCB/B/2025/APL/01230</t>
  </si>
  <si>
    <t>Wing A &amp; B = Stilt + 1st to 6th Floor
Wing C = Gr + 1st to 3rd Floor</t>
  </si>
  <si>
    <t>Wing C = Gr + 1st to 3rd Floor</t>
  </si>
  <si>
    <t>As per RERA -31/03/2028</t>
  </si>
  <si>
    <t>Wing C</t>
  </si>
  <si>
    <t>Ground Floor For Commercial</t>
  </si>
  <si>
    <t>Shop</t>
  </si>
  <si>
    <t>1st to 3rd Floor For Commercial</t>
  </si>
  <si>
    <r>
      <t xml:space="preserve">Shop/Office No.
</t>
    </r>
    <r>
      <rPr>
        <b/>
        <sz val="11"/>
        <rFont val="Times New Roman"/>
        <family val="1"/>
      </rPr>
      <t>(Approved Plan)</t>
    </r>
  </si>
  <si>
    <t>Shop/Office No. (Sale Plan)</t>
  </si>
  <si>
    <t>Office</t>
  </si>
  <si>
    <r>
      <t xml:space="preserve">Flat No.
</t>
    </r>
    <r>
      <rPr>
        <b/>
        <sz val="11"/>
        <rFont val="Times New Roman"/>
        <family val="1"/>
      </rPr>
      <t>(Approved Plan)</t>
    </r>
  </si>
  <si>
    <t xml:space="preserve">   </t>
  </si>
  <si>
    <t>19.145861,73.058944</t>
  </si>
  <si>
    <t>https://maps.app.goo.gl/EmJ2KfTcm7ba1CEW8</t>
  </si>
  <si>
    <r>
      <t xml:space="preserve">Proposed Amenities :                                                                                                                                                                                                                         </t>
    </r>
    <r>
      <rPr>
        <b/>
        <sz val="12"/>
        <rFont val="Times New Roman"/>
        <family val="1"/>
      </rPr>
      <t xml:space="preserve">                                               </t>
    </r>
  </si>
  <si>
    <t>Sale Plans</t>
  </si>
  <si>
    <t>Wing A &amp; B (Agni)
Wing C (Commercial)</t>
  </si>
  <si>
    <t>Gangaram parshuram Lambore</t>
  </si>
  <si>
    <t>Ground Floor For Meter Room &amp; Parking</t>
  </si>
  <si>
    <t>Ground Floor For Meter Room, Telecom Room &amp; Parking</t>
  </si>
  <si>
    <t>1st Floor For Residential</t>
  </si>
  <si>
    <t>2BHK</t>
  </si>
  <si>
    <t>1BHK</t>
  </si>
  <si>
    <t>SD Area</t>
  </si>
  <si>
    <t>-</t>
  </si>
  <si>
    <t>1st Floor For Residential  (Part Driver Room &amp; Society Office Area)</t>
  </si>
  <si>
    <t>Driver Room &amp; Society Office Area</t>
  </si>
  <si>
    <t>2nd to 5th Floor For Residential</t>
  </si>
  <si>
    <t>1RK</t>
  </si>
  <si>
    <t>Rooftop Childern's Play Area, Grand Entrance Foyer, Roof Top -Open Air Gymnasium, Childerns Play Area, Sit Out Area, CCTV Camera etc.</t>
  </si>
  <si>
    <t>6th Floor For Part Terrace Area</t>
  </si>
  <si>
    <t>Terrace Area</t>
  </si>
  <si>
    <t>We considered Gross carpet area = Net carpet + SD Area.</t>
  </si>
  <si>
    <t xml:space="preserve"> Wing A (Agni)</t>
  </si>
  <si>
    <t xml:space="preserve">Wing B (Agni) </t>
  </si>
  <si>
    <t>Wing A &amp; B (Agni) = Gr + 1st to 6th Floor
Wing C = Gr + 1st to 3rd Floor</t>
  </si>
  <si>
    <t>Agni</t>
  </si>
  <si>
    <t>Wing A &amp; B = Construction work is in process at the time of Visit. (labour found)
Wing C = Work not yet Started.</t>
  </si>
  <si>
    <t>vist</t>
  </si>
  <si>
    <t xml:space="preserve"> Wing B</t>
  </si>
  <si>
    <t xml:space="preserve"> Wing A</t>
  </si>
  <si>
    <t>Maintenance Charges (For 6 Month)</t>
  </si>
  <si>
    <t>Flats - 57, Shop - 1, Office - 3</t>
  </si>
  <si>
    <t>Wing A &amp; B (Agni) = Gr + 1st to 7th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</si>
</sst>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9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6" fillId="0" borderId="0" xfId="1" applyNumberFormat="1" applyFont="1"/>
    <xf numFmtId="0" fontId="0" fillId="0" borderId="38" xfId="0" applyBorder="1" applyAlignment="1">
      <alignment vertical="top" wrapText="1"/>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164" fontId="6" fillId="0" borderId="0" xfId="1" applyNumberFormat="1" applyFont="1" applyAlignment="1">
      <alignment horizontal="center" vertical="center"/>
    </xf>
    <xf numFmtId="2"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0" fontId="9" fillId="0" borderId="0" xfId="1" applyFont="1" applyAlignment="1">
      <alignment horizontal="center" vertical="center"/>
    </xf>
    <xf numFmtId="1" fontId="9" fillId="0" borderId="0" xfId="1" applyNumberFormat="1" applyFont="1" applyAlignment="1">
      <alignment horizontal="center" vertical="center"/>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5" fillId="0" borderId="1" xfId="1" applyFont="1" applyBorder="1" applyAlignment="1" applyProtection="1">
      <alignment horizontal="left" vertical="top"/>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1" fontId="12" fillId="3" borderId="8" xfId="1" applyNumberFormat="1" applyFont="1" applyFill="1" applyBorder="1" applyAlignment="1" applyProtection="1">
      <alignment horizontal="center" vertical="center" wrapText="1"/>
      <protection locked="0"/>
    </xf>
    <xf numFmtId="1" fontId="12" fillId="3" borderId="21" xfId="1" applyNumberFormat="1" applyFont="1" applyFill="1" applyBorder="1" applyAlignment="1" applyProtection="1">
      <alignment horizontal="center" vertical="center" wrapText="1"/>
      <protection locked="0"/>
    </xf>
    <xf numFmtId="1" fontId="12" fillId="3" borderId="9" xfId="1" applyNumberFormat="1" applyFont="1" applyFill="1" applyBorder="1" applyAlignment="1" applyProtection="1">
      <alignment horizontal="center" vertical="center"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1" fontId="9" fillId="0" borderId="33" xfId="0" applyNumberFormat="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 fontId="11" fillId="0" borderId="1" xfId="1" applyNumberFormat="1" applyFont="1" applyBorder="1" applyAlignment="1" applyProtection="1">
      <alignment horizontal="left" vertical="top" wrapText="1"/>
      <protection locked="0"/>
    </xf>
    <xf numFmtId="164" fontId="11"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25"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26" xfId="1" applyFont="1" applyBorder="1" applyAlignment="1" applyProtection="1">
      <alignment horizontal="left" vertical="top"/>
      <protection locked="0"/>
    </xf>
    <xf numFmtId="0" fontId="12" fillId="0" borderId="1" xfId="1" applyFont="1" applyBorder="1" applyAlignment="1" applyProtection="1">
      <alignment vertical="top"/>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4" fillId="0" borderId="25"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5" fillId="0" borderId="1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0" fontId="7" fillId="0" borderId="1" xfId="1" applyFont="1" applyBorder="1" applyAlignment="1" applyProtection="1">
      <alignment vertical="top"/>
      <protection locked="0"/>
    </xf>
    <xf numFmtId="1" fontId="11" fillId="0" borderId="21" xfId="1"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1" fontId="12" fillId="0" borderId="1" xfId="0" applyNumberFormat="1" applyFont="1" applyBorder="1" applyAlignment="1" applyProtection="1">
      <alignment horizontal="left" vertical="top" wrapText="1"/>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0" fontId="12" fillId="0" borderId="16" xfId="1" applyFont="1" applyBorder="1" applyAlignment="1" applyProtection="1">
      <alignment horizontal="center" vertical="top"/>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1" fontId="5" fillId="0" borderId="3"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7" fillId="0" borderId="16" xfId="1" applyFont="1" applyBorder="1" applyAlignment="1" applyProtection="1">
      <alignment horizontal="center" vertical="top"/>
      <protection locked="0"/>
    </xf>
    <xf numFmtId="0" fontId="8"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0" fillId="0" borderId="11" xfId="0" applyBorder="1" applyAlignment="1">
      <alignment horizontal="center"/>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12</xdr:col>
      <xdr:colOff>717737</xdr:colOff>
      <xdr:row>2</xdr:row>
      <xdr:rowOff>180414</xdr:rowOff>
    </xdr:from>
    <xdr:to>
      <xdr:col>21</xdr:col>
      <xdr:colOff>549969</xdr:colOff>
      <xdr:row>15</xdr:row>
      <xdr:rowOff>440820</xdr:rowOff>
    </xdr:to>
    <xdr:pic>
      <xdr:nvPicPr>
        <xdr:cNvPr id="2" name="Picture 1"/>
        <xdr:cNvPicPr>
          <a:picLocks noChangeAspect="1"/>
        </xdr:cNvPicPr>
      </xdr:nvPicPr>
      <xdr:blipFill>
        <a:blip xmlns:r="http://schemas.openxmlformats.org/officeDocument/2006/relationships" r:embed="rId1"/>
        <a:stretch>
          <a:fillRect/>
        </a:stretch>
      </xdr:blipFill>
      <xdr:spPr>
        <a:xfrm>
          <a:off x="10623737" y="987238"/>
          <a:ext cx="6320438" cy="3081486"/>
        </a:xfrm>
        <a:prstGeom prst="rect">
          <a:avLst/>
        </a:prstGeom>
      </xdr:spPr>
    </xdr:pic>
    <xdr:clientData/>
  </xdr:twoCellAnchor>
  <xdr:twoCellAnchor editAs="oneCell">
    <xdr:from>
      <xdr:col>8</xdr:col>
      <xdr:colOff>1016375</xdr:colOff>
      <xdr:row>18</xdr:row>
      <xdr:rowOff>173692</xdr:rowOff>
    </xdr:from>
    <xdr:to>
      <xdr:col>18</xdr:col>
      <xdr:colOff>373640</xdr:colOff>
      <xdr:row>32</xdr:row>
      <xdr:rowOff>21690</xdr:rowOff>
    </xdr:to>
    <xdr:pic>
      <xdr:nvPicPr>
        <xdr:cNvPr id="3" name="Picture 2"/>
        <xdr:cNvPicPr>
          <a:picLocks noChangeAspect="1"/>
        </xdr:cNvPicPr>
      </xdr:nvPicPr>
      <xdr:blipFill>
        <a:blip xmlns:r="http://schemas.openxmlformats.org/officeDocument/2006/relationships" r:embed="rId2"/>
        <a:stretch>
          <a:fillRect/>
        </a:stretch>
      </xdr:blipFill>
      <xdr:spPr>
        <a:xfrm>
          <a:off x="7325287" y="4431927"/>
          <a:ext cx="7470324" cy="2873587"/>
        </a:xfrm>
        <a:prstGeom prst="rect">
          <a:avLst/>
        </a:prstGeom>
      </xdr:spPr>
    </xdr:pic>
    <xdr:clientData/>
  </xdr:twoCellAnchor>
  <xdr:twoCellAnchor>
    <xdr:from>
      <xdr:col>0</xdr:col>
      <xdr:colOff>266501</xdr:colOff>
      <xdr:row>251</xdr:row>
      <xdr:rowOff>24719</xdr:rowOff>
    </xdr:from>
    <xdr:to>
      <xdr:col>7</xdr:col>
      <xdr:colOff>419101</xdr:colOff>
      <xdr:row>292</xdr:row>
      <xdr:rowOff>1</xdr:rowOff>
    </xdr:to>
    <xdr:grpSp>
      <xdr:nvGrpSpPr>
        <xdr:cNvPr id="35" name="Group 34"/>
        <xdr:cNvGrpSpPr/>
      </xdr:nvGrpSpPr>
      <xdr:grpSpPr>
        <a:xfrm>
          <a:off x="266501" y="50753748"/>
          <a:ext cx="5733129" cy="8245224"/>
          <a:chOff x="190300" y="58518122"/>
          <a:chExt cx="5951703" cy="8282020"/>
        </a:xfrm>
      </xdr:grpSpPr>
      <xdr:grpSp>
        <xdr:nvGrpSpPr>
          <xdr:cNvPr id="18" name="Group 17"/>
          <xdr:cNvGrpSpPr/>
        </xdr:nvGrpSpPr>
        <xdr:grpSpPr>
          <a:xfrm>
            <a:off x="190300" y="58518122"/>
            <a:ext cx="5951703" cy="8282020"/>
            <a:chOff x="190300" y="59256905"/>
            <a:chExt cx="5949754" cy="8404631"/>
          </a:xfrm>
        </xdr:grpSpPr>
        <xdr:grpSp>
          <xdr:nvGrpSpPr>
            <xdr:cNvPr id="10" name="Group 9"/>
            <xdr:cNvGrpSpPr/>
          </xdr:nvGrpSpPr>
          <xdr:grpSpPr>
            <a:xfrm>
              <a:off x="190300" y="59256905"/>
              <a:ext cx="5949754" cy="8404631"/>
              <a:chOff x="201506" y="59200875"/>
              <a:chExt cx="5949754" cy="8404631"/>
            </a:xfrm>
          </xdr:grpSpPr>
          <xdr:pic>
            <xdr:nvPicPr>
              <xdr:cNvPr id="8" name="Picture 7"/>
              <xdr:cNvPicPr>
                <a:picLocks noChangeAspect="1"/>
              </xdr:cNvPicPr>
            </xdr:nvPicPr>
            <xdr:blipFill>
              <a:blip xmlns:r="http://schemas.openxmlformats.org/officeDocument/2006/relationships" r:embed="rId3"/>
              <a:stretch>
                <a:fillRect/>
              </a:stretch>
            </xdr:blipFill>
            <xdr:spPr>
              <a:xfrm rot="16200000">
                <a:off x="-2415077" y="61817458"/>
                <a:ext cx="8404631" cy="3171465"/>
              </a:xfrm>
              <a:prstGeom prst="rect">
                <a:avLst/>
              </a:prstGeom>
              <a:ln>
                <a:solidFill>
                  <a:schemeClr val="tx1"/>
                </a:solidFill>
              </a:ln>
            </xdr:spPr>
          </xdr:pic>
          <xdr:pic>
            <xdr:nvPicPr>
              <xdr:cNvPr id="9" name="Picture 8"/>
              <xdr:cNvPicPr>
                <a:picLocks noChangeAspect="1"/>
              </xdr:cNvPicPr>
            </xdr:nvPicPr>
            <xdr:blipFill>
              <a:blip xmlns:r="http://schemas.openxmlformats.org/officeDocument/2006/relationships" r:embed="rId4"/>
              <a:stretch>
                <a:fillRect/>
              </a:stretch>
            </xdr:blipFill>
            <xdr:spPr>
              <a:xfrm>
                <a:off x="3473823" y="59208866"/>
                <a:ext cx="2677437" cy="2978567"/>
              </a:xfrm>
              <a:prstGeom prst="rect">
                <a:avLst/>
              </a:prstGeom>
              <a:ln>
                <a:solidFill>
                  <a:schemeClr val="tx1"/>
                </a:solidFill>
              </a:ln>
            </xdr:spPr>
          </xdr:pic>
        </xdr:grpSp>
        <xdr:grpSp>
          <xdr:nvGrpSpPr>
            <xdr:cNvPr id="11" name="Group 10"/>
            <xdr:cNvGrpSpPr/>
          </xdr:nvGrpSpPr>
          <xdr:grpSpPr>
            <a:xfrm rot="2316616">
              <a:off x="2868707" y="62842587"/>
              <a:ext cx="448235" cy="747520"/>
              <a:chOff x="775468" y="1490968"/>
              <a:chExt cx="474784" cy="971637"/>
            </a:xfrm>
          </xdr:grpSpPr>
          <xdr:sp macro="" textlink="">
            <xdr:nvSpPr>
              <xdr:cNvPr id="12" name="Right Arrow 11"/>
              <xdr:cNvSpPr/>
            </xdr:nvSpPr>
            <xdr:spPr>
              <a:xfrm rot="16200000">
                <a:off x="819430" y="2119704"/>
                <a:ext cx="386861" cy="298941"/>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sz="1400"/>
              </a:p>
            </xdr:txBody>
          </xdr:sp>
          <xdr:sp macro="" textlink="">
            <xdr:nvSpPr>
              <xdr:cNvPr id="13" name="TextBox 44"/>
              <xdr:cNvSpPr txBox="1"/>
            </xdr:nvSpPr>
            <xdr:spPr>
              <a:xfrm>
                <a:off x="775468" y="1490968"/>
                <a:ext cx="474784"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latin typeface="Times New Roman" panose="02020603050405020304" pitchFamily="18" charset="0"/>
                    <a:cs typeface="Times New Roman" panose="02020603050405020304" pitchFamily="18" charset="0"/>
                  </a:rPr>
                  <a:t>N</a:t>
                </a:r>
                <a:endParaRPr lang="en-IN" sz="3200" b="1">
                  <a:latin typeface="Times New Roman" panose="02020603050405020304" pitchFamily="18" charset="0"/>
                  <a:cs typeface="Times New Roman" panose="02020603050405020304" pitchFamily="18" charset="0"/>
                </a:endParaRPr>
              </a:p>
            </xdr:txBody>
          </xdr:sp>
        </xdr:grpSp>
        <xdr:grpSp>
          <xdr:nvGrpSpPr>
            <xdr:cNvPr id="14" name="Group 13"/>
            <xdr:cNvGrpSpPr/>
          </xdr:nvGrpSpPr>
          <xdr:grpSpPr>
            <a:xfrm rot="2316616">
              <a:off x="4990372" y="61460393"/>
              <a:ext cx="256793" cy="533217"/>
              <a:chOff x="740875" y="1429072"/>
              <a:chExt cx="474784" cy="944853"/>
            </a:xfrm>
          </xdr:grpSpPr>
          <xdr:sp macro="" textlink="">
            <xdr:nvSpPr>
              <xdr:cNvPr id="15" name="Right Arrow 14"/>
              <xdr:cNvSpPr/>
            </xdr:nvSpPr>
            <xdr:spPr>
              <a:xfrm rot="16200000">
                <a:off x="852858" y="2031024"/>
                <a:ext cx="386861" cy="298941"/>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sz="1400"/>
              </a:p>
            </xdr:txBody>
          </xdr:sp>
          <xdr:sp macro="" textlink="">
            <xdr:nvSpPr>
              <xdr:cNvPr id="16" name="TextBox 44"/>
              <xdr:cNvSpPr txBox="1"/>
            </xdr:nvSpPr>
            <xdr:spPr>
              <a:xfrm>
                <a:off x="740875" y="1429072"/>
                <a:ext cx="474784" cy="68615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latin typeface="Times New Roman" panose="02020603050405020304" pitchFamily="18" charset="0"/>
                    <a:cs typeface="Times New Roman" panose="02020603050405020304" pitchFamily="18" charset="0"/>
                  </a:rPr>
                  <a:t>N</a:t>
                </a:r>
                <a:endParaRPr lang="en-IN" sz="2000" b="1">
                  <a:latin typeface="Times New Roman" panose="02020603050405020304" pitchFamily="18" charset="0"/>
                  <a:cs typeface="Times New Roman" panose="02020603050405020304" pitchFamily="18" charset="0"/>
                </a:endParaRPr>
              </a:p>
            </xdr:txBody>
          </xdr:sp>
        </xdr:grpSp>
      </xdr:grpSp>
      <xdr:sp macro="" textlink="">
        <xdr:nvSpPr>
          <xdr:cNvPr id="19" name="Rectangle 18"/>
          <xdr:cNvSpPr/>
        </xdr:nvSpPr>
        <xdr:spPr>
          <a:xfrm>
            <a:off x="952500" y="59419435"/>
            <a:ext cx="1573695" cy="2103782"/>
          </a:xfrm>
          <a:prstGeom prst="rect">
            <a:avLst/>
          </a:prstGeom>
          <a:noFill/>
          <a:ln w="762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0" name="Rectangle 19"/>
          <xdr:cNvSpPr/>
        </xdr:nvSpPr>
        <xdr:spPr>
          <a:xfrm>
            <a:off x="935934" y="61622608"/>
            <a:ext cx="1573695" cy="2807805"/>
          </a:xfrm>
          <a:prstGeom prst="rect">
            <a:avLst/>
          </a:prstGeom>
          <a:noFill/>
          <a:ln w="762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1" name="Rectangle 20"/>
          <xdr:cNvSpPr/>
        </xdr:nvSpPr>
        <xdr:spPr>
          <a:xfrm rot="1997324">
            <a:off x="1498040" y="65082451"/>
            <a:ext cx="1143001" cy="1016532"/>
          </a:xfrm>
          <a:prstGeom prst="rect">
            <a:avLst/>
          </a:prstGeom>
          <a:noFill/>
          <a:ln w="762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2" name="Rectangle 21"/>
          <xdr:cNvSpPr/>
        </xdr:nvSpPr>
        <xdr:spPr>
          <a:xfrm>
            <a:off x="1225827" y="63072066"/>
            <a:ext cx="977348"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0000FF"/>
                </a:solidFill>
                <a:latin typeface="Times New Roman" panose="02020603050405020304" pitchFamily="18" charset="0"/>
                <a:cs typeface="Times New Roman" panose="02020603050405020304" pitchFamily="18" charset="0"/>
              </a:rPr>
              <a:t>Wing</a:t>
            </a:r>
            <a:r>
              <a:rPr lang="en-IN" b="1" baseline="0">
                <a:solidFill>
                  <a:srgbClr val="0000FF"/>
                </a:solidFill>
                <a:latin typeface="Times New Roman" panose="02020603050405020304" pitchFamily="18" charset="0"/>
                <a:cs typeface="Times New Roman" panose="02020603050405020304" pitchFamily="18" charset="0"/>
              </a:rPr>
              <a:t> A</a:t>
            </a:r>
            <a:endParaRPr lang="en-IN" b="1">
              <a:solidFill>
                <a:srgbClr val="0000FF"/>
              </a:solidFill>
              <a:latin typeface="Times New Roman" panose="02020603050405020304" pitchFamily="18" charset="0"/>
              <a:cs typeface="Times New Roman" panose="02020603050405020304" pitchFamily="18" charset="0"/>
            </a:endParaRPr>
          </a:p>
        </xdr:txBody>
      </xdr:sp>
      <xdr:sp macro="" textlink="">
        <xdr:nvSpPr>
          <xdr:cNvPr id="23" name="Rectangle 22"/>
          <xdr:cNvSpPr/>
        </xdr:nvSpPr>
        <xdr:spPr>
          <a:xfrm>
            <a:off x="1374915" y="60819196"/>
            <a:ext cx="977348"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0000FF"/>
                </a:solidFill>
                <a:latin typeface="Times New Roman" panose="02020603050405020304" pitchFamily="18" charset="0"/>
                <a:cs typeface="Times New Roman" panose="02020603050405020304" pitchFamily="18" charset="0"/>
              </a:rPr>
              <a:t>Wing</a:t>
            </a:r>
            <a:r>
              <a:rPr lang="en-IN" b="1" baseline="0">
                <a:solidFill>
                  <a:srgbClr val="0000FF"/>
                </a:solidFill>
                <a:latin typeface="Times New Roman" panose="02020603050405020304" pitchFamily="18" charset="0"/>
                <a:cs typeface="Times New Roman" panose="02020603050405020304" pitchFamily="18" charset="0"/>
              </a:rPr>
              <a:t> B</a:t>
            </a:r>
            <a:endParaRPr lang="en-IN" b="1">
              <a:solidFill>
                <a:srgbClr val="0000FF"/>
              </a:solidFill>
              <a:latin typeface="Times New Roman" panose="02020603050405020304" pitchFamily="18" charset="0"/>
              <a:cs typeface="Times New Roman" panose="02020603050405020304" pitchFamily="18" charset="0"/>
            </a:endParaRPr>
          </a:p>
        </xdr:txBody>
      </xdr:sp>
      <xdr:sp macro="" textlink="">
        <xdr:nvSpPr>
          <xdr:cNvPr id="34" name="Rectangle 33"/>
          <xdr:cNvSpPr/>
        </xdr:nvSpPr>
        <xdr:spPr>
          <a:xfrm rot="1542208">
            <a:off x="2029239" y="64877675"/>
            <a:ext cx="977348"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0000FF"/>
                </a:solidFill>
                <a:latin typeface="Times New Roman" panose="02020603050405020304" pitchFamily="18" charset="0"/>
                <a:cs typeface="Times New Roman" panose="02020603050405020304" pitchFamily="18" charset="0"/>
              </a:rPr>
              <a:t>Wing</a:t>
            </a:r>
            <a:r>
              <a:rPr lang="en-IN" b="1" baseline="0">
                <a:solidFill>
                  <a:srgbClr val="0000FF"/>
                </a:solidFill>
                <a:latin typeface="Times New Roman" panose="02020603050405020304" pitchFamily="18" charset="0"/>
                <a:cs typeface="Times New Roman" panose="02020603050405020304" pitchFamily="18" charset="0"/>
              </a:rPr>
              <a:t> C</a:t>
            </a:r>
            <a:endParaRPr lang="en-IN" b="1">
              <a:solidFill>
                <a:srgbClr val="0000FF"/>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373906</xdr:colOff>
      <xdr:row>206</xdr:row>
      <xdr:rowOff>118880</xdr:rowOff>
    </xdr:from>
    <xdr:to>
      <xdr:col>7</xdr:col>
      <xdr:colOff>82499</xdr:colOff>
      <xdr:row>248</xdr:row>
      <xdr:rowOff>53002</xdr:rowOff>
    </xdr:to>
    <xdr:grpSp>
      <xdr:nvGrpSpPr>
        <xdr:cNvPr id="36" name="Group 35"/>
        <xdr:cNvGrpSpPr/>
      </xdr:nvGrpSpPr>
      <xdr:grpSpPr>
        <a:xfrm>
          <a:off x="373906" y="41771145"/>
          <a:ext cx="5289122" cy="8405769"/>
          <a:chOff x="524040" y="572754"/>
          <a:chExt cx="5465870" cy="7979270"/>
        </a:xfrm>
      </xdr:grpSpPr>
      <xdr:pic>
        <xdr:nvPicPr>
          <xdr:cNvPr id="39" name="Picture 38" descr="https://vsjcllp.vsjadon.com/upload/insp-249031-874.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24337" y="572754"/>
            <a:ext cx="5112474" cy="32984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9031-883.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4040" y="4002436"/>
            <a:ext cx="1925675" cy="257024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9031-847.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77626" y="6666325"/>
            <a:ext cx="2489178" cy="187429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49031-152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563684" y="6677727"/>
            <a:ext cx="1404258" cy="187429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9031-84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565639" y="4002330"/>
            <a:ext cx="3424271" cy="257024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8</xdr:col>
      <xdr:colOff>358588</xdr:colOff>
      <xdr:row>285</xdr:row>
      <xdr:rowOff>156882</xdr:rowOff>
    </xdr:from>
    <xdr:to>
      <xdr:col>11</xdr:col>
      <xdr:colOff>776439</xdr:colOff>
      <xdr:row>300</xdr:row>
      <xdr:rowOff>141614</xdr:rowOff>
    </xdr:to>
    <xdr:pic>
      <xdr:nvPicPr>
        <xdr:cNvPr id="17" name="Picture 16"/>
        <xdr:cNvPicPr>
          <a:picLocks noChangeAspect="1"/>
        </xdr:cNvPicPr>
      </xdr:nvPicPr>
      <xdr:blipFill>
        <a:blip xmlns:r="http://schemas.openxmlformats.org/officeDocument/2006/relationships" r:embed="rId10"/>
        <a:stretch>
          <a:fillRect/>
        </a:stretch>
      </xdr:blipFill>
      <xdr:spPr>
        <a:xfrm>
          <a:off x="6667500" y="61856470"/>
          <a:ext cx="3096057" cy="3010320"/>
        </a:xfrm>
        <a:prstGeom prst="rect">
          <a:avLst/>
        </a:prstGeom>
      </xdr:spPr>
    </xdr:pic>
    <xdr:clientData/>
  </xdr:twoCellAnchor>
  <xdr:twoCellAnchor>
    <xdr:from>
      <xdr:col>0</xdr:col>
      <xdr:colOff>301999</xdr:colOff>
      <xdr:row>294</xdr:row>
      <xdr:rowOff>137830</xdr:rowOff>
    </xdr:from>
    <xdr:to>
      <xdr:col>7</xdr:col>
      <xdr:colOff>409575</xdr:colOff>
      <xdr:row>335</xdr:row>
      <xdr:rowOff>200024</xdr:rowOff>
    </xdr:to>
    <xdr:grpSp>
      <xdr:nvGrpSpPr>
        <xdr:cNvPr id="26" name="Group 25"/>
        <xdr:cNvGrpSpPr/>
      </xdr:nvGrpSpPr>
      <xdr:grpSpPr>
        <a:xfrm>
          <a:off x="301999" y="59540212"/>
          <a:ext cx="5688105" cy="8332136"/>
          <a:chOff x="425824" y="61251352"/>
          <a:chExt cx="5479676" cy="8171032"/>
        </a:xfrm>
      </xdr:grpSpPr>
      <xdr:grpSp>
        <xdr:nvGrpSpPr>
          <xdr:cNvPr id="25" name="Group 24"/>
          <xdr:cNvGrpSpPr/>
        </xdr:nvGrpSpPr>
        <xdr:grpSpPr>
          <a:xfrm>
            <a:off x="425824" y="61251352"/>
            <a:ext cx="5479676" cy="8171032"/>
            <a:chOff x="425824" y="61251352"/>
            <a:chExt cx="5479676" cy="8171032"/>
          </a:xfrm>
        </xdr:grpSpPr>
        <xdr:grpSp>
          <xdr:nvGrpSpPr>
            <xdr:cNvPr id="7" name="Group 6"/>
            <xdr:cNvGrpSpPr/>
          </xdr:nvGrpSpPr>
          <xdr:grpSpPr>
            <a:xfrm>
              <a:off x="575380" y="62858522"/>
              <a:ext cx="5073744" cy="6563862"/>
              <a:chOff x="589257" y="61647896"/>
              <a:chExt cx="4600147" cy="6129585"/>
            </a:xfrm>
          </xdr:grpSpPr>
          <xdr:pic>
            <xdr:nvPicPr>
              <xdr:cNvPr id="6" name="Picture 5"/>
              <xdr:cNvPicPr>
                <a:picLocks noChangeAspect="1"/>
              </xdr:cNvPicPr>
            </xdr:nvPicPr>
            <xdr:blipFill>
              <a:blip xmlns:r="http://schemas.openxmlformats.org/officeDocument/2006/relationships" r:embed="rId11"/>
              <a:stretch>
                <a:fillRect/>
              </a:stretch>
            </xdr:blipFill>
            <xdr:spPr>
              <a:xfrm>
                <a:off x="589257" y="64264554"/>
                <a:ext cx="4600147" cy="3512927"/>
              </a:xfrm>
              <a:prstGeom prst="rect">
                <a:avLst/>
              </a:prstGeom>
              <a:ln>
                <a:solidFill>
                  <a:schemeClr val="tx1"/>
                </a:solidFill>
              </a:ln>
            </xdr:spPr>
          </xdr:pic>
          <xdr:sp macro="" textlink="">
            <xdr:nvSpPr>
              <xdr:cNvPr id="4" name="Rectangle 3"/>
              <xdr:cNvSpPr/>
            </xdr:nvSpPr>
            <xdr:spPr>
              <a:xfrm rot="1257018">
                <a:off x="3084086" y="61647896"/>
                <a:ext cx="578908" cy="860535"/>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pic>
          <xdr:nvPicPr>
            <xdr:cNvPr id="24" name="Picture 23"/>
            <xdr:cNvPicPr>
              <a:picLocks noChangeAspect="1"/>
            </xdr:cNvPicPr>
          </xdr:nvPicPr>
          <xdr:blipFill>
            <a:blip xmlns:r="http://schemas.openxmlformats.org/officeDocument/2006/relationships" r:embed="rId12"/>
            <a:stretch>
              <a:fillRect/>
            </a:stretch>
          </xdr:blipFill>
          <xdr:spPr>
            <a:xfrm>
              <a:off x="425824" y="61251352"/>
              <a:ext cx="5479676" cy="4245016"/>
            </a:xfrm>
            <a:prstGeom prst="rect">
              <a:avLst/>
            </a:prstGeom>
            <a:ln>
              <a:solidFill>
                <a:sysClr val="windowText" lastClr="000000"/>
              </a:solidFill>
            </a:ln>
          </xdr:spPr>
        </xdr:pic>
      </xdr:grpSp>
      <xdr:sp macro="" textlink="">
        <xdr:nvSpPr>
          <xdr:cNvPr id="33" name="Rectangle 32"/>
          <xdr:cNvSpPr/>
        </xdr:nvSpPr>
        <xdr:spPr>
          <a:xfrm rot="21310746">
            <a:off x="2607904" y="62502362"/>
            <a:ext cx="1159946" cy="37517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latin typeface="Times New Roman" panose="02020603050405020304" pitchFamily="18" charset="0"/>
                <a:cs typeface="Times New Roman" panose="02020603050405020304" pitchFamily="18" charset="0"/>
              </a:rPr>
              <a:t>Elements</a:t>
            </a:r>
          </a:p>
        </xdr:txBody>
      </xdr:sp>
      <xdr:sp macro="" textlink="">
        <xdr:nvSpPr>
          <xdr:cNvPr id="44" name="Rectangle 43"/>
          <xdr:cNvSpPr/>
        </xdr:nvSpPr>
        <xdr:spPr>
          <a:xfrm rot="21332424">
            <a:off x="2944228" y="62834302"/>
            <a:ext cx="484480" cy="920933"/>
          </a:xfrm>
          <a:prstGeom prst="rect">
            <a:avLst/>
          </a:prstGeom>
          <a:noFill/>
          <a:ln w="762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9</xdr:col>
      <xdr:colOff>100853</xdr:colOff>
      <xdr:row>2</xdr:row>
      <xdr:rowOff>78441</xdr:rowOff>
    </xdr:from>
    <xdr:to>
      <xdr:col>15</xdr:col>
      <xdr:colOff>63439</xdr:colOff>
      <xdr:row>16</xdr:row>
      <xdr:rowOff>115322</xdr:rowOff>
    </xdr:to>
    <xdr:pic>
      <xdr:nvPicPr>
        <xdr:cNvPr id="27" name="Picture 26"/>
        <xdr:cNvPicPr>
          <a:picLocks noChangeAspect="1"/>
        </xdr:cNvPicPr>
      </xdr:nvPicPr>
      <xdr:blipFill>
        <a:blip xmlns:r="http://schemas.openxmlformats.org/officeDocument/2006/relationships" r:embed="rId13"/>
        <a:stretch>
          <a:fillRect/>
        </a:stretch>
      </xdr:blipFill>
      <xdr:spPr>
        <a:xfrm>
          <a:off x="7575177" y="885265"/>
          <a:ext cx="4915586" cy="3305636"/>
        </a:xfrm>
        <a:prstGeom prst="rect">
          <a:avLst/>
        </a:prstGeom>
      </xdr:spPr>
    </xdr:pic>
    <xdr:clientData/>
  </xdr:twoCellAnchor>
  <xdr:twoCellAnchor editAs="oneCell">
    <xdr:from>
      <xdr:col>15</xdr:col>
      <xdr:colOff>316836</xdr:colOff>
      <xdr:row>147</xdr:row>
      <xdr:rowOff>55772</xdr:rowOff>
    </xdr:from>
    <xdr:to>
      <xdr:col>24</xdr:col>
      <xdr:colOff>413558</xdr:colOff>
      <xdr:row>166</xdr:row>
      <xdr:rowOff>161564</xdr:rowOff>
    </xdr:to>
    <xdr:pic>
      <xdr:nvPicPr>
        <xdr:cNvPr id="28" name="Picture 27"/>
        <xdr:cNvPicPr>
          <a:picLocks noChangeAspect="1"/>
        </xdr:cNvPicPr>
      </xdr:nvPicPr>
      <xdr:blipFill>
        <a:blip xmlns:r="http://schemas.openxmlformats.org/officeDocument/2006/relationships" r:embed="rId14"/>
        <a:stretch>
          <a:fillRect/>
        </a:stretch>
      </xdr:blipFill>
      <xdr:spPr>
        <a:xfrm>
          <a:off x="12647381" y="30656999"/>
          <a:ext cx="5950267" cy="4054339"/>
        </a:xfrm>
        <a:prstGeom prst="rect">
          <a:avLst/>
        </a:prstGeom>
      </xdr:spPr>
    </xdr:pic>
    <xdr:clientData/>
  </xdr:twoCellAnchor>
  <xdr:twoCellAnchor editAs="oneCell">
    <xdr:from>
      <xdr:col>8</xdr:col>
      <xdr:colOff>990600</xdr:colOff>
      <xdr:row>51</xdr:row>
      <xdr:rowOff>76200</xdr:rowOff>
    </xdr:from>
    <xdr:to>
      <xdr:col>12</xdr:col>
      <xdr:colOff>312503</xdr:colOff>
      <xdr:row>73</xdr:row>
      <xdr:rowOff>283510</xdr:rowOff>
    </xdr:to>
    <xdr:pic>
      <xdr:nvPicPr>
        <xdr:cNvPr id="29" name="Picture 28"/>
        <xdr:cNvPicPr>
          <a:picLocks noChangeAspect="1"/>
        </xdr:cNvPicPr>
      </xdr:nvPicPr>
      <xdr:blipFill>
        <a:blip xmlns:r="http://schemas.openxmlformats.org/officeDocument/2006/relationships" r:embed="rId15"/>
        <a:stretch>
          <a:fillRect/>
        </a:stretch>
      </xdr:blipFill>
      <xdr:spPr>
        <a:xfrm>
          <a:off x="7305675" y="11563350"/>
          <a:ext cx="3000794" cy="4020111"/>
        </a:xfrm>
        <a:prstGeom prst="rect">
          <a:avLst/>
        </a:prstGeom>
      </xdr:spPr>
    </xdr:pic>
    <xdr:clientData/>
  </xdr:twoCellAnchor>
  <xdr:twoCellAnchor editAs="oneCell">
    <xdr:from>
      <xdr:col>13</xdr:col>
      <xdr:colOff>222150</xdr:colOff>
      <xdr:row>152</xdr:row>
      <xdr:rowOff>53191</xdr:rowOff>
    </xdr:from>
    <xdr:to>
      <xdr:col>20</xdr:col>
      <xdr:colOff>54852</xdr:colOff>
      <xdr:row>165</xdr:row>
      <xdr:rowOff>149726</xdr:rowOff>
    </xdr:to>
    <xdr:pic>
      <xdr:nvPicPr>
        <xdr:cNvPr id="30" name="Picture 29"/>
        <xdr:cNvPicPr>
          <a:picLocks noChangeAspect="1"/>
        </xdr:cNvPicPr>
      </xdr:nvPicPr>
      <xdr:blipFill>
        <a:blip xmlns:r="http://schemas.openxmlformats.org/officeDocument/2006/relationships" r:embed="rId16"/>
        <a:stretch>
          <a:fillRect/>
        </a:stretch>
      </xdr:blipFill>
      <xdr:spPr>
        <a:xfrm>
          <a:off x="10999007" y="31648977"/>
          <a:ext cx="4935381" cy="2749928"/>
        </a:xfrm>
        <a:prstGeom prst="rect">
          <a:avLst/>
        </a:prstGeom>
      </xdr:spPr>
    </xdr:pic>
    <xdr:clientData/>
  </xdr:twoCellAnchor>
  <xdr:twoCellAnchor editAs="oneCell">
    <xdr:from>
      <xdr:col>9</xdr:col>
      <xdr:colOff>155865</xdr:colOff>
      <xdr:row>121</xdr:row>
      <xdr:rowOff>1019</xdr:rowOff>
    </xdr:from>
    <xdr:to>
      <xdr:col>19</xdr:col>
      <xdr:colOff>77771</xdr:colOff>
      <xdr:row>133</xdr:row>
      <xdr:rowOff>161631</xdr:rowOff>
    </xdr:to>
    <xdr:pic>
      <xdr:nvPicPr>
        <xdr:cNvPr id="31" name="Picture 30"/>
        <xdr:cNvPicPr>
          <a:picLocks noChangeAspect="1"/>
        </xdr:cNvPicPr>
      </xdr:nvPicPr>
      <xdr:blipFill>
        <a:blip xmlns:r="http://schemas.openxmlformats.org/officeDocument/2006/relationships" r:embed="rId17"/>
        <a:stretch>
          <a:fillRect/>
        </a:stretch>
      </xdr:blipFill>
      <xdr:spPr>
        <a:xfrm>
          <a:off x="7620001" y="24817974"/>
          <a:ext cx="7593861" cy="3052748"/>
        </a:xfrm>
        <a:prstGeom prst="rect">
          <a:avLst/>
        </a:prstGeom>
      </xdr:spPr>
    </xdr:pic>
    <xdr:clientData/>
  </xdr:twoCellAnchor>
  <xdr:twoCellAnchor editAs="oneCell">
    <xdr:from>
      <xdr:col>13</xdr:col>
      <xdr:colOff>599996</xdr:colOff>
      <xdr:row>136</xdr:row>
      <xdr:rowOff>145037</xdr:rowOff>
    </xdr:from>
    <xdr:to>
      <xdr:col>24</xdr:col>
      <xdr:colOff>425574</xdr:colOff>
      <xdr:row>153</xdr:row>
      <xdr:rowOff>15652</xdr:rowOff>
    </xdr:to>
    <xdr:pic>
      <xdr:nvPicPr>
        <xdr:cNvPr id="32" name="Picture 31"/>
        <xdr:cNvPicPr>
          <a:picLocks noChangeAspect="1"/>
        </xdr:cNvPicPr>
      </xdr:nvPicPr>
      <xdr:blipFill>
        <a:blip xmlns:r="http://schemas.openxmlformats.org/officeDocument/2006/relationships" r:embed="rId18"/>
        <a:stretch>
          <a:fillRect/>
        </a:stretch>
      </xdr:blipFill>
      <xdr:spPr>
        <a:xfrm>
          <a:off x="11376853" y="27672287"/>
          <a:ext cx="7377542" cy="3735043"/>
        </a:xfrm>
        <a:prstGeom prst="rect">
          <a:avLst/>
        </a:prstGeom>
      </xdr:spPr>
    </xdr:pic>
    <xdr:clientData/>
  </xdr:twoCellAnchor>
  <xdr:twoCellAnchor editAs="oneCell">
    <xdr:from>
      <xdr:col>17</xdr:col>
      <xdr:colOff>308014</xdr:colOff>
      <xdr:row>140</xdr:row>
      <xdr:rowOff>194210</xdr:rowOff>
    </xdr:from>
    <xdr:to>
      <xdr:col>34</xdr:col>
      <xdr:colOff>377558</xdr:colOff>
      <xdr:row>170</xdr:row>
      <xdr:rowOff>138537</xdr:rowOff>
    </xdr:to>
    <xdr:pic>
      <xdr:nvPicPr>
        <xdr:cNvPr id="48" name="Picture 47"/>
        <xdr:cNvPicPr>
          <a:picLocks noChangeAspect="1"/>
        </xdr:cNvPicPr>
      </xdr:nvPicPr>
      <xdr:blipFill>
        <a:blip xmlns:r="http://schemas.openxmlformats.org/officeDocument/2006/relationships" r:embed="rId19"/>
        <a:stretch>
          <a:fillRect/>
        </a:stretch>
      </xdr:blipFill>
      <xdr:spPr>
        <a:xfrm>
          <a:off x="14132871" y="29340710"/>
          <a:ext cx="10696723" cy="6067541"/>
        </a:xfrm>
        <a:prstGeom prst="rect">
          <a:avLst/>
        </a:prstGeom>
      </xdr:spPr>
    </xdr:pic>
    <xdr:clientData/>
  </xdr:twoCellAnchor>
  <xdr:twoCellAnchor editAs="oneCell">
    <xdr:from>
      <xdr:col>15</xdr:col>
      <xdr:colOff>299358</xdr:colOff>
      <xdr:row>135</xdr:row>
      <xdr:rowOff>122463</xdr:rowOff>
    </xdr:from>
    <xdr:to>
      <xdr:col>29</xdr:col>
      <xdr:colOff>110081</xdr:colOff>
      <xdr:row>148</xdr:row>
      <xdr:rowOff>103836</xdr:rowOff>
    </xdr:to>
    <xdr:pic>
      <xdr:nvPicPr>
        <xdr:cNvPr id="50" name="Picture 49"/>
        <xdr:cNvPicPr>
          <a:picLocks noChangeAspect="1"/>
        </xdr:cNvPicPr>
      </xdr:nvPicPr>
      <xdr:blipFill>
        <a:blip xmlns:r="http://schemas.openxmlformats.org/officeDocument/2006/relationships" r:embed="rId20"/>
        <a:stretch>
          <a:fillRect/>
        </a:stretch>
      </xdr:blipFill>
      <xdr:spPr>
        <a:xfrm>
          <a:off x="12736287" y="27445606"/>
          <a:ext cx="8764223" cy="3029373"/>
        </a:xfrm>
        <a:prstGeom prst="rect">
          <a:avLst/>
        </a:prstGeom>
      </xdr:spPr>
    </xdr:pic>
    <xdr:clientData/>
  </xdr:twoCellAnchor>
  <xdr:twoCellAnchor editAs="oneCell">
    <xdr:from>
      <xdr:col>14</xdr:col>
      <xdr:colOff>483160</xdr:colOff>
      <xdr:row>162</xdr:row>
      <xdr:rowOff>44532</xdr:rowOff>
    </xdr:from>
    <xdr:to>
      <xdr:col>25</xdr:col>
      <xdr:colOff>259008</xdr:colOff>
      <xdr:row>185</xdr:row>
      <xdr:rowOff>8852</xdr:rowOff>
    </xdr:to>
    <xdr:pic>
      <xdr:nvPicPr>
        <xdr:cNvPr id="51" name="Picture 50"/>
        <xdr:cNvPicPr>
          <a:picLocks noChangeAspect="1"/>
        </xdr:cNvPicPr>
      </xdr:nvPicPr>
      <xdr:blipFill>
        <a:blip xmlns:r="http://schemas.openxmlformats.org/officeDocument/2006/relationships" r:embed="rId21"/>
        <a:stretch>
          <a:fillRect/>
        </a:stretch>
      </xdr:blipFill>
      <xdr:spPr>
        <a:xfrm>
          <a:off x="12086342" y="34178668"/>
          <a:ext cx="7049484" cy="4934639"/>
        </a:xfrm>
        <a:prstGeom prst="rect">
          <a:avLst/>
        </a:prstGeom>
      </xdr:spPr>
    </xdr:pic>
    <xdr:clientData/>
  </xdr:twoCellAnchor>
  <xdr:twoCellAnchor editAs="oneCell">
    <xdr:from>
      <xdr:col>11</xdr:col>
      <xdr:colOff>672353</xdr:colOff>
      <xdr:row>136</xdr:row>
      <xdr:rowOff>313765</xdr:rowOff>
    </xdr:from>
    <xdr:to>
      <xdr:col>21</xdr:col>
      <xdr:colOff>493519</xdr:colOff>
      <xdr:row>146</xdr:row>
      <xdr:rowOff>65298</xdr:rowOff>
    </xdr:to>
    <xdr:pic>
      <xdr:nvPicPr>
        <xdr:cNvPr id="52" name="Picture 51"/>
        <xdr:cNvPicPr>
          <a:picLocks noChangeAspect="1"/>
        </xdr:cNvPicPr>
      </xdr:nvPicPr>
      <xdr:blipFill>
        <a:blip xmlns:r="http://schemas.openxmlformats.org/officeDocument/2006/relationships" r:embed="rId22"/>
        <a:stretch>
          <a:fillRect/>
        </a:stretch>
      </xdr:blipFill>
      <xdr:spPr>
        <a:xfrm>
          <a:off x="9659471" y="27846618"/>
          <a:ext cx="7306695" cy="2172003"/>
        </a:xfrm>
        <a:prstGeom prst="rect">
          <a:avLst/>
        </a:prstGeom>
      </xdr:spPr>
    </xdr:pic>
    <xdr:clientData/>
  </xdr:twoCellAnchor>
  <xdr:twoCellAnchor editAs="oneCell">
    <xdr:from>
      <xdr:col>9</xdr:col>
      <xdr:colOff>182019</xdr:colOff>
      <xdr:row>94</xdr:row>
      <xdr:rowOff>150317</xdr:rowOff>
    </xdr:from>
    <xdr:to>
      <xdr:col>17</xdr:col>
      <xdr:colOff>593017</xdr:colOff>
      <xdr:row>107</xdr:row>
      <xdr:rowOff>115301</xdr:rowOff>
    </xdr:to>
    <xdr:pic>
      <xdr:nvPicPr>
        <xdr:cNvPr id="54" name="Picture 53"/>
        <xdr:cNvPicPr>
          <a:picLocks noChangeAspect="1"/>
        </xdr:cNvPicPr>
      </xdr:nvPicPr>
      <xdr:blipFill>
        <a:blip xmlns:r="http://schemas.openxmlformats.org/officeDocument/2006/relationships" r:embed="rId23"/>
        <a:stretch>
          <a:fillRect/>
        </a:stretch>
      </xdr:blipFill>
      <xdr:spPr>
        <a:xfrm>
          <a:off x="7656343" y="19995935"/>
          <a:ext cx="6753527" cy="2587160"/>
        </a:xfrm>
        <a:prstGeom prst="rect">
          <a:avLst/>
        </a:prstGeom>
      </xdr:spPr>
    </xdr:pic>
    <xdr:clientData/>
  </xdr:twoCellAnchor>
  <xdr:twoCellAnchor editAs="oneCell">
    <xdr:from>
      <xdr:col>8</xdr:col>
      <xdr:colOff>795618</xdr:colOff>
      <xdr:row>107</xdr:row>
      <xdr:rowOff>201705</xdr:rowOff>
    </xdr:from>
    <xdr:to>
      <xdr:col>20</xdr:col>
      <xdr:colOff>10750</xdr:colOff>
      <xdr:row>123</xdr:row>
      <xdr:rowOff>116838</xdr:rowOff>
    </xdr:to>
    <xdr:pic>
      <xdr:nvPicPr>
        <xdr:cNvPr id="55" name="Picture 54"/>
        <xdr:cNvPicPr>
          <a:picLocks noChangeAspect="1"/>
        </xdr:cNvPicPr>
      </xdr:nvPicPr>
      <xdr:blipFill>
        <a:blip xmlns:r="http://schemas.openxmlformats.org/officeDocument/2006/relationships" r:embed="rId24"/>
        <a:stretch>
          <a:fillRect/>
        </a:stretch>
      </xdr:blipFill>
      <xdr:spPr>
        <a:xfrm>
          <a:off x="7104530" y="22669499"/>
          <a:ext cx="8773749" cy="2133898"/>
        </a:xfrm>
        <a:prstGeom prst="rect">
          <a:avLst/>
        </a:prstGeom>
      </xdr:spPr>
    </xdr:pic>
    <xdr:clientData/>
  </xdr:twoCellAnchor>
  <xdr:twoCellAnchor editAs="oneCell">
    <xdr:from>
      <xdr:col>8</xdr:col>
      <xdr:colOff>605117</xdr:colOff>
      <xdr:row>0</xdr:row>
      <xdr:rowOff>0</xdr:rowOff>
    </xdr:from>
    <xdr:to>
      <xdr:col>14</xdr:col>
      <xdr:colOff>733063</xdr:colOff>
      <xdr:row>15</xdr:row>
      <xdr:rowOff>343453</xdr:rowOff>
    </xdr:to>
    <xdr:pic>
      <xdr:nvPicPr>
        <xdr:cNvPr id="5" name="Picture 4"/>
        <xdr:cNvPicPr>
          <a:picLocks noChangeAspect="1"/>
        </xdr:cNvPicPr>
      </xdr:nvPicPr>
      <xdr:blipFill>
        <a:blip xmlns:r="http://schemas.openxmlformats.org/officeDocument/2006/relationships" r:embed="rId25"/>
        <a:stretch>
          <a:fillRect/>
        </a:stretch>
      </xdr:blipFill>
      <xdr:spPr>
        <a:xfrm>
          <a:off x="6914029" y="0"/>
          <a:ext cx="5439534" cy="3962953"/>
        </a:xfrm>
        <a:prstGeom prst="rect">
          <a:avLst/>
        </a:prstGeom>
      </xdr:spPr>
    </xdr:pic>
    <xdr:clientData/>
  </xdr:twoCellAnchor>
  <xdr:twoCellAnchor editAs="oneCell">
    <xdr:from>
      <xdr:col>11</xdr:col>
      <xdr:colOff>779318</xdr:colOff>
      <xdr:row>136</xdr:row>
      <xdr:rowOff>242455</xdr:rowOff>
    </xdr:from>
    <xdr:to>
      <xdr:col>16</xdr:col>
      <xdr:colOff>135581</xdr:colOff>
      <xdr:row>151</xdr:row>
      <xdr:rowOff>165869</xdr:rowOff>
    </xdr:to>
    <xdr:pic>
      <xdr:nvPicPr>
        <xdr:cNvPr id="37" name="Picture 36"/>
        <xdr:cNvPicPr>
          <a:picLocks noChangeAspect="1"/>
        </xdr:cNvPicPr>
      </xdr:nvPicPr>
      <xdr:blipFill>
        <a:blip xmlns:r="http://schemas.openxmlformats.org/officeDocument/2006/relationships" r:embed="rId26"/>
        <a:stretch>
          <a:fillRect/>
        </a:stretch>
      </xdr:blipFill>
      <xdr:spPr>
        <a:xfrm>
          <a:off x="9750136" y="28575000"/>
          <a:ext cx="3581900" cy="34390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EmJ2KfTcm7ba1CEW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94"/>
  <sheetViews>
    <sheetView tabSelected="1" view="pageBreakPreview" topLeftCell="A50" zoomScale="85" zoomScaleNormal="100" zoomScaleSheetLayoutView="85" zoomScalePageLayoutView="85" workbookViewId="0">
      <selection activeCell="M63" sqref="M63"/>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40" t="s">
        <v>372</v>
      </c>
      <c r="B1" s="240"/>
      <c r="C1" s="240"/>
      <c r="D1" s="240"/>
      <c r="E1" s="240"/>
      <c r="F1" s="240"/>
      <c r="G1" s="240"/>
      <c r="H1" s="240"/>
    </row>
    <row r="2" spans="1:26" ht="16.5" customHeight="1" x14ac:dyDescent="0.25">
      <c r="A2" s="241" t="s">
        <v>0</v>
      </c>
      <c r="B2" s="241"/>
      <c r="C2" s="241"/>
      <c r="D2" s="241"/>
      <c r="E2" s="241"/>
      <c r="F2" s="241"/>
      <c r="G2" s="241"/>
      <c r="H2" s="241"/>
    </row>
    <row r="3" spans="1:26" x14ac:dyDescent="0.25">
      <c r="A3" s="133" t="s">
        <v>1</v>
      </c>
      <c r="B3" s="133"/>
      <c r="C3" s="133"/>
      <c r="D3" s="133"/>
      <c r="E3" s="133" t="str">
        <f ca="1">TEXT(TODAY(),"DD/MM/YYYY")</f>
        <v>26/09/2025</v>
      </c>
      <c r="F3" s="133"/>
      <c r="G3" s="133"/>
      <c r="H3" s="133"/>
      <c r="K3" s="55" t="s">
        <v>229</v>
      </c>
      <c r="L3" s="54" t="s">
        <v>227</v>
      </c>
      <c r="M3" s="54" t="s">
        <v>232</v>
      </c>
      <c r="N3" s="54" t="s">
        <v>381</v>
      </c>
      <c r="O3" s="54" t="s">
        <v>349</v>
      </c>
      <c r="P3" s="54" t="s">
        <v>375</v>
      </c>
    </row>
    <row r="4" spans="1:26" ht="15" customHeight="1" x14ac:dyDescent="0.25">
      <c r="A4" s="133" t="s">
        <v>226</v>
      </c>
      <c r="B4" s="133"/>
      <c r="C4" s="133"/>
      <c r="D4" s="133"/>
      <c r="E4" s="133" t="s">
        <v>227</v>
      </c>
      <c r="F4" s="133"/>
      <c r="G4" s="133"/>
      <c r="H4" s="133"/>
      <c r="K4" s="53" t="s">
        <v>228</v>
      </c>
      <c r="L4" s="54" t="s">
        <v>164</v>
      </c>
      <c r="M4" s="54" t="s">
        <v>237</v>
      </c>
      <c r="N4" s="54" t="s">
        <v>382</v>
      </c>
      <c r="O4" s="54" t="s">
        <v>334</v>
      </c>
      <c r="P4" s="54" t="s">
        <v>376</v>
      </c>
    </row>
    <row r="5" spans="1:26" ht="15" customHeight="1" x14ac:dyDescent="0.25">
      <c r="A5" s="133" t="s">
        <v>2</v>
      </c>
      <c r="B5" s="133"/>
      <c r="C5" s="133"/>
      <c r="D5" s="133"/>
      <c r="E5" s="133" t="s">
        <v>235</v>
      </c>
      <c r="F5" s="133"/>
      <c r="G5" s="133"/>
      <c r="H5" s="133"/>
      <c r="K5" s="53"/>
      <c r="L5" s="54" t="s">
        <v>234</v>
      </c>
      <c r="M5" s="54" t="s">
        <v>238</v>
      </c>
      <c r="N5" s="54" t="s">
        <v>240</v>
      </c>
      <c r="O5" s="54" t="s">
        <v>335</v>
      </c>
      <c r="P5" s="54"/>
    </row>
    <row r="6" spans="1:26" x14ac:dyDescent="0.25">
      <c r="A6" s="133" t="s">
        <v>3</v>
      </c>
      <c r="B6" s="133"/>
      <c r="C6" s="133"/>
      <c r="D6" s="133"/>
      <c r="E6" s="242">
        <v>45924</v>
      </c>
      <c r="F6" s="133"/>
      <c r="G6" s="133"/>
      <c r="H6" s="133"/>
      <c r="K6" s="53"/>
      <c r="L6" s="54" t="s">
        <v>235</v>
      </c>
      <c r="M6" s="54" t="s">
        <v>347</v>
      </c>
      <c r="N6" s="54"/>
      <c r="O6" s="54" t="s">
        <v>336</v>
      </c>
      <c r="P6" s="54"/>
    </row>
    <row r="7" spans="1:26" ht="16.5" customHeight="1" x14ac:dyDescent="0.25">
      <c r="A7" s="133" t="s">
        <v>4</v>
      </c>
      <c r="B7" s="133"/>
      <c r="C7" s="133"/>
      <c r="D7" s="133"/>
      <c r="E7" s="133" t="s">
        <v>387</v>
      </c>
      <c r="F7" s="133"/>
      <c r="G7" s="133"/>
      <c r="H7" s="133"/>
      <c r="K7" s="53"/>
      <c r="L7" s="54" t="s">
        <v>236</v>
      </c>
      <c r="M7" s="54"/>
      <c r="N7" s="54"/>
      <c r="O7" s="54" t="s">
        <v>336</v>
      </c>
      <c r="P7" s="54"/>
    </row>
    <row r="8" spans="1:26" ht="15" customHeight="1" x14ac:dyDescent="0.25">
      <c r="A8" s="133" t="s">
        <v>5</v>
      </c>
      <c r="B8" s="133"/>
      <c r="C8" s="133"/>
      <c r="D8" s="133"/>
      <c r="E8" s="133" t="str">
        <f>E7</f>
        <v>Uma Realty</v>
      </c>
      <c r="F8" s="133"/>
      <c r="G8" s="133"/>
      <c r="H8" s="133"/>
      <c r="K8" s="53"/>
      <c r="L8" s="54"/>
      <c r="M8" s="54"/>
      <c r="N8" s="54"/>
      <c r="O8" s="54" t="s">
        <v>337</v>
      </c>
      <c r="P8" s="54"/>
    </row>
    <row r="9" spans="1:26" x14ac:dyDescent="0.25">
      <c r="A9" s="133" t="s">
        <v>6</v>
      </c>
      <c r="B9" s="133"/>
      <c r="C9" s="133"/>
      <c r="D9" s="133"/>
      <c r="E9" s="184" t="s">
        <v>386</v>
      </c>
      <c r="F9" s="184"/>
      <c r="G9" s="184"/>
      <c r="H9" s="184"/>
      <c r="K9" s="53"/>
      <c r="L9" s="54"/>
      <c r="M9" s="54"/>
      <c r="N9" s="54"/>
      <c r="O9" s="54" t="s">
        <v>338</v>
      </c>
      <c r="P9" s="54"/>
    </row>
    <row r="10" spans="1:26" x14ac:dyDescent="0.25">
      <c r="A10" s="133" t="s">
        <v>161</v>
      </c>
      <c r="B10" s="133"/>
      <c r="C10" s="133"/>
      <c r="D10" s="133"/>
      <c r="E10" s="133" t="s">
        <v>388</v>
      </c>
      <c r="F10" s="133"/>
      <c r="G10" s="133"/>
      <c r="H10" s="133"/>
      <c r="K10" s="53"/>
      <c r="L10" s="54"/>
      <c r="M10" s="54"/>
      <c r="N10" s="54"/>
      <c r="O10" s="54" t="s">
        <v>339</v>
      </c>
      <c r="P10" s="54"/>
    </row>
    <row r="11" spans="1:26" x14ac:dyDescent="0.25">
      <c r="A11" s="133" t="s">
        <v>162</v>
      </c>
      <c r="B11" s="133"/>
      <c r="C11" s="133"/>
      <c r="D11" s="133"/>
      <c r="E11" s="133" t="s">
        <v>389</v>
      </c>
      <c r="F11" s="133"/>
      <c r="G11" s="133"/>
      <c r="H11" s="133"/>
      <c r="O11" s="54" t="s">
        <v>340</v>
      </c>
    </row>
    <row r="12" spans="1:26" ht="33" customHeight="1" x14ac:dyDescent="0.25">
      <c r="A12" s="133" t="s">
        <v>7</v>
      </c>
      <c r="B12" s="133"/>
      <c r="C12" s="133"/>
      <c r="D12" s="133"/>
      <c r="E12" s="164" t="s">
        <v>421</v>
      </c>
      <c r="F12" s="133"/>
      <c r="G12" s="133"/>
      <c r="H12" s="133"/>
    </row>
    <row r="13" spans="1:26" x14ac:dyDescent="0.25">
      <c r="A13" s="133" t="s">
        <v>165</v>
      </c>
      <c r="B13" s="133"/>
      <c r="C13" s="133"/>
      <c r="D13" s="133"/>
      <c r="E13" s="133" t="s">
        <v>28</v>
      </c>
      <c r="F13" s="133"/>
      <c r="G13" s="133"/>
      <c r="H13" s="133"/>
      <c r="S13" s="54" t="s">
        <v>173</v>
      </c>
      <c r="T13" s="54" t="s">
        <v>182</v>
      </c>
      <c r="U13" s="54" t="s">
        <v>166</v>
      </c>
      <c r="V13" s="54" t="s">
        <v>187</v>
      </c>
      <c r="W13" s="54" t="s">
        <v>205</v>
      </c>
      <c r="X13"/>
      <c r="Y13" t="s">
        <v>187</v>
      </c>
      <c r="Z13" t="e">
        <f ca="1">OFFSET($S$13,1,MATCH($G20,$S$13:$W$13,0)-1,15,1)</f>
        <v>#VALUE!</v>
      </c>
    </row>
    <row r="14" spans="1:26" x14ac:dyDescent="0.25">
      <c r="A14" s="133" t="s">
        <v>272</v>
      </c>
      <c r="B14" s="133"/>
      <c r="C14" s="133"/>
      <c r="D14" s="133"/>
      <c r="E14" s="164" t="s">
        <v>390</v>
      </c>
      <c r="F14" s="164"/>
      <c r="G14" s="164"/>
      <c r="H14" s="164"/>
      <c r="S14" s="54" t="s">
        <v>173</v>
      </c>
      <c r="T14" s="54" t="s">
        <v>180</v>
      </c>
      <c r="U14" s="54" t="s">
        <v>202</v>
      </c>
      <c r="V14" s="54" t="s">
        <v>188</v>
      </c>
      <c r="W14" s="54" t="s">
        <v>206</v>
      </c>
      <c r="X14"/>
      <c r="Y14"/>
      <c r="Z14"/>
    </row>
    <row r="15" spans="1:26" x14ac:dyDescent="0.25">
      <c r="A15" s="133" t="s">
        <v>8</v>
      </c>
      <c r="B15" s="133"/>
      <c r="C15" s="133"/>
      <c r="D15" s="133"/>
      <c r="E15" s="164" t="s">
        <v>385</v>
      </c>
      <c r="F15" s="133"/>
      <c r="G15" s="133"/>
      <c r="H15" s="133"/>
      <c r="I15" s="253" t="e">
        <f ca="1">OFFSET($D$5,1,MATCH($J13,$D$5:$H$5,0)-1,15,1)</f>
        <v>#N/A</v>
      </c>
      <c r="J15" s="254"/>
      <c r="K15" s="254"/>
      <c r="L15" s="254"/>
      <c r="M15" s="254"/>
      <c r="N15" s="254"/>
      <c r="O15" s="254"/>
      <c r="P15" s="254"/>
      <c r="S15" s="54" t="s">
        <v>174</v>
      </c>
      <c r="T15" s="54" t="s">
        <v>181</v>
      </c>
      <c r="U15" s="54" t="s">
        <v>203</v>
      </c>
      <c r="V15" s="54" t="s">
        <v>189</v>
      </c>
      <c r="W15" s="54" t="s">
        <v>219</v>
      </c>
      <c r="X15"/>
      <c r="Y15"/>
      <c r="Z15"/>
    </row>
    <row r="16" spans="1:26" ht="35.25" customHeight="1" x14ac:dyDescent="0.25">
      <c r="A16" s="164" t="s">
        <v>9</v>
      </c>
      <c r="B16" s="164"/>
      <c r="C16" s="164" t="str">
        <f>CONCATENATE((IF(OR(E9="",E9="NA"),"",E9)),", ",(IF(OR(A17="",A17="NA"),"",A17)),".",(IF(OR(C17="",C17="NA"),"",C17)),", near ",(IF(OR(C22="",C22="NA"),"",C22)),", ",(IF(OR(C19="",C19="NA"),"",C19)),", ",(IF(OR(C18="",C18="NA"),"",C18)),", ",(IF(OR(G19="",G19="NA"),"",G19)),", ",(IF(OR(C20="",C20="NA"),"",C20)),", ",(IF(OR(C21="",C21="NA"),"",C21)),", ",(IF(OR(G20="",G20="NA"),"",G20))," - ",(IF(OR(G21="",G21="NA"),"",G21)),".")</f>
        <v>Elements, Survey No.28, H. No.2A, near Green woods, Elements Road, Diaghar, Diaghar, Nilaje West, Thane, Thane - 421204.</v>
      </c>
      <c r="D16" s="164"/>
      <c r="E16" s="164"/>
      <c r="F16" s="164"/>
      <c r="G16" s="164"/>
      <c r="H16" s="164"/>
      <c r="S16" s="54" t="s">
        <v>175</v>
      </c>
      <c r="T16" s="54" t="s">
        <v>183</v>
      </c>
      <c r="U16" s="54" t="s">
        <v>204</v>
      </c>
      <c r="V16" s="54" t="s">
        <v>190</v>
      </c>
      <c r="W16" s="54" t="s">
        <v>207</v>
      </c>
      <c r="X16"/>
      <c r="Y16"/>
      <c r="Z16"/>
    </row>
    <row r="17" spans="1:26" x14ac:dyDescent="0.25">
      <c r="A17" s="164" t="s">
        <v>394</v>
      </c>
      <c r="B17" s="164"/>
      <c r="C17" s="164" t="s">
        <v>393</v>
      </c>
      <c r="D17" s="164"/>
      <c r="E17" s="164"/>
      <c r="F17" s="164"/>
      <c r="G17" s="164"/>
      <c r="H17" s="164"/>
      <c r="S17" s="54" t="s">
        <v>176</v>
      </c>
      <c r="T17" s="54" t="s">
        <v>184</v>
      </c>
      <c r="U17" s="54" t="s">
        <v>166</v>
      </c>
      <c r="V17" s="54" t="s">
        <v>191</v>
      </c>
      <c r="W17" s="54" t="s">
        <v>208</v>
      </c>
      <c r="X17"/>
      <c r="Y17"/>
      <c r="Z17"/>
    </row>
    <row r="18" spans="1:26" ht="15.75" customHeight="1" x14ac:dyDescent="0.25">
      <c r="A18" s="164" t="s">
        <v>157</v>
      </c>
      <c r="B18" s="164"/>
      <c r="C18" s="164" t="s">
        <v>392</v>
      </c>
      <c r="D18" s="164"/>
      <c r="E18" s="164"/>
      <c r="F18" s="164"/>
      <c r="G18" s="164"/>
      <c r="H18" s="164"/>
      <c r="S18" s="54" t="s">
        <v>177</v>
      </c>
      <c r="T18" s="54" t="s">
        <v>182</v>
      </c>
      <c r="U18" s="54"/>
      <c r="V18" s="54" t="s">
        <v>192</v>
      </c>
      <c r="W18" s="54" t="s">
        <v>209</v>
      </c>
      <c r="X18"/>
      <c r="Y18"/>
      <c r="Z18"/>
    </row>
    <row r="19" spans="1:26" ht="15.75" customHeight="1" x14ac:dyDescent="0.25">
      <c r="A19" s="230" t="s">
        <v>10</v>
      </c>
      <c r="B19" s="230"/>
      <c r="C19" s="133" t="s">
        <v>396</v>
      </c>
      <c r="D19" s="133"/>
      <c r="E19" s="164" t="s">
        <v>69</v>
      </c>
      <c r="F19" s="164"/>
      <c r="G19" s="164" t="s">
        <v>392</v>
      </c>
      <c r="H19" s="164"/>
      <c r="S19" s="54" t="s">
        <v>178</v>
      </c>
      <c r="T19" s="54" t="s">
        <v>185</v>
      </c>
      <c r="U19" s="54"/>
      <c r="V19" s="54" t="s">
        <v>193</v>
      </c>
      <c r="W19" s="54" t="s">
        <v>210</v>
      </c>
      <c r="X19"/>
      <c r="Y19"/>
      <c r="Z19"/>
    </row>
    <row r="20" spans="1:26" x14ac:dyDescent="0.25">
      <c r="A20" s="162" t="s">
        <v>12</v>
      </c>
      <c r="B20" s="162"/>
      <c r="C20" s="164" t="s">
        <v>397</v>
      </c>
      <c r="D20" s="164"/>
      <c r="E20" s="164" t="s">
        <v>11</v>
      </c>
      <c r="F20" s="164"/>
      <c r="G20" s="239" t="s">
        <v>173</v>
      </c>
      <c r="H20" s="239"/>
      <c r="S20" s="54" t="s">
        <v>179</v>
      </c>
      <c r="T20" s="54" t="s">
        <v>186</v>
      </c>
      <c r="U20" s="54"/>
      <c r="V20" s="54" t="s">
        <v>194</v>
      </c>
      <c r="W20" s="54" t="s">
        <v>211</v>
      </c>
      <c r="X20"/>
      <c r="Y20"/>
      <c r="Z20"/>
    </row>
    <row r="21" spans="1:26" x14ac:dyDescent="0.25">
      <c r="A21" s="162" t="s">
        <v>70</v>
      </c>
      <c r="B21" s="162"/>
      <c r="C21" s="164" t="s">
        <v>173</v>
      </c>
      <c r="D21" s="164"/>
      <c r="E21" s="164" t="s">
        <v>13</v>
      </c>
      <c r="F21" s="164"/>
      <c r="G21" s="164">
        <v>421204</v>
      </c>
      <c r="H21" s="164"/>
      <c r="S21" s="54"/>
      <c r="T21" s="54"/>
      <c r="U21" s="54"/>
      <c r="V21" s="54" t="s">
        <v>195</v>
      </c>
      <c r="W21" s="54" t="s">
        <v>212</v>
      </c>
      <c r="X21"/>
      <c r="Y21"/>
      <c r="Z21"/>
    </row>
    <row r="22" spans="1:26" ht="32.25" customHeight="1" x14ac:dyDescent="0.25">
      <c r="A22" s="162" t="s">
        <v>115</v>
      </c>
      <c r="B22" s="162"/>
      <c r="C22" s="164" t="s">
        <v>398</v>
      </c>
      <c r="D22" s="164"/>
      <c r="E22" s="230" t="s">
        <v>14</v>
      </c>
      <c r="F22" s="230"/>
      <c r="G22" s="164" t="s">
        <v>395</v>
      </c>
      <c r="H22" s="164"/>
      <c r="S22" s="54"/>
      <c r="T22" s="54"/>
      <c r="U22" s="54"/>
      <c r="V22" s="54" t="s">
        <v>196</v>
      </c>
      <c r="W22" s="54" t="s">
        <v>213</v>
      </c>
      <c r="X22"/>
      <c r="Y22"/>
      <c r="Z22"/>
    </row>
    <row r="23" spans="1:26" ht="15" customHeight="1" x14ac:dyDescent="0.25">
      <c r="A23" s="230" t="s">
        <v>72</v>
      </c>
      <c r="B23" s="230"/>
      <c r="C23" s="230"/>
      <c r="D23" s="230"/>
      <c r="E23" s="133" t="s">
        <v>15</v>
      </c>
      <c r="F23" s="133"/>
      <c r="G23" s="133"/>
      <c r="H23" s="133"/>
      <c r="S23" s="54"/>
      <c r="T23" s="54"/>
      <c r="U23" s="54"/>
      <c r="V23" s="54" t="s">
        <v>197</v>
      </c>
      <c r="W23" s="54" t="s">
        <v>214</v>
      </c>
      <c r="X23"/>
      <c r="Y23"/>
      <c r="Z23"/>
    </row>
    <row r="24" spans="1:26" ht="18.75" customHeight="1" x14ac:dyDescent="0.25">
      <c r="A24" s="230"/>
      <c r="B24" s="230"/>
      <c r="C24" s="230"/>
      <c r="D24" s="230"/>
      <c r="E24" s="133"/>
      <c r="F24" s="133"/>
      <c r="G24" s="133"/>
      <c r="H24" s="133"/>
      <c r="S24" s="54"/>
      <c r="T24" s="54"/>
      <c r="U24" s="54"/>
      <c r="V24" s="54" t="s">
        <v>198</v>
      </c>
      <c r="W24" s="54" t="s">
        <v>215</v>
      </c>
      <c r="X24"/>
      <c r="Y24"/>
      <c r="Z24"/>
    </row>
    <row r="25" spans="1:26" ht="15" customHeight="1" x14ac:dyDescent="0.25">
      <c r="A25" s="230" t="s">
        <v>16</v>
      </c>
      <c r="B25" s="230"/>
      <c r="C25" s="230"/>
      <c r="D25" s="230"/>
      <c r="E25" s="164" t="s">
        <v>17</v>
      </c>
      <c r="F25" s="164"/>
      <c r="G25" s="164"/>
      <c r="H25" s="164"/>
      <c r="S25" s="54"/>
      <c r="T25" s="54"/>
      <c r="U25" s="54"/>
      <c r="V25" s="54" t="s">
        <v>199</v>
      </c>
      <c r="W25" s="54" t="s">
        <v>216</v>
      </c>
      <c r="X25"/>
      <c r="Y25"/>
      <c r="Z25"/>
    </row>
    <row r="26" spans="1:26" ht="15" customHeight="1" x14ac:dyDescent="0.25">
      <c r="A26" s="162" t="s">
        <v>18</v>
      </c>
      <c r="B26" s="162"/>
      <c r="C26" s="162"/>
      <c r="D26" s="162"/>
      <c r="E26" s="164" t="str">
        <f>IF(AND(G20="Mumbai"),"Upper Class","Middle Class")</f>
        <v>Middle Class</v>
      </c>
      <c r="F26" s="164"/>
      <c r="G26" s="164"/>
      <c r="H26" s="164"/>
      <c r="S26" s="54"/>
      <c r="T26" s="54"/>
      <c r="U26" s="54"/>
      <c r="V26" s="54" t="s">
        <v>200</v>
      </c>
      <c r="W26" s="54" t="s">
        <v>217</v>
      </c>
      <c r="X26"/>
      <c r="Y26"/>
      <c r="Z26"/>
    </row>
    <row r="27" spans="1:26" x14ac:dyDescent="0.25">
      <c r="A27" s="162" t="s">
        <v>19</v>
      </c>
      <c r="B27" s="162"/>
      <c r="C27" s="162"/>
      <c r="D27" s="162"/>
      <c r="E27" s="164" t="s">
        <v>20</v>
      </c>
      <c r="F27" s="164"/>
      <c r="G27" s="164"/>
      <c r="H27" s="164"/>
      <c r="S27" s="54"/>
      <c r="T27" s="54"/>
      <c r="U27" s="54"/>
      <c r="V27" s="54" t="s">
        <v>201</v>
      </c>
      <c r="W27" s="54" t="s">
        <v>218</v>
      </c>
      <c r="X27"/>
      <c r="Y27"/>
      <c r="Z27"/>
    </row>
    <row r="28" spans="1:26" ht="15.75" customHeight="1" x14ac:dyDescent="0.25">
      <c r="A28" s="162" t="s">
        <v>21</v>
      </c>
      <c r="B28" s="162"/>
      <c r="C28" s="162"/>
      <c r="D28" s="162"/>
      <c r="E28" s="164" t="str">
        <f>IF(AND(G20="Mumbai"),"Developed","Developing")</f>
        <v>Developing</v>
      </c>
      <c r="F28" s="164"/>
      <c r="G28" s="164"/>
      <c r="H28" s="164"/>
    </row>
    <row r="29" spans="1:26" x14ac:dyDescent="0.25">
      <c r="A29" s="162" t="s">
        <v>22</v>
      </c>
      <c r="B29" s="162"/>
      <c r="C29" s="162"/>
      <c r="D29" s="162"/>
      <c r="E29" s="164" t="s">
        <v>23</v>
      </c>
      <c r="F29" s="164"/>
      <c r="G29" s="164"/>
      <c r="H29" s="164"/>
    </row>
    <row r="30" spans="1:26" ht="15.75" customHeight="1" x14ac:dyDescent="0.25">
      <c r="A30" s="162" t="s">
        <v>77</v>
      </c>
      <c r="B30" s="162"/>
      <c r="C30" s="162"/>
      <c r="D30" s="162"/>
      <c r="E30" s="164" t="s">
        <v>78</v>
      </c>
      <c r="F30" s="164"/>
      <c r="G30" s="164"/>
      <c r="H30" s="164"/>
    </row>
    <row r="31" spans="1:26" ht="15" customHeight="1" x14ac:dyDescent="0.25">
      <c r="A31" s="162" t="s">
        <v>30</v>
      </c>
      <c r="B31" s="162"/>
      <c r="C31" s="162"/>
      <c r="D31" s="162"/>
      <c r="E31" s="164"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164"/>
      <c r="G31" s="164"/>
      <c r="H31" s="164"/>
    </row>
    <row r="32" spans="1:26" ht="15.75" customHeight="1" x14ac:dyDescent="0.25">
      <c r="A32" s="162" t="s">
        <v>89</v>
      </c>
      <c r="B32" s="162"/>
      <c r="C32" s="162"/>
      <c r="D32" s="162"/>
      <c r="E32" s="164" t="s">
        <v>31</v>
      </c>
      <c r="F32" s="164"/>
      <c r="G32" s="164"/>
      <c r="H32" s="164"/>
    </row>
    <row r="33" spans="1:19" s="22" customFormat="1" x14ac:dyDescent="0.25">
      <c r="A33" s="238" t="s">
        <v>90</v>
      </c>
      <c r="B33" s="238"/>
      <c r="C33" s="235" t="s">
        <v>167</v>
      </c>
      <c r="D33" s="236"/>
      <c r="E33" s="237"/>
      <c r="F33" s="235" t="s">
        <v>29</v>
      </c>
      <c r="G33" s="236"/>
      <c r="H33" s="237"/>
      <c r="S33" s="22" t="e">
        <f ca="1">OFFSET($S$13,1,MATCH($G20,$S$13:$W$13,0)-1,15,1)</f>
        <v>#VALUE!</v>
      </c>
    </row>
    <row r="34" spans="1:19" s="22" customFormat="1" x14ac:dyDescent="0.25">
      <c r="A34" s="231" t="s">
        <v>24</v>
      </c>
      <c r="B34" s="231" t="s">
        <v>28</v>
      </c>
      <c r="C34" s="232" t="s">
        <v>401</v>
      </c>
      <c r="D34" s="233"/>
      <c r="E34" s="234"/>
      <c r="F34" s="232" t="s">
        <v>399</v>
      </c>
      <c r="G34" s="233"/>
      <c r="H34" s="234"/>
    </row>
    <row r="35" spans="1:19" x14ac:dyDescent="0.25">
      <c r="A35" s="231" t="s">
        <v>25</v>
      </c>
      <c r="B35" s="231" t="s">
        <v>28</v>
      </c>
      <c r="C35" s="232" t="s">
        <v>401</v>
      </c>
      <c r="D35" s="233"/>
      <c r="E35" s="234"/>
      <c r="F35" s="232" t="s">
        <v>400</v>
      </c>
      <c r="G35" s="233"/>
      <c r="H35" s="234"/>
    </row>
    <row r="36" spans="1:19" s="22" customFormat="1" x14ac:dyDescent="0.25">
      <c r="A36" s="231" t="s">
        <v>27</v>
      </c>
      <c r="B36" s="231" t="s">
        <v>28</v>
      </c>
      <c r="C36" s="232" t="s">
        <v>401</v>
      </c>
      <c r="D36" s="233"/>
      <c r="E36" s="234"/>
      <c r="F36" s="232" t="s">
        <v>399</v>
      </c>
      <c r="G36" s="233"/>
      <c r="H36" s="234"/>
    </row>
    <row r="37" spans="1:19" x14ac:dyDescent="0.25">
      <c r="A37" s="231" t="s">
        <v>26</v>
      </c>
      <c r="B37" s="231" t="s">
        <v>28</v>
      </c>
      <c r="C37" s="232" t="s">
        <v>402</v>
      </c>
      <c r="D37" s="233"/>
      <c r="E37" s="234"/>
      <c r="F37" s="232" t="s">
        <v>396</v>
      </c>
      <c r="G37" s="233"/>
      <c r="H37" s="234"/>
    </row>
    <row r="38" spans="1:19" x14ac:dyDescent="0.25">
      <c r="A38" s="162" t="s">
        <v>273</v>
      </c>
      <c r="B38" s="162"/>
      <c r="C38" s="162"/>
      <c r="D38" s="162"/>
      <c r="E38" s="162"/>
      <c r="F38" s="162"/>
      <c r="G38" s="162"/>
      <c r="H38" s="162"/>
    </row>
    <row r="39" spans="1:19" ht="15.75" customHeight="1" x14ac:dyDescent="0.25">
      <c r="A39" s="162" t="s">
        <v>159</v>
      </c>
      <c r="B39" s="162"/>
      <c r="C39" s="187" t="s">
        <v>417</v>
      </c>
      <c r="D39" s="187"/>
      <c r="E39" s="187"/>
      <c r="F39" s="187"/>
      <c r="G39" s="187"/>
      <c r="H39" s="187"/>
    </row>
    <row r="40" spans="1:19" x14ac:dyDescent="0.25">
      <c r="A40" s="162" t="s">
        <v>156</v>
      </c>
      <c r="B40" s="162"/>
      <c r="C40" s="163" t="s">
        <v>418</v>
      </c>
      <c r="D40" s="164"/>
      <c r="E40" s="164"/>
      <c r="F40" s="164"/>
      <c r="G40" s="164"/>
      <c r="H40" s="164"/>
    </row>
    <row r="41" spans="1:19" x14ac:dyDescent="0.25">
      <c r="A41" s="187" t="s">
        <v>32</v>
      </c>
      <c r="B41" s="187"/>
      <c r="C41" s="187"/>
      <c r="D41" s="187"/>
      <c r="E41" s="187"/>
      <c r="F41" s="187"/>
      <c r="G41" s="187"/>
      <c r="H41" s="187"/>
    </row>
    <row r="42" spans="1:19" x14ac:dyDescent="0.25">
      <c r="A42" s="162" t="s">
        <v>33</v>
      </c>
      <c r="B42" s="162"/>
      <c r="C42" s="162"/>
      <c r="D42" s="162"/>
      <c r="E42" s="200">
        <v>1628</v>
      </c>
      <c r="F42" s="200"/>
      <c r="G42" s="200"/>
      <c r="H42" s="200"/>
    </row>
    <row r="43" spans="1:19" x14ac:dyDescent="0.25">
      <c r="A43" s="162" t="s">
        <v>34</v>
      </c>
      <c r="B43" s="162"/>
      <c r="C43" s="162"/>
      <c r="D43" s="162"/>
      <c r="E43" s="201">
        <f>1628/E42</f>
        <v>1</v>
      </c>
      <c r="F43" s="201"/>
      <c r="G43" s="201"/>
      <c r="H43" s="201"/>
    </row>
    <row r="44" spans="1:19" x14ac:dyDescent="0.25">
      <c r="A44" s="162" t="s">
        <v>35</v>
      </c>
      <c r="B44" s="162"/>
      <c r="C44" s="162"/>
      <c r="D44" s="162"/>
      <c r="E44" s="201">
        <f>E46/E42-E43</f>
        <v>1.3444840294840295</v>
      </c>
      <c r="F44" s="201"/>
      <c r="G44" s="201"/>
      <c r="H44" s="201"/>
    </row>
    <row r="45" spans="1:19" x14ac:dyDescent="0.25">
      <c r="A45" s="162" t="s">
        <v>36</v>
      </c>
      <c r="B45" s="162"/>
      <c r="C45" s="162"/>
      <c r="D45" s="162"/>
      <c r="E45" s="201">
        <f>E43+E44</f>
        <v>2.3444840294840295</v>
      </c>
      <c r="F45" s="201"/>
      <c r="G45" s="201"/>
      <c r="H45" s="201"/>
    </row>
    <row r="46" spans="1:19" x14ac:dyDescent="0.25">
      <c r="A46" s="162" t="s">
        <v>88</v>
      </c>
      <c r="B46" s="162"/>
      <c r="C46" s="162"/>
      <c r="D46" s="162"/>
      <c r="E46" s="202">
        <v>3816.82</v>
      </c>
      <c r="F46" s="202"/>
      <c r="G46" s="202"/>
      <c r="H46" s="202"/>
    </row>
    <row r="47" spans="1:19" x14ac:dyDescent="0.25">
      <c r="A47" s="133" t="s">
        <v>37</v>
      </c>
      <c r="B47" s="133"/>
      <c r="C47" s="133"/>
      <c r="D47" s="133"/>
      <c r="E47" s="133" t="s">
        <v>403</v>
      </c>
      <c r="F47" s="133"/>
      <c r="G47" s="133"/>
      <c r="H47" s="133"/>
      <c r="K47" s="21" t="s">
        <v>416</v>
      </c>
    </row>
    <row r="48" spans="1:19" x14ac:dyDescent="0.25">
      <c r="A48" s="187" t="s">
        <v>38</v>
      </c>
      <c r="B48" s="187"/>
      <c r="C48" s="187"/>
      <c r="D48" s="187"/>
      <c r="E48" s="187"/>
      <c r="F48" s="187"/>
      <c r="G48" s="187"/>
      <c r="H48" s="187"/>
    </row>
    <row r="49" spans="1:24" ht="33.75" customHeight="1" x14ac:dyDescent="0.25">
      <c r="A49" s="169" t="s">
        <v>145</v>
      </c>
      <c r="B49" s="171"/>
      <c r="C49" s="208" t="s">
        <v>350</v>
      </c>
      <c r="D49" s="209"/>
      <c r="E49" s="209"/>
      <c r="F49" s="209"/>
      <c r="G49" s="209"/>
      <c r="H49" s="210"/>
      <c r="R49" t="s">
        <v>246</v>
      </c>
      <c r="S49" s="56" t="s">
        <v>166</v>
      </c>
      <c r="T49" s="56" t="s">
        <v>173</v>
      </c>
      <c r="U49" s="56" t="s">
        <v>187</v>
      </c>
      <c r="V49" s="56" t="s">
        <v>182</v>
      </c>
    </row>
    <row r="50" spans="1:24" ht="15.75" customHeight="1" x14ac:dyDescent="0.25">
      <c r="A50" s="169" t="s">
        <v>39</v>
      </c>
      <c r="B50" s="171"/>
      <c r="C50" s="169" t="s">
        <v>404</v>
      </c>
      <c r="D50" s="170"/>
      <c r="E50" s="171"/>
      <c r="F50" s="18" t="s">
        <v>40</v>
      </c>
      <c r="G50" s="185">
        <v>45674</v>
      </c>
      <c r="H50" s="186"/>
      <c r="R50"/>
      <c r="S50" s="56" t="s">
        <v>247</v>
      </c>
      <c r="T50" s="56" t="s">
        <v>252</v>
      </c>
      <c r="U50" s="56" t="s">
        <v>263</v>
      </c>
      <c r="V50" s="56" t="s">
        <v>268</v>
      </c>
    </row>
    <row r="51" spans="1:24" x14ac:dyDescent="0.25">
      <c r="A51" s="169" t="s">
        <v>41</v>
      </c>
      <c r="B51" s="171"/>
      <c r="C51" s="169" t="str">
        <f>C50</f>
        <v>TMCB/B/2025/APL/01230</v>
      </c>
      <c r="D51" s="170"/>
      <c r="E51" s="171"/>
      <c r="F51" s="18" t="s">
        <v>40</v>
      </c>
      <c r="G51" s="185">
        <v>45674</v>
      </c>
      <c r="H51" s="186"/>
      <c r="R51"/>
      <c r="S51" s="56" t="s">
        <v>248</v>
      </c>
      <c r="T51" s="56" t="s">
        <v>350</v>
      </c>
      <c r="U51" s="56" t="s">
        <v>261</v>
      </c>
      <c r="V51" s="56" t="s">
        <v>269</v>
      </c>
    </row>
    <row r="52" spans="1:24" s="23" customFormat="1" ht="15.75" customHeight="1" x14ac:dyDescent="0.25">
      <c r="A52" s="191" t="s">
        <v>149</v>
      </c>
      <c r="B52" s="192"/>
      <c r="C52" s="191" t="str">
        <f>C51</f>
        <v>TMCB/B/2025/APL/01230</v>
      </c>
      <c r="D52" s="195"/>
      <c r="E52" s="192"/>
      <c r="F52" s="18" t="s">
        <v>40</v>
      </c>
      <c r="G52" s="185">
        <v>45674</v>
      </c>
      <c r="H52" s="186"/>
      <c r="I52" s="22" t="str">
        <f ca="1">IF(G52&gt;EDATE(E3,-48),"NO REMARK","CC REMARK FOR CC")</f>
        <v>NO REMARK</v>
      </c>
      <c r="J52" s="76"/>
      <c r="R52"/>
      <c r="S52" s="56" t="s">
        <v>249</v>
      </c>
      <c r="T52" s="56" t="s">
        <v>254</v>
      </c>
      <c r="U52" s="56" t="s">
        <v>251</v>
      </c>
      <c r="V52" s="56" t="s">
        <v>270</v>
      </c>
    </row>
    <row r="53" spans="1:24" s="23" customFormat="1" ht="30" customHeight="1" x14ac:dyDescent="0.25">
      <c r="A53" s="193"/>
      <c r="B53" s="194"/>
      <c r="C53" s="169" t="s">
        <v>405</v>
      </c>
      <c r="D53" s="170"/>
      <c r="E53" s="170"/>
      <c r="F53" s="170"/>
      <c r="G53" s="170"/>
      <c r="H53" s="171"/>
      <c r="R53"/>
      <c r="S53" s="56"/>
      <c r="T53" s="56"/>
      <c r="U53" s="56"/>
      <c r="V53" s="72"/>
    </row>
    <row r="54" spans="1:24" s="23" customFormat="1" hidden="1" x14ac:dyDescent="0.25">
      <c r="A54" s="196" t="s">
        <v>274</v>
      </c>
      <c r="B54" s="197"/>
      <c r="C54" s="169" t="e">
        <f>#REF!</f>
        <v>#REF!</v>
      </c>
      <c r="D54" s="170"/>
      <c r="E54" s="171"/>
      <c r="F54" s="18" t="s">
        <v>40</v>
      </c>
      <c r="G54" s="185"/>
      <c r="H54" s="186"/>
      <c r="K54" s="77">
        <f>EDATE(G52,-48)</f>
        <v>44213</v>
      </c>
      <c r="L54" s="23" t="str">
        <f ca="1">IF(G52&gt;EDATE(E3,-48),"NO REMARK","CC REMARK FOR CC")</f>
        <v>NO REMARK</v>
      </c>
      <c r="R54"/>
      <c r="S54" s="56" t="s">
        <v>249</v>
      </c>
      <c r="T54" s="56" t="s">
        <v>254</v>
      </c>
      <c r="U54" s="56" t="s">
        <v>251</v>
      </c>
      <c r="V54" s="56" t="s">
        <v>270</v>
      </c>
    </row>
    <row r="55" spans="1:24" s="23" customFormat="1" ht="32.25" hidden="1" customHeight="1" x14ac:dyDescent="0.25">
      <c r="A55" s="198"/>
      <c r="B55" s="199"/>
      <c r="C55" s="188"/>
      <c r="D55" s="189"/>
      <c r="E55" s="189"/>
      <c r="F55" s="189"/>
      <c r="G55" s="189"/>
      <c r="H55" s="190"/>
      <c r="R55"/>
      <c r="S55" s="56" t="s">
        <v>251</v>
      </c>
      <c r="T55" s="56" t="s">
        <v>255</v>
      </c>
      <c r="U55" s="56" t="s">
        <v>265</v>
      </c>
      <c r="V55" s="73"/>
      <c r="W55" s="21"/>
      <c r="X55" s="21"/>
    </row>
    <row r="56" spans="1:24" s="23" customFormat="1" ht="34.5" hidden="1" customHeight="1" x14ac:dyDescent="0.25">
      <c r="A56" s="196" t="s">
        <v>275</v>
      </c>
      <c r="B56" s="197"/>
      <c r="C56" s="169">
        <f>C55</f>
        <v>0</v>
      </c>
      <c r="D56" s="170"/>
      <c r="E56" s="171"/>
      <c r="F56" s="18" t="s">
        <v>40</v>
      </c>
      <c r="G56" s="185">
        <f>G55</f>
        <v>0</v>
      </c>
      <c r="H56" s="186"/>
      <c r="R56"/>
      <c r="S56" s="73"/>
      <c r="T56" s="56" t="s">
        <v>256</v>
      </c>
      <c r="U56" s="56" t="s">
        <v>266</v>
      </c>
      <c r="V56" s="73"/>
      <c r="W56" s="21"/>
      <c r="X56" s="21"/>
    </row>
    <row r="57" spans="1:24" s="23" customFormat="1" ht="41.25" hidden="1" customHeight="1" x14ac:dyDescent="0.25">
      <c r="A57" s="198"/>
      <c r="B57" s="199"/>
      <c r="C57" s="169"/>
      <c r="D57" s="170"/>
      <c r="E57" s="170"/>
      <c r="F57" s="170"/>
      <c r="G57" s="170"/>
      <c r="H57" s="171"/>
      <c r="R57"/>
      <c r="S57" s="73"/>
      <c r="T57" s="56" t="s">
        <v>258</v>
      </c>
      <c r="U57" s="56" t="s">
        <v>267</v>
      </c>
      <c r="V57" s="73"/>
      <c r="W57" s="21"/>
      <c r="X57" s="21"/>
    </row>
    <row r="58" spans="1:24" s="23" customFormat="1" ht="15.75" hidden="1" customHeight="1" x14ac:dyDescent="0.25">
      <c r="A58" s="196" t="s">
        <v>345</v>
      </c>
      <c r="B58" s="197"/>
      <c r="C58" s="224"/>
      <c r="D58" s="225"/>
      <c r="E58" s="226"/>
      <c r="F58" s="18" t="s">
        <v>40</v>
      </c>
      <c r="G58" s="185"/>
      <c r="H58" s="186"/>
      <c r="R58"/>
      <c r="S58" s="73"/>
      <c r="T58" s="56" t="s">
        <v>259</v>
      </c>
      <c r="U58" s="73" t="s">
        <v>289</v>
      </c>
      <c r="V58" s="73"/>
      <c r="W58" s="21"/>
      <c r="X58" s="21"/>
    </row>
    <row r="59" spans="1:24" s="23" customFormat="1" ht="33.75" hidden="1" customHeight="1" x14ac:dyDescent="0.25">
      <c r="A59" s="222"/>
      <c r="B59" s="223"/>
      <c r="C59" s="227"/>
      <c r="D59" s="228"/>
      <c r="E59" s="229"/>
      <c r="F59" s="18" t="s">
        <v>346</v>
      </c>
      <c r="G59" s="185"/>
      <c r="H59" s="186"/>
      <c r="R59"/>
      <c r="S59" s="73"/>
      <c r="T59" s="56" t="s">
        <v>260</v>
      </c>
      <c r="U59" s="73"/>
      <c r="V59" s="73"/>
      <c r="W59" s="21"/>
      <c r="X59" s="21"/>
    </row>
    <row r="60" spans="1:24" s="23" customFormat="1" ht="33.75" hidden="1" customHeight="1" x14ac:dyDescent="0.25">
      <c r="A60" s="198"/>
      <c r="B60" s="199"/>
      <c r="C60" s="169" t="s">
        <v>368</v>
      </c>
      <c r="D60" s="170"/>
      <c r="E60" s="170"/>
      <c r="F60" s="170"/>
      <c r="G60" s="170"/>
      <c r="H60" s="171"/>
      <c r="R60"/>
      <c r="S60" s="73"/>
      <c r="T60" s="56"/>
      <c r="U60" s="73"/>
      <c r="V60" s="73"/>
      <c r="W60" s="21"/>
      <c r="X60" s="21"/>
    </row>
    <row r="61" spans="1:24" x14ac:dyDescent="0.25">
      <c r="A61" s="256" t="s">
        <v>42</v>
      </c>
      <c r="B61" s="257"/>
      <c r="C61" s="256" t="s">
        <v>101</v>
      </c>
      <c r="D61" s="258"/>
      <c r="E61" s="257"/>
      <c r="F61" s="45" t="s">
        <v>40</v>
      </c>
      <c r="G61" s="259" t="s">
        <v>28</v>
      </c>
      <c r="H61" s="260"/>
      <c r="R61"/>
      <c r="S61" s="73"/>
      <c r="T61" s="56" t="s">
        <v>262</v>
      </c>
      <c r="U61" s="73"/>
      <c r="V61" s="73"/>
    </row>
    <row r="62" spans="1:24" x14ac:dyDescent="0.25">
      <c r="A62" s="219" t="s">
        <v>44</v>
      </c>
      <c r="B62" s="219"/>
      <c r="C62" s="219"/>
      <c r="D62" s="219"/>
      <c r="E62" s="219"/>
      <c r="F62" s="219"/>
      <c r="G62" s="219"/>
      <c r="H62" s="219"/>
      <c r="S62" s="73"/>
      <c r="T62" s="56" t="s">
        <v>271</v>
      </c>
      <c r="U62" s="73"/>
      <c r="V62" s="73"/>
    </row>
    <row r="63" spans="1:24" x14ac:dyDescent="0.25">
      <c r="A63" s="164" t="s">
        <v>87</v>
      </c>
      <c r="B63" s="164"/>
      <c r="C63" s="164"/>
      <c r="D63" s="133">
        <f>E46</f>
        <v>3816.82</v>
      </c>
      <c r="E63" s="133"/>
      <c r="F63" s="133"/>
      <c r="G63" s="133"/>
      <c r="H63" s="133"/>
      <c r="R63"/>
    </row>
    <row r="64" spans="1:24" x14ac:dyDescent="0.25">
      <c r="A64" s="164" t="s">
        <v>45</v>
      </c>
      <c r="B64" s="133"/>
      <c r="C64" s="133"/>
      <c r="D64" s="133" t="s">
        <v>447</v>
      </c>
      <c r="E64" s="133"/>
      <c r="F64" s="133"/>
      <c r="G64" s="133"/>
      <c r="H64" s="133"/>
      <c r="I64" s="24"/>
      <c r="R64"/>
    </row>
    <row r="65" spans="1:19" ht="32.25" customHeight="1" x14ac:dyDescent="0.25">
      <c r="A65" s="205" t="s">
        <v>46</v>
      </c>
      <c r="B65" s="206"/>
      <c r="C65" s="207"/>
      <c r="D65" s="203" t="s">
        <v>440</v>
      </c>
      <c r="E65" s="204"/>
      <c r="F65" s="204"/>
      <c r="G65" s="204"/>
      <c r="H65" s="204"/>
      <c r="R65"/>
    </row>
    <row r="66" spans="1:19" ht="15.75" customHeight="1" x14ac:dyDescent="0.25">
      <c r="A66" s="205" t="s">
        <v>85</v>
      </c>
      <c r="B66" s="206"/>
      <c r="C66" s="206"/>
      <c r="D66" s="213" t="s">
        <v>448</v>
      </c>
      <c r="E66" s="214"/>
      <c r="F66" s="214"/>
      <c r="G66" s="214"/>
      <c r="H66" s="215"/>
      <c r="R66"/>
    </row>
    <row r="67" spans="1:19" ht="15.75" customHeight="1" x14ac:dyDescent="0.25">
      <c r="A67" s="211"/>
      <c r="B67" s="212"/>
      <c r="C67" s="212"/>
      <c r="D67" s="216" t="s">
        <v>406</v>
      </c>
      <c r="E67" s="217"/>
      <c r="F67" s="217"/>
      <c r="G67" s="217"/>
      <c r="H67" s="218"/>
      <c r="R67"/>
    </row>
    <row r="68" spans="1:19" ht="15.75" customHeight="1" x14ac:dyDescent="0.25">
      <c r="A68" s="133" t="s">
        <v>43</v>
      </c>
      <c r="B68" s="133"/>
      <c r="C68" s="133"/>
      <c r="D68" s="164" t="s">
        <v>407</v>
      </c>
      <c r="E68" s="164"/>
      <c r="F68" s="164"/>
      <c r="G68" s="164"/>
      <c r="H68" s="164"/>
      <c r="J68" s="25"/>
      <c r="K68" s="24"/>
      <c r="N68" s="24"/>
      <c r="S68"/>
    </row>
    <row r="69" spans="1:19" ht="15.75" customHeight="1" x14ac:dyDescent="0.25">
      <c r="A69" s="133" t="s">
        <v>83</v>
      </c>
      <c r="B69" s="133"/>
      <c r="C69" s="133"/>
      <c r="D69" s="200" t="str">
        <f>(IF(G61="NA","60 Years After Completion",IF(G61&lt;&gt;"NA",""&amp;60-ROUNDDOWN((E3-G61)/360,0)&amp;" Years"," ")))</f>
        <v>60 Years After Completion</v>
      </c>
      <c r="E69" s="200"/>
      <c r="F69" s="200"/>
      <c r="G69" s="200"/>
      <c r="H69" s="200"/>
      <c r="N69" s="24"/>
      <c r="S69"/>
    </row>
    <row r="70" spans="1:19" ht="15.75" customHeight="1" x14ac:dyDescent="0.25">
      <c r="A70" s="162" t="s">
        <v>84</v>
      </c>
      <c r="B70" s="162"/>
      <c r="C70" s="162"/>
      <c r="D70" s="164" t="s">
        <v>23</v>
      </c>
      <c r="E70" s="164"/>
      <c r="F70" s="164"/>
      <c r="G70" s="164"/>
      <c r="H70" s="164"/>
      <c r="J70" s="26"/>
      <c r="K70" s="26"/>
      <c r="S70"/>
    </row>
    <row r="71" spans="1:19" ht="48.75" customHeight="1" x14ac:dyDescent="0.25">
      <c r="A71" s="133" t="s">
        <v>419</v>
      </c>
      <c r="B71" s="133"/>
      <c r="C71" s="133"/>
      <c r="D71" s="164" t="s">
        <v>434</v>
      </c>
      <c r="E71" s="164"/>
      <c r="F71" s="164"/>
      <c r="G71" s="164"/>
      <c r="H71" s="164"/>
      <c r="I71" s="21" t="s">
        <v>420</v>
      </c>
      <c r="S71"/>
    </row>
    <row r="72" spans="1:19" x14ac:dyDescent="0.25">
      <c r="A72" s="230" t="s">
        <v>142</v>
      </c>
      <c r="B72" s="230"/>
      <c r="C72" s="230"/>
      <c r="D72" s="230" t="s">
        <v>28</v>
      </c>
      <c r="E72" s="230"/>
      <c r="F72" s="230"/>
      <c r="G72" s="230"/>
      <c r="H72" s="230"/>
      <c r="I72" s="27"/>
      <c r="J72" s="27"/>
      <c r="K72" s="27"/>
      <c r="L72" s="27"/>
      <c r="M72" s="27"/>
      <c r="N72" s="27"/>
    </row>
    <row r="73" spans="1:19" ht="15.75" customHeight="1" x14ac:dyDescent="0.25">
      <c r="A73" s="221" t="s">
        <v>82</v>
      </c>
      <c r="B73" s="221"/>
      <c r="C73" s="221"/>
      <c r="D73" s="203" t="str">
        <f ca="1">(IF(G79&gt;95%,"Nothing",IF(G79&gt;0%,"Cement, Aggregate, Steel, etc",IF(G79=0%,"Work not yet Started"))))</f>
        <v>Cement, Aggregate, Steel, etc</v>
      </c>
      <c r="E73" s="203"/>
      <c r="F73" s="203"/>
      <c r="G73" s="203"/>
      <c r="H73" s="203"/>
      <c r="J73" s="26"/>
      <c r="S73"/>
    </row>
    <row r="74" spans="1:19" ht="33.75" customHeight="1" thickBot="1" x14ac:dyDescent="0.3">
      <c r="A74" s="220" t="s">
        <v>114</v>
      </c>
      <c r="B74" s="220"/>
      <c r="C74" s="220"/>
      <c r="D74" s="203" t="str">
        <f ca="1">(IF(D73="Nothing","Yes",IF(D73="Cement, Aggregate, Steel, etc","Under Construction",IF(D73="Work not yet Started","Work not yet Started"))))</f>
        <v>Under Construction</v>
      </c>
      <c r="E74" s="203"/>
      <c r="F74" s="203" t="str">
        <f ca="1">(IF(D73="Nothing","Yes",IF(D73="Cement, Aggregate, Steel, etc","Under Construction",IF(D73="Work not yet Started","Work not yet Started"))))</f>
        <v>Under Construction</v>
      </c>
      <c r="G74" s="203"/>
      <c r="H74" s="203"/>
      <c r="S74"/>
    </row>
    <row r="75" spans="1:19" ht="15.75" customHeight="1" x14ac:dyDescent="0.25">
      <c r="A75" s="172" t="s">
        <v>133</v>
      </c>
      <c r="B75" s="173"/>
      <c r="C75" s="174" t="str">
        <f>D66</f>
        <v>Wing A &amp; B (Agni) = Gr + 1st to 7th Floor</v>
      </c>
      <c r="D75" s="175"/>
      <c r="E75" s="175"/>
      <c r="F75" s="175"/>
      <c r="G75" s="175"/>
      <c r="H75" s="176"/>
      <c r="I75" s="49" t="str">
        <f ca="1">IF(D88=100%,"All work Completed. Possession granted to the Building.",IF(D87=100%,"All work Completed, Waiting for OC",I76&amp;""&amp;I77&amp;""&amp;J76&amp;""&amp;J75&amp;" "&amp;J77))</f>
        <v xml:space="preserve">Excavation, Plinth Completed </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16" t="s">
        <v>135</v>
      </c>
      <c r="B76" s="47">
        <f>IF(AND(ISNUMBER(SEARCH("1B",C75))),1,IF(AND(ISNUMBER(SEARCH("2B",C75))),2,IF(AND(ISNUMBER(SEARCH("3B",C75))),3,IF(AND(ISNUMBER(SEARCH("4B",C75))),4,IF(ISNUMBER(SEARCH("5B",C75)),5,0)))))</f>
        <v>0</v>
      </c>
      <c r="C76" s="47" t="s">
        <v>68</v>
      </c>
      <c r="D76" s="47">
        <v>1</v>
      </c>
      <c r="E76" s="47" t="s">
        <v>67</v>
      </c>
      <c r="F76" s="47">
        <v>0</v>
      </c>
      <c r="G76" s="47" t="s">
        <v>76</v>
      </c>
      <c r="H76" s="17">
        <f ca="1">--TRIM(RIGHT(SUBSTITUTE(LEFT(C75,_xlfn.AGGREGATE(16,6,FIND({0,1,2,3,4,5,6,7,8,9},C75,ROW(INDIRECT("1:"&amp;LEN(C75)))),1))," ",REPT(" ",LEN(C75))),LEN(C75)))</f>
        <v>7</v>
      </c>
      <c r="I76" s="51" t="str">
        <f ca="1">IF(D79=100%,"Excavation","")&amp;IF(D80=100%,", Plinth","")&amp;IF(D81=100%,", RCC Slab","")&amp;IF(D82=100%,", Brickwork","")&amp;IF(D83=100%,", Internal Plaster","")&amp;IF(D84=100%,", External Plaster","")&amp;IF(D85=100%,", Flooring","")&amp;IF(D86=100%,", Painting","")&amp;IF(D87=100%,", Building common Amenities","")</f>
        <v>Excavation, Plinth</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25">
      <c r="A77" s="183" t="s">
        <v>86</v>
      </c>
      <c r="B77" s="184"/>
      <c r="C77" s="180" t="str">
        <f ca="1">I75</f>
        <v xml:space="preserve">Excavation, Plinth Completed </v>
      </c>
      <c r="D77" s="180"/>
      <c r="E77" s="180"/>
      <c r="F77" s="180"/>
      <c r="G77" s="180"/>
      <c r="H77" s="181"/>
      <c r="I77" s="51" t="str">
        <f ca="1">IF(I76&lt;&gt;""," Completed","")</f>
        <v xml:space="preserve"> Completed</v>
      </c>
      <c r="J77" s="52" t="str">
        <f ca="1">IF(J75&lt;&gt;"","Completed","")</f>
        <v/>
      </c>
      <c r="S77"/>
    </row>
    <row r="78" spans="1:19" ht="15.75" customHeight="1" x14ac:dyDescent="0.25">
      <c r="A78" s="111" t="s">
        <v>47</v>
      </c>
      <c r="B78" s="112"/>
      <c r="C78" s="98" t="s">
        <v>132</v>
      </c>
      <c r="D78" s="98" t="s">
        <v>79</v>
      </c>
      <c r="E78" s="112" t="s">
        <v>81</v>
      </c>
      <c r="F78" s="112"/>
      <c r="G78" s="112" t="s">
        <v>80</v>
      </c>
      <c r="H78" s="155"/>
      <c r="I78" s="13" t="s">
        <v>134</v>
      </c>
      <c r="J78" s="28">
        <f ca="1">H76*25%</f>
        <v>1.75</v>
      </c>
      <c r="S78"/>
    </row>
    <row r="79" spans="1:19" x14ac:dyDescent="0.25">
      <c r="A79" s="111" t="s">
        <v>121</v>
      </c>
      <c r="B79" s="112"/>
      <c r="C79" s="98">
        <f ca="1">J80</f>
        <v>7</v>
      </c>
      <c r="D79" s="99">
        <f ca="1">((100/H76)*C79)/100</f>
        <v>1</v>
      </c>
      <c r="E79" s="121">
        <f ca="1">(((C80/H76*10)+(40/(D76+F76+H76)*C81)+(7.5/(H76)*C82)+(7.5/(H76)*C83)+(10/H76*C84)+(10/H76*C85)+(5/H76*C86)+(5/H76*C87)+(5/H76*C88))/100)</f>
        <v>0.1</v>
      </c>
      <c r="F79" s="122"/>
      <c r="G79" s="121">
        <f ca="1">((((C79/H76)*20)+((C80/H76)*25)+(30/(H76+F76+D76)*C81)+(5/H76*C82)+(5/H76*C83)+(5/H76*C84)+(5/H76*C85)+(0/H76*C86)+(0/H76*C87)+(5/H76*C88))/100)</f>
        <v>0.45</v>
      </c>
      <c r="H79" s="142"/>
      <c r="I79" s="13" t="s">
        <v>96</v>
      </c>
      <c r="J79" s="29">
        <f ca="1">H76*50%</f>
        <v>3.5</v>
      </c>
    </row>
    <row r="80" spans="1:19" x14ac:dyDescent="0.25">
      <c r="A80" s="111" t="s">
        <v>48</v>
      </c>
      <c r="B80" s="112"/>
      <c r="C80" s="98">
        <f ca="1">J88</f>
        <v>7</v>
      </c>
      <c r="D80" s="99">
        <f ca="1">((100/H76)*C80)/100</f>
        <v>1</v>
      </c>
      <c r="E80" s="123"/>
      <c r="F80" s="124"/>
      <c r="G80" s="123"/>
      <c r="H80" s="143"/>
      <c r="I80" s="13" t="s">
        <v>97</v>
      </c>
      <c r="J80" s="29">
        <f ca="1">H76</f>
        <v>7</v>
      </c>
      <c r="L80" s="93"/>
      <c r="S80"/>
    </row>
    <row r="81" spans="1:19" ht="15.75" customHeight="1" x14ac:dyDescent="0.25">
      <c r="A81" s="111" t="s">
        <v>122</v>
      </c>
      <c r="B81" s="112"/>
      <c r="C81" s="98">
        <v>0</v>
      </c>
      <c r="D81" s="99">
        <f ca="1">((100/(D76+F76+H76))*C81)/100</f>
        <v>0</v>
      </c>
      <c r="E81" s="123"/>
      <c r="F81" s="124"/>
      <c r="G81" s="123"/>
      <c r="H81" s="143"/>
      <c r="I81" s="13" t="s">
        <v>98</v>
      </c>
      <c r="J81" s="30">
        <f ca="1">(IF(B76&gt;1,(H76/(B76+2)),H76/4))</f>
        <v>1.75</v>
      </c>
      <c r="S81"/>
    </row>
    <row r="82" spans="1:19" ht="15.75" customHeight="1" x14ac:dyDescent="0.25">
      <c r="A82" s="111" t="s">
        <v>129</v>
      </c>
      <c r="B82" s="112" t="s">
        <v>123</v>
      </c>
      <c r="C82" s="98">
        <v>0</v>
      </c>
      <c r="D82" s="99">
        <f ca="1">((100/H76)*C82)/100</f>
        <v>0</v>
      </c>
      <c r="E82" s="123"/>
      <c r="F82" s="124"/>
      <c r="G82" s="123"/>
      <c r="H82" s="143"/>
      <c r="I82" s="13" t="s">
        <v>99</v>
      </c>
      <c r="J82" s="30">
        <f ca="1">(IF(B76&gt;1,(H76/(B76+2)+J81),H76/4+J81))</f>
        <v>3.5</v>
      </c>
    </row>
    <row r="83" spans="1:19" ht="15.75" customHeight="1" x14ac:dyDescent="0.25">
      <c r="A83" s="111" t="s">
        <v>130</v>
      </c>
      <c r="B83" s="112" t="s">
        <v>123</v>
      </c>
      <c r="C83" s="98">
        <v>0</v>
      </c>
      <c r="D83" s="99">
        <f ca="1">((100/H76)*C83)/100</f>
        <v>0</v>
      </c>
      <c r="E83" s="123"/>
      <c r="F83" s="124"/>
      <c r="G83" s="123"/>
      <c r="H83" s="143"/>
      <c r="I83" s="13" t="s">
        <v>140</v>
      </c>
      <c r="J83" s="30">
        <f>(IF(B76&gt;1,(H76/(B76+2)+J82),0))</f>
        <v>0</v>
      </c>
    </row>
    <row r="84" spans="1:19" ht="15" customHeight="1" x14ac:dyDescent="0.25">
      <c r="A84" s="111" t="s">
        <v>128</v>
      </c>
      <c r="B84" s="112" t="s">
        <v>125</v>
      </c>
      <c r="C84" s="98">
        <v>0</v>
      </c>
      <c r="D84" s="99">
        <f ca="1">((100/(H76))*C84)/100</f>
        <v>0</v>
      </c>
      <c r="E84" s="123"/>
      <c r="F84" s="124"/>
      <c r="G84" s="123"/>
      <c r="H84" s="143"/>
      <c r="I84" s="13" t="s">
        <v>136</v>
      </c>
      <c r="J84" s="30">
        <f>(IF(B76&gt;2,(H76/(B76+2)+J83),0))</f>
        <v>0</v>
      </c>
    </row>
    <row r="85" spans="1:19" ht="15.75" customHeight="1" x14ac:dyDescent="0.25">
      <c r="A85" s="111" t="s">
        <v>124</v>
      </c>
      <c r="B85" s="112" t="s">
        <v>124</v>
      </c>
      <c r="C85" s="98">
        <v>0</v>
      </c>
      <c r="D85" s="99">
        <f ca="1">((100/H76)*C85)/100</f>
        <v>0</v>
      </c>
      <c r="E85" s="123"/>
      <c r="F85" s="124"/>
      <c r="G85" s="123"/>
      <c r="H85" s="143"/>
      <c r="I85" s="13" t="s">
        <v>137</v>
      </c>
      <c r="J85" s="31">
        <f>(IF(B76&gt;3,(H76/(B76+2)+J84),0))</f>
        <v>0</v>
      </c>
    </row>
    <row r="86" spans="1:19" ht="15.75" customHeight="1" x14ac:dyDescent="0.25">
      <c r="A86" s="111" t="s">
        <v>131</v>
      </c>
      <c r="B86" s="112"/>
      <c r="C86" s="98">
        <v>0</v>
      </c>
      <c r="D86" s="99">
        <f ca="1">((100/H76)*C86)/100</f>
        <v>0</v>
      </c>
      <c r="E86" s="123"/>
      <c r="F86" s="124"/>
      <c r="G86" s="123"/>
      <c r="H86" s="143"/>
      <c r="I86" s="13" t="s">
        <v>138</v>
      </c>
      <c r="J86" s="30">
        <f>(IF(B76&gt;4,(H76/(B76+2)+J85),0))</f>
        <v>0</v>
      </c>
    </row>
    <row r="87" spans="1:19" ht="15.75" customHeight="1" x14ac:dyDescent="0.25">
      <c r="A87" s="111" t="s">
        <v>126</v>
      </c>
      <c r="B87" s="112" t="s">
        <v>126</v>
      </c>
      <c r="C87" s="98">
        <v>0</v>
      </c>
      <c r="D87" s="99">
        <f ca="1">((100/(H76))*C87)/100</f>
        <v>0</v>
      </c>
      <c r="E87" s="123"/>
      <c r="F87" s="124"/>
      <c r="G87" s="123"/>
      <c r="H87" s="143"/>
      <c r="I87" s="13" t="s">
        <v>141</v>
      </c>
      <c r="J87" s="30">
        <f ca="1">(IF(B76=1,(H76/(B76+3)+J82),IF(B76=0,(H76/4+J82),IF(B76&gt;1,0))))</f>
        <v>5.25</v>
      </c>
    </row>
    <row r="88" spans="1:19" ht="16.5" thickBot="1" x14ac:dyDescent="0.3">
      <c r="A88" s="263" t="s">
        <v>127</v>
      </c>
      <c r="B88" s="264"/>
      <c r="C88" s="100">
        <v>0</v>
      </c>
      <c r="D88" s="101">
        <f ca="1">((100/(H76))*C88)/100</f>
        <v>0</v>
      </c>
      <c r="E88" s="125"/>
      <c r="F88" s="126"/>
      <c r="G88" s="125"/>
      <c r="H88" s="144"/>
      <c r="I88" s="15" t="s">
        <v>100</v>
      </c>
      <c r="J88" s="32">
        <f ca="1">(IF(B76&gt;1.5,(H76/(B76+2)+J82+MAX(0,J83-J82)+MAX(0,J84-J83)+MAX(0,J85-J84)+MAX(0,J86-J85)+MAX(0,J87-J86)),IF(B76=1,(H76/(B76+3)+J87),IF(B76=0,H76/4+J87))))</f>
        <v>7</v>
      </c>
    </row>
    <row r="89" spans="1:19" ht="15.75" customHeight="1" x14ac:dyDescent="0.25">
      <c r="A89" s="172" t="s">
        <v>133</v>
      </c>
      <c r="B89" s="173"/>
      <c r="C89" s="174" t="str">
        <f>D67</f>
        <v>Wing C = Gr + 1st to 3rd Floor</v>
      </c>
      <c r="D89" s="175"/>
      <c r="E89" s="175"/>
      <c r="F89" s="175"/>
      <c r="G89" s="175"/>
      <c r="H89" s="176"/>
      <c r="I89" s="49" t="str">
        <f ca="1">IF(D102=100%,"All work Completed. Possession granted to the Building.",IF(D101=100%,"All work Completed, Waiting for OC",I90&amp;""&amp;I91&amp;""&amp;J90&amp;""&amp;J89&amp;" "&amp;J91))</f>
        <v xml:space="preserve">Work not yet Started. </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x14ac:dyDescent="0.25">
      <c r="A90" s="16" t="s">
        <v>135</v>
      </c>
      <c r="B90" s="47">
        <f>IF(AND(ISNUMBER(SEARCH("1B",C89))),1,IF(AND(ISNUMBER(SEARCH("2B",C89))),2,IF(AND(ISNUMBER(SEARCH("3B",C89))),3,IF(AND(ISNUMBER(SEARCH("4B",C89))),4,IF(ISNUMBER(SEARCH("5B",C89)),5,0)))))</f>
        <v>0</v>
      </c>
      <c r="C90" s="47" t="s">
        <v>68</v>
      </c>
      <c r="D90" s="47">
        <v>1</v>
      </c>
      <c r="E90" s="47" t="s">
        <v>67</v>
      </c>
      <c r="F90" s="47">
        <v>0</v>
      </c>
      <c r="G90" s="47" t="s">
        <v>76</v>
      </c>
      <c r="H90" s="17">
        <f ca="1">--TRIM(RIGHT(SUBSTITUTE(LEFT(C89,_xlfn.AGGREGATE(16,6,FIND({0,1,2,3,4,5,6,7,8,9},C89,ROW(INDIRECT("1:"&amp;LEN(C89)))),1))," ",REPT(" ",LEN(C89))),LEN(C89)))</f>
        <v>3</v>
      </c>
      <c r="I90" s="51" t="str">
        <f ca="1">IF(D93=100%,"Excavation","")&amp;IF(D94=100%,", Plinth","")&amp;IF(D95=100%,", RCC Slab","")&amp;IF(D96=100%,", Brickwork","")&amp;IF(D97=100%,", Internal Plaster","")&amp;IF(D98=100%,", External Plaster","")&amp;IF(D99=100%,", Flooring","")&amp;IF(D100=100%,", Painting","")&amp;IF(D101=100%,", Building common Amenities","")</f>
        <v/>
      </c>
      <c r="J90" s="52" t="str">
        <f>(IF(C93=0,"Work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Work not yet Started.</v>
      </c>
      <c r="S90"/>
    </row>
    <row r="91" spans="1:19" x14ac:dyDescent="0.25">
      <c r="A91" s="183" t="s">
        <v>86</v>
      </c>
      <c r="B91" s="184"/>
      <c r="C91" s="180" t="str">
        <f ca="1">I89</f>
        <v xml:space="preserve">Work not yet Started. </v>
      </c>
      <c r="D91" s="180"/>
      <c r="E91" s="180"/>
      <c r="F91" s="180"/>
      <c r="G91" s="180"/>
      <c r="H91" s="181"/>
      <c r="I91" s="51" t="str">
        <f ca="1">IF(I90&lt;&gt;""," Completed","")</f>
        <v/>
      </c>
      <c r="J91" s="52" t="str">
        <f ca="1">IF(J89&lt;&gt;"","Completed","")</f>
        <v/>
      </c>
      <c r="S91"/>
    </row>
    <row r="92" spans="1:19" ht="15.75" customHeight="1" x14ac:dyDescent="0.25">
      <c r="A92" s="111" t="s">
        <v>47</v>
      </c>
      <c r="B92" s="112"/>
      <c r="C92" s="98" t="s">
        <v>132</v>
      </c>
      <c r="D92" s="98" t="s">
        <v>79</v>
      </c>
      <c r="E92" s="112" t="s">
        <v>81</v>
      </c>
      <c r="F92" s="112"/>
      <c r="G92" s="112" t="s">
        <v>80</v>
      </c>
      <c r="H92" s="155"/>
      <c r="I92" s="13" t="s">
        <v>134</v>
      </c>
      <c r="J92" s="28">
        <f ca="1">H90*25%</f>
        <v>0.75</v>
      </c>
      <c r="S92"/>
    </row>
    <row r="93" spans="1:19" x14ac:dyDescent="0.25">
      <c r="A93" s="111" t="s">
        <v>121</v>
      </c>
      <c r="B93" s="112"/>
      <c r="C93" s="98">
        <v>0</v>
      </c>
      <c r="D93" s="99">
        <f ca="1">((100/H90)*C93)/100</f>
        <v>0</v>
      </c>
      <c r="E93" s="121">
        <f ca="1">(((C94/H90*10)+(40/(D90+F90+H90)*C95)+(7.5/(H90)*C96)+(7.5/(H90)*C97)+(10/H90*C98)+(10/H90*C99)+(5/H90*C100)+(5/H90*C101)+(5/H90*C102))/100)</f>
        <v>0</v>
      </c>
      <c r="F93" s="122"/>
      <c r="G93" s="121">
        <f ca="1">((((C93/H90)*20)+((C94/H90)*25)+(30/(H90+F90+D90)*C95)+(5/H90*C96)+(5/H90*C97)+(5/H90*C98)+(5/H90*C99)+(0/H90*C100)+(0/H90*C101)+(5/H90*C102))/100)</f>
        <v>0</v>
      </c>
      <c r="H93" s="142"/>
      <c r="I93" s="13" t="s">
        <v>96</v>
      </c>
      <c r="J93" s="29">
        <f ca="1">H90*50%</f>
        <v>1.5</v>
      </c>
    </row>
    <row r="94" spans="1:19" x14ac:dyDescent="0.25">
      <c r="A94" s="111" t="s">
        <v>48</v>
      </c>
      <c r="B94" s="112"/>
      <c r="C94" s="98">
        <v>0</v>
      </c>
      <c r="D94" s="99">
        <f ca="1">((100/H90)*C94)/100</f>
        <v>0</v>
      </c>
      <c r="E94" s="123"/>
      <c r="F94" s="124"/>
      <c r="G94" s="123"/>
      <c r="H94" s="143"/>
      <c r="I94" s="13" t="s">
        <v>97</v>
      </c>
      <c r="J94" s="29">
        <f ca="1">H90</f>
        <v>3</v>
      </c>
      <c r="S94"/>
    </row>
    <row r="95" spans="1:19" ht="15.75" customHeight="1" x14ac:dyDescent="0.25">
      <c r="A95" s="111" t="s">
        <v>122</v>
      </c>
      <c r="B95" s="112"/>
      <c r="C95" s="98">
        <v>0</v>
      </c>
      <c r="D95" s="99">
        <f ca="1">((100/(D90+F90+H90))*C95)/100</f>
        <v>0</v>
      </c>
      <c r="E95" s="123"/>
      <c r="F95" s="124"/>
      <c r="G95" s="123"/>
      <c r="H95" s="143"/>
      <c r="I95" s="13" t="s">
        <v>98</v>
      </c>
      <c r="J95" s="30">
        <f ca="1">(IF(B90&gt;1,(H90/(B90+2)),H90/4))</f>
        <v>0.75</v>
      </c>
      <c r="S95"/>
    </row>
    <row r="96" spans="1:19" ht="15.75" customHeight="1" x14ac:dyDescent="0.25">
      <c r="A96" s="111" t="s">
        <v>129</v>
      </c>
      <c r="B96" s="112" t="s">
        <v>123</v>
      </c>
      <c r="C96" s="98">
        <v>0</v>
      </c>
      <c r="D96" s="99">
        <f ca="1">((100/H90)*C96)/100</f>
        <v>0</v>
      </c>
      <c r="E96" s="123"/>
      <c r="F96" s="124"/>
      <c r="G96" s="123"/>
      <c r="H96" s="143"/>
      <c r="I96" s="13" t="s">
        <v>99</v>
      </c>
      <c r="J96" s="30">
        <f ca="1">(IF(B90&gt;1,(H90/(B90+2)+J95),H90/4+J95))</f>
        <v>1.5</v>
      </c>
    </row>
    <row r="97" spans="1:22" ht="15.75" customHeight="1" x14ac:dyDescent="0.25">
      <c r="A97" s="111" t="s">
        <v>130</v>
      </c>
      <c r="B97" s="112" t="s">
        <v>123</v>
      </c>
      <c r="C97" s="98">
        <v>0</v>
      </c>
      <c r="D97" s="99">
        <f ca="1">((100/H90)*C97)/100</f>
        <v>0</v>
      </c>
      <c r="E97" s="123"/>
      <c r="F97" s="124"/>
      <c r="G97" s="123"/>
      <c r="H97" s="143"/>
      <c r="I97" s="13" t="s">
        <v>140</v>
      </c>
      <c r="J97" s="30">
        <f>(IF(B90&gt;1,(H90/(B90+2)+J96),0))</f>
        <v>0</v>
      </c>
    </row>
    <row r="98" spans="1:22" ht="15" customHeight="1" x14ac:dyDescent="0.25">
      <c r="A98" s="111" t="s">
        <v>128</v>
      </c>
      <c r="B98" s="112" t="s">
        <v>125</v>
      </c>
      <c r="C98" s="98">
        <v>0</v>
      </c>
      <c r="D98" s="99">
        <f ca="1">((100/(H90))*C98)/100</f>
        <v>0</v>
      </c>
      <c r="E98" s="123"/>
      <c r="F98" s="124"/>
      <c r="G98" s="123"/>
      <c r="H98" s="143"/>
      <c r="I98" s="13" t="s">
        <v>136</v>
      </c>
      <c r="J98" s="30">
        <f>(IF(B90&gt;2,(H90/(B90+2)+J97),0))</f>
        <v>0</v>
      </c>
    </row>
    <row r="99" spans="1:22" ht="15.75" customHeight="1" x14ac:dyDescent="0.25">
      <c r="A99" s="111" t="s">
        <v>124</v>
      </c>
      <c r="B99" s="112" t="s">
        <v>124</v>
      </c>
      <c r="C99" s="98">
        <v>0</v>
      </c>
      <c r="D99" s="99">
        <f ca="1">((100/H90)*C99)/100</f>
        <v>0</v>
      </c>
      <c r="E99" s="123"/>
      <c r="F99" s="124"/>
      <c r="G99" s="123"/>
      <c r="H99" s="143"/>
      <c r="I99" s="13" t="s">
        <v>137</v>
      </c>
      <c r="J99" s="31">
        <f>(IF(B90&gt;3,(H90/(B90+2)+J98),0))</f>
        <v>0</v>
      </c>
    </row>
    <row r="100" spans="1:22" ht="15.75" customHeight="1" x14ac:dyDescent="0.25">
      <c r="A100" s="111" t="s">
        <v>131</v>
      </c>
      <c r="B100" s="112"/>
      <c r="C100" s="98">
        <v>0</v>
      </c>
      <c r="D100" s="99">
        <f ca="1">((100/H90)*C100)/100</f>
        <v>0</v>
      </c>
      <c r="E100" s="123"/>
      <c r="F100" s="124"/>
      <c r="G100" s="123"/>
      <c r="H100" s="143"/>
      <c r="I100" s="13" t="s">
        <v>138</v>
      </c>
      <c r="J100" s="30">
        <f>(IF(B90&gt;4,(H90/(B90+2)+J99),0))</f>
        <v>0</v>
      </c>
    </row>
    <row r="101" spans="1:22" ht="15.75" customHeight="1" x14ac:dyDescent="0.25">
      <c r="A101" s="111" t="s">
        <v>126</v>
      </c>
      <c r="B101" s="112" t="s">
        <v>126</v>
      </c>
      <c r="C101" s="98">
        <v>0</v>
      </c>
      <c r="D101" s="99">
        <f ca="1">((100/(H90))*C101)/100</f>
        <v>0</v>
      </c>
      <c r="E101" s="123"/>
      <c r="F101" s="124"/>
      <c r="G101" s="123"/>
      <c r="H101" s="143"/>
      <c r="I101" s="13" t="s">
        <v>141</v>
      </c>
      <c r="J101" s="30">
        <f ca="1">(IF(B90=1,(H90/(B90+3)+J96),IF(B90=0,(H90/4+J96),IF(B90&gt;1,0))))</f>
        <v>2.25</v>
      </c>
    </row>
    <row r="102" spans="1:22" ht="16.5" thickBot="1" x14ac:dyDescent="0.3">
      <c r="A102" s="263" t="s">
        <v>127</v>
      </c>
      <c r="B102" s="264"/>
      <c r="C102" s="100">
        <v>0</v>
      </c>
      <c r="D102" s="101">
        <f ca="1">((100/(H90))*C102)/100</f>
        <v>0</v>
      </c>
      <c r="E102" s="125"/>
      <c r="F102" s="126"/>
      <c r="G102" s="125"/>
      <c r="H102" s="144"/>
      <c r="I102" s="15" t="s">
        <v>100</v>
      </c>
      <c r="J102" s="32">
        <f ca="1">(IF(B90&gt;1.5,(H90/(B90+2)+J96+MAX(0,J97-J96)+MAX(0,J98-J97)+MAX(0,J99-J98)+MAX(0,J100-J99)+MAX(0,J101-J100)),IF(B90=1,(H90/(B90+3)+J101),IF(B90=0,H90/4+J101))))</f>
        <v>3</v>
      </c>
    </row>
    <row r="103" spans="1:22" x14ac:dyDescent="0.25">
      <c r="A103" s="134" t="s">
        <v>151</v>
      </c>
      <c r="B103" s="134"/>
      <c r="C103" s="134"/>
      <c r="D103" s="134"/>
      <c r="E103" s="134"/>
      <c r="F103" s="252" t="s">
        <v>155</v>
      </c>
      <c r="G103" s="252"/>
      <c r="H103" s="252"/>
      <c r="R103" t="s">
        <v>246</v>
      </c>
      <c r="S103" t="s">
        <v>166</v>
      </c>
      <c r="T103" t="s">
        <v>173</v>
      </c>
      <c r="U103" t="s">
        <v>187</v>
      </c>
      <c r="V103" t="s">
        <v>182</v>
      </c>
    </row>
    <row r="104" spans="1:22" x14ac:dyDescent="0.25">
      <c r="A104" s="133" t="s">
        <v>153</v>
      </c>
      <c r="B104" s="133"/>
      <c r="C104" s="133"/>
      <c r="D104" s="133"/>
      <c r="E104" s="133"/>
      <c r="F104" s="135">
        <v>5500</v>
      </c>
      <c r="G104" s="135"/>
      <c r="H104" s="135"/>
      <c r="R104"/>
      <c r="S104">
        <v>800000</v>
      </c>
      <c r="T104">
        <v>150000</v>
      </c>
      <c r="U104">
        <v>100000</v>
      </c>
      <c r="V104">
        <v>100000</v>
      </c>
    </row>
    <row r="105" spans="1:22" x14ac:dyDescent="0.25">
      <c r="A105" s="133" t="s">
        <v>152</v>
      </c>
      <c r="B105" s="133"/>
      <c r="C105" s="133"/>
      <c r="D105" s="133"/>
      <c r="E105" s="133"/>
      <c r="F105" s="135">
        <v>8000</v>
      </c>
      <c r="G105" s="135"/>
      <c r="H105" s="135"/>
      <c r="R105"/>
      <c r="S105">
        <v>900000</v>
      </c>
      <c r="T105">
        <v>200000</v>
      </c>
      <c r="U105">
        <v>150000</v>
      </c>
      <c r="V105">
        <v>150000</v>
      </c>
    </row>
    <row r="106" spans="1:22" x14ac:dyDescent="0.25">
      <c r="A106" s="133" t="s">
        <v>154</v>
      </c>
      <c r="B106" s="133"/>
      <c r="C106" s="133"/>
      <c r="D106" s="133"/>
      <c r="E106" s="133"/>
      <c r="F106" s="135">
        <v>6000</v>
      </c>
      <c r="G106" s="135"/>
      <c r="H106" s="135"/>
      <c r="R106"/>
      <c r="S106">
        <v>1000000</v>
      </c>
      <c r="T106">
        <v>250000</v>
      </c>
      <c r="U106">
        <v>200000</v>
      </c>
      <c r="V106">
        <v>200000</v>
      </c>
    </row>
    <row r="107" spans="1:22" s="33" customFormat="1" x14ac:dyDescent="0.25">
      <c r="A107" s="133" t="s">
        <v>91</v>
      </c>
      <c r="B107" s="133"/>
      <c r="C107" s="133"/>
      <c r="D107" s="133"/>
      <c r="E107" s="133"/>
      <c r="F107" s="135">
        <v>200000</v>
      </c>
      <c r="G107" s="135"/>
      <c r="H107" s="135"/>
      <c r="R107"/>
      <c r="S107">
        <v>1100000</v>
      </c>
      <c r="T107">
        <v>300000</v>
      </c>
      <c r="U107">
        <v>250000</v>
      </c>
      <c r="V107" s="23">
        <v>250000</v>
      </c>
    </row>
    <row r="108" spans="1:22" s="33" customFormat="1" x14ac:dyDescent="0.25">
      <c r="A108" s="133" t="s">
        <v>446</v>
      </c>
      <c r="B108" s="133"/>
      <c r="C108" s="133"/>
      <c r="D108" s="133"/>
      <c r="E108" s="133"/>
      <c r="F108" s="135">
        <v>15000</v>
      </c>
      <c r="G108" s="135"/>
      <c r="H108" s="135"/>
      <c r="R108"/>
      <c r="S108">
        <v>1200000</v>
      </c>
      <c r="T108">
        <v>350000</v>
      </c>
      <c r="U108">
        <v>300000</v>
      </c>
      <c r="V108">
        <v>300000</v>
      </c>
    </row>
    <row r="109" spans="1:22" s="33" customFormat="1" hidden="1" x14ac:dyDescent="0.25">
      <c r="A109" s="133" t="s">
        <v>169</v>
      </c>
      <c r="B109" s="133"/>
      <c r="C109" s="133"/>
      <c r="D109" s="133"/>
      <c r="E109" s="133"/>
      <c r="F109" s="135"/>
      <c r="G109" s="135"/>
      <c r="H109" s="135"/>
      <c r="R109"/>
      <c r="S109">
        <v>1300000</v>
      </c>
      <c r="T109">
        <v>400000</v>
      </c>
      <c r="U109">
        <v>350000</v>
      </c>
      <c r="V109" s="23">
        <v>400000</v>
      </c>
    </row>
    <row r="110" spans="1:22" s="33" customFormat="1" hidden="1" x14ac:dyDescent="0.25">
      <c r="A110" s="133" t="s">
        <v>92</v>
      </c>
      <c r="B110" s="133"/>
      <c r="C110" s="133"/>
      <c r="D110" s="133"/>
      <c r="E110" s="133"/>
      <c r="F110" s="135"/>
      <c r="G110" s="135"/>
      <c r="H110" s="135"/>
      <c r="R110"/>
      <c r="S110">
        <v>1400000</v>
      </c>
      <c r="T110">
        <v>500000</v>
      </c>
      <c r="U110">
        <v>400000</v>
      </c>
      <c r="V110"/>
    </row>
    <row r="111" spans="1:22" s="33" customFormat="1" hidden="1" x14ac:dyDescent="0.25">
      <c r="A111" s="133" t="s">
        <v>93</v>
      </c>
      <c r="B111" s="133"/>
      <c r="C111" s="133"/>
      <c r="D111" s="133"/>
      <c r="E111" s="133"/>
      <c r="F111" s="135"/>
      <c r="G111" s="135"/>
      <c r="H111" s="135"/>
      <c r="R111"/>
      <c r="S111">
        <v>1500000</v>
      </c>
      <c r="T111">
        <v>600000</v>
      </c>
      <c r="U111">
        <v>500000</v>
      </c>
      <c r="V111" s="23"/>
    </row>
    <row r="112" spans="1:22" s="33" customFormat="1" hidden="1" x14ac:dyDescent="0.25">
      <c r="A112" s="133" t="s">
        <v>94</v>
      </c>
      <c r="B112" s="133"/>
      <c r="C112" s="133"/>
      <c r="D112" s="133"/>
      <c r="E112" s="133"/>
      <c r="F112" s="135"/>
      <c r="G112" s="135"/>
      <c r="H112" s="135"/>
      <c r="R112"/>
      <c r="S112">
        <v>1600000</v>
      </c>
      <c r="T112">
        <v>700000</v>
      </c>
      <c r="U112">
        <v>600000</v>
      </c>
      <c r="V112"/>
    </row>
    <row r="113" spans="1:22" s="33" customFormat="1" hidden="1" x14ac:dyDescent="0.25">
      <c r="A113" s="133" t="s">
        <v>95</v>
      </c>
      <c r="B113" s="133"/>
      <c r="C113" s="133"/>
      <c r="D113" s="133"/>
      <c r="E113" s="133"/>
      <c r="F113" s="135"/>
      <c r="G113" s="135"/>
      <c r="H113" s="135"/>
      <c r="R113"/>
      <c r="S113">
        <v>1700000</v>
      </c>
      <c r="T113">
        <v>800000</v>
      </c>
      <c r="U113"/>
      <c r="V113" s="23"/>
    </row>
    <row r="114" spans="1:22" x14ac:dyDescent="0.25">
      <c r="A114" s="133" t="s">
        <v>49</v>
      </c>
      <c r="B114" s="133"/>
      <c r="C114" s="133"/>
      <c r="D114" s="133"/>
      <c r="E114" s="133"/>
      <c r="F114" s="135">
        <v>300000</v>
      </c>
      <c r="G114" s="135"/>
      <c r="H114" s="135"/>
      <c r="R114"/>
      <c r="S114">
        <v>1800000</v>
      </c>
      <c r="T114">
        <v>900000</v>
      </c>
      <c r="U114"/>
    </row>
    <row r="115" spans="1:22" s="34" customFormat="1" x14ac:dyDescent="0.25">
      <c r="A115" s="184" t="s">
        <v>50</v>
      </c>
      <c r="B115" s="184"/>
      <c r="C115" s="184"/>
      <c r="D115" s="184"/>
      <c r="E115" s="184"/>
      <c r="F115" s="135">
        <f>F104*0.8</f>
        <v>4400</v>
      </c>
      <c r="G115" s="135"/>
      <c r="H115" s="135"/>
      <c r="R115" s="21"/>
      <c r="S115" s="21"/>
      <c r="T115">
        <v>1000000</v>
      </c>
      <c r="U115"/>
      <c r="V115" s="21"/>
    </row>
    <row r="116" spans="1:22" s="35" customFormat="1" ht="15.75" customHeight="1" x14ac:dyDescent="0.25">
      <c r="A116" s="149" t="s">
        <v>71</v>
      </c>
      <c r="B116" s="149"/>
      <c r="C116" s="149"/>
      <c r="D116" s="149"/>
      <c r="E116" s="149"/>
      <c r="F116" s="149"/>
      <c r="G116" s="149"/>
      <c r="H116" s="149"/>
      <c r="R116"/>
      <c r="S116" s="21"/>
      <c r="T116"/>
      <c r="U116"/>
      <c r="V116" s="21"/>
    </row>
    <row r="117" spans="1:22" s="35" customFormat="1" ht="15.75" customHeight="1" x14ac:dyDescent="0.25">
      <c r="A117" s="154" t="s">
        <v>51</v>
      </c>
      <c r="B117" s="154"/>
      <c r="C117" s="151" t="s">
        <v>74</v>
      </c>
      <c r="D117" s="151"/>
      <c r="E117" s="153" t="s">
        <v>52</v>
      </c>
      <c r="F117" s="153"/>
      <c r="G117" s="154" t="s">
        <v>53</v>
      </c>
      <c r="H117" s="154"/>
      <c r="R117"/>
      <c r="S117" s="21"/>
      <c r="T117"/>
      <c r="U117" s="21"/>
      <c r="V117" s="21"/>
    </row>
    <row r="118" spans="1:22" s="35" customFormat="1" x14ac:dyDescent="0.25">
      <c r="A118" s="261" t="s">
        <v>408</v>
      </c>
      <c r="B118" s="95" t="s">
        <v>410</v>
      </c>
      <c r="C118" s="148">
        <f>COUNT(F133)</f>
        <v>1</v>
      </c>
      <c r="D118" s="148"/>
      <c r="E118" s="130">
        <f>SUM(F133)</f>
        <v>419.47307999999998</v>
      </c>
      <c r="F118" s="130"/>
      <c r="G118" s="130">
        <f>SUM(H133)</f>
        <v>629.20961999999997</v>
      </c>
      <c r="H118" s="130"/>
      <c r="R118"/>
      <c r="S118" s="21"/>
      <c r="T118"/>
      <c r="U118" s="21"/>
      <c r="V118" s="21"/>
    </row>
    <row r="119" spans="1:22" s="35" customFormat="1" x14ac:dyDescent="0.25">
      <c r="A119" s="262"/>
      <c r="B119" s="95" t="s">
        <v>414</v>
      </c>
      <c r="C119" s="148">
        <f>COUNT(F135)*3</f>
        <v>3</v>
      </c>
      <c r="D119" s="148"/>
      <c r="E119" s="130">
        <f>SUM(F135)*3</f>
        <v>1476.7131599999998</v>
      </c>
      <c r="F119" s="130"/>
      <c r="G119" s="130">
        <f>SUM(H135)*3</f>
        <v>2215.0697399999999</v>
      </c>
      <c r="H119" s="130"/>
      <c r="R119"/>
      <c r="S119" s="21"/>
      <c r="T119"/>
      <c r="U119" s="21"/>
      <c r="V119" s="21"/>
    </row>
    <row r="120" spans="1:22" s="35" customFormat="1" x14ac:dyDescent="0.25">
      <c r="A120" s="149" t="s">
        <v>144</v>
      </c>
      <c r="B120" s="149"/>
      <c r="C120" s="150">
        <f t="shared" ref="C120:G120" si="0">SUM(C118:D119)</f>
        <v>4</v>
      </c>
      <c r="D120" s="151"/>
      <c r="E120" s="152">
        <f t="shared" si="0"/>
        <v>1896.1862399999998</v>
      </c>
      <c r="F120" s="153"/>
      <c r="G120" s="154">
        <f t="shared" si="0"/>
        <v>2844.27936</v>
      </c>
      <c r="H120" s="154"/>
      <c r="R120"/>
      <c r="S120" s="21"/>
      <c r="T120"/>
      <c r="U120" s="21"/>
      <c r="V120" s="21"/>
    </row>
    <row r="121" spans="1:22" s="35" customFormat="1" x14ac:dyDescent="0.25">
      <c r="A121" s="149" t="s">
        <v>66</v>
      </c>
      <c r="B121" s="149"/>
      <c r="C121" s="149"/>
      <c r="D121" s="149"/>
      <c r="E121" s="149"/>
      <c r="F121" s="149"/>
      <c r="G121" s="149"/>
      <c r="H121" s="149"/>
      <c r="T121"/>
    </row>
    <row r="122" spans="1:22" s="35" customFormat="1" ht="15.75" customHeight="1" x14ac:dyDescent="0.25">
      <c r="A122" s="154" t="s">
        <v>51</v>
      </c>
      <c r="B122" s="154"/>
      <c r="C122" s="151" t="s">
        <v>74</v>
      </c>
      <c r="D122" s="151"/>
      <c r="E122" s="153" t="s">
        <v>52</v>
      </c>
      <c r="F122" s="153"/>
      <c r="G122" s="154" t="s">
        <v>53</v>
      </c>
      <c r="H122" s="154"/>
      <c r="T122"/>
    </row>
    <row r="123" spans="1:22" s="35" customFormat="1" ht="15.75" customHeight="1" x14ac:dyDescent="0.25">
      <c r="A123" s="261" t="s">
        <v>441</v>
      </c>
      <c r="B123" s="95" t="s">
        <v>445</v>
      </c>
      <c r="C123" s="148">
        <f>COUNT(F142:F147)+COUNT(F149:F154)*4+COUNT(F156:F160)</f>
        <v>35</v>
      </c>
      <c r="D123" s="148"/>
      <c r="E123" s="130">
        <f>SUM(F142:F147)+SUM(F149:F154)*4+SUM(F156:F160)</f>
        <v>18883.446660000001</v>
      </c>
      <c r="F123" s="130"/>
      <c r="G123" s="130">
        <f>SUM(H142:H147)+SUM(H149:H154)*4+SUM(H156:H160)</f>
        <v>27444.101606999997</v>
      </c>
      <c r="H123" s="130"/>
      <c r="T123"/>
    </row>
    <row r="124" spans="1:22" s="35" customFormat="1" ht="15.75" customHeight="1" x14ac:dyDescent="0.25">
      <c r="A124" s="262"/>
      <c r="B124" s="95" t="s">
        <v>444</v>
      </c>
      <c r="C124" s="148">
        <f>COUNT(F165:F166,F168)+COUNT(F170:F173)*4+COUNT(F175:F177)</f>
        <v>22</v>
      </c>
      <c r="D124" s="148"/>
      <c r="E124" s="130">
        <f>SUM(F165:F166,F168)+SUM(F170:F173)*4+SUM(F175:F177)</f>
        <v>11343.856680000001</v>
      </c>
      <c r="F124" s="130"/>
      <c r="G124" s="130">
        <f>SUM(H165:H166,H168)+SUM(H170:H173)*4+SUM(H175:H177)</f>
        <v>16448.592185999998</v>
      </c>
      <c r="H124" s="130"/>
      <c r="T124"/>
    </row>
    <row r="125" spans="1:22" s="35" customFormat="1" ht="16.5" thickBot="1" x14ac:dyDescent="0.3">
      <c r="A125" s="145" t="s">
        <v>144</v>
      </c>
      <c r="B125" s="145"/>
      <c r="C125" s="265">
        <f t="shared" ref="C125:G125" si="1">SUM(C123:D124)</f>
        <v>57</v>
      </c>
      <c r="D125" s="265"/>
      <c r="E125" s="146">
        <f t="shared" si="1"/>
        <v>30227.303340000002</v>
      </c>
      <c r="F125" s="146"/>
      <c r="G125" s="147">
        <f t="shared" si="1"/>
        <v>43892.693792999999</v>
      </c>
      <c r="H125" s="147"/>
      <c r="T125"/>
    </row>
    <row r="126" spans="1:22" s="35" customFormat="1" ht="16.5" thickBot="1" x14ac:dyDescent="0.3">
      <c r="A126" s="131" t="s">
        <v>160</v>
      </c>
      <c r="B126" s="132"/>
      <c r="C126" s="127">
        <f>C120+C125</f>
        <v>61</v>
      </c>
      <c r="D126" s="127"/>
      <c r="E126" s="182">
        <f>E120+E125</f>
        <v>32123.489580000001</v>
      </c>
      <c r="F126" s="182"/>
      <c r="G126" s="167">
        <f>G120+G125</f>
        <v>46736.973152999999</v>
      </c>
      <c r="H126" s="168"/>
      <c r="T126"/>
    </row>
    <row r="127" spans="1:22" s="34" customFormat="1" x14ac:dyDescent="0.25">
      <c r="A127" s="266" t="s">
        <v>348</v>
      </c>
      <c r="B127" s="266"/>
      <c r="C127" s="266"/>
      <c r="D127" s="266"/>
      <c r="E127" s="266"/>
      <c r="F127" s="266"/>
      <c r="G127" s="266"/>
      <c r="H127" s="266"/>
      <c r="T127" s="35"/>
    </row>
    <row r="128" spans="1:22" x14ac:dyDescent="0.25">
      <c r="A128" s="255" t="s">
        <v>168</v>
      </c>
      <c r="B128" s="255"/>
      <c r="C128" s="255"/>
      <c r="D128" s="255"/>
      <c r="E128" s="255"/>
      <c r="F128" s="255"/>
      <c r="G128" s="255"/>
      <c r="H128" s="255"/>
      <c r="T128" s="35"/>
    </row>
    <row r="129" spans="1:20" ht="47.25" customHeight="1" x14ac:dyDescent="0.25">
      <c r="A129" s="116" t="s">
        <v>412</v>
      </c>
      <c r="B129" s="116" t="s">
        <v>413</v>
      </c>
      <c r="C129" s="116" t="s">
        <v>54</v>
      </c>
      <c r="D129" s="116" t="s">
        <v>225</v>
      </c>
      <c r="E129" s="165" t="s">
        <v>150</v>
      </c>
      <c r="F129" s="116" t="s">
        <v>55</v>
      </c>
      <c r="G129" s="165" t="s">
        <v>56</v>
      </c>
      <c r="H129" s="102" t="s">
        <v>143</v>
      </c>
      <c r="T129" s="35"/>
    </row>
    <row r="130" spans="1:20" s="37" customFormat="1" x14ac:dyDescent="0.25">
      <c r="A130" s="117"/>
      <c r="B130" s="117"/>
      <c r="C130" s="117"/>
      <c r="D130" s="117"/>
      <c r="E130" s="166"/>
      <c r="F130" s="117"/>
      <c r="G130" s="166"/>
      <c r="H130" s="103">
        <v>0.5</v>
      </c>
      <c r="I130" s="108">
        <v>10.763999999999999</v>
      </c>
      <c r="T130" s="35"/>
    </row>
    <row r="131" spans="1:20" s="37" customFormat="1" x14ac:dyDescent="0.25">
      <c r="A131" s="177" t="s">
        <v>408</v>
      </c>
      <c r="B131" s="178"/>
      <c r="C131" s="178"/>
      <c r="D131" s="178"/>
      <c r="E131" s="178"/>
      <c r="F131" s="178"/>
      <c r="G131" s="178"/>
      <c r="H131" s="179"/>
      <c r="J131" s="36"/>
      <c r="T131" s="35"/>
    </row>
    <row r="132" spans="1:20" s="37" customFormat="1" ht="15.75" customHeight="1" x14ac:dyDescent="0.25">
      <c r="A132" s="139" t="s">
        <v>409</v>
      </c>
      <c r="B132" s="140"/>
      <c r="C132" s="140"/>
      <c r="D132" s="140"/>
      <c r="E132" s="140"/>
      <c r="F132" s="140"/>
      <c r="G132" s="140"/>
      <c r="H132" s="141"/>
      <c r="I132" s="36"/>
      <c r="L132" s="161"/>
      <c r="M132" s="161"/>
      <c r="N132" s="36"/>
      <c r="T132" s="35"/>
    </row>
    <row r="133" spans="1:20" s="37" customFormat="1" ht="15.75" customHeight="1" x14ac:dyDescent="0.25">
      <c r="A133" s="159">
        <v>1</v>
      </c>
      <c r="B133" s="160"/>
      <c r="C133" s="104" t="s">
        <v>410</v>
      </c>
      <c r="D133" s="108">
        <f>(38.97)*10.764</f>
        <v>419.47307999999998</v>
      </c>
      <c r="E133" s="104">
        <v>0</v>
      </c>
      <c r="F133" s="104">
        <f>D133+(IF(E133&lt;201,E133,IF(E133&lt;301,E133/2,E133/3)))</f>
        <v>419.47307999999998</v>
      </c>
      <c r="G133" s="104">
        <v>0</v>
      </c>
      <c r="H133" s="104">
        <f>(F133+(IF(G133&lt;101,G133,IF(G133&lt;201,G133/2,IF(G133&lt;=301,G133/3,G133/4)))))*(($H$130)+1)</f>
        <v>629.20961999999997</v>
      </c>
      <c r="I133" s="36">
        <f>5.98*4.74+0.5*2.2*4.23+1.93*4.74*0.5</f>
        <v>37.572300000000006</v>
      </c>
      <c r="L133" s="161"/>
      <c r="M133" s="161"/>
      <c r="N133" s="36"/>
      <c r="T133" s="34"/>
    </row>
    <row r="134" spans="1:20" s="37" customFormat="1" ht="15.75" customHeight="1" x14ac:dyDescent="0.25">
      <c r="A134" s="139" t="s">
        <v>411</v>
      </c>
      <c r="B134" s="140"/>
      <c r="C134" s="140"/>
      <c r="D134" s="140"/>
      <c r="E134" s="140"/>
      <c r="F134" s="140"/>
      <c r="G134" s="140"/>
      <c r="H134" s="141"/>
      <c r="I134" s="36"/>
      <c r="L134" s="161"/>
      <c r="M134" s="161"/>
      <c r="N134" s="36"/>
      <c r="T134" s="21"/>
    </row>
    <row r="135" spans="1:20" s="37" customFormat="1" ht="15.75" customHeight="1" x14ac:dyDescent="0.25">
      <c r="A135" s="159">
        <v>1</v>
      </c>
      <c r="B135" s="160"/>
      <c r="C135" s="104" t="s">
        <v>414</v>
      </c>
      <c r="D135" s="108">
        <f>(45.73)*10.764</f>
        <v>492.23771999999991</v>
      </c>
      <c r="E135" s="104">
        <v>0</v>
      </c>
      <c r="F135" s="104">
        <f>D135+(IF(E135&lt;201,E135,IF(E135&lt;301,E135/2,E135/3)))</f>
        <v>492.23771999999991</v>
      </c>
      <c r="G135" s="104">
        <v>0</v>
      </c>
      <c r="H135" s="104">
        <f>(F135+(IF(G135&lt;101,G135,IF(G135&lt;201,G135/2,IF(G135&lt;=301,G135/3,G135/4)))))*(($H$130)+1)</f>
        <v>738.35657999999989</v>
      </c>
      <c r="I135" s="36"/>
      <c r="L135" s="161"/>
      <c r="M135" s="161"/>
      <c r="N135" s="36"/>
      <c r="T135" s="21"/>
    </row>
    <row r="136" spans="1:20" x14ac:dyDescent="0.25">
      <c r="A136" s="159"/>
      <c r="B136" s="247"/>
      <c r="C136" s="247"/>
      <c r="D136" s="247"/>
      <c r="E136" s="247"/>
      <c r="F136" s="247"/>
      <c r="G136" s="247"/>
      <c r="H136" s="160"/>
      <c r="I136" s="36"/>
      <c r="T136" s="37"/>
    </row>
    <row r="137" spans="1:20" s="37" customFormat="1" ht="47.25" x14ac:dyDescent="0.25">
      <c r="A137" s="250" t="s">
        <v>415</v>
      </c>
      <c r="B137" s="116" t="s">
        <v>170</v>
      </c>
      <c r="C137" s="116" t="s">
        <v>54</v>
      </c>
      <c r="D137" s="116" t="s">
        <v>369</v>
      </c>
      <c r="E137" s="116" t="s">
        <v>428</v>
      </c>
      <c r="F137" s="116" t="s">
        <v>55</v>
      </c>
      <c r="G137" s="165" t="s">
        <v>56</v>
      </c>
      <c r="H137" s="102" t="s">
        <v>143</v>
      </c>
      <c r="I137" s="36"/>
    </row>
    <row r="138" spans="1:20" s="37" customFormat="1" x14ac:dyDescent="0.25">
      <c r="A138" s="251"/>
      <c r="B138" s="117"/>
      <c r="C138" s="117"/>
      <c r="D138" s="117"/>
      <c r="E138" s="117"/>
      <c r="F138" s="117"/>
      <c r="G138" s="166"/>
      <c r="H138" s="103">
        <v>0.45</v>
      </c>
      <c r="J138" s="36"/>
    </row>
    <row r="139" spans="1:20" s="37" customFormat="1" ht="15.75" customHeight="1" x14ac:dyDescent="0.25">
      <c r="A139" s="177" t="s">
        <v>438</v>
      </c>
      <c r="B139" s="178"/>
      <c r="C139" s="178"/>
      <c r="D139" s="178"/>
      <c r="E139" s="178"/>
      <c r="F139" s="178"/>
      <c r="G139" s="178"/>
      <c r="H139" s="179"/>
      <c r="I139" s="36"/>
      <c r="L139" s="161"/>
      <c r="M139" s="161"/>
      <c r="N139" s="36"/>
    </row>
    <row r="140" spans="1:20" s="37" customFormat="1" ht="15.75" customHeight="1" x14ac:dyDescent="0.25">
      <c r="A140" s="139" t="s">
        <v>423</v>
      </c>
      <c r="B140" s="140"/>
      <c r="C140" s="140"/>
      <c r="D140" s="140"/>
      <c r="E140" s="140"/>
      <c r="F140" s="140"/>
      <c r="G140" s="140"/>
      <c r="H140" s="141"/>
      <c r="I140" s="36"/>
      <c r="L140" s="161"/>
      <c r="M140" s="161"/>
      <c r="N140" s="36"/>
    </row>
    <row r="141" spans="1:20" s="37" customFormat="1" ht="15.75" customHeight="1" x14ac:dyDescent="0.25">
      <c r="A141" s="139" t="s">
        <v>425</v>
      </c>
      <c r="B141" s="140"/>
      <c r="C141" s="140"/>
      <c r="D141" s="140"/>
      <c r="E141" s="140"/>
      <c r="F141" s="140"/>
      <c r="G141" s="140"/>
      <c r="H141" s="141"/>
      <c r="I141" s="36"/>
      <c r="L141" s="161"/>
      <c r="M141" s="161"/>
      <c r="N141" s="36"/>
    </row>
    <row r="142" spans="1:20" s="37" customFormat="1" ht="15.75" customHeight="1" x14ac:dyDescent="0.25">
      <c r="A142" s="159">
        <v>1</v>
      </c>
      <c r="B142" s="160"/>
      <c r="C142" s="104" t="s">
        <v>426</v>
      </c>
      <c r="D142" s="108">
        <f>(52.59)*10.764</f>
        <v>566.07875999999999</v>
      </c>
      <c r="E142" s="108">
        <f>(3.29)*10.764</f>
        <v>35.413559999999997</v>
      </c>
      <c r="F142" s="104">
        <f t="shared" ref="F142:F147" si="2">D142+E142</f>
        <v>601.49231999999995</v>
      </c>
      <c r="G142" s="104">
        <v>0</v>
      </c>
      <c r="H142" s="104">
        <f t="shared" ref="H142:H147" si="3">F142*(($H$138)+1)+(IF(G142&lt;101,G142,IF(G142&lt;201,G142/2,IF(G142&lt;=301,G142/3,G142/4))))</f>
        <v>872.16386399999988</v>
      </c>
      <c r="I142" s="36">
        <f>3*5.05+2.65*2.8+3*3.85+2.1*2.8+1.2*2.1+1.2*2.1+1.95*0.9+0.85*0.9</f>
        <v>47.560000000000009</v>
      </c>
      <c r="J142" s="106">
        <f>2.19*0.9+1.2</f>
        <v>3.1710000000000003</v>
      </c>
      <c r="K142" s="107">
        <f>I142+J142</f>
        <v>50.731000000000009</v>
      </c>
      <c r="L142" s="161"/>
      <c r="M142" s="161"/>
      <c r="N142" s="36"/>
      <c r="T142" s="21"/>
    </row>
    <row r="143" spans="1:20" s="37" customFormat="1" x14ac:dyDescent="0.25">
      <c r="A143" s="128">
        <f>A142+1</f>
        <v>2</v>
      </c>
      <c r="B143" s="129"/>
      <c r="C143" s="104" t="s">
        <v>427</v>
      </c>
      <c r="D143" s="108">
        <f>(45)*10.764</f>
        <v>484.38</v>
      </c>
      <c r="E143" s="108">
        <v>0</v>
      </c>
      <c r="F143" s="42">
        <f t="shared" si="2"/>
        <v>484.38</v>
      </c>
      <c r="G143" s="42">
        <v>0</v>
      </c>
      <c r="H143" s="42">
        <f t="shared" si="3"/>
        <v>702.351</v>
      </c>
      <c r="I143" s="36"/>
      <c r="L143" s="161"/>
      <c r="M143" s="161"/>
    </row>
    <row r="144" spans="1:20" s="37" customFormat="1" x14ac:dyDescent="0.25">
      <c r="A144" s="128">
        <f>A143+1</f>
        <v>3</v>
      </c>
      <c r="B144" s="129"/>
      <c r="C144" s="104" t="s">
        <v>426</v>
      </c>
      <c r="D144" s="108">
        <f>(52.59)*10.764</f>
        <v>566.07875999999999</v>
      </c>
      <c r="E144" s="108">
        <f>(2.1)*10.764</f>
        <v>22.604399999999998</v>
      </c>
      <c r="F144" s="42">
        <f t="shared" si="2"/>
        <v>588.68316000000004</v>
      </c>
      <c r="G144" s="42">
        <v>0</v>
      </c>
      <c r="H144" s="42">
        <f t="shared" si="3"/>
        <v>853.59058200000004</v>
      </c>
      <c r="I144" s="36"/>
      <c r="N144" s="36"/>
    </row>
    <row r="145" spans="1:14" s="37" customFormat="1" x14ac:dyDescent="0.25">
      <c r="A145" s="128">
        <f>A144+1</f>
        <v>4</v>
      </c>
      <c r="B145" s="129"/>
      <c r="C145" s="104" t="s">
        <v>427</v>
      </c>
      <c r="D145" s="108">
        <f>(44.97)*10.764</f>
        <v>484.05707999999998</v>
      </c>
      <c r="E145" s="108">
        <f>(2.33)*10.764</f>
        <v>25.080120000000001</v>
      </c>
      <c r="F145" s="42">
        <f t="shared" si="2"/>
        <v>509.13720000000001</v>
      </c>
      <c r="G145" s="42">
        <v>0</v>
      </c>
      <c r="H145" s="42">
        <f t="shared" si="3"/>
        <v>738.24893999999995</v>
      </c>
      <c r="I145" s="36"/>
      <c r="N145" s="36"/>
    </row>
    <row r="146" spans="1:14" s="37" customFormat="1" x14ac:dyDescent="0.25">
      <c r="A146" s="128">
        <f>A145+1</f>
        <v>5</v>
      </c>
      <c r="B146" s="129"/>
      <c r="C146" s="104" t="s">
        <v>427</v>
      </c>
      <c r="D146" s="108">
        <f>(44.55)*10.764</f>
        <v>479.53619999999995</v>
      </c>
      <c r="E146" s="108">
        <f>(1.94)*10.764</f>
        <v>20.882159999999999</v>
      </c>
      <c r="F146" s="96">
        <f t="shared" si="2"/>
        <v>500.41835999999995</v>
      </c>
      <c r="G146" s="96">
        <v>0</v>
      </c>
      <c r="H146" s="96">
        <f t="shared" si="3"/>
        <v>725.6066219999999</v>
      </c>
      <c r="I146" s="36"/>
      <c r="N146" s="36"/>
    </row>
    <row r="147" spans="1:14" s="37" customFormat="1" x14ac:dyDescent="0.25">
      <c r="A147" s="128">
        <f>A146+1</f>
        <v>6</v>
      </c>
      <c r="B147" s="129"/>
      <c r="C147" s="104" t="s">
        <v>426</v>
      </c>
      <c r="D147" s="108">
        <f>(52.44)*10.764</f>
        <v>564.46415999999999</v>
      </c>
      <c r="E147" s="108">
        <f>(1.89)*10.764</f>
        <v>20.343959999999999</v>
      </c>
      <c r="F147" s="96">
        <f t="shared" si="2"/>
        <v>584.80812000000003</v>
      </c>
      <c r="G147" s="96">
        <v>0</v>
      </c>
      <c r="H147" s="96">
        <f t="shared" si="3"/>
        <v>847.97177399999998</v>
      </c>
      <c r="I147" s="36" t="s">
        <v>443</v>
      </c>
      <c r="J147" s="109">
        <f>4500000-(4500000*0.08)</f>
        <v>4140000</v>
      </c>
      <c r="K147" s="97">
        <f>6000000-(6000000*0.08)-300000</f>
        <v>5220000</v>
      </c>
      <c r="N147" s="36"/>
    </row>
    <row r="148" spans="1:14" s="37" customFormat="1" x14ac:dyDescent="0.25">
      <c r="A148" s="136" t="s">
        <v>139</v>
      </c>
      <c r="B148" s="137"/>
      <c r="C148" s="137"/>
      <c r="D148" s="137"/>
      <c r="E148" s="137"/>
      <c r="F148" s="137"/>
      <c r="G148" s="137"/>
      <c r="H148" s="138"/>
      <c r="I148" s="36"/>
      <c r="L148" s="37">
        <v>5500</v>
      </c>
      <c r="M148" s="37">
        <f>200000+15000</f>
        <v>215000</v>
      </c>
      <c r="N148" s="36"/>
    </row>
    <row r="149" spans="1:14" s="37" customFormat="1" ht="15.75" customHeight="1" x14ac:dyDescent="0.25">
      <c r="A149" s="159">
        <v>1</v>
      </c>
      <c r="B149" s="160"/>
      <c r="C149" s="104" t="s">
        <v>426</v>
      </c>
      <c r="D149" s="108">
        <f>(52.59)*10.764</f>
        <v>566.07875999999999</v>
      </c>
      <c r="E149" s="108">
        <f>(3.29)*10.764</f>
        <v>35.413559999999997</v>
      </c>
      <c r="F149" s="42">
        <f t="shared" ref="F149:F154" si="4">D149+E149</f>
        <v>601.49231999999995</v>
      </c>
      <c r="G149" s="42">
        <v>0</v>
      </c>
      <c r="H149" s="42">
        <f t="shared" ref="H149:H154" si="5">F149*(($H$138)+1)+(IF(G149&lt;101,G149,IF(G149&lt;201,G149/2,IF(G149&lt;=301,G149/3,G149/4))))</f>
        <v>872.16386399999988</v>
      </c>
      <c r="I149" s="36"/>
      <c r="L149" s="36">
        <f t="shared" ref="L149:L155" si="6">H149*$L$148</f>
        <v>4796901.2519999994</v>
      </c>
      <c r="M149" s="36">
        <f>L149+$M$148</f>
        <v>5011901.2519999994</v>
      </c>
    </row>
    <row r="150" spans="1:14" s="37" customFormat="1" ht="15.75" customHeight="1" x14ac:dyDescent="0.25">
      <c r="A150" s="128">
        <f>A149+1</f>
        <v>2</v>
      </c>
      <c r="B150" s="129"/>
      <c r="C150" s="104" t="s">
        <v>427</v>
      </c>
      <c r="D150" s="108">
        <f>(45)*10.764</f>
        <v>484.38</v>
      </c>
      <c r="E150" s="108">
        <v>0</v>
      </c>
      <c r="F150" s="42">
        <f t="shared" si="4"/>
        <v>484.38</v>
      </c>
      <c r="G150" s="42">
        <v>0</v>
      </c>
      <c r="H150" s="42">
        <f t="shared" si="5"/>
        <v>702.351</v>
      </c>
      <c r="I150" s="36">
        <f>3802000/H150</f>
        <v>5413.2477920583869</v>
      </c>
      <c r="L150" s="110">
        <f t="shared" si="6"/>
        <v>3862930.5</v>
      </c>
      <c r="M150" s="110">
        <f t="shared" ref="M150:M154" si="7">L150+$M$148</f>
        <v>4077930.5</v>
      </c>
    </row>
    <row r="151" spans="1:14" s="37" customFormat="1" ht="15.75" customHeight="1" x14ac:dyDescent="0.25">
      <c r="A151" s="128">
        <f>A150+1</f>
        <v>3</v>
      </c>
      <c r="B151" s="129"/>
      <c r="C151" s="104" t="s">
        <v>426</v>
      </c>
      <c r="D151" s="108">
        <f>(52.59)*10.764</f>
        <v>566.07875999999999</v>
      </c>
      <c r="E151" s="108">
        <f>(2.1)*10.764</f>
        <v>22.604399999999998</v>
      </c>
      <c r="F151" s="42">
        <f t="shared" si="4"/>
        <v>588.68316000000004</v>
      </c>
      <c r="G151" s="42">
        <v>0</v>
      </c>
      <c r="H151" s="42">
        <f t="shared" si="5"/>
        <v>853.59058200000004</v>
      </c>
      <c r="I151" s="36"/>
      <c r="L151" s="36">
        <f t="shared" si="6"/>
        <v>4694748.2010000004</v>
      </c>
      <c r="M151" s="36">
        <f t="shared" si="7"/>
        <v>4909748.2010000004</v>
      </c>
    </row>
    <row r="152" spans="1:14" s="37" customFormat="1" ht="15.75" customHeight="1" x14ac:dyDescent="0.25">
      <c r="A152" s="128">
        <f>A151+1</f>
        <v>4</v>
      </c>
      <c r="B152" s="129"/>
      <c r="C152" s="104" t="s">
        <v>427</v>
      </c>
      <c r="D152" s="108">
        <f>(44.97)*10.764</f>
        <v>484.05707999999998</v>
      </c>
      <c r="E152" s="108">
        <f>(2.33)*10.764</f>
        <v>25.080120000000001</v>
      </c>
      <c r="F152" s="42">
        <f t="shared" si="4"/>
        <v>509.13720000000001</v>
      </c>
      <c r="G152" s="42">
        <v>0</v>
      </c>
      <c r="H152" s="42">
        <f t="shared" si="5"/>
        <v>738.24893999999995</v>
      </c>
      <c r="I152" s="36"/>
      <c r="J152" s="97">
        <f>4100000/H152</f>
        <v>5553.6822037292732</v>
      </c>
      <c r="L152" s="110">
        <f t="shared" si="6"/>
        <v>4060369.17</v>
      </c>
      <c r="M152" s="110">
        <f t="shared" si="7"/>
        <v>4275369.17</v>
      </c>
    </row>
    <row r="153" spans="1:14" s="37" customFormat="1" ht="15.75" customHeight="1" x14ac:dyDescent="0.25">
      <c r="A153" s="128">
        <f>A152+1</f>
        <v>5</v>
      </c>
      <c r="B153" s="129"/>
      <c r="C153" s="104" t="s">
        <v>427</v>
      </c>
      <c r="D153" s="108">
        <f>(44.55)*10.764</f>
        <v>479.53619999999995</v>
      </c>
      <c r="E153" s="108">
        <f>(1.94)*10.764</f>
        <v>20.882159999999999</v>
      </c>
      <c r="F153" s="42">
        <f t="shared" si="4"/>
        <v>500.41835999999995</v>
      </c>
      <c r="G153" s="42">
        <v>0</v>
      </c>
      <c r="H153" s="42">
        <f t="shared" si="5"/>
        <v>725.6066219999999</v>
      </c>
      <c r="I153" s="36">
        <f>3928000/H153</f>
        <v>5413.4015331519404</v>
      </c>
      <c r="L153" s="110">
        <f t="shared" si="6"/>
        <v>3990836.4209999996</v>
      </c>
      <c r="M153" s="110">
        <f t="shared" si="7"/>
        <v>4205836.4210000001</v>
      </c>
    </row>
    <row r="154" spans="1:14" s="97" customFormat="1" ht="15.75" customHeight="1" x14ac:dyDescent="0.25">
      <c r="A154" s="128">
        <f>A153+1</f>
        <v>6</v>
      </c>
      <c r="B154" s="129"/>
      <c r="C154" s="104" t="s">
        <v>426</v>
      </c>
      <c r="D154" s="108">
        <f>(52.44)*10.764</f>
        <v>564.46415999999999</v>
      </c>
      <c r="E154" s="108">
        <f>(1.89)*10.764</f>
        <v>20.343959999999999</v>
      </c>
      <c r="F154" s="96">
        <f t="shared" si="4"/>
        <v>584.80812000000003</v>
      </c>
      <c r="G154" s="96">
        <v>0</v>
      </c>
      <c r="H154" s="96">
        <f t="shared" si="5"/>
        <v>847.97177399999998</v>
      </c>
      <c r="I154" s="36"/>
      <c r="J154" s="97">
        <f>4507500/H154</f>
        <v>5315.6250457930928</v>
      </c>
      <c r="L154" s="36">
        <f t="shared" si="6"/>
        <v>4663844.7570000002</v>
      </c>
      <c r="M154" s="36">
        <f t="shared" si="7"/>
        <v>4878844.7570000002</v>
      </c>
    </row>
    <row r="155" spans="1:14" s="37" customFormat="1" ht="15.75" customHeight="1" x14ac:dyDescent="0.25">
      <c r="A155" s="136" t="s">
        <v>435</v>
      </c>
      <c r="B155" s="137"/>
      <c r="C155" s="137"/>
      <c r="D155" s="137"/>
      <c r="E155" s="137"/>
      <c r="F155" s="137"/>
      <c r="G155" s="137"/>
      <c r="H155" s="138"/>
      <c r="I155" s="36"/>
      <c r="L155" s="97">
        <f t="shared" si="6"/>
        <v>0</v>
      </c>
    </row>
    <row r="156" spans="1:14" s="37" customFormat="1" x14ac:dyDescent="0.25">
      <c r="A156" s="159">
        <v>1</v>
      </c>
      <c r="B156" s="160"/>
      <c r="C156" s="104" t="s">
        <v>426</v>
      </c>
      <c r="D156" s="108">
        <f>(52.59)*10.764</f>
        <v>566.07875999999999</v>
      </c>
      <c r="E156" s="108">
        <f>(3.29)*10.764</f>
        <v>35.413559999999997</v>
      </c>
      <c r="F156" s="104">
        <f>D156+E156</f>
        <v>601.49231999999995</v>
      </c>
      <c r="G156" s="108">
        <v>0</v>
      </c>
      <c r="H156" s="96">
        <f>F156*(($H$138)+1)+(IF(G156&lt;101,G156,IF(G156&lt;201,G156/2,IF(G156&lt;=301,G156/3,G156/4))))</f>
        <v>872.16386399999988</v>
      </c>
      <c r="I156" s="36"/>
    </row>
    <row r="157" spans="1:14" s="37" customFormat="1" ht="15.75" customHeight="1" x14ac:dyDescent="0.25">
      <c r="A157" s="128">
        <f>A156+1</f>
        <v>2</v>
      </c>
      <c r="B157" s="129"/>
      <c r="C157" s="104" t="s">
        <v>433</v>
      </c>
      <c r="D157" s="108">
        <f>(4.8*3+1*1.85+2.1*2.8+1.2*2.05*2+1.5*0.9+1*0.9+2.1*1.05)*10.764</f>
        <v>339.11981999999995</v>
      </c>
      <c r="E157" s="108">
        <v>0</v>
      </c>
      <c r="F157" s="104">
        <f>D157+E157</f>
        <v>339.11981999999995</v>
      </c>
      <c r="G157" s="108">
        <f>(3.5*3.35)*10.764</f>
        <v>126.2079</v>
      </c>
      <c r="H157" s="96">
        <f>F157*(($H$138)+1)+(IF(G157&lt;101,G157,IF(G157&lt;201,G157/2,IF(G157&lt;=301,G157/3,G157/4))))</f>
        <v>554.82768899999996</v>
      </c>
      <c r="I157" s="36"/>
    </row>
    <row r="158" spans="1:14" s="37" customFormat="1" ht="15.75" customHeight="1" x14ac:dyDescent="0.25">
      <c r="A158" s="128">
        <f>A157+1</f>
        <v>3</v>
      </c>
      <c r="B158" s="129"/>
      <c r="C158" s="104" t="s">
        <v>426</v>
      </c>
      <c r="D158" s="108">
        <f>(52.59)*10.764</f>
        <v>566.07875999999999</v>
      </c>
      <c r="E158" s="108">
        <f>(2.1)*10.764</f>
        <v>22.604399999999998</v>
      </c>
      <c r="F158" s="104">
        <f>D158+E158</f>
        <v>588.68316000000004</v>
      </c>
      <c r="G158" s="108">
        <v>0</v>
      </c>
      <c r="H158" s="96">
        <f>F158*(($H$138)+1)+(IF(G158&lt;101,G158,IF(G158&lt;201,G158/2,IF(G158&lt;=301,G158/3,G158/4))))</f>
        <v>853.59058200000004</v>
      </c>
      <c r="I158" s="36"/>
    </row>
    <row r="159" spans="1:14" s="37" customFormat="1" ht="15.75" customHeight="1" x14ac:dyDescent="0.25">
      <c r="A159" s="128">
        <f>A158+1</f>
        <v>4</v>
      </c>
      <c r="B159" s="129"/>
      <c r="C159" s="104" t="s">
        <v>427</v>
      </c>
      <c r="D159" s="108">
        <f>(44.97)*10.764</f>
        <v>484.05707999999998</v>
      </c>
      <c r="E159" s="108">
        <f>(2.33)*10.764</f>
        <v>25.080120000000001</v>
      </c>
      <c r="F159" s="104">
        <f>D159+E159</f>
        <v>509.13720000000001</v>
      </c>
      <c r="G159" s="108">
        <v>0</v>
      </c>
      <c r="H159" s="96">
        <f>F159*(($H$138)+1)+(IF(G159&lt;101,G159,IF(G159&lt;201,G159/2,IF(G159&lt;=301,G159/3,G159/4))))</f>
        <v>738.24893999999995</v>
      </c>
      <c r="I159" s="36"/>
    </row>
    <row r="160" spans="1:14" s="97" customFormat="1" ht="15.75" customHeight="1" x14ac:dyDescent="0.25">
      <c r="A160" s="128">
        <f>A159+1</f>
        <v>5</v>
      </c>
      <c r="B160" s="129"/>
      <c r="C160" s="104" t="s">
        <v>427</v>
      </c>
      <c r="D160" s="108">
        <f>(44.55)*10.764</f>
        <v>479.53619999999995</v>
      </c>
      <c r="E160" s="108">
        <f>(1.94)*10.764</f>
        <v>20.882159999999999</v>
      </c>
      <c r="F160" s="104">
        <f>D160+E160</f>
        <v>500.41835999999995</v>
      </c>
      <c r="G160" s="108">
        <v>0</v>
      </c>
      <c r="H160" s="96">
        <f>F160*(($H$138)+1)+(IF(G160&lt;101,G160,IF(G160&lt;201,G160/2,IF(G160&lt;=301,G160/3,G160/4))))</f>
        <v>725.6066219999999</v>
      </c>
      <c r="I160" s="36"/>
    </row>
    <row r="161" spans="1:20" s="37" customFormat="1" ht="15.75" customHeight="1" x14ac:dyDescent="0.25">
      <c r="A161" s="128">
        <f>A160+1</f>
        <v>6</v>
      </c>
      <c r="B161" s="129"/>
      <c r="C161" s="159" t="s">
        <v>436</v>
      </c>
      <c r="D161" s="247"/>
      <c r="E161" s="247"/>
      <c r="F161" s="247"/>
      <c r="G161" s="247"/>
      <c r="H161" s="160"/>
      <c r="I161" s="36"/>
    </row>
    <row r="162" spans="1:20" s="37" customFormat="1" x14ac:dyDescent="0.25">
      <c r="A162" s="177" t="s">
        <v>439</v>
      </c>
      <c r="B162" s="178"/>
      <c r="C162" s="178"/>
      <c r="D162" s="178"/>
      <c r="E162" s="178"/>
      <c r="F162" s="178"/>
      <c r="G162" s="178"/>
      <c r="H162" s="179"/>
      <c r="I162" s="36"/>
    </row>
    <row r="163" spans="1:20" s="37" customFormat="1" ht="15.75" customHeight="1" x14ac:dyDescent="0.25">
      <c r="A163" s="139" t="s">
        <v>424</v>
      </c>
      <c r="B163" s="140"/>
      <c r="C163" s="140"/>
      <c r="D163" s="140"/>
      <c r="E163" s="140"/>
      <c r="F163" s="140"/>
      <c r="G163" s="140"/>
      <c r="H163" s="141"/>
      <c r="I163" s="36"/>
    </row>
    <row r="164" spans="1:20" s="37" customFormat="1" ht="15.75" customHeight="1" x14ac:dyDescent="0.25">
      <c r="A164" s="139" t="s">
        <v>430</v>
      </c>
      <c r="B164" s="140"/>
      <c r="C164" s="140"/>
      <c r="D164" s="140"/>
      <c r="E164" s="140"/>
      <c r="F164" s="140"/>
      <c r="G164" s="140"/>
      <c r="H164" s="141"/>
      <c r="I164" s="36"/>
    </row>
    <row r="165" spans="1:20" s="37" customFormat="1" ht="15.75" customHeight="1" x14ac:dyDescent="0.25">
      <c r="A165" s="128">
        <v>7</v>
      </c>
      <c r="B165" s="129"/>
      <c r="C165" s="104" t="s">
        <v>427</v>
      </c>
      <c r="D165" s="108">
        <f>(45.49)*10.764</f>
        <v>489.65436</v>
      </c>
      <c r="E165" s="108">
        <f>(1.58)*10.764</f>
        <v>17.00712</v>
      </c>
      <c r="F165" s="42">
        <f>D165+E165</f>
        <v>506.66147999999998</v>
      </c>
      <c r="G165" s="42">
        <v>0</v>
      </c>
      <c r="H165" s="42">
        <f>F165*(($H$138)+1)+(IF(G165&lt;101,G165,IF(G165&lt;201,G165/2,IF(G165&lt;=301,G165/3,G165/4))))</f>
        <v>734.65914599999996</v>
      </c>
      <c r="I165" s="36"/>
    </row>
    <row r="166" spans="1:20" s="37" customFormat="1" ht="15.75" customHeight="1" x14ac:dyDescent="0.25">
      <c r="A166" s="128">
        <f>A165+1</f>
        <v>8</v>
      </c>
      <c r="B166" s="129"/>
      <c r="C166" s="104" t="s">
        <v>427</v>
      </c>
      <c r="D166" s="108">
        <f>(43.18)*10.764</f>
        <v>464.78951999999998</v>
      </c>
      <c r="E166" s="108">
        <f>(1.02)*10.764</f>
        <v>10.979279999999999</v>
      </c>
      <c r="F166" s="42">
        <f>D166+E166</f>
        <v>475.7688</v>
      </c>
      <c r="G166" s="42">
        <v>0</v>
      </c>
      <c r="H166" s="42">
        <f>F166*(($H$138)+1)+(IF(G166&lt;101,G166,IF(G166&lt;201,G166/2,IF(G166&lt;=301,G166/3,G166/4))))</f>
        <v>689.86475999999993</v>
      </c>
      <c r="I166" s="36"/>
    </row>
    <row r="167" spans="1:20" s="35" customFormat="1" x14ac:dyDescent="0.25">
      <c r="A167" s="128" t="s">
        <v>429</v>
      </c>
      <c r="B167" s="129"/>
      <c r="C167" s="159" t="s">
        <v>431</v>
      </c>
      <c r="D167" s="247"/>
      <c r="E167" s="247"/>
      <c r="F167" s="247"/>
      <c r="G167" s="247"/>
      <c r="H167" s="160"/>
      <c r="T167" s="37"/>
    </row>
    <row r="168" spans="1:20" s="35" customFormat="1" x14ac:dyDescent="0.25">
      <c r="A168" s="128">
        <v>10</v>
      </c>
      <c r="B168" s="129"/>
      <c r="C168" s="104" t="s">
        <v>426</v>
      </c>
      <c r="D168" s="108">
        <f>(53.33)*10.764</f>
        <v>574.04411999999991</v>
      </c>
      <c r="E168" s="108">
        <f>(2.26)*10.764</f>
        <v>24.326639999999998</v>
      </c>
      <c r="F168" s="42">
        <f>D168+E168</f>
        <v>598.3707599999999</v>
      </c>
      <c r="G168" s="42">
        <v>0</v>
      </c>
      <c r="H168" s="42">
        <f>F168*(($H$138)+1)+(IF(G168&lt;101,G168,IF(G168&lt;201,G168/2,IF(G168&lt;=301,G168/3,G168/4))))</f>
        <v>867.63760199999979</v>
      </c>
      <c r="T168" s="37"/>
    </row>
    <row r="169" spans="1:20" s="35" customFormat="1" x14ac:dyDescent="0.25">
      <c r="A169" s="136" t="s">
        <v>432</v>
      </c>
      <c r="B169" s="137"/>
      <c r="C169" s="137"/>
      <c r="D169" s="137"/>
      <c r="E169" s="137"/>
      <c r="F169" s="137"/>
      <c r="G169" s="137"/>
      <c r="H169" s="138"/>
      <c r="T169" s="37"/>
    </row>
    <row r="170" spans="1:20" s="35" customFormat="1" x14ac:dyDescent="0.25">
      <c r="A170" s="128">
        <v>7</v>
      </c>
      <c r="B170" s="129"/>
      <c r="C170" s="104" t="s">
        <v>427</v>
      </c>
      <c r="D170" s="108">
        <f>(45.49)*10.764</f>
        <v>489.65436</v>
      </c>
      <c r="E170" s="108">
        <f>(1.58)*10.764</f>
        <v>17.00712</v>
      </c>
      <c r="F170" s="96">
        <f>D170+E170</f>
        <v>506.66147999999998</v>
      </c>
      <c r="G170" s="96">
        <v>0</v>
      </c>
      <c r="H170" s="96">
        <f>F170*(($H$138)+1)+(IF(G170&lt;101,G170,IF(G170&lt;201,G170/2,IF(G170&lt;=301,G170/3,G170/4))))</f>
        <v>734.65914599999996</v>
      </c>
      <c r="T170" s="37"/>
    </row>
    <row r="171" spans="1:20" s="35" customFormat="1" x14ac:dyDescent="0.25">
      <c r="A171" s="128">
        <f>A170+1</f>
        <v>8</v>
      </c>
      <c r="B171" s="129"/>
      <c r="C171" s="104" t="s">
        <v>427</v>
      </c>
      <c r="D171" s="108">
        <f>(43.18)*10.764</f>
        <v>464.78951999999998</v>
      </c>
      <c r="E171" s="108">
        <f>(1.02)*10.764</f>
        <v>10.979279999999999</v>
      </c>
      <c r="F171" s="96">
        <f>D171+E171</f>
        <v>475.7688</v>
      </c>
      <c r="G171" s="96">
        <v>0</v>
      </c>
      <c r="H171" s="96">
        <f>F171*(($H$138)+1)+(IF(G171&lt;101,G171,IF(G171&lt;201,G171/2,IF(G171&lt;=301,G171/3,G171/4))))</f>
        <v>689.86475999999993</v>
      </c>
      <c r="T171" s="37"/>
    </row>
    <row r="172" spans="1:20" s="35" customFormat="1" x14ac:dyDescent="0.25">
      <c r="A172" s="128">
        <f>A171+1</f>
        <v>9</v>
      </c>
      <c r="B172" s="129"/>
      <c r="C172" s="104" t="s">
        <v>427</v>
      </c>
      <c r="D172" s="108">
        <f>(43.32)*10.764</f>
        <v>466.29647999999997</v>
      </c>
      <c r="E172" s="108">
        <f>(2.34)*10.764</f>
        <v>25.187759999999997</v>
      </c>
      <c r="F172" s="96">
        <f>D172+E172</f>
        <v>491.48424</v>
      </c>
      <c r="G172" s="96">
        <v>0</v>
      </c>
      <c r="H172" s="96">
        <f>F172*(($H$138)+1)+(IF(G172&lt;101,G172,IF(G172&lt;201,G172/2,IF(G172&lt;=301,G172/3,G172/4))))</f>
        <v>712.65214800000001</v>
      </c>
      <c r="T172" s="37"/>
    </row>
    <row r="173" spans="1:20" s="35" customFormat="1" x14ac:dyDescent="0.25">
      <c r="A173" s="128">
        <v>10</v>
      </c>
      <c r="B173" s="129"/>
      <c r="C173" s="104" t="s">
        <v>426</v>
      </c>
      <c r="D173" s="108">
        <f>(53.33)*10.764</f>
        <v>574.04411999999991</v>
      </c>
      <c r="E173" s="108">
        <f>(2.26)*10.764</f>
        <v>24.326639999999998</v>
      </c>
      <c r="F173" s="96">
        <f>D173+E173</f>
        <v>598.3707599999999</v>
      </c>
      <c r="G173" s="96">
        <v>0</v>
      </c>
      <c r="H173" s="96">
        <f>F173*(($H$138)+1)+(IF(G173&lt;101,G173,IF(G173&lt;201,G173/2,IF(G173&lt;=301,G173/3,G173/4))))</f>
        <v>867.63760199999979</v>
      </c>
    </row>
    <row r="174" spans="1:20" s="35" customFormat="1" ht="15.75" customHeight="1" x14ac:dyDescent="0.25">
      <c r="A174" s="136" t="s">
        <v>435</v>
      </c>
      <c r="B174" s="137"/>
      <c r="C174" s="137"/>
      <c r="D174" s="137"/>
      <c r="E174" s="137"/>
      <c r="F174" s="137"/>
      <c r="G174" s="137"/>
      <c r="H174" s="138"/>
    </row>
    <row r="175" spans="1:20" s="35" customFormat="1" x14ac:dyDescent="0.25">
      <c r="A175" s="128">
        <v>7</v>
      </c>
      <c r="B175" s="129"/>
      <c r="C175" s="104" t="s">
        <v>427</v>
      </c>
      <c r="D175" s="108">
        <f>(45.49)*10.764</f>
        <v>489.65436</v>
      </c>
      <c r="E175" s="108">
        <f>(1.58)*10.764</f>
        <v>17.00712</v>
      </c>
      <c r="F175" s="96">
        <f>D175+E175</f>
        <v>506.66147999999998</v>
      </c>
      <c r="G175" s="96">
        <v>0</v>
      </c>
      <c r="H175" s="96">
        <f>F175*(($H$138)+1)+(IF(G175&lt;101,G175,IF(G175&lt;201,G175/2,IF(G175&lt;=301,G175/3,G175/4))))</f>
        <v>734.65914599999996</v>
      </c>
    </row>
    <row r="176" spans="1:20" s="35" customFormat="1" x14ac:dyDescent="0.25">
      <c r="A176" s="128">
        <f>A175+1</f>
        <v>8</v>
      </c>
      <c r="B176" s="129"/>
      <c r="C176" s="104" t="s">
        <v>427</v>
      </c>
      <c r="D176" s="108">
        <f>(43.18)*10.764</f>
        <v>464.78951999999998</v>
      </c>
      <c r="E176" s="108">
        <f>(1.02)*10.764</f>
        <v>10.979279999999999</v>
      </c>
      <c r="F176" s="96">
        <f>D176+E176</f>
        <v>475.7688</v>
      </c>
      <c r="G176" s="96">
        <v>0</v>
      </c>
      <c r="H176" s="96">
        <f>F176*(($H$138)+1)+(IF(G176&lt;101,G176,IF(G176&lt;201,G176/2,IF(G176&lt;=301,G176/3,G176/4))))</f>
        <v>689.86475999999993</v>
      </c>
    </row>
    <row r="177" spans="1:20" s="35" customFormat="1" x14ac:dyDescent="0.25">
      <c r="A177" s="128">
        <f>A176+1</f>
        <v>9</v>
      </c>
      <c r="B177" s="129"/>
      <c r="C177" s="104" t="s">
        <v>427</v>
      </c>
      <c r="D177" s="108">
        <f>(43.32)*10.764</f>
        <v>466.29647999999997</v>
      </c>
      <c r="E177" s="108">
        <f>(2.34)*10.764</f>
        <v>25.187759999999997</v>
      </c>
      <c r="F177" s="96">
        <f>D177+E177</f>
        <v>491.48424</v>
      </c>
      <c r="G177" s="96">
        <v>0</v>
      </c>
      <c r="H177" s="96">
        <f>F177*(($H$138)+1)+(IF(G177&lt;101,G177,IF(G177&lt;201,G177/2,IF(G177&lt;=301,G177/3,G177/4))))</f>
        <v>712.65214800000001</v>
      </c>
    </row>
    <row r="178" spans="1:20" s="35" customFormat="1" x14ac:dyDescent="0.25">
      <c r="A178" s="128" t="s">
        <v>429</v>
      </c>
      <c r="B178" s="129"/>
      <c r="C178" s="159" t="s">
        <v>436</v>
      </c>
      <c r="D178" s="247"/>
      <c r="E178" s="247"/>
      <c r="F178" s="247"/>
      <c r="G178" s="247"/>
      <c r="H178" s="160"/>
    </row>
    <row r="179" spans="1:20" s="35" customFormat="1" x14ac:dyDescent="0.25">
      <c r="A179" s="249" t="s">
        <v>64</v>
      </c>
      <c r="B179" s="249"/>
      <c r="C179" s="249"/>
      <c r="D179" s="249"/>
      <c r="E179" s="249"/>
      <c r="F179" s="249"/>
      <c r="G179" s="249"/>
      <c r="H179" s="249"/>
    </row>
    <row r="180" spans="1:20" s="35" customFormat="1" ht="30.75" customHeight="1" x14ac:dyDescent="0.25">
      <c r="A180" s="105" t="s">
        <v>147</v>
      </c>
      <c r="B180" s="118" t="s">
        <v>442</v>
      </c>
      <c r="C180" s="119"/>
      <c r="D180" s="119"/>
      <c r="E180" s="119"/>
      <c r="F180" s="119"/>
      <c r="G180" s="119"/>
      <c r="H180" s="120"/>
    </row>
    <row r="181" spans="1:20" x14ac:dyDescent="0.25">
      <c r="A181" s="105" t="s">
        <v>147</v>
      </c>
      <c r="B181" s="118" t="str">
        <f>(IF(H137="Saleable area Loading :","We have considered Saleable area of Flats as per our Calculation.","We considered Saleable area of Flat as per Builder area Sheet."))</f>
        <v>We have considered Saleable area of Flats as per our Calculation.</v>
      </c>
      <c r="C181" s="119"/>
      <c r="D181" s="119"/>
      <c r="E181" s="119"/>
      <c r="F181" s="119"/>
      <c r="G181" s="119"/>
      <c r="H181" s="120"/>
      <c r="T181" s="35"/>
    </row>
    <row r="182" spans="1:20" x14ac:dyDescent="0.25">
      <c r="A182" s="46" t="s">
        <v>147</v>
      </c>
      <c r="B182" s="118" t="str">
        <f>(IF(H129="Saleable area Loading :","We have considered Saleable area of Commercial as per our Calculation.","We considered Saleable area of Commercial as per Builder area Sheet."))</f>
        <v>We have considered Saleable area of Commercial as per our Calculation.</v>
      </c>
      <c r="C182" s="119"/>
      <c r="D182" s="119"/>
      <c r="E182" s="119"/>
      <c r="F182" s="119"/>
      <c r="G182" s="119"/>
      <c r="H182" s="120"/>
      <c r="T182" s="35"/>
    </row>
    <row r="183" spans="1:20" ht="15.75" customHeight="1" x14ac:dyDescent="0.25">
      <c r="A183" s="46" t="s">
        <v>147</v>
      </c>
      <c r="B183" s="118" t="s">
        <v>116</v>
      </c>
      <c r="C183" s="119"/>
      <c r="D183" s="119"/>
      <c r="E183" s="119"/>
      <c r="F183" s="119"/>
      <c r="G183" s="119"/>
      <c r="H183" s="120"/>
      <c r="T183" s="35"/>
    </row>
    <row r="184" spans="1:20" x14ac:dyDescent="0.25">
      <c r="A184" s="46" t="s">
        <v>147</v>
      </c>
      <c r="B184" s="118" t="s">
        <v>437</v>
      </c>
      <c r="C184" s="119"/>
      <c r="D184" s="119"/>
      <c r="E184" s="119"/>
      <c r="F184" s="119"/>
      <c r="G184" s="119"/>
      <c r="H184" s="120"/>
      <c r="T184" s="35"/>
    </row>
    <row r="185" spans="1:20" x14ac:dyDescent="0.25">
      <c r="A185" s="46" t="s">
        <v>147</v>
      </c>
      <c r="B185" s="118" t="s">
        <v>146</v>
      </c>
      <c r="C185" s="119"/>
      <c r="D185" s="119"/>
      <c r="E185" s="119"/>
      <c r="F185" s="119"/>
      <c r="G185" s="119"/>
      <c r="H185" s="120"/>
      <c r="T185" s="35"/>
    </row>
    <row r="186" spans="1:20" x14ac:dyDescent="0.25">
      <c r="A186" s="46" t="s">
        <v>147</v>
      </c>
      <c r="B186" s="156" t="s">
        <v>117</v>
      </c>
      <c r="C186" s="157"/>
      <c r="D186" s="157"/>
      <c r="E186" s="157"/>
      <c r="F186" s="157"/>
      <c r="G186" s="157"/>
      <c r="H186" s="158"/>
      <c r="T186" s="35"/>
    </row>
    <row r="187" spans="1:20" ht="33.75" customHeight="1" x14ac:dyDescent="0.25">
      <c r="A187" s="105" t="s">
        <v>147</v>
      </c>
      <c r="B187" s="118" t="s">
        <v>148</v>
      </c>
      <c r="C187" s="119"/>
      <c r="D187" s="119"/>
      <c r="E187" s="119"/>
      <c r="F187" s="119"/>
      <c r="G187" s="119"/>
      <c r="H187" s="120"/>
    </row>
    <row r="188" spans="1:20" x14ac:dyDescent="0.25">
      <c r="A188" s="46" t="s">
        <v>147</v>
      </c>
      <c r="B188" s="156" t="s">
        <v>118</v>
      </c>
      <c r="C188" s="157"/>
      <c r="D188" s="157"/>
      <c r="E188" s="157"/>
      <c r="F188" s="157"/>
      <c r="G188" s="157"/>
      <c r="H188" s="158"/>
    </row>
    <row r="189" spans="1:20" ht="34.5" hidden="1" customHeight="1" x14ac:dyDescent="0.25">
      <c r="A189" s="46" t="s">
        <v>147</v>
      </c>
      <c r="B189" s="113" t="s">
        <v>171</v>
      </c>
      <c r="C189" s="114"/>
      <c r="D189" s="114"/>
      <c r="E189" s="114"/>
      <c r="F189" s="114"/>
      <c r="G189" s="114"/>
      <c r="H189" s="115"/>
    </row>
    <row r="190" spans="1:20" hidden="1" x14ac:dyDescent="0.25">
      <c r="A190" s="46" t="s">
        <v>147</v>
      </c>
      <c r="B190" s="113" t="s">
        <v>342</v>
      </c>
      <c r="C190" s="114"/>
      <c r="D190" s="114"/>
      <c r="E190" s="114"/>
      <c r="F190" s="114"/>
      <c r="G190" s="114"/>
      <c r="H190" s="115"/>
    </row>
    <row r="191" spans="1:20" hidden="1" x14ac:dyDescent="0.25">
      <c r="A191" s="46" t="s">
        <v>147</v>
      </c>
      <c r="B191" s="113" t="s">
        <v>343</v>
      </c>
      <c r="C191" s="114"/>
      <c r="D191" s="114"/>
      <c r="E191" s="114"/>
      <c r="F191" s="114"/>
      <c r="G191" s="114"/>
      <c r="H191" s="115"/>
    </row>
    <row r="192" spans="1:20" hidden="1" x14ac:dyDescent="0.25">
      <c r="A192" s="46" t="s">
        <v>147</v>
      </c>
      <c r="B192" s="113" t="str">
        <f ca="1">IF(G52&gt;EDATE(E3,-48),"NO REMARK FOR CC","REMARK FOR CC")</f>
        <v>NO REMARK FOR CC</v>
      </c>
      <c r="C192" s="114"/>
      <c r="D192" s="114"/>
      <c r="E192" s="114"/>
      <c r="F192" s="114"/>
      <c r="G192" s="114"/>
      <c r="H192" s="115"/>
    </row>
    <row r="193" spans="1:8" hidden="1" x14ac:dyDescent="0.25">
      <c r="A193" s="46" t="s">
        <v>147</v>
      </c>
      <c r="B193" s="113" t="s">
        <v>344</v>
      </c>
      <c r="C193" s="114"/>
      <c r="D193" s="114"/>
      <c r="E193" s="114"/>
      <c r="F193" s="114"/>
      <c r="G193" s="114"/>
      <c r="H193" s="115"/>
    </row>
    <row r="194" spans="1:8" x14ac:dyDescent="0.25">
      <c r="A194" s="246" t="s">
        <v>57</v>
      </c>
      <c r="B194" s="246"/>
      <c r="C194" s="246"/>
      <c r="D194" s="246"/>
      <c r="E194" s="246"/>
      <c r="F194" s="246"/>
      <c r="G194" s="246"/>
      <c r="H194" s="246"/>
    </row>
    <row r="195" spans="1:8" x14ac:dyDescent="0.25">
      <c r="A195" s="162" t="s">
        <v>58</v>
      </c>
      <c r="B195" s="162"/>
      <c r="C195" s="162"/>
      <c r="D195" s="162"/>
      <c r="E195" s="162"/>
      <c r="F195" s="162"/>
      <c r="G195" s="162"/>
      <c r="H195" s="162"/>
    </row>
    <row r="196" spans="1:8" ht="15" customHeight="1" x14ac:dyDescent="0.25">
      <c r="A196" s="248" t="s">
        <v>59</v>
      </c>
      <c r="B196" s="248"/>
      <c r="C196" s="248"/>
      <c r="D196" s="248"/>
      <c r="E196" s="248"/>
      <c r="F196" s="248"/>
      <c r="G196" s="248"/>
      <c r="H196" s="248"/>
    </row>
    <row r="197" spans="1:8" x14ac:dyDescent="0.25">
      <c r="A197" s="162" t="s">
        <v>60</v>
      </c>
      <c r="B197" s="162"/>
      <c r="C197" s="162"/>
      <c r="D197" s="162"/>
      <c r="E197" s="162"/>
      <c r="F197" s="162"/>
      <c r="G197" s="162"/>
      <c r="H197" s="162"/>
    </row>
    <row r="198" spans="1:8" x14ac:dyDescent="0.25">
      <c r="A198" s="162" t="s">
        <v>61</v>
      </c>
      <c r="B198" s="162"/>
      <c r="C198" s="162"/>
      <c r="D198" s="162"/>
      <c r="E198" s="162"/>
      <c r="F198" s="162"/>
      <c r="G198" s="162"/>
      <c r="H198" s="162"/>
    </row>
    <row r="199" spans="1:8" x14ac:dyDescent="0.25">
      <c r="A199" s="162" t="s">
        <v>119</v>
      </c>
      <c r="B199" s="162"/>
      <c r="C199" s="162"/>
      <c r="D199" s="162"/>
      <c r="E199" s="162"/>
      <c r="F199" s="162"/>
      <c r="G199" s="162"/>
      <c r="H199" s="162"/>
    </row>
    <row r="200" spans="1:8" x14ac:dyDescent="0.25">
      <c r="A200" s="230" t="s">
        <v>120</v>
      </c>
      <c r="B200" s="230"/>
      <c r="C200" s="230"/>
      <c r="D200" s="230"/>
      <c r="E200" s="230"/>
      <c r="F200" s="230"/>
      <c r="G200" s="230"/>
      <c r="H200" s="230"/>
    </row>
    <row r="201" spans="1:8" x14ac:dyDescent="0.25">
      <c r="A201" s="244" t="s">
        <v>73</v>
      </c>
      <c r="B201" s="244"/>
      <c r="C201" s="245" t="s">
        <v>422</v>
      </c>
      <c r="D201" s="245"/>
      <c r="E201" s="244" t="s">
        <v>102</v>
      </c>
      <c r="F201" s="244"/>
      <c r="G201" s="244" t="s">
        <v>391</v>
      </c>
      <c r="H201" s="244"/>
    </row>
    <row r="202" spans="1:8" x14ac:dyDescent="0.25">
      <c r="A202" s="243" t="s">
        <v>75</v>
      </c>
      <c r="B202" s="243"/>
      <c r="C202" s="243"/>
      <c r="D202" s="243"/>
      <c r="E202" s="243"/>
      <c r="F202" s="243"/>
      <c r="G202" s="243"/>
      <c r="H202" s="243"/>
    </row>
    <row r="203" spans="1:8" x14ac:dyDescent="0.25">
      <c r="A203" s="243"/>
      <c r="B203" s="243"/>
      <c r="C203" s="243"/>
      <c r="D203" s="243"/>
      <c r="E203" s="243"/>
      <c r="F203" s="243"/>
      <c r="G203" s="243"/>
      <c r="H203" s="243"/>
    </row>
    <row r="204" spans="1:8" x14ac:dyDescent="0.25">
      <c r="A204" s="243"/>
      <c r="B204" s="243"/>
      <c r="C204" s="243"/>
      <c r="D204" s="243"/>
      <c r="E204" s="243"/>
      <c r="F204" s="243"/>
      <c r="G204" s="243"/>
      <c r="H204" s="243"/>
    </row>
    <row r="205" spans="1:8" x14ac:dyDescent="0.25">
      <c r="A205" s="243"/>
      <c r="B205" s="243"/>
      <c r="C205" s="243"/>
      <c r="D205" s="243"/>
      <c r="E205" s="243"/>
      <c r="F205" s="243"/>
      <c r="G205" s="243"/>
      <c r="H205" s="243"/>
    </row>
    <row r="206" spans="1:8" x14ac:dyDescent="0.25">
      <c r="A206" s="38" t="s">
        <v>62</v>
      </c>
      <c r="B206" s="39"/>
      <c r="C206" s="39"/>
      <c r="D206" s="38" t="str">
        <f>E9</f>
        <v>Elements</v>
      </c>
      <c r="F206" s="39"/>
      <c r="G206" s="39"/>
      <c r="H206" s="39"/>
    </row>
    <row r="207" spans="1:8" x14ac:dyDescent="0.25">
      <c r="A207" s="39"/>
      <c r="B207" s="39"/>
      <c r="C207" s="39"/>
      <c r="D207" s="39"/>
      <c r="E207" s="39"/>
      <c r="F207" s="39"/>
      <c r="G207" s="39"/>
      <c r="H207" s="39"/>
    </row>
    <row r="208" spans="1:8" x14ac:dyDescent="0.25">
      <c r="A208" s="39"/>
      <c r="B208" s="39"/>
      <c r="C208" s="39"/>
      <c r="D208" s="39"/>
      <c r="E208" s="39"/>
      <c r="F208" s="39"/>
      <c r="G208" s="39"/>
      <c r="H208" s="39"/>
    </row>
    <row r="250" spans="1:1" x14ac:dyDescent="0.25">
      <c r="A250" s="41" t="s">
        <v>158</v>
      </c>
    </row>
    <row r="294" spans="1:1" x14ac:dyDescent="0.25">
      <c r="A294" s="41" t="s">
        <v>63</v>
      </c>
    </row>
  </sheetData>
  <mergeCells count="356">
    <mergeCell ref="C178:H178"/>
    <mergeCell ref="A123:A124"/>
    <mergeCell ref="A118:A119"/>
    <mergeCell ref="A79:B79"/>
    <mergeCell ref="G78:H78"/>
    <mergeCell ref="A87:B87"/>
    <mergeCell ref="A88:B88"/>
    <mergeCell ref="A83:B83"/>
    <mergeCell ref="A82:B82"/>
    <mergeCell ref="E78:F78"/>
    <mergeCell ref="A80:B80"/>
    <mergeCell ref="E122:F122"/>
    <mergeCell ref="A85:B85"/>
    <mergeCell ref="F104:H104"/>
    <mergeCell ref="G118:H118"/>
    <mergeCell ref="A102:B102"/>
    <mergeCell ref="F111:H111"/>
    <mergeCell ref="C117:D117"/>
    <mergeCell ref="C125:D125"/>
    <mergeCell ref="A140:H140"/>
    <mergeCell ref="F106:H106"/>
    <mergeCell ref="A111:E111"/>
    <mergeCell ref="A110:E110"/>
    <mergeCell ref="A127:H127"/>
    <mergeCell ref="I15:P15"/>
    <mergeCell ref="F108:H108"/>
    <mergeCell ref="F112:H112"/>
    <mergeCell ref="A165:B165"/>
    <mergeCell ref="A128:H128"/>
    <mergeCell ref="G117:H117"/>
    <mergeCell ref="A113:E113"/>
    <mergeCell ref="A61:B61"/>
    <mergeCell ref="C61:E61"/>
    <mergeCell ref="D63:H63"/>
    <mergeCell ref="F113:H113"/>
    <mergeCell ref="E117:F117"/>
    <mergeCell ref="A117:B117"/>
    <mergeCell ref="C122:D122"/>
    <mergeCell ref="D72:H72"/>
    <mergeCell ref="D64:H64"/>
    <mergeCell ref="G61:H61"/>
    <mergeCell ref="A54:B55"/>
    <mergeCell ref="A136:H136"/>
    <mergeCell ref="A84:B84"/>
    <mergeCell ref="A50:B50"/>
    <mergeCell ref="A162:H162"/>
    <mergeCell ref="A97:B97"/>
    <mergeCell ref="A99:B99"/>
    <mergeCell ref="A137:A138"/>
    <mergeCell ref="F137:F138"/>
    <mergeCell ref="A139:H139"/>
    <mergeCell ref="F103:H103"/>
    <mergeCell ref="F107:H107"/>
    <mergeCell ref="A142:B142"/>
    <mergeCell ref="A135:B135"/>
    <mergeCell ref="F110:H110"/>
    <mergeCell ref="A109:E109"/>
    <mergeCell ref="A134:H134"/>
    <mergeCell ref="A199:H199"/>
    <mergeCell ref="A196:H196"/>
    <mergeCell ref="A149:B149"/>
    <mergeCell ref="A122:B122"/>
    <mergeCell ref="D137:D138"/>
    <mergeCell ref="E137:E138"/>
    <mergeCell ref="A168:B168"/>
    <mergeCell ref="B184:H184"/>
    <mergeCell ref="A175:B175"/>
    <mergeCell ref="A176:B176"/>
    <mergeCell ref="B192:H192"/>
    <mergeCell ref="B191:H191"/>
    <mergeCell ref="A195:H195"/>
    <mergeCell ref="A179:H179"/>
    <mergeCell ref="A173:B173"/>
    <mergeCell ref="A169:H169"/>
    <mergeCell ref="A177:B177"/>
    <mergeCell ref="A145:B145"/>
    <mergeCell ref="B187:H187"/>
    <mergeCell ref="G129:G130"/>
    <mergeCell ref="A171:B171"/>
    <mergeCell ref="A178:B178"/>
    <mergeCell ref="B180:H180"/>
    <mergeCell ref="B181:H181"/>
    <mergeCell ref="A163:H163"/>
    <mergeCell ref="A146:B146"/>
    <mergeCell ref="A147:B147"/>
    <mergeCell ref="A164:H164"/>
    <mergeCell ref="A167:B167"/>
    <mergeCell ref="C167:H167"/>
    <mergeCell ref="A154:B154"/>
    <mergeCell ref="A155:H155"/>
    <mergeCell ref="A156:B156"/>
    <mergeCell ref="A157:B157"/>
    <mergeCell ref="A158:B158"/>
    <mergeCell ref="A159:B159"/>
    <mergeCell ref="A161:B161"/>
    <mergeCell ref="C161:H161"/>
    <mergeCell ref="A11:D11"/>
    <mergeCell ref="E11:H11"/>
    <mergeCell ref="A23:D24"/>
    <mergeCell ref="A112:E112"/>
    <mergeCell ref="A202:H205"/>
    <mergeCell ref="A201:B201"/>
    <mergeCell ref="E201:F201"/>
    <mergeCell ref="C201:D201"/>
    <mergeCell ref="G201:H201"/>
    <mergeCell ref="A116:H116"/>
    <mergeCell ref="A114:E114"/>
    <mergeCell ref="F114:H114"/>
    <mergeCell ref="A115:E115"/>
    <mergeCell ref="F115:H115"/>
    <mergeCell ref="A148:H148"/>
    <mergeCell ref="A166:B166"/>
    <mergeCell ref="A197:H197"/>
    <mergeCell ref="A121:H121"/>
    <mergeCell ref="A200:H200"/>
    <mergeCell ref="A198:H198"/>
    <mergeCell ref="A194:H194"/>
    <mergeCell ref="G122:H122"/>
    <mergeCell ref="A12:D12"/>
    <mergeCell ref="E12:H1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14:H14"/>
    <mergeCell ref="A15:D15"/>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F37:H37"/>
    <mergeCell ref="A70:C70"/>
    <mergeCell ref="D70:H70"/>
    <mergeCell ref="C77:H77"/>
    <mergeCell ref="A71:C71"/>
    <mergeCell ref="D71:H71"/>
    <mergeCell ref="A74:C74"/>
    <mergeCell ref="D74:H74"/>
    <mergeCell ref="A73:C73"/>
    <mergeCell ref="A58:B60"/>
    <mergeCell ref="C60:H60"/>
    <mergeCell ref="C58:E59"/>
    <mergeCell ref="A72:C72"/>
    <mergeCell ref="D73:H73"/>
    <mergeCell ref="A69:C69"/>
    <mergeCell ref="D68:H68"/>
    <mergeCell ref="A64:C64"/>
    <mergeCell ref="G59:H59"/>
    <mergeCell ref="A78:B78"/>
    <mergeCell ref="A46:D46"/>
    <mergeCell ref="A47:D47"/>
    <mergeCell ref="D69:H69"/>
    <mergeCell ref="A44:D44"/>
    <mergeCell ref="E44:H44"/>
    <mergeCell ref="E45:H45"/>
    <mergeCell ref="E46:H46"/>
    <mergeCell ref="E47:H47"/>
    <mergeCell ref="C57:H57"/>
    <mergeCell ref="A48:H48"/>
    <mergeCell ref="D65:H65"/>
    <mergeCell ref="A65:C65"/>
    <mergeCell ref="A45:D45"/>
    <mergeCell ref="A49:B49"/>
    <mergeCell ref="C49:H49"/>
    <mergeCell ref="A66:C67"/>
    <mergeCell ref="D66:H66"/>
    <mergeCell ref="D67:H67"/>
    <mergeCell ref="G52:H52"/>
    <mergeCell ref="A62:H62"/>
    <mergeCell ref="A77:B77"/>
    <mergeCell ref="A75:B75"/>
    <mergeCell ref="C75:H75"/>
    <mergeCell ref="C51:E51"/>
    <mergeCell ref="C50:E50"/>
    <mergeCell ref="G50:H50"/>
    <mergeCell ref="A51:B51"/>
    <mergeCell ref="G56:H56"/>
    <mergeCell ref="G58:H58"/>
    <mergeCell ref="G51:H51"/>
    <mergeCell ref="A39:B39"/>
    <mergeCell ref="C39:H39"/>
    <mergeCell ref="C55:H55"/>
    <mergeCell ref="A52:B53"/>
    <mergeCell ref="C54:E54"/>
    <mergeCell ref="C52:E52"/>
    <mergeCell ref="C56:E56"/>
    <mergeCell ref="G54:H54"/>
    <mergeCell ref="A56:B57"/>
    <mergeCell ref="E42:H42"/>
    <mergeCell ref="A41:H41"/>
    <mergeCell ref="E43:H43"/>
    <mergeCell ref="A38:H38"/>
    <mergeCell ref="L135:M135"/>
    <mergeCell ref="L134:M134"/>
    <mergeCell ref="L133:M133"/>
    <mergeCell ref="L132:M132"/>
    <mergeCell ref="A86:B86"/>
    <mergeCell ref="C123:D123"/>
    <mergeCell ref="E123:F123"/>
    <mergeCell ref="G123:H123"/>
    <mergeCell ref="A104:E104"/>
    <mergeCell ref="A89:B89"/>
    <mergeCell ref="C89:H89"/>
    <mergeCell ref="A131:H131"/>
    <mergeCell ref="E129:E130"/>
    <mergeCell ref="A93:B93"/>
    <mergeCell ref="C91:H91"/>
    <mergeCell ref="A94:B94"/>
    <mergeCell ref="A95:B95"/>
    <mergeCell ref="G93:H102"/>
    <mergeCell ref="A96:B96"/>
    <mergeCell ref="F105:H105"/>
    <mergeCell ref="A105:E105"/>
    <mergeCell ref="E126:F126"/>
    <mergeCell ref="A91:B91"/>
    <mergeCell ref="L143:M143"/>
    <mergeCell ref="A153:B153"/>
    <mergeCell ref="A150:B150"/>
    <mergeCell ref="A151:B151"/>
    <mergeCell ref="A170:B170"/>
    <mergeCell ref="A40:B40"/>
    <mergeCell ref="C40:H40"/>
    <mergeCell ref="F129:F130"/>
    <mergeCell ref="C118:D118"/>
    <mergeCell ref="E118:F118"/>
    <mergeCell ref="B129:B130"/>
    <mergeCell ref="A129:A130"/>
    <mergeCell ref="C137:C138"/>
    <mergeCell ref="G137:G138"/>
    <mergeCell ref="L142:M142"/>
    <mergeCell ref="L139:M139"/>
    <mergeCell ref="A143:B143"/>
    <mergeCell ref="G126:H126"/>
    <mergeCell ref="L140:M140"/>
    <mergeCell ref="A144:B144"/>
    <mergeCell ref="L141:M141"/>
    <mergeCell ref="C53:H53"/>
    <mergeCell ref="A63:C63"/>
    <mergeCell ref="A68:C68"/>
    <mergeCell ref="A81:B81"/>
    <mergeCell ref="E79:F88"/>
    <mergeCell ref="G79:H88"/>
    <mergeCell ref="B190:H190"/>
    <mergeCell ref="A107:E107"/>
    <mergeCell ref="A125:B125"/>
    <mergeCell ref="E125:F125"/>
    <mergeCell ref="A108:E108"/>
    <mergeCell ref="G125:H125"/>
    <mergeCell ref="C119:D119"/>
    <mergeCell ref="E119:F119"/>
    <mergeCell ref="G119:H119"/>
    <mergeCell ref="A120:B120"/>
    <mergeCell ref="C120:D120"/>
    <mergeCell ref="E120:F120"/>
    <mergeCell ref="G120:H120"/>
    <mergeCell ref="C124:D124"/>
    <mergeCell ref="E124:F124"/>
    <mergeCell ref="A98:B98"/>
    <mergeCell ref="G92:H92"/>
    <mergeCell ref="B188:H188"/>
    <mergeCell ref="B186:H186"/>
    <mergeCell ref="A133:B133"/>
    <mergeCell ref="A132:H132"/>
    <mergeCell ref="A100:B100"/>
    <mergeCell ref="B193:H193"/>
    <mergeCell ref="C129:C130"/>
    <mergeCell ref="B137:B138"/>
    <mergeCell ref="B182:H182"/>
    <mergeCell ref="A92:B92"/>
    <mergeCell ref="E92:F92"/>
    <mergeCell ref="E93:F102"/>
    <mergeCell ref="C126:D126"/>
    <mergeCell ref="B185:H185"/>
    <mergeCell ref="A172:B172"/>
    <mergeCell ref="A152:B152"/>
    <mergeCell ref="D129:D130"/>
    <mergeCell ref="G124:H124"/>
    <mergeCell ref="B189:H189"/>
    <mergeCell ref="A126:B126"/>
    <mergeCell ref="A101:B101"/>
    <mergeCell ref="A106:E106"/>
    <mergeCell ref="A103:E103"/>
    <mergeCell ref="F109:H109"/>
    <mergeCell ref="A160:B160"/>
    <mergeCell ref="B183:H183"/>
    <mergeCell ref="A174:H174"/>
    <mergeCell ref="A141:H141"/>
  </mergeCells>
  <dataValidations disablePrompts="1"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9:E130">
      <formula1>"Attached Loft area,Attached Otla area,Attached Mezzanine area"</formula1>
    </dataValidation>
    <dataValidation type="list" allowBlank="1" showInputMessage="1" showErrorMessage="1" sqref="G201:H201">
      <formula1>"Kunal Kadam,Pranita Mhatre,Shruti Fule,Pooja Kawale,Gaurav Panchal,Shruti Tathare, Dipti Gothawade,Saurav Panse, Sachin Sawant"</formula1>
    </dataValidation>
    <dataValidation type="list" allowBlank="1" showInputMessage="1" showErrorMessage="1" sqref="F103:H103">
      <formula1>"On Saleable Area,On Builtup Area,On Carpet Area,On Plot Area"</formula1>
    </dataValidation>
    <dataValidation type="list" allowBlank="1" showInputMessage="1" showErrorMessage="1" sqref="F114:H114">
      <formula1>OFFSET($S$103,1,MATCH($G20,$S$103:$W$103,0)-1,15,1)</formula1>
    </dataValidation>
    <dataValidation type="list" allowBlank="1" showInputMessage="1" showErrorMessage="1" sqref="B129:B130">
      <formula1>"Shop/Office No. (Sale Plan),Sale / Rehab,Sale / Mhada"</formula1>
    </dataValidation>
    <dataValidation type="list" allowBlank="1" showInputMessage="1" showErrorMessage="1" sqref="B137:B13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7:E138">
      <formula1>"Fungible area,Balcony Area,SD Area,Cornice Area,AP Area,WS Area"</formula1>
    </dataValidation>
    <dataValidation type="list" allowBlank="1" showInputMessage="1" showErrorMessage="1" sqref="H130 H13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9 H137">
      <formula1>"Saleable area Loading :,Builder Saleable Area"</formula1>
    </dataValidation>
    <dataValidation type="list" allowBlank="1" showInputMessage="1" showErrorMessage="1" sqref="D129:D130">
      <formula1>"Carpet area,RERA Carpet area"</formula1>
    </dataValidation>
    <dataValidation type="list" allowBlank="1" showInputMessage="1" showErrorMessage="1" sqref="D137:D138">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9" fitToHeight="0" orientation="portrait" r:id="rId2"/>
  <headerFooter>
    <oddHeader>&amp;C&amp;G</oddHeader>
    <oddFooter>&amp;L&amp;"Times New Roman,Bold"&amp;12Ref No: &amp;F&amp;C&amp;G&amp;R&amp;"Times New Roman,Bold"&amp;12&amp;P</oddFooter>
  </headerFooter>
  <rowBreaks count="8" manualBreakCount="8">
    <brk id="40" max="7" man="1"/>
    <brk id="74" max="7" man="1"/>
    <brk id="115" max="7" man="1"/>
    <brk id="154" max="7" man="1"/>
    <brk id="188" max="7" man="1"/>
    <brk id="205" max="7" man="1"/>
    <brk id="249" max="7" man="1"/>
    <brk id="293"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67" t="s">
        <v>103</v>
      </c>
      <c r="C3" s="267"/>
      <c r="D3" s="267"/>
      <c r="E3" s="267"/>
      <c r="F3" s="267"/>
      <c r="G3" s="267"/>
      <c r="H3" s="267"/>
    </row>
    <row r="4" spans="1:9" x14ac:dyDescent="0.25">
      <c r="A4" s="2"/>
      <c r="B4" s="3" t="s">
        <v>104</v>
      </c>
      <c r="C4" s="3" t="s">
        <v>105</v>
      </c>
      <c r="D4" s="3" t="s">
        <v>65</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172</v>
      </c>
      <c r="E4" s="54" t="s">
        <v>182</v>
      </c>
      <c r="F4" s="54" t="s">
        <v>166</v>
      </c>
      <c r="G4" s="54" t="s">
        <v>187</v>
      </c>
      <c r="H4" s="54" t="s">
        <v>205</v>
      </c>
      <c r="J4" t="s">
        <v>187</v>
      </c>
      <c r="K4" t="s">
        <v>203</v>
      </c>
    </row>
    <row r="5" spans="2:11" x14ac:dyDescent="0.25">
      <c r="B5" s="53"/>
      <c r="C5" s="53"/>
      <c r="D5" s="54" t="s">
        <v>173</v>
      </c>
      <c r="E5" s="54" t="s">
        <v>180</v>
      </c>
      <c r="F5" s="54" t="s">
        <v>202</v>
      </c>
      <c r="G5" s="54" t="s">
        <v>188</v>
      </c>
      <c r="H5" s="54" t="s">
        <v>206</v>
      </c>
    </row>
    <row r="6" spans="2:11" x14ac:dyDescent="0.25">
      <c r="B6" s="53"/>
      <c r="C6" s="53"/>
      <c r="D6" s="54" t="s">
        <v>174</v>
      </c>
      <c r="E6" s="54" t="s">
        <v>181</v>
      </c>
      <c r="F6" s="54" t="s">
        <v>203</v>
      </c>
      <c r="G6" s="54" t="s">
        <v>189</v>
      </c>
      <c r="H6" s="54" t="s">
        <v>219</v>
      </c>
    </row>
    <row r="7" spans="2:11" x14ac:dyDescent="0.25">
      <c r="B7" s="53"/>
      <c r="C7" s="53"/>
      <c r="D7" s="54" t="s">
        <v>175</v>
      </c>
      <c r="E7" s="54" t="s">
        <v>183</v>
      </c>
      <c r="F7" s="54" t="s">
        <v>204</v>
      </c>
      <c r="G7" s="54" t="s">
        <v>190</v>
      </c>
      <c r="H7" s="54" t="s">
        <v>207</v>
      </c>
    </row>
    <row r="8" spans="2:11" x14ac:dyDescent="0.25">
      <c r="B8" s="53"/>
      <c r="C8" s="53"/>
      <c r="D8" s="54" t="s">
        <v>176</v>
      </c>
      <c r="E8" s="54" t="s">
        <v>184</v>
      </c>
      <c r="F8" s="54"/>
      <c r="G8" s="54" t="s">
        <v>191</v>
      </c>
      <c r="H8" s="54" t="s">
        <v>208</v>
      </c>
    </row>
    <row r="9" spans="2:11" x14ac:dyDescent="0.25">
      <c r="B9" s="53"/>
      <c r="C9" s="53"/>
      <c r="D9" s="54" t="s">
        <v>177</v>
      </c>
      <c r="E9" s="54" t="s">
        <v>182</v>
      </c>
      <c r="F9" s="54"/>
      <c r="G9" s="54" t="s">
        <v>192</v>
      </c>
      <c r="H9" s="54" t="s">
        <v>209</v>
      </c>
    </row>
    <row r="10" spans="2:11" x14ac:dyDescent="0.25">
      <c r="B10" s="53"/>
      <c r="C10" s="53"/>
      <c r="D10" s="54" t="s">
        <v>178</v>
      </c>
      <c r="E10" s="54" t="s">
        <v>185</v>
      </c>
      <c r="F10" s="54"/>
      <c r="G10" s="54" t="s">
        <v>193</v>
      </c>
      <c r="H10" s="54" t="s">
        <v>210</v>
      </c>
    </row>
    <row r="11" spans="2:11" x14ac:dyDescent="0.25">
      <c r="B11" s="53"/>
      <c r="C11" s="53"/>
      <c r="D11" s="54" t="s">
        <v>179</v>
      </c>
      <c r="E11" s="54" t="s">
        <v>186</v>
      </c>
      <c r="F11" s="54"/>
      <c r="G11" s="54" t="s">
        <v>194</v>
      </c>
      <c r="H11" s="54" t="s">
        <v>211</v>
      </c>
    </row>
    <row r="12" spans="2:11" x14ac:dyDescent="0.25">
      <c r="B12" s="53"/>
      <c r="C12" s="53"/>
      <c r="D12" s="54"/>
      <c r="E12" s="54"/>
      <c r="F12" s="54"/>
      <c r="G12" s="54" t="s">
        <v>195</v>
      </c>
      <c r="H12" s="54" t="s">
        <v>212</v>
      </c>
    </row>
    <row r="13" spans="2:11" x14ac:dyDescent="0.25">
      <c r="B13" s="53"/>
      <c r="C13" s="53"/>
      <c r="D13" s="54"/>
      <c r="E13" s="54"/>
      <c r="F13" s="54"/>
      <c r="G13" s="54" t="s">
        <v>196</v>
      </c>
      <c r="H13" s="54" t="s">
        <v>213</v>
      </c>
    </row>
    <row r="14" spans="2:11" x14ac:dyDescent="0.25">
      <c r="B14" s="53"/>
      <c r="C14" s="53"/>
      <c r="D14" s="54"/>
      <c r="E14" s="54"/>
      <c r="F14" s="54"/>
      <c r="G14" s="54" t="s">
        <v>197</v>
      </c>
      <c r="H14" s="54" t="s">
        <v>214</v>
      </c>
    </row>
    <row r="15" spans="2:11" x14ac:dyDescent="0.25">
      <c r="B15" s="53"/>
      <c r="C15" s="53"/>
      <c r="D15" s="54"/>
      <c r="E15" s="54"/>
      <c r="F15" s="54"/>
      <c r="G15" s="54" t="s">
        <v>198</v>
      </c>
      <c r="H15" s="54" t="s">
        <v>215</v>
      </c>
    </row>
    <row r="16" spans="2:11" x14ac:dyDescent="0.25">
      <c r="B16" s="53"/>
      <c r="C16" s="53"/>
      <c r="D16" s="54"/>
      <c r="E16" s="54"/>
      <c r="F16" s="54"/>
      <c r="G16" s="54" t="s">
        <v>199</v>
      </c>
      <c r="H16" s="54" t="s">
        <v>216</v>
      </c>
    </row>
    <row r="17" spans="2:8" x14ac:dyDescent="0.25">
      <c r="B17" s="53"/>
      <c r="C17" s="53"/>
      <c r="D17" s="54"/>
      <c r="E17" s="54"/>
      <c r="F17" s="54"/>
      <c r="G17" s="54" t="s">
        <v>200</v>
      </c>
      <c r="H17" s="54" t="s">
        <v>217</v>
      </c>
    </row>
    <row r="18" spans="2:8" x14ac:dyDescent="0.25">
      <c r="B18" s="53"/>
      <c r="C18" s="53"/>
      <c r="D18" s="54"/>
      <c r="E18" s="54"/>
      <c r="F18" s="54"/>
      <c r="G18" s="54" t="s">
        <v>201</v>
      </c>
      <c r="H18" s="54" t="s">
        <v>218</v>
      </c>
    </row>
    <row r="24" spans="2:8" x14ac:dyDescent="0.25">
      <c r="C24" t="s">
        <v>163</v>
      </c>
    </row>
    <row r="25" spans="2:8" x14ac:dyDescent="0.25">
      <c r="C25" t="s">
        <v>220</v>
      </c>
    </row>
    <row r="26" spans="2:8" x14ac:dyDescent="0.25">
      <c r="C26" t="s">
        <v>221</v>
      </c>
    </row>
    <row r="27" spans="2:8" x14ac:dyDescent="0.25">
      <c r="C27" t="s">
        <v>222</v>
      </c>
    </row>
    <row r="28" spans="2:8" x14ac:dyDescent="0.25">
      <c r="C28" t="s">
        <v>223</v>
      </c>
    </row>
    <row r="29" spans="2:8" x14ac:dyDescent="0.25">
      <c r="C29" t="s">
        <v>224</v>
      </c>
    </row>
    <row r="30" spans="2:8" x14ac:dyDescent="0.25">
      <c r="C30" t="s">
        <v>163</v>
      </c>
    </row>
    <row r="33" spans="3:11" x14ac:dyDescent="0.25">
      <c r="J33">
        <v>1</v>
      </c>
      <c r="K33">
        <v>2</v>
      </c>
    </row>
    <row r="34" spans="3:11" x14ac:dyDescent="0.25">
      <c r="C34" s="55" t="s">
        <v>229</v>
      </c>
      <c r="D34" s="54" t="s">
        <v>227</v>
      </c>
      <c r="E34" s="54" t="s">
        <v>232</v>
      </c>
      <c r="F34" s="54" t="s">
        <v>230</v>
      </c>
      <c r="G34" s="54" t="s">
        <v>231</v>
      </c>
      <c r="H34" s="54" t="s">
        <v>233</v>
      </c>
      <c r="J34" t="s">
        <v>187</v>
      </c>
      <c r="K34" t="s">
        <v>203</v>
      </c>
    </row>
    <row r="35" spans="3:11" x14ac:dyDescent="0.25">
      <c r="C35" s="53" t="s">
        <v>228</v>
      </c>
      <c r="D35" s="54" t="s">
        <v>164</v>
      </c>
      <c r="E35" s="54" t="s">
        <v>237</v>
      </c>
      <c r="F35" s="54" t="s">
        <v>239</v>
      </c>
      <c r="G35" s="54" t="s">
        <v>241</v>
      </c>
      <c r="H35" s="54"/>
    </row>
    <row r="36" spans="3:11" x14ac:dyDescent="0.25">
      <c r="C36" s="53"/>
      <c r="D36" s="54" t="s">
        <v>234</v>
      </c>
      <c r="E36" s="54" t="s">
        <v>238</v>
      </c>
      <c r="F36" s="54" t="s">
        <v>240</v>
      </c>
      <c r="G36" s="54" t="s">
        <v>242</v>
      </c>
      <c r="H36" s="54"/>
    </row>
    <row r="37" spans="3:11" x14ac:dyDescent="0.25">
      <c r="C37" s="53"/>
      <c r="D37" s="54" t="s">
        <v>235</v>
      </c>
      <c r="E37" s="54"/>
      <c r="F37" s="54"/>
      <c r="G37" s="54" t="s">
        <v>243</v>
      </c>
      <c r="H37" s="54"/>
    </row>
    <row r="38" spans="3:11" x14ac:dyDescent="0.25">
      <c r="C38" s="53"/>
      <c r="D38" s="54" t="s">
        <v>236</v>
      </c>
      <c r="E38" s="54"/>
      <c r="F38" s="54"/>
      <c r="G38" s="54" t="s">
        <v>243</v>
      </c>
      <c r="H38" s="54"/>
    </row>
    <row r="39" spans="3:11" x14ac:dyDescent="0.25">
      <c r="C39" s="53"/>
      <c r="D39" s="54"/>
      <c r="E39" s="54"/>
      <c r="F39" s="54"/>
      <c r="G39" s="54" t="s">
        <v>244</v>
      </c>
      <c r="H39" s="54"/>
    </row>
    <row r="40" spans="3:11" x14ac:dyDescent="0.25">
      <c r="C40" s="53"/>
      <c r="D40" s="54"/>
      <c r="E40" s="54"/>
      <c r="F40" s="54"/>
      <c r="G40" s="54" t="s">
        <v>245</v>
      </c>
      <c r="H40" s="54"/>
    </row>
    <row r="41" spans="3:11" x14ac:dyDescent="0.25">
      <c r="C41" s="53"/>
      <c r="D41" s="54"/>
      <c r="E41" s="54"/>
      <c r="F41" s="54"/>
      <c r="G41" s="54"/>
      <c r="H41" s="54"/>
    </row>
    <row r="43" spans="3:11" x14ac:dyDescent="0.25">
      <c r="C43" t="s">
        <v>246</v>
      </c>
    </row>
    <row r="44" spans="3:11" x14ac:dyDescent="0.25">
      <c r="C44" t="s">
        <v>166</v>
      </c>
      <c r="D44" t="s">
        <v>247</v>
      </c>
    </row>
    <row r="45" spans="3:11" x14ac:dyDescent="0.25">
      <c r="D45" t="s">
        <v>248</v>
      </c>
    </row>
    <row r="46" spans="3:11" x14ac:dyDescent="0.25">
      <c r="D46" t="s">
        <v>249</v>
      </c>
    </row>
    <row r="47" spans="3:11" x14ac:dyDescent="0.25">
      <c r="D47" t="s">
        <v>250</v>
      </c>
    </row>
    <row r="48" spans="3:11" x14ac:dyDescent="0.25">
      <c r="D48" t="s">
        <v>251</v>
      </c>
    </row>
    <row r="49" spans="3:4" x14ac:dyDescent="0.25">
      <c r="C49" t="s">
        <v>172</v>
      </c>
      <c r="D49" t="s">
        <v>252</v>
      </c>
    </row>
    <row r="50" spans="3:4" x14ac:dyDescent="0.25">
      <c r="D50" t="s">
        <v>253</v>
      </c>
    </row>
    <row r="51" spans="3:4" x14ac:dyDescent="0.25">
      <c r="D51" t="s">
        <v>254</v>
      </c>
    </row>
    <row r="52" spans="3:4" x14ac:dyDescent="0.25">
      <c r="D52" t="s">
        <v>257</v>
      </c>
    </row>
    <row r="53" spans="3:4" x14ac:dyDescent="0.25">
      <c r="D53" t="s">
        <v>255</v>
      </c>
    </row>
    <row r="54" spans="3:4" x14ac:dyDescent="0.25">
      <c r="D54" t="s">
        <v>256</v>
      </c>
    </row>
    <row r="55" spans="3:4" x14ac:dyDescent="0.25">
      <c r="D55" t="s">
        <v>258</v>
      </c>
    </row>
    <row r="56" spans="3:4" x14ac:dyDescent="0.25">
      <c r="D56" t="s">
        <v>259</v>
      </c>
    </row>
    <row r="57" spans="3:4" x14ac:dyDescent="0.25">
      <c r="D57" t="s">
        <v>260</v>
      </c>
    </row>
    <row r="58" spans="3:4" x14ac:dyDescent="0.25">
      <c r="D58" t="s">
        <v>262</v>
      </c>
    </row>
    <row r="59" spans="3:4" x14ac:dyDescent="0.25">
      <c r="D59" t="s">
        <v>271</v>
      </c>
    </row>
    <row r="60" spans="3:4" x14ac:dyDescent="0.25">
      <c r="C60" t="s">
        <v>187</v>
      </c>
      <c r="D60" t="s">
        <v>263</v>
      </c>
    </row>
    <row r="61" spans="3:4" x14ac:dyDescent="0.25">
      <c r="D61" t="s">
        <v>261</v>
      </c>
    </row>
    <row r="62" spans="3:4" x14ac:dyDescent="0.25">
      <c r="D62" t="s">
        <v>251</v>
      </c>
    </row>
    <row r="63" spans="3:4" x14ac:dyDescent="0.25">
      <c r="D63" t="s">
        <v>264</v>
      </c>
    </row>
    <row r="64" spans="3:4" x14ac:dyDescent="0.25">
      <c r="D64" t="s">
        <v>265</v>
      </c>
    </row>
    <row r="65" spans="3:4" x14ac:dyDescent="0.25">
      <c r="D65" t="s">
        <v>266</v>
      </c>
    </row>
    <row r="66" spans="3:4" x14ac:dyDescent="0.25">
      <c r="D66" t="s">
        <v>267</v>
      </c>
    </row>
    <row r="67" spans="3:4" x14ac:dyDescent="0.25">
      <c r="C67" t="s">
        <v>182</v>
      </c>
      <c r="D67" t="s">
        <v>268</v>
      </c>
    </row>
    <row r="68" spans="3:4" x14ac:dyDescent="0.25">
      <c r="D68" t="s">
        <v>269</v>
      </c>
    </row>
    <row r="69" spans="3:4" x14ac:dyDescent="0.25">
      <c r="D69" t="s">
        <v>270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F55"/>
  <sheetViews>
    <sheetView topLeftCell="A52" zoomScaleNormal="100" workbookViewId="0">
      <selection activeCell="C40" sqref="C40"/>
    </sheetView>
  </sheetViews>
  <sheetFormatPr defaultRowHeight="15" x14ac:dyDescent="0.25"/>
  <cols>
    <col min="2" max="2" width="3" bestFit="1" customWidth="1"/>
    <col min="3" max="3" width="155.28515625" customWidth="1"/>
  </cols>
  <sheetData>
    <row r="2" spans="2:3" ht="15" customHeight="1" x14ac:dyDescent="0.25">
      <c r="B2" s="56">
        <v>1</v>
      </c>
      <c r="C2" s="58" t="s">
        <v>276</v>
      </c>
    </row>
    <row r="3" spans="2:3" x14ac:dyDescent="0.25">
      <c r="B3" s="56">
        <v>2</v>
      </c>
      <c r="C3" s="57" t="s">
        <v>277</v>
      </c>
    </row>
    <row r="4" spans="2:3" x14ac:dyDescent="0.25">
      <c r="B4" s="56">
        <v>3</v>
      </c>
      <c r="C4" s="56" t="s">
        <v>278</v>
      </c>
    </row>
    <row r="5" spans="2:3" x14ac:dyDescent="0.25">
      <c r="B5" s="56">
        <v>4</v>
      </c>
      <c r="C5" s="57" t="s">
        <v>279</v>
      </c>
    </row>
    <row r="6" spans="2:3" x14ac:dyDescent="0.25">
      <c r="B6" s="56">
        <v>5</v>
      </c>
      <c r="C6" s="56" t="s">
        <v>280</v>
      </c>
    </row>
    <row r="7" spans="2:3" ht="30" x14ac:dyDescent="0.25">
      <c r="B7" s="56">
        <v>6</v>
      </c>
      <c r="C7" s="57" t="s">
        <v>281</v>
      </c>
    </row>
    <row r="8" spans="2:3" ht="75" x14ac:dyDescent="0.25">
      <c r="B8" s="56">
        <v>7</v>
      </c>
      <c r="C8" s="57" t="s">
        <v>282</v>
      </c>
    </row>
    <row r="9" spans="2:3" x14ac:dyDescent="0.25">
      <c r="B9" s="56">
        <v>8</v>
      </c>
      <c r="C9" s="56" t="s">
        <v>283</v>
      </c>
    </row>
    <row r="10" spans="2:3" x14ac:dyDescent="0.25">
      <c r="B10" s="56">
        <v>9</v>
      </c>
      <c r="C10" s="56" t="s">
        <v>284</v>
      </c>
    </row>
    <row r="11" spans="2:3" x14ac:dyDescent="0.25">
      <c r="B11" s="56">
        <v>10</v>
      </c>
      <c r="C11" s="56" t="s">
        <v>285</v>
      </c>
    </row>
    <row r="12" spans="2:3" x14ac:dyDescent="0.25">
      <c r="B12" s="56">
        <v>11</v>
      </c>
      <c r="C12" s="56" t="s">
        <v>286</v>
      </c>
    </row>
    <row r="13" spans="2:3" x14ac:dyDescent="0.25">
      <c r="B13" s="56">
        <v>12</v>
      </c>
      <c r="C13" s="56" t="s">
        <v>287</v>
      </c>
    </row>
    <row r="14" spans="2:3" x14ac:dyDescent="0.25">
      <c r="B14" s="56">
        <v>13</v>
      </c>
      <c r="C14" s="56" t="s">
        <v>288</v>
      </c>
    </row>
    <row r="15" spans="2:3" x14ac:dyDescent="0.25">
      <c r="B15" s="56">
        <v>14</v>
      </c>
      <c r="C15" s="56" t="s">
        <v>278</v>
      </c>
    </row>
    <row r="16" spans="2:3" x14ac:dyDescent="0.25">
      <c r="B16" s="56">
        <v>15</v>
      </c>
      <c r="C16" s="56" t="s">
        <v>290</v>
      </c>
    </row>
    <row r="17" spans="2:3" x14ac:dyDescent="0.25">
      <c r="B17" s="75">
        <v>16</v>
      </c>
      <c r="C17" s="62" t="s">
        <v>291</v>
      </c>
    </row>
    <row r="18" spans="2:3" x14ac:dyDescent="0.25">
      <c r="B18" s="61">
        <v>17</v>
      </c>
      <c r="C18" s="62" t="s">
        <v>292</v>
      </c>
    </row>
    <row r="19" spans="2:3" x14ac:dyDescent="0.25">
      <c r="B19" s="60">
        <v>18</v>
      </c>
      <c r="C19" s="56" t="s">
        <v>293</v>
      </c>
    </row>
    <row r="20" spans="2:3" x14ac:dyDescent="0.25">
      <c r="B20" s="61">
        <v>19</v>
      </c>
      <c r="C20" s="56" t="s">
        <v>329</v>
      </c>
    </row>
    <row r="21" spans="2:3" x14ac:dyDescent="0.25">
      <c r="B21" s="56">
        <v>20</v>
      </c>
      <c r="C21" s="56" t="s">
        <v>294</v>
      </c>
    </row>
    <row r="22" spans="2:3" x14ac:dyDescent="0.25">
      <c r="B22" s="61">
        <v>21</v>
      </c>
      <c r="C22" s="56" t="s">
        <v>293</v>
      </c>
    </row>
    <row r="23" spans="2:3" s="70" customFormat="1" ht="29.25" customHeight="1" x14ac:dyDescent="0.25">
      <c r="B23" s="69">
        <v>22</v>
      </c>
      <c r="C23" s="58" t="s">
        <v>321</v>
      </c>
    </row>
    <row r="24" spans="2:3" s="70" customFormat="1" ht="30.75" customHeight="1" x14ac:dyDescent="0.25">
      <c r="B24" s="71">
        <v>23</v>
      </c>
      <c r="C24" s="58" t="s">
        <v>322</v>
      </c>
    </row>
    <row r="25" spans="2:3" x14ac:dyDescent="0.25">
      <c r="B25" s="56">
        <v>24</v>
      </c>
      <c r="C25" s="56" t="s">
        <v>325</v>
      </c>
    </row>
    <row r="26" spans="2:3" x14ac:dyDescent="0.25">
      <c r="B26" s="61">
        <v>25</v>
      </c>
      <c r="C26" s="56" t="s">
        <v>323</v>
      </c>
    </row>
    <row r="27" spans="2:3" x14ac:dyDescent="0.25">
      <c r="B27" s="71">
        <v>26</v>
      </c>
      <c r="C27" s="56" t="s">
        <v>324</v>
      </c>
    </row>
    <row r="28" spans="2:3" x14ac:dyDescent="0.25">
      <c r="B28" s="61">
        <v>27</v>
      </c>
      <c r="C28" s="56" t="s">
        <v>326</v>
      </c>
    </row>
    <row r="29" spans="2:3" ht="60" x14ac:dyDescent="0.25">
      <c r="B29" s="74">
        <v>28</v>
      </c>
      <c r="C29" s="57" t="s">
        <v>327</v>
      </c>
    </row>
    <row r="30" spans="2:3" x14ac:dyDescent="0.25">
      <c r="B30" s="71">
        <v>29</v>
      </c>
      <c r="C30" s="56" t="s">
        <v>328</v>
      </c>
    </row>
    <row r="31" spans="2:3" ht="30" x14ac:dyDescent="0.25">
      <c r="B31" s="71">
        <v>30</v>
      </c>
      <c r="C31" s="57" t="s">
        <v>330</v>
      </c>
    </row>
    <row r="32" spans="2:3" x14ac:dyDescent="0.25">
      <c r="B32" s="71">
        <v>31</v>
      </c>
      <c r="C32" s="56" t="s">
        <v>331</v>
      </c>
    </row>
    <row r="33" spans="2:4" x14ac:dyDescent="0.25">
      <c r="B33" s="71">
        <v>32</v>
      </c>
      <c r="C33" s="56" t="s">
        <v>332</v>
      </c>
    </row>
    <row r="34" spans="2:4" ht="36.75" customHeight="1" x14ac:dyDescent="0.25">
      <c r="B34" s="71">
        <v>33</v>
      </c>
      <c r="C34" s="62" t="s">
        <v>333</v>
      </c>
    </row>
    <row r="35" spans="2:4" x14ac:dyDescent="0.25">
      <c r="B35" s="69">
        <v>34</v>
      </c>
      <c r="C35" s="56" t="s">
        <v>341</v>
      </c>
    </row>
    <row r="36" spans="2:4" ht="60" x14ac:dyDescent="0.25">
      <c r="B36" s="69">
        <v>35</v>
      </c>
      <c r="C36" s="57" t="s">
        <v>344</v>
      </c>
    </row>
    <row r="37" spans="2:4" x14ac:dyDescent="0.25">
      <c r="B37" s="56">
        <v>36</v>
      </c>
      <c r="C37" s="57" t="s">
        <v>355</v>
      </c>
    </row>
    <row r="38" spans="2:4" x14ac:dyDescent="0.25">
      <c r="B38" s="56">
        <f t="shared" ref="B38:B44" si="0">B37+1</f>
        <v>37</v>
      </c>
      <c r="C38" s="56" t="s">
        <v>351</v>
      </c>
    </row>
    <row r="39" spans="2:4" x14ac:dyDescent="0.25">
      <c r="B39" s="56">
        <f t="shared" si="0"/>
        <v>38</v>
      </c>
      <c r="C39" s="56" t="s">
        <v>352</v>
      </c>
    </row>
    <row r="40" spans="2:4" x14ac:dyDescent="0.25">
      <c r="B40" s="56">
        <f t="shared" si="0"/>
        <v>39</v>
      </c>
      <c r="C40" s="56" t="s">
        <v>353</v>
      </c>
    </row>
    <row r="41" spans="2:4" x14ac:dyDescent="0.25">
      <c r="B41" s="56">
        <f t="shared" si="0"/>
        <v>40</v>
      </c>
      <c r="C41" s="56" t="s">
        <v>354</v>
      </c>
    </row>
    <row r="42" spans="2:4" ht="30.75" thickBot="1" x14ac:dyDescent="0.3">
      <c r="B42" s="78">
        <f t="shared" si="0"/>
        <v>41</v>
      </c>
      <c r="C42" s="79" t="s">
        <v>356</v>
      </c>
    </row>
    <row r="43" spans="2:4" ht="30" x14ac:dyDescent="0.25">
      <c r="B43" s="82">
        <f t="shared" si="0"/>
        <v>42</v>
      </c>
      <c r="C43" s="87" t="s">
        <v>361</v>
      </c>
      <c r="D43" t="s">
        <v>362</v>
      </c>
    </row>
    <row r="44" spans="2:4" ht="15.75" thickBot="1" x14ac:dyDescent="0.3">
      <c r="B44" s="84">
        <f t="shared" si="0"/>
        <v>43</v>
      </c>
      <c r="C44" s="86" t="s">
        <v>357</v>
      </c>
    </row>
    <row r="45" spans="2:4" ht="15.75" thickBot="1" x14ac:dyDescent="0.3">
      <c r="B45" s="80">
        <f t="shared" ref="B45:B54" si="1">B44+1</f>
        <v>44</v>
      </c>
      <c r="C45" s="81" t="s">
        <v>358</v>
      </c>
    </row>
    <row r="46" spans="2:4" ht="30" x14ac:dyDescent="0.25">
      <c r="B46" s="82">
        <f t="shared" si="1"/>
        <v>45</v>
      </c>
      <c r="C46" s="83" t="s">
        <v>359</v>
      </c>
    </row>
    <row r="47" spans="2:4" ht="15.75" thickBot="1" x14ac:dyDescent="0.3">
      <c r="B47" s="84">
        <f t="shared" si="1"/>
        <v>46</v>
      </c>
      <c r="C47" s="85" t="s">
        <v>360</v>
      </c>
    </row>
    <row r="48" spans="2:4" x14ac:dyDescent="0.25">
      <c r="B48" s="88">
        <f t="shared" si="1"/>
        <v>47</v>
      </c>
      <c r="C48" s="89" t="s">
        <v>363</v>
      </c>
    </row>
    <row r="49" spans="2:6" x14ac:dyDescent="0.25">
      <c r="B49" s="88">
        <f t="shared" si="1"/>
        <v>48</v>
      </c>
      <c r="C49" s="89" t="s">
        <v>364</v>
      </c>
    </row>
    <row r="50" spans="2:6" x14ac:dyDescent="0.25">
      <c r="B50" s="88">
        <f t="shared" si="1"/>
        <v>49</v>
      </c>
      <c r="C50" s="89" t="s">
        <v>366</v>
      </c>
      <c r="D50" t="s">
        <v>365</v>
      </c>
    </row>
    <row r="51" spans="2:6" ht="30" x14ac:dyDescent="0.25">
      <c r="B51" s="90">
        <f t="shared" si="1"/>
        <v>50</v>
      </c>
      <c r="C51" s="91" t="s">
        <v>367</v>
      </c>
    </row>
    <row r="52" spans="2:6" x14ac:dyDescent="0.25">
      <c r="B52" s="90">
        <f t="shared" si="1"/>
        <v>51</v>
      </c>
      <c r="C52" s="92" t="s">
        <v>370</v>
      </c>
      <c r="D52" t="s">
        <v>371</v>
      </c>
    </row>
    <row r="53" spans="2:6" x14ac:dyDescent="0.25">
      <c r="B53" s="90">
        <f t="shared" si="1"/>
        <v>52</v>
      </c>
      <c r="C53" s="92" t="s">
        <v>373</v>
      </c>
      <c r="D53" t="s">
        <v>374</v>
      </c>
    </row>
    <row r="54" spans="2:6" ht="45" x14ac:dyDescent="0.25">
      <c r="B54" s="90">
        <f t="shared" si="1"/>
        <v>53</v>
      </c>
      <c r="C54" s="62" t="s">
        <v>378</v>
      </c>
      <c r="D54" t="s">
        <v>377</v>
      </c>
    </row>
    <row r="55" spans="2:6" ht="30" x14ac:dyDescent="0.25">
      <c r="B55">
        <v>54</v>
      </c>
      <c r="C55" s="94" t="s">
        <v>379</v>
      </c>
      <c r="D55" s="268" t="s">
        <v>380</v>
      </c>
      <c r="E55" s="269"/>
      <c r="F55" s="269"/>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3"/>
    <col min="2" max="2" width="12.28515625" style="53" customWidth="1"/>
    <col min="3" max="16384" width="9.140625" style="53"/>
  </cols>
  <sheetData>
    <row r="2" spans="1:12" x14ac:dyDescent="0.25">
      <c r="B2" s="63" t="s">
        <v>295</v>
      </c>
      <c r="C2" s="270"/>
      <c r="D2" s="270"/>
    </row>
    <row r="3" spans="1:12" x14ac:dyDescent="0.25">
      <c r="D3" s="64"/>
      <c r="E3" s="64"/>
      <c r="F3" s="64"/>
      <c r="G3" s="64"/>
      <c r="H3" s="64"/>
      <c r="I3" s="64"/>
    </row>
    <row r="4" spans="1:12" x14ac:dyDescent="0.25">
      <c r="A4" s="63" t="s">
        <v>65</v>
      </c>
      <c r="B4" s="65" t="s">
        <v>296</v>
      </c>
      <c r="C4" s="271" t="s">
        <v>297</v>
      </c>
      <c r="D4" s="271"/>
      <c r="E4" s="271"/>
      <c r="F4" s="65"/>
      <c r="G4" s="272" t="s">
        <v>298</v>
      </c>
      <c r="H4" s="272"/>
      <c r="I4" s="272"/>
      <c r="J4" s="273" t="s">
        <v>299</v>
      </c>
      <c r="K4" s="273"/>
      <c r="L4" s="273"/>
    </row>
    <row r="5" spans="1:12" x14ac:dyDescent="0.25">
      <c r="A5" s="63"/>
      <c r="B5" s="65"/>
      <c r="C5" s="65" t="s">
        <v>300</v>
      </c>
      <c r="D5" s="65" t="s">
        <v>301</v>
      </c>
      <c r="E5" s="65" t="s">
        <v>302</v>
      </c>
      <c r="F5" s="65"/>
      <c r="G5" s="65" t="s">
        <v>300</v>
      </c>
      <c r="H5" s="65" t="s">
        <v>301</v>
      </c>
      <c r="I5" s="65" t="s">
        <v>302</v>
      </c>
      <c r="J5" s="65" t="s">
        <v>300</v>
      </c>
      <c r="K5" s="65" t="s">
        <v>301</v>
      </c>
      <c r="L5" s="65" t="s">
        <v>302</v>
      </c>
    </row>
    <row r="6" spans="1:12" x14ac:dyDescent="0.25">
      <c r="B6" s="54" t="s">
        <v>303</v>
      </c>
      <c r="C6" s="54"/>
      <c r="D6" s="54"/>
      <c r="E6" s="54">
        <f>C6*D6</f>
        <v>0</v>
      </c>
      <c r="F6" s="54" t="s">
        <v>320</v>
      </c>
      <c r="G6" s="54"/>
      <c r="H6" s="54"/>
      <c r="I6" s="54">
        <f>G6*H6</f>
        <v>0</v>
      </c>
      <c r="J6" s="54"/>
      <c r="K6" s="54"/>
      <c r="L6" s="54">
        <f>J6*K6</f>
        <v>0</v>
      </c>
    </row>
    <row r="7" spans="1:12" x14ac:dyDescent="0.25">
      <c r="B7" s="54"/>
      <c r="C7" s="54"/>
      <c r="D7" s="54"/>
      <c r="E7" s="54">
        <f t="shared" ref="E7:E41" si="0">C7*D7</f>
        <v>0</v>
      </c>
      <c r="F7" s="54" t="s">
        <v>320</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304</v>
      </c>
      <c r="G9" s="54"/>
      <c r="H9" s="54"/>
      <c r="I9" s="54">
        <f t="shared" si="1"/>
        <v>0</v>
      </c>
      <c r="J9" s="54"/>
      <c r="K9" s="54"/>
      <c r="L9" s="54">
        <f t="shared" si="2"/>
        <v>0</v>
      </c>
    </row>
    <row r="10" spans="1:12" x14ac:dyDescent="0.25">
      <c r="B10" s="54" t="s">
        <v>305</v>
      </c>
      <c r="C10" s="54"/>
      <c r="D10" s="54"/>
      <c r="E10" s="54">
        <f t="shared" si="0"/>
        <v>0</v>
      </c>
      <c r="F10" s="54" t="s">
        <v>304</v>
      </c>
      <c r="G10" s="54"/>
      <c r="H10" s="54"/>
      <c r="I10" s="54">
        <f t="shared" si="1"/>
        <v>0</v>
      </c>
      <c r="J10" s="54"/>
      <c r="K10" s="54"/>
      <c r="L10" s="54">
        <f t="shared" si="2"/>
        <v>0</v>
      </c>
    </row>
    <row r="11" spans="1:12" x14ac:dyDescent="0.25">
      <c r="B11" s="54"/>
      <c r="C11" s="54"/>
      <c r="D11" s="54"/>
      <c r="E11" s="54">
        <f t="shared" si="0"/>
        <v>0</v>
      </c>
      <c r="F11" s="54" t="s">
        <v>306</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307</v>
      </c>
      <c r="C14" s="54"/>
      <c r="D14" s="54"/>
      <c r="E14" s="54">
        <f t="shared" si="0"/>
        <v>0</v>
      </c>
      <c r="F14" s="54" t="s">
        <v>304</v>
      </c>
      <c r="G14" s="54"/>
      <c r="H14" s="54"/>
      <c r="I14" s="54">
        <f t="shared" si="1"/>
        <v>0</v>
      </c>
      <c r="J14" s="54"/>
      <c r="K14" s="54"/>
      <c r="L14" s="54">
        <f t="shared" si="2"/>
        <v>0</v>
      </c>
    </row>
    <row r="15" spans="1:12" x14ac:dyDescent="0.25">
      <c r="B15" s="54"/>
      <c r="C15" s="54"/>
      <c r="D15" s="54"/>
      <c r="E15" s="54">
        <f t="shared" si="0"/>
        <v>0</v>
      </c>
      <c r="F15" s="54" t="s">
        <v>306</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308</v>
      </c>
      <c r="C18" s="54"/>
      <c r="D18" s="54"/>
      <c r="E18" s="54">
        <f t="shared" si="0"/>
        <v>0</v>
      </c>
      <c r="F18" s="54" t="s">
        <v>304</v>
      </c>
      <c r="G18" s="54"/>
      <c r="H18" s="54"/>
      <c r="I18" s="54">
        <f t="shared" si="1"/>
        <v>0</v>
      </c>
      <c r="J18" s="54"/>
      <c r="K18" s="54"/>
      <c r="L18" s="54">
        <f t="shared" si="2"/>
        <v>0</v>
      </c>
    </row>
    <row r="19" spans="2:12" x14ac:dyDescent="0.25">
      <c r="B19" s="54"/>
      <c r="C19" s="54"/>
      <c r="D19" s="54"/>
      <c r="E19" s="54">
        <f t="shared" si="0"/>
        <v>0</v>
      </c>
      <c r="F19" s="54" t="s">
        <v>306</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309</v>
      </c>
      <c r="C21" s="54"/>
      <c r="D21" s="54"/>
      <c r="E21" s="54">
        <f t="shared" si="0"/>
        <v>0</v>
      </c>
      <c r="F21" s="54" t="s">
        <v>304</v>
      </c>
      <c r="G21" s="54"/>
      <c r="H21" s="54"/>
      <c r="I21" s="54">
        <f t="shared" si="1"/>
        <v>0</v>
      </c>
      <c r="J21" s="54"/>
      <c r="K21" s="54"/>
      <c r="L21" s="54">
        <f t="shared" si="2"/>
        <v>0</v>
      </c>
    </row>
    <row r="22" spans="2:12" x14ac:dyDescent="0.25">
      <c r="B22" s="54"/>
      <c r="C22" s="54"/>
      <c r="D22" s="54"/>
      <c r="E22" s="54">
        <f t="shared" si="0"/>
        <v>0</v>
      </c>
      <c r="F22" s="54" t="s">
        <v>306</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310</v>
      </c>
      <c r="C24" s="54"/>
      <c r="D24" s="54"/>
      <c r="E24" s="54">
        <f t="shared" si="0"/>
        <v>0</v>
      </c>
      <c r="F24" s="54" t="s">
        <v>311</v>
      </c>
      <c r="G24" s="54"/>
      <c r="H24" s="54"/>
      <c r="I24" s="54">
        <f t="shared" si="1"/>
        <v>0</v>
      </c>
      <c r="J24" s="54"/>
      <c r="K24" s="54"/>
      <c r="L24" s="54">
        <f t="shared" si="2"/>
        <v>0</v>
      </c>
    </row>
    <row r="25" spans="2:12" x14ac:dyDescent="0.25">
      <c r="B25" s="54"/>
      <c r="C25" s="54"/>
      <c r="D25" s="54"/>
      <c r="E25" s="54">
        <f>C25*D25</f>
        <v>0</v>
      </c>
      <c r="F25" s="54" t="s">
        <v>311</v>
      </c>
      <c r="G25" s="54"/>
      <c r="H25" s="54"/>
      <c r="I25" s="54">
        <f>G25*H25</f>
        <v>0</v>
      </c>
      <c r="J25" s="54"/>
      <c r="K25" s="54"/>
      <c r="L25" s="54">
        <f>J25*K25</f>
        <v>0</v>
      </c>
    </row>
    <row r="26" spans="2:12" x14ac:dyDescent="0.25">
      <c r="B26" s="54"/>
      <c r="C26" s="54"/>
      <c r="D26" s="54"/>
      <c r="E26" s="54">
        <f>C26*D26</f>
        <v>0</v>
      </c>
      <c r="F26" s="54" t="s">
        <v>311</v>
      </c>
      <c r="G26" s="54"/>
      <c r="H26" s="54"/>
      <c r="I26" s="54">
        <f>G26*H26</f>
        <v>0</v>
      </c>
      <c r="J26" s="54"/>
      <c r="K26" s="54"/>
      <c r="L26" s="54">
        <f>J26*K26</f>
        <v>0</v>
      </c>
    </row>
    <row r="27" spans="2:12" x14ac:dyDescent="0.25">
      <c r="B27" s="54"/>
      <c r="C27" s="54"/>
      <c r="D27" s="54"/>
      <c r="E27" s="54">
        <f>C27*D27</f>
        <v>0</v>
      </c>
      <c r="F27" s="54" t="s">
        <v>311</v>
      </c>
      <c r="G27" s="54"/>
      <c r="H27" s="54"/>
      <c r="I27" s="54">
        <f>G27*H27</f>
        <v>0</v>
      </c>
      <c r="J27" s="54"/>
      <c r="K27" s="54"/>
      <c r="L27" s="54">
        <f>J27*K27</f>
        <v>0</v>
      </c>
    </row>
    <row r="28" spans="2:12" x14ac:dyDescent="0.25">
      <c r="B28" s="54" t="s">
        <v>312</v>
      </c>
      <c r="C28" s="54"/>
      <c r="D28" s="54"/>
      <c r="E28" s="54">
        <f t="shared" si="0"/>
        <v>0</v>
      </c>
      <c r="F28" s="54" t="s">
        <v>311</v>
      </c>
      <c r="G28" s="54"/>
      <c r="H28" s="54"/>
      <c r="I28" s="54">
        <f t="shared" si="1"/>
        <v>0</v>
      </c>
      <c r="J28" s="54"/>
      <c r="K28" s="54"/>
      <c r="L28" s="54">
        <f t="shared" si="2"/>
        <v>0</v>
      </c>
    </row>
    <row r="29" spans="2:12" x14ac:dyDescent="0.25">
      <c r="B29" s="54" t="s">
        <v>313</v>
      </c>
      <c r="C29" s="54"/>
      <c r="D29" s="54"/>
      <c r="E29" s="54">
        <f t="shared" si="0"/>
        <v>0</v>
      </c>
      <c r="F29" s="54" t="s">
        <v>311</v>
      </c>
      <c r="G29" s="54"/>
      <c r="H29" s="54"/>
      <c r="I29" s="54">
        <f t="shared" si="1"/>
        <v>0</v>
      </c>
      <c r="J29" s="54"/>
      <c r="K29" s="54"/>
      <c r="L29" s="54">
        <f t="shared" si="2"/>
        <v>0</v>
      </c>
    </row>
    <row r="30" spans="2:12" x14ac:dyDescent="0.25">
      <c r="B30" s="54" t="s">
        <v>317</v>
      </c>
      <c r="C30" s="54"/>
      <c r="D30" s="54"/>
      <c r="E30" s="54">
        <f t="shared" si="0"/>
        <v>0</v>
      </c>
      <c r="F30" s="54"/>
      <c r="G30" s="54"/>
      <c r="H30" s="54"/>
      <c r="I30" s="54">
        <f t="shared" si="1"/>
        <v>0</v>
      </c>
      <c r="J30" s="54"/>
      <c r="K30" s="54"/>
      <c r="L30" s="54">
        <f t="shared" si="2"/>
        <v>0</v>
      </c>
    </row>
    <row r="31" spans="2:12" x14ac:dyDescent="0.25">
      <c r="B31" s="54"/>
      <c r="C31" s="54"/>
      <c r="D31" s="54"/>
      <c r="E31" s="54">
        <f>C31*D31</f>
        <v>0</v>
      </c>
      <c r="F31" s="54"/>
      <c r="G31" s="54"/>
      <c r="H31" s="54"/>
      <c r="I31" s="54">
        <f>G31*H31</f>
        <v>0</v>
      </c>
      <c r="J31" s="54"/>
      <c r="K31" s="54"/>
      <c r="L31" s="54">
        <f>J31*K31</f>
        <v>0</v>
      </c>
    </row>
    <row r="32" spans="2:12" x14ac:dyDescent="0.25">
      <c r="B32" s="54"/>
      <c r="C32" s="54"/>
      <c r="D32" s="54"/>
      <c r="E32" s="54">
        <f>C32*D32</f>
        <v>0</v>
      </c>
      <c r="F32" s="54"/>
      <c r="G32" s="54"/>
      <c r="H32" s="54"/>
      <c r="I32" s="54">
        <f>G32*H32</f>
        <v>0</v>
      </c>
      <c r="J32" s="54"/>
      <c r="K32" s="54"/>
      <c r="L32" s="54">
        <f>J32*K32</f>
        <v>0</v>
      </c>
    </row>
    <row r="33" spans="2:12" x14ac:dyDescent="0.25">
      <c r="B33" s="54" t="s">
        <v>314</v>
      </c>
      <c r="C33" s="54"/>
      <c r="D33" s="54"/>
      <c r="E33" s="54">
        <f t="shared" si="0"/>
        <v>0</v>
      </c>
      <c r="F33" s="54"/>
      <c r="G33" s="54"/>
      <c r="H33" s="54"/>
      <c r="I33" s="54">
        <f t="shared" si="1"/>
        <v>0</v>
      </c>
      <c r="J33" s="54"/>
      <c r="K33" s="54"/>
      <c r="L33" s="54">
        <f t="shared" si="2"/>
        <v>0</v>
      </c>
    </row>
    <row r="34" spans="2:12" x14ac:dyDescent="0.25">
      <c r="B34" s="54" t="s">
        <v>318</v>
      </c>
      <c r="C34" s="54"/>
      <c r="D34" s="54"/>
      <c r="E34" s="54">
        <f t="shared" si="0"/>
        <v>0</v>
      </c>
      <c r="F34" s="54"/>
      <c r="G34" s="54"/>
      <c r="H34" s="54"/>
      <c r="I34" s="54">
        <f t="shared" si="1"/>
        <v>0</v>
      </c>
      <c r="J34" s="54"/>
      <c r="K34" s="54"/>
      <c r="L34" s="54">
        <f t="shared" si="2"/>
        <v>0</v>
      </c>
    </row>
    <row r="35" spans="2:12" x14ac:dyDescent="0.25">
      <c r="B35" s="54" t="s">
        <v>315</v>
      </c>
      <c r="C35" s="54"/>
      <c r="D35" s="54"/>
      <c r="E35" s="54">
        <f t="shared" si="0"/>
        <v>0</v>
      </c>
      <c r="F35" s="54"/>
      <c r="G35" s="54"/>
      <c r="H35" s="54"/>
      <c r="I35" s="54">
        <f t="shared" si="1"/>
        <v>0</v>
      </c>
      <c r="J35" s="54"/>
      <c r="K35" s="54"/>
      <c r="L35" s="54">
        <f t="shared" si="2"/>
        <v>0</v>
      </c>
    </row>
    <row r="36" spans="2:12" x14ac:dyDescent="0.25">
      <c r="B36" s="54" t="s">
        <v>316</v>
      </c>
      <c r="C36" s="54"/>
      <c r="D36" s="54"/>
      <c r="E36" s="54">
        <f t="shared" si="0"/>
        <v>0</v>
      </c>
      <c r="F36" s="54"/>
      <c r="G36" s="54"/>
      <c r="H36" s="54"/>
      <c r="I36" s="54">
        <f t="shared" ref="I36:I41" si="3">G36*H36</f>
        <v>0</v>
      </c>
      <c r="J36" s="54"/>
      <c r="K36" s="54"/>
      <c r="L36" s="54">
        <f t="shared" ref="L36:L41" si="4">J36*K36</f>
        <v>0</v>
      </c>
    </row>
    <row r="37" spans="2:12" x14ac:dyDescent="0.25">
      <c r="B37" s="54"/>
      <c r="C37" s="54"/>
      <c r="D37" s="54"/>
      <c r="E37" s="54">
        <f>C37*D37</f>
        <v>0</v>
      </c>
      <c r="F37" s="54"/>
      <c r="G37" s="54"/>
      <c r="H37" s="54"/>
      <c r="I37" s="54">
        <f t="shared" si="3"/>
        <v>0</v>
      </c>
      <c r="J37" s="54"/>
      <c r="K37" s="54"/>
      <c r="L37" s="54">
        <f t="shared" si="4"/>
        <v>0</v>
      </c>
    </row>
    <row r="38" spans="2:12" x14ac:dyDescent="0.25">
      <c r="B38" s="54" t="s">
        <v>319</v>
      </c>
      <c r="C38" s="54"/>
      <c r="D38" s="54"/>
      <c r="E38" s="54">
        <f>C38*D38</f>
        <v>0</v>
      </c>
      <c r="F38" s="54"/>
      <c r="G38" s="54"/>
      <c r="H38" s="54"/>
      <c r="I38" s="54">
        <f t="shared" si="3"/>
        <v>0</v>
      </c>
      <c r="J38" s="54"/>
      <c r="K38" s="54"/>
      <c r="L38" s="54">
        <f t="shared" si="4"/>
        <v>0</v>
      </c>
    </row>
    <row r="39" spans="2:12" x14ac:dyDescent="0.25">
      <c r="B39" s="54"/>
      <c r="C39" s="54"/>
      <c r="D39" s="54"/>
      <c r="E39" s="54">
        <f t="shared" si="0"/>
        <v>0</v>
      </c>
      <c r="F39" s="54"/>
      <c r="G39" s="54"/>
      <c r="H39" s="54"/>
      <c r="I39" s="54">
        <f t="shared" si="3"/>
        <v>0</v>
      </c>
      <c r="J39" s="54"/>
      <c r="K39" s="54"/>
      <c r="L39" s="54">
        <f t="shared" si="4"/>
        <v>0</v>
      </c>
    </row>
    <row r="40" spans="2:12" x14ac:dyDescent="0.25">
      <c r="B40" s="54"/>
      <c r="C40" s="54"/>
      <c r="D40" s="54"/>
      <c r="E40" s="54">
        <f t="shared" si="0"/>
        <v>0</v>
      </c>
      <c r="F40" s="54"/>
      <c r="G40" s="54"/>
      <c r="H40" s="54"/>
      <c r="I40" s="54">
        <f t="shared" si="3"/>
        <v>0</v>
      </c>
      <c r="J40" s="54"/>
      <c r="K40" s="54"/>
      <c r="L40" s="54">
        <f t="shared" si="4"/>
        <v>0</v>
      </c>
    </row>
    <row r="41" spans="2:12" x14ac:dyDescent="0.25">
      <c r="B41" s="54"/>
      <c r="C41" s="54"/>
      <c r="D41" s="54"/>
      <c r="E41" s="54">
        <f t="shared" si="0"/>
        <v>0</v>
      </c>
      <c r="F41" s="54"/>
      <c r="G41" s="54"/>
      <c r="H41" s="54"/>
      <c r="I41" s="54">
        <f t="shared" si="3"/>
        <v>0</v>
      </c>
      <c r="J41" s="54"/>
      <c r="K41" s="54"/>
      <c r="L41" s="54">
        <f t="shared" si="4"/>
        <v>0</v>
      </c>
    </row>
    <row r="42" spans="2:12" x14ac:dyDescent="0.25">
      <c r="B42" s="54" t="s">
        <v>144</v>
      </c>
      <c r="C42" s="54"/>
      <c r="D42" s="54">
        <f>E42*10.764</f>
        <v>0</v>
      </c>
      <c r="E42" s="68">
        <f>SUM(E6:E41)</f>
        <v>0</v>
      </c>
      <c r="F42" s="54"/>
      <c r="G42" s="54"/>
      <c r="H42" s="54">
        <f>I42*10.764</f>
        <v>0</v>
      </c>
      <c r="I42" s="67">
        <f>SUM(I6:I41)</f>
        <v>0</v>
      </c>
      <c r="J42" s="54"/>
      <c r="K42" s="54">
        <f>L42*10.764</f>
        <v>0</v>
      </c>
      <c r="L42" s="66">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6"/>
  <sheetViews>
    <sheetView workbookViewId="0">
      <selection activeCell="A3" sqref="A3:XFD16"/>
    </sheetView>
  </sheetViews>
  <sheetFormatPr defaultRowHeight="15" x14ac:dyDescent="0.25"/>
  <cols>
    <col min="1" max="8" width="11.5703125" customWidth="1"/>
    <col min="9" max="10" width="21.28515625" customWidth="1"/>
  </cols>
  <sheetData>
    <row r="2" spans="1:10" ht="15.75" thickBot="1" x14ac:dyDescent="0.3">
      <c r="A2" s="279" t="s">
        <v>384</v>
      </c>
      <c r="B2" s="279"/>
      <c r="C2" s="279"/>
      <c r="D2" s="279"/>
      <c r="E2" s="279"/>
      <c r="F2" s="279"/>
      <c r="G2" s="279"/>
      <c r="H2" s="279"/>
    </row>
    <row r="3" spans="1:10" ht="15.75" x14ac:dyDescent="0.25">
      <c r="A3" s="289" t="s">
        <v>133</v>
      </c>
      <c r="B3" s="290"/>
      <c r="C3" s="291" t="s">
        <v>383</v>
      </c>
      <c r="D3" s="292"/>
      <c r="E3" s="292"/>
      <c r="F3" s="292"/>
      <c r="G3" s="292"/>
      <c r="H3" s="293"/>
      <c r="I3" s="49" t="str">
        <f ca="1">IF(D16=100%,"All work Completed. Possession granted to the Building.",IF(D15=100%,"All work Completed, Waiting for OC",I4&amp;""&amp;I5&amp;""&amp;J4&amp;""&amp;J3&amp;" "&amp;J5))</f>
        <v xml:space="preserve">Excavation, Plinth, RCC Slab, Brickwork Completed </v>
      </c>
      <c r="J3" s="50" t="str">
        <f ca="1">(IF(C9=(D4+F4+H4),"",IF(C9&gt;0,", RCC upto "&amp;C9&amp;" Slab","")))&amp;(IF(C10=H4,"",IF(C10&gt;0,", Brickwork upto "&amp;C10&amp;" Floor","")))&amp;(IF(C11=H4,"",IF(C11&gt;0,", Internal Plaster upto "&amp;C11&amp;" Floor","")))&amp;(IF(C12=H4,"",IF(C12&gt;0,", External Plaster upto "&amp;C12&amp;" Floor","")))&amp;(IF(C13=H4,"",IF(C13&gt;0,", Flooring upto "&amp;C13&amp;" Floor","")))&amp;(IF(C14=H4,"",IF(C14&gt;0,", Painting upto "&amp;C14&amp;" Floor","")))&amp;(IF(C15=H4,"",IF(C15&gt;0,", Finishing upto "&amp;C15&amp;" Floor","")))&amp;(IF(C16=H4,"",IF(C16&gt;0,", Possession upto "&amp;C16&amp;" Floor","")))</f>
        <v/>
      </c>
    </row>
    <row r="4" spans="1:10" ht="15.75" x14ac:dyDescent="0.25">
      <c r="A4" s="16" t="s">
        <v>135</v>
      </c>
      <c r="B4" s="47">
        <f>IF(AND(ISNUMBER(SEARCH("1B",C3))),1,IF(AND(ISNUMBER(SEARCH("2B",C3))),2,IF(AND(ISNUMBER(SEARCH("3B",C3))),3,IF(AND(ISNUMBER(SEARCH("4B",C3))),4,IF(ISNUMBER(SEARCH("5B",C3)),5,0)))))</f>
        <v>0</v>
      </c>
      <c r="C4" s="47" t="s">
        <v>68</v>
      </c>
      <c r="D4" s="47">
        <v>1</v>
      </c>
      <c r="E4" s="47" t="s">
        <v>67</v>
      </c>
      <c r="F4" s="14">
        <v>0</v>
      </c>
      <c r="G4" s="48" t="s">
        <v>76</v>
      </c>
      <c r="H4" s="17">
        <f ca="1">--TRIM(RIGHT(SUBSTITUTE(LEFT(C3,_xlfn.AGGREGATE(16,6,FIND({0,1,2,3,4,5,6,7,8,9},C3,ROW(INDIRECT("1:"&amp;LEN(C3)))),1))," ",REPT(" ",LEN(C3))),LEN(C3)))</f>
        <v>20</v>
      </c>
      <c r="I4" s="51" t="str">
        <f ca="1">IF(D7=100%,"Excavation","")&amp;IF(D8=100%,", Plinth","")&amp;IF(D9=100%,", RCC Slab","")&amp;IF(D10=100%,", Brickwork","")&amp;IF(D11=100%,", Internal Plaster","")&amp;IF(D12=100%,", External Plaster","")&amp;IF(D13=100%,", Flooring","")&amp;IF(D14=100%,", Painting","")&amp;IF(D15=100%,", Building common Amenities","")</f>
        <v>Excavation, Plinth, RCC Slab, Brickwork</v>
      </c>
      <c r="J4" s="52" t="str">
        <f ca="1">(IF(C7=0,"Work not yet Started.",IF(D7=25%,"Piling work in process",IF(D7=50%,"Excavation work in process",IF(D7=100%,"","0")))))&amp;(IF(C8=0%,"",IF(C8=J9,", Footing work is process",IF(C8=J10,", Footing work Completed",IF(C8=J11,", 1st Basement Completed",IF(C8=J12,", 1st &amp; 2nd Basement Completed",IF(C8=J13,", 1st to 3rd Basement Completed",IF(C8=J14,", 1st to 4th Basement Completed",IF(C8=J15,", Plinth work is process",IF(C8=J16,"","0"))))))))))</f>
        <v/>
      </c>
    </row>
    <row r="5" spans="1:10" ht="15.75" x14ac:dyDescent="0.25">
      <c r="A5" s="183" t="s">
        <v>86</v>
      </c>
      <c r="B5" s="184"/>
      <c r="C5" s="180" t="str">
        <f ca="1">I3</f>
        <v xml:space="preserve">Excavation, Plinth, RCC Slab, Brickwork Completed </v>
      </c>
      <c r="D5" s="180"/>
      <c r="E5" s="180"/>
      <c r="F5" s="180"/>
      <c r="G5" s="180"/>
      <c r="H5" s="181"/>
      <c r="I5" s="51" t="str">
        <f ca="1">IF(I4&lt;&gt;""," Completed","")</f>
        <v xml:space="preserve"> Completed</v>
      </c>
      <c r="J5" s="52" t="str">
        <f ca="1">IF(J3&lt;&gt;"","Completed","")</f>
        <v/>
      </c>
    </row>
    <row r="6" spans="1:10" ht="31.5" x14ac:dyDescent="0.25">
      <c r="A6" s="274" t="s">
        <v>47</v>
      </c>
      <c r="B6" s="275"/>
      <c r="C6" s="43" t="s">
        <v>132</v>
      </c>
      <c r="D6" s="43" t="s">
        <v>79</v>
      </c>
      <c r="E6" s="275" t="s">
        <v>81</v>
      </c>
      <c r="F6" s="275"/>
      <c r="G6" s="275" t="s">
        <v>80</v>
      </c>
      <c r="H6" s="276"/>
      <c r="I6" s="13" t="s">
        <v>134</v>
      </c>
      <c r="J6" s="28">
        <f ca="1">H4*25%</f>
        <v>5</v>
      </c>
    </row>
    <row r="7" spans="1:10" ht="15.75" x14ac:dyDescent="0.25">
      <c r="A7" s="274" t="s">
        <v>121</v>
      </c>
      <c r="B7" s="275"/>
      <c r="C7" s="59">
        <f ca="1">J8</f>
        <v>20</v>
      </c>
      <c r="D7" s="19">
        <f ca="1">((100/H4)*C7)/100</f>
        <v>1</v>
      </c>
      <c r="E7" s="280">
        <f ca="1">(((C8/H4*20)+(30/(D4+F4+H4)*C9)+(15/(H4)*C10)+(5/(H4)*C11)+(5/H4*C12)+(10/H4*C13)+(5/H4*C14)+(5/H4*C15)+(5/H4*C16))/100)</f>
        <v>0.65</v>
      </c>
      <c r="F7" s="281"/>
      <c r="G7" s="280">
        <f ca="1">((((C7/H4)*10)+((C8/H4)*30)+(25/(H4+F4+D4)*C9)+(15/H4*C10)+(5/H4*C11)+(5/H4*C12)+(5/H4*C13)+(0/H4*C14)+(0/H4*C15)+(5/H4*C16))/100)</f>
        <v>0.8</v>
      </c>
      <c r="H7" s="286"/>
      <c r="I7" s="13" t="s">
        <v>96</v>
      </c>
      <c r="J7" s="29">
        <f ca="1">H4*50%</f>
        <v>10</v>
      </c>
    </row>
    <row r="8" spans="1:10" ht="15.75" x14ac:dyDescent="0.25">
      <c r="A8" s="274" t="s">
        <v>48</v>
      </c>
      <c r="B8" s="275"/>
      <c r="C8" s="43">
        <v>20</v>
      </c>
      <c r="D8" s="19">
        <f ca="1">((100/H4)*C8)/100</f>
        <v>1</v>
      </c>
      <c r="E8" s="282"/>
      <c r="F8" s="283"/>
      <c r="G8" s="282"/>
      <c r="H8" s="287"/>
      <c r="I8" s="13" t="s">
        <v>97</v>
      </c>
      <c r="J8" s="29">
        <f ca="1">H4</f>
        <v>20</v>
      </c>
    </row>
    <row r="9" spans="1:10" ht="15.75" x14ac:dyDescent="0.25">
      <c r="A9" s="274" t="s">
        <v>122</v>
      </c>
      <c r="B9" s="275"/>
      <c r="C9" s="43">
        <v>21</v>
      </c>
      <c r="D9" s="19">
        <f ca="1">((100/(D4+F4+H4))*C9)/100</f>
        <v>1</v>
      </c>
      <c r="E9" s="282"/>
      <c r="F9" s="283"/>
      <c r="G9" s="282"/>
      <c r="H9" s="287"/>
      <c r="I9" s="13" t="s">
        <v>98</v>
      </c>
      <c r="J9" s="30">
        <f ca="1">(IF(B4&gt;1,(H4/(B4+2)),H4/4))</f>
        <v>5</v>
      </c>
    </row>
    <row r="10" spans="1:10" ht="15.75" x14ac:dyDescent="0.25">
      <c r="A10" s="274" t="s">
        <v>129</v>
      </c>
      <c r="B10" s="275" t="s">
        <v>123</v>
      </c>
      <c r="C10" s="43">
        <v>20</v>
      </c>
      <c r="D10" s="19">
        <f ca="1">((100/H4)*C10)/100</f>
        <v>1</v>
      </c>
      <c r="E10" s="282"/>
      <c r="F10" s="283"/>
      <c r="G10" s="282"/>
      <c r="H10" s="287"/>
      <c r="I10" s="13" t="s">
        <v>99</v>
      </c>
      <c r="J10" s="30">
        <f ca="1">(IF(B4&gt;1,(H4/(B4+2)+J9),H4/4+J9))</f>
        <v>10</v>
      </c>
    </row>
    <row r="11" spans="1:10" ht="15.75" x14ac:dyDescent="0.25">
      <c r="A11" s="274" t="s">
        <v>130</v>
      </c>
      <c r="B11" s="275" t="s">
        <v>123</v>
      </c>
      <c r="C11" s="43">
        <v>0</v>
      </c>
      <c r="D11" s="19">
        <f ca="1">((100/H4)*C11)/100</f>
        <v>0</v>
      </c>
      <c r="E11" s="282"/>
      <c r="F11" s="283"/>
      <c r="G11" s="282"/>
      <c r="H11" s="287"/>
      <c r="I11" s="13" t="s">
        <v>140</v>
      </c>
      <c r="J11" s="30">
        <f>(IF(B4&gt;1,(H4/(B4+2)+J10),0))</f>
        <v>0</v>
      </c>
    </row>
    <row r="12" spans="1:10" ht="15.75" x14ac:dyDescent="0.25">
      <c r="A12" s="274" t="s">
        <v>128</v>
      </c>
      <c r="B12" s="275" t="s">
        <v>125</v>
      </c>
      <c r="C12" s="43">
        <v>0</v>
      </c>
      <c r="D12" s="19">
        <f ca="1">((100/(H4))*C12)/100</f>
        <v>0</v>
      </c>
      <c r="E12" s="282"/>
      <c r="F12" s="283"/>
      <c r="G12" s="282"/>
      <c r="H12" s="287"/>
      <c r="I12" s="13" t="s">
        <v>136</v>
      </c>
      <c r="J12" s="30">
        <f>(IF(B4&gt;2,(H4/(B4+2)+J11),0))</f>
        <v>0</v>
      </c>
    </row>
    <row r="13" spans="1:10" ht="15.75" x14ac:dyDescent="0.25">
      <c r="A13" s="274" t="s">
        <v>124</v>
      </c>
      <c r="B13" s="275" t="s">
        <v>124</v>
      </c>
      <c r="C13" s="43">
        <v>0</v>
      </c>
      <c r="D13" s="19">
        <f ca="1">((100/H4)*C13)/100</f>
        <v>0</v>
      </c>
      <c r="E13" s="282"/>
      <c r="F13" s="283"/>
      <c r="G13" s="282"/>
      <c r="H13" s="287"/>
      <c r="I13" s="13" t="s">
        <v>137</v>
      </c>
      <c r="J13" s="31">
        <f>(IF(B4&gt;3,(H4/(B4+2)+J12),0))</f>
        <v>0</v>
      </c>
    </row>
    <row r="14" spans="1:10" ht="15.75" x14ac:dyDescent="0.25">
      <c r="A14" s="274" t="s">
        <v>131</v>
      </c>
      <c r="B14" s="275"/>
      <c r="C14" s="43">
        <v>0</v>
      </c>
      <c r="D14" s="19">
        <f ca="1">((100/H4)*C14)/100</f>
        <v>0</v>
      </c>
      <c r="E14" s="282"/>
      <c r="F14" s="283"/>
      <c r="G14" s="282"/>
      <c r="H14" s="287"/>
      <c r="I14" s="13" t="s">
        <v>138</v>
      </c>
      <c r="J14" s="30">
        <f>(IF(B4&gt;4,(H4/(B4+2)+J13),0))</f>
        <v>0</v>
      </c>
    </row>
    <row r="15" spans="1:10" ht="15.75" x14ac:dyDescent="0.25">
      <c r="A15" s="274" t="s">
        <v>126</v>
      </c>
      <c r="B15" s="275" t="s">
        <v>126</v>
      </c>
      <c r="C15" s="43">
        <v>0</v>
      </c>
      <c r="D15" s="19">
        <f ca="1">((100/(H4))*C15)/100</f>
        <v>0</v>
      </c>
      <c r="E15" s="282"/>
      <c r="F15" s="283"/>
      <c r="G15" s="282"/>
      <c r="H15" s="287"/>
      <c r="I15" s="13" t="s">
        <v>141</v>
      </c>
      <c r="J15" s="30">
        <f ca="1">(IF(B4=1,(H4/(B4+3)+J10),IF(B4=0,(H4/4+J10),IF(B4&gt;1,0))))</f>
        <v>15</v>
      </c>
    </row>
    <row r="16" spans="1:10" ht="16.5" thickBot="1" x14ac:dyDescent="0.3">
      <c r="A16" s="277" t="s">
        <v>127</v>
      </c>
      <c r="B16" s="278"/>
      <c r="C16" s="44">
        <v>0</v>
      </c>
      <c r="D16" s="20">
        <f ca="1">((100/(H4))*C16)/100</f>
        <v>0</v>
      </c>
      <c r="E16" s="284"/>
      <c r="F16" s="285"/>
      <c r="G16" s="284"/>
      <c r="H16" s="288"/>
      <c r="I16" s="15" t="s">
        <v>100</v>
      </c>
      <c r="J16" s="32">
        <f ca="1">(IF(B4&gt;1.5,(H4/(B4+2)+J10+MAX(0,J11-J10)+MAX(0,J12-J11)+MAX(0,J13-J12)+MAX(0,J14-J13)+MAX(0,J15-J14)),IF(B4=1,(H4/(B4+3)+J15),IF(B4=0,H4/4+J15))))</f>
        <v>20</v>
      </c>
    </row>
  </sheetData>
  <mergeCells count="20">
    <mergeCell ref="A16:B16"/>
    <mergeCell ref="A2:H2"/>
    <mergeCell ref="A7:B7"/>
    <mergeCell ref="E7:F16"/>
    <mergeCell ref="G7:H16"/>
    <mergeCell ref="A8:B8"/>
    <mergeCell ref="A9:B9"/>
    <mergeCell ref="A10:B10"/>
    <mergeCell ref="A11:B11"/>
    <mergeCell ref="A12:B12"/>
    <mergeCell ref="A13:B13"/>
    <mergeCell ref="A14:B14"/>
    <mergeCell ref="A3:B3"/>
    <mergeCell ref="C3:H3"/>
    <mergeCell ref="A5:B5"/>
    <mergeCell ref="C5:H5"/>
    <mergeCell ref="A6:B6"/>
    <mergeCell ref="E6:F6"/>
    <mergeCell ref="G6:H6"/>
    <mergeCell ref="A15:B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valuation</vt:lpstr>
      <vt:lpstr>Research</vt:lpstr>
      <vt:lpstr>Remarks</vt:lpstr>
      <vt:lpstr>Area Calculation</vt:lpstr>
      <vt:lpstr>Construction Table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2025-09-26T09:35:00Z</cp:lastPrinted>
  <dcterms:created xsi:type="dcterms:W3CDTF">2019-07-16T09:29:46Z</dcterms:created>
  <dcterms:modified xsi:type="dcterms:W3CDTF">2025-09-26T09:40:07Z</dcterms:modified>
</cp:coreProperties>
</file>