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5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7" i="1" l="1"/>
  <c r="E297" i="1"/>
  <c r="E296" i="1"/>
  <c r="E295" i="1"/>
  <c r="E294" i="1"/>
  <c r="D293" i="1"/>
  <c r="D294" i="1"/>
  <c r="D295" i="1"/>
  <c r="D296" i="1"/>
  <c r="D297" i="1"/>
  <c r="D298" i="1"/>
  <c r="D299" i="1"/>
  <c r="D300" i="1"/>
  <c r="D292" i="1"/>
  <c r="E293" i="1"/>
  <c r="E292" i="1"/>
  <c r="I212" i="1"/>
  <c r="I211" i="1"/>
  <c r="D329" i="1" l="1"/>
  <c r="D328" i="1"/>
  <c r="D321" i="1"/>
  <c r="D322" i="1"/>
  <c r="D323" i="1"/>
  <c r="D324" i="1"/>
  <c r="D325" i="1"/>
  <c r="D320" i="1"/>
  <c r="D319" i="1"/>
  <c r="D318" i="1"/>
  <c r="D314" i="1"/>
  <c r="D315" i="1"/>
  <c r="D316" i="1"/>
  <c r="D313" i="1"/>
  <c r="D312" i="1"/>
  <c r="D311" i="1"/>
  <c r="D310" i="1"/>
  <c r="D309" i="1"/>
  <c r="D308" i="1"/>
  <c r="D307" i="1"/>
  <c r="D306" i="1"/>
  <c r="D305" i="1"/>
  <c r="D303" i="1"/>
  <c r="D302" i="1"/>
  <c r="C197" i="1"/>
  <c r="E197" i="1" l="1"/>
  <c r="I293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57" i="1"/>
  <c r="F257" i="1" s="1"/>
  <c r="D256" i="1"/>
  <c r="F256" i="1" s="1"/>
  <c r="D255" i="1"/>
  <c r="F255" i="1" s="1"/>
  <c r="D254" i="1"/>
  <c r="F254" i="1" s="1"/>
  <c r="D252" i="1"/>
  <c r="F252" i="1" s="1"/>
  <c r="D251" i="1"/>
  <c r="F251" i="1" s="1"/>
  <c r="D246" i="1"/>
  <c r="F246" i="1" s="1"/>
  <c r="D245" i="1"/>
  <c r="F245" i="1" s="1"/>
  <c r="D240" i="1"/>
  <c r="F240" i="1" s="1"/>
  <c r="G240" i="1"/>
  <c r="D253" i="1"/>
  <c r="F253" i="1" s="1"/>
  <c r="D250" i="1"/>
  <c r="F250" i="1" s="1"/>
  <c r="D249" i="1"/>
  <c r="F249" i="1" s="1"/>
  <c r="D248" i="1"/>
  <c r="F248" i="1" s="1"/>
  <c r="D247" i="1"/>
  <c r="F247" i="1" s="1"/>
  <c r="D244" i="1"/>
  <c r="F244" i="1" s="1"/>
  <c r="D243" i="1"/>
  <c r="F243" i="1" s="1"/>
  <c r="D242" i="1"/>
  <c r="F242" i="1" s="1"/>
  <c r="D241" i="1"/>
  <c r="F241" i="1" s="1"/>
  <c r="A241" i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C191" i="1" l="1"/>
  <c r="E191" i="1"/>
  <c r="D384" i="1"/>
  <c r="D383" i="1"/>
  <c r="D381" i="1"/>
  <c r="D380" i="1"/>
  <c r="D379" i="1"/>
  <c r="D378" i="1"/>
  <c r="D377" i="1"/>
  <c r="D376" i="1"/>
  <c r="D375" i="1"/>
  <c r="D374" i="1"/>
  <c r="D373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8" i="1"/>
  <c r="D355" i="1"/>
  <c r="D354" i="1"/>
  <c r="D353" i="1"/>
  <c r="D352" i="1"/>
  <c r="D351" i="1"/>
  <c r="D350" i="1"/>
  <c r="D349" i="1"/>
  <c r="D348" i="1"/>
  <c r="D347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C198" i="1" l="1"/>
  <c r="E198" i="1"/>
  <c r="D455" i="1"/>
  <c r="D454" i="1"/>
  <c r="D453" i="1"/>
  <c r="D452" i="1"/>
  <c r="D450" i="1"/>
  <c r="D449" i="1"/>
  <c r="D448" i="1"/>
  <c r="D446" i="1"/>
  <c r="F446" i="1" s="1"/>
  <c r="D445" i="1"/>
  <c r="F445" i="1" s="1"/>
  <c r="D444" i="1"/>
  <c r="F444" i="1" s="1"/>
  <c r="D443" i="1"/>
  <c r="F443" i="1" s="1"/>
  <c r="D442" i="1"/>
  <c r="F442" i="1" s="1"/>
  <c r="D441" i="1"/>
  <c r="F441" i="1" s="1"/>
  <c r="D440" i="1"/>
  <c r="F440" i="1" s="1"/>
  <c r="D439" i="1"/>
  <c r="F439" i="1" s="1"/>
  <c r="D437" i="1"/>
  <c r="D436" i="1"/>
  <c r="D435" i="1"/>
  <c r="D434" i="1"/>
  <c r="D433" i="1"/>
  <c r="D432" i="1"/>
  <c r="D431" i="1"/>
  <c r="D430" i="1"/>
  <c r="D417" i="1"/>
  <c r="D416" i="1"/>
  <c r="D415" i="1"/>
  <c r="D426" i="1"/>
  <c r="D425" i="1"/>
  <c r="D424" i="1"/>
  <c r="D423" i="1"/>
  <c r="D422" i="1"/>
  <c r="D421" i="1"/>
  <c r="D420" i="1"/>
  <c r="D413" i="1"/>
  <c r="F413" i="1" s="1"/>
  <c r="D412" i="1"/>
  <c r="F412" i="1" s="1"/>
  <c r="D411" i="1"/>
  <c r="F411" i="1" s="1"/>
  <c r="D410" i="1"/>
  <c r="F410" i="1" s="1"/>
  <c r="D409" i="1"/>
  <c r="F409" i="1" s="1"/>
  <c r="D408" i="1"/>
  <c r="F408" i="1" s="1"/>
  <c r="D407" i="1"/>
  <c r="F407" i="1" s="1"/>
  <c r="D406" i="1"/>
  <c r="F406" i="1" s="1"/>
  <c r="D405" i="1"/>
  <c r="F405" i="1" s="1"/>
  <c r="D404" i="1"/>
  <c r="F404" i="1" s="1"/>
  <c r="D403" i="1"/>
  <c r="F403" i="1" s="1"/>
  <c r="D402" i="1"/>
  <c r="F402" i="1" s="1"/>
  <c r="D390" i="1"/>
  <c r="D391" i="1"/>
  <c r="D389" i="1"/>
  <c r="D392" i="1"/>
  <c r="D400" i="1"/>
  <c r="D399" i="1"/>
  <c r="D398" i="1"/>
  <c r="D397" i="1"/>
  <c r="D396" i="1"/>
  <c r="D395" i="1"/>
  <c r="D394" i="1"/>
  <c r="D393" i="1"/>
  <c r="F329" i="1"/>
  <c r="F328" i="1"/>
  <c r="G261" i="1"/>
  <c r="G292" i="1"/>
  <c r="G305" i="1"/>
  <c r="G318" i="1"/>
  <c r="G334" i="1"/>
  <c r="G347" i="1"/>
  <c r="G360" i="1"/>
  <c r="G373" i="1"/>
  <c r="G389" i="1"/>
  <c r="G402" i="1"/>
  <c r="G430" i="1"/>
  <c r="G439" i="1"/>
  <c r="G448" i="1"/>
  <c r="G459" i="1"/>
  <c r="G468" i="1"/>
  <c r="G477" i="1"/>
  <c r="G487" i="1"/>
  <c r="G496" i="1"/>
  <c r="D512" i="1"/>
  <c r="D510" i="1"/>
  <c r="D509" i="1"/>
  <c r="D508" i="1"/>
  <c r="D507" i="1"/>
  <c r="D506" i="1"/>
  <c r="D505" i="1"/>
  <c r="D503" i="1"/>
  <c r="F503" i="1" s="1"/>
  <c r="D502" i="1"/>
  <c r="F502" i="1" s="1"/>
  <c r="D501" i="1"/>
  <c r="F501" i="1" s="1"/>
  <c r="D500" i="1"/>
  <c r="F500" i="1" s="1"/>
  <c r="D499" i="1"/>
  <c r="F499" i="1" s="1"/>
  <c r="D498" i="1"/>
  <c r="F498" i="1" s="1"/>
  <c r="D497" i="1"/>
  <c r="F497" i="1" s="1"/>
  <c r="D496" i="1"/>
  <c r="F496" i="1" s="1"/>
  <c r="D494" i="1"/>
  <c r="D493" i="1"/>
  <c r="D492" i="1"/>
  <c r="D491" i="1"/>
  <c r="D490" i="1"/>
  <c r="D489" i="1"/>
  <c r="D488" i="1"/>
  <c r="D487" i="1"/>
  <c r="D484" i="1"/>
  <c r="D482" i="1"/>
  <c r="D481" i="1"/>
  <c r="D480" i="1"/>
  <c r="D479" i="1"/>
  <c r="D478" i="1"/>
  <c r="D477" i="1"/>
  <c r="D475" i="1"/>
  <c r="F475" i="1" s="1"/>
  <c r="D474" i="1"/>
  <c r="F474" i="1" s="1"/>
  <c r="D473" i="1"/>
  <c r="F473" i="1" s="1"/>
  <c r="D472" i="1"/>
  <c r="F472" i="1" s="1"/>
  <c r="D471" i="1"/>
  <c r="F471" i="1" s="1"/>
  <c r="D470" i="1"/>
  <c r="F470" i="1" s="1"/>
  <c r="D469" i="1"/>
  <c r="F469" i="1" s="1"/>
  <c r="D468" i="1"/>
  <c r="F468" i="1" s="1"/>
  <c r="D460" i="1"/>
  <c r="D461" i="1"/>
  <c r="D462" i="1"/>
  <c r="D463" i="1"/>
  <c r="D464" i="1"/>
  <c r="D465" i="1"/>
  <c r="D466" i="1"/>
  <c r="D459" i="1"/>
  <c r="F383" i="1"/>
  <c r="F384" i="1"/>
  <c r="F381" i="1"/>
  <c r="F380" i="1"/>
  <c r="F379" i="1"/>
  <c r="F378" i="1"/>
  <c r="F377" i="1"/>
  <c r="F376" i="1"/>
  <c r="F375" i="1"/>
  <c r="F374" i="1"/>
  <c r="F373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8" i="1"/>
  <c r="D265" i="1"/>
  <c r="D262" i="1"/>
  <c r="F262" i="1" s="1"/>
  <c r="D261" i="1"/>
  <c r="D237" i="1"/>
  <c r="F237" i="1" s="1"/>
  <c r="G237" i="1"/>
  <c r="D235" i="1"/>
  <c r="F235" i="1" s="1"/>
  <c r="G235" i="1"/>
  <c r="G233" i="1"/>
  <c r="D233" i="1"/>
  <c r="G280" i="1"/>
  <c r="C190" i="1" l="1"/>
  <c r="E190" i="1"/>
  <c r="F261" i="1"/>
  <c r="E202" i="1"/>
  <c r="C202" i="1"/>
  <c r="C199" i="1"/>
  <c r="E199" i="1"/>
  <c r="C201" i="1"/>
  <c r="E201" i="1"/>
  <c r="E200" i="1"/>
  <c r="C200" i="1"/>
  <c r="J129" i="1"/>
  <c r="J128" i="1"/>
  <c r="J127" i="1"/>
  <c r="J126" i="1"/>
  <c r="H119" i="1"/>
  <c r="C203" i="1" l="1"/>
  <c r="D131" i="1"/>
  <c r="D129" i="1"/>
  <c r="D127" i="1"/>
  <c r="D125" i="1"/>
  <c r="J121" i="1"/>
  <c r="J124" i="1"/>
  <c r="D130" i="1"/>
  <c r="D128" i="1"/>
  <c r="D126" i="1"/>
  <c r="D124" i="1"/>
  <c r="J122" i="1"/>
  <c r="J123" i="1"/>
  <c r="C122" i="1" s="1"/>
  <c r="C160" i="1"/>
  <c r="J171" i="1"/>
  <c r="J170" i="1"/>
  <c r="J169" i="1"/>
  <c r="J168" i="1"/>
  <c r="C132" i="1"/>
  <c r="J157" i="1"/>
  <c r="J156" i="1"/>
  <c r="J155" i="1"/>
  <c r="J154" i="1"/>
  <c r="J143" i="1"/>
  <c r="J142" i="1"/>
  <c r="J141" i="1"/>
  <c r="J140" i="1"/>
  <c r="D122" i="1" l="1"/>
  <c r="J125" i="1"/>
  <c r="J130" i="1" s="1"/>
  <c r="F437" i="1"/>
  <c r="F436" i="1"/>
  <c r="F435" i="1"/>
  <c r="F434" i="1"/>
  <c r="F433" i="1"/>
  <c r="F432" i="1"/>
  <c r="F431" i="1"/>
  <c r="F430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455" i="1"/>
  <c r="F454" i="1"/>
  <c r="F453" i="1"/>
  <c r="F452" i="1"/>
  <c r="F450" i="1"/>
  <c r="F449" i="1"/>
  <c r="F448" i="1"/>
  <c r="F426" i="1"/>
  <c r="F425" i="1"/>
  <c r="F424" i="1"/>
  <c r="F423" i="1"/>
  <c r="F422" i="1"/>
  <c r="F421" i="1"/>
  <c r="F420" i="1"/>
  <c r="F417" i="1"/>
  <c r="F416" i="1"/>
  <c r="F415" i="1"/>
  <c r="G415" i="1"/>
  <c r="F512" i="1"/>
  <c r="F510" i="1"/>
  <c r="F509" i="1"/>
  <c r="F508" i="1"/>
  <c r="F507" i="1"/>
  <c r="F506" i="1"/>
  <c r="G505" i="1"/>
  <c r="F505" i="1"/>
  <c r="F494" i="1"/>
  <c r="F493" i="1"/>
  <c r="F492" i="1"/>
  <c r="F491" i="1"/>
  <c r="F490" i="1"/>
  <c r="F489" i="1"/>
  <c r="F488" i="1"/>
  <c r="F487" i="1"/>
  <c r="F484" i="1"/>
  <c r="F482" i="1"/>
  <c r="F481" i="1"/>
  <c r="F480" i="1"/>
  <c r="F479" i="1"/>
  <c r="F478" i="1"/>
  <c r="F477" i="1"/>
  <c r="F466" i="1"/>
  <c r="F465" i="1"/>
  <c r="F464" i="1"/>
  <c r="F463" i="1"/>
  <c r="F462" i="1"/>
  <c r="F461" i="1"/>
  <c r="F460" i="1"/>
  <c r="F459" i="1"/>
  <c r="G202" i="1" l="1"/>
  <c r="G201" i="1"/>
  <c r="G199" i="1"/>
  <c r="G200" i="1"/>
  <c r="J131" i="1"/>
  <c r="C123" i="1" s="1"/>
  <c r="F355" i="1"/>
  <c r="F354" i="1"/>
  <c r="F353" i="1"/>
  <c r="F352" i="1"/>
  <c r="F351" i="1"/>
  <c r="F350" i="1"/>
  <c r="F349" i="1"/>
  <c r="F348" i="1"/>
  <c r="F347" i="1"/>
  <c r="F335" i="1"/>
  <c r="F336" i="1"/>
  <c r="F337" i="1"/>
  <c r="F338" i="1"/>
  <c r="F339" i="1"/>
  <c r="F340" i="1"/>
  <c r="F341" i="1"/>
  <c r="F342" i="1"/>
  <c r="F343" i="1"/>
  <c r="F344" i="1"/>
  <c r="F345" i="1"/>
  <c r="F334" i="1"/>
  <c r="D285" i="1"/>
  <c r="F285" i="1" s="1"/>
  <c r="D284" i="1"/>
  <c r="F284" i="1" s="1"/>
  <c r="D283" i="1"/>
  <c r="F283" i="1" s="1"/>
  <c r="D282" i="1"/>
  <c r="F282" i="1" s="1"/>
  <c r="D281" i="1"/>
  <c r="F281" i="1" s="1"/>
  <c r="D280" i="1"/>
  <c r="F280" i="1" s="1"/>
  <c r="D276" i="1"/>
  <c r="F276" i="1" s="1"/>
  <c r="D275" i="1"/>
  <c r="F275" i="1" s="1"/>
  <c r="D274" i="1"/>
  <c r="F274" i="1" s="1"/>
  <c r="D273" i="1"/>
  <c r="F273" i="1" s="1"/>
  <c r="D272" i="1"/>
  <c r="F272" i="1" s="1"/>
  <c r="D271" i="1"/>
  <c r="F271" i="1" s="1"/>
  <c r="A281" i="1"/>
  <c r="A282" i="1" s="1"/>
  <c r="A283" i="1" s="1"/>
  <c r="A284" i="1" s="1"/>
  <c r="A285" i="1" s="1"/>
  <c r="D266" i="1"/>
  <c r="F266" i="1" s="1"/>
  <c r="F265" i="1"/>
  <c r="D264" i="1"/>
  <c r="F264" i="1" s="1"/>
  <c r="D263" i="1"/>
  <c r="A272" i="1"/>
  <c r="A273" i="1" s="1"/>
  <c r="A274" i="1" s="1"/>
  <c r="A275" i="1" s="1"/>
  <c r="A276" i="1" s="1"/>
  <c r="G271" i="1"/>
  <c r="A262" i="1"/>
  <c r="A263" i="1" s="1"/>
  <c r="A264" i="1" s="1"/>
  <c r="A265" i="1" s="1"/>
  <c r="A266" i="1" s="1"/>
  <c r="F263" i="1" l="1"/>
  <c r="G192" i="1" s="1"/>
  <c r="E192" i="1"/>
  <c r="G198" i="1"/>
  <c r="E122" i="1"/>
  <c r="I118" i="1" s="1"/>
  <c r="C120" i="1" s="1"/>
  <c r="G122" i="1"/>
  <c r="D123" i="1"/>
  <c r="G193" i="1"/>
  <c r="C193" i="1"/>
  <c r="E193" i="1"/>
  <c r="C192" i="1"/>
  <c r="J115" i="1"/>
  <c r="J114" i="1"/>
  <c r="J113" i="1"/>
  <c r="J112" i="1"/>
  <c r="F325" i="1"/>
  <c r="F324" i="1"/>
  <c r="A319" i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F315" i="1"/>
  <c r="F314" i="1"/>
  <c r="F313" i="1"/>
  <c r="F312" i="1"/>
  <c r="F311" i="1"/>
  <c r="A306" i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F318" i="1" l="1"/>
  <c r="F306" i="1"/>
  <c r="F316" i="1"/>
  <c r="F309" i="1"/>
  <c r="F305" i="1"/>
  <c r="F322" i="1"/>
  <c r="F308" i="1"/>
  <c r="F310" i="1"/>
  <c r="F319" i="1"/>
  <c r="F323" i="1"/>
  <c r="F320" i="1"/>
  <c r="F307" i="1"/>
  <c r="F321" i="1"/>
  <c r="F298" i="1"/>
  <c r="F299" i="1"/>
  <c r="F300" i="1"/>
  <c r="F302" i="1"/>
  <c r="F303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4" i="1"/>
  <c r="F213" i="1"/>
  <c r="F212" i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G211" i="1"/>
  <c r="F215" i="1" l="1"/>
  <c r="E194" i="1"/>
  <c r="F292" i="1"/>
  <c r="F297" i="1"/>
  <c r="C194" i="1"/>
  <c r="F211" i="1"/>
  <c r="E27" i="1"/>
  <c r="G191" i="1" l="1"/>
  <c r="E203" i="1"/>
  <c r="F187" i="1" l="1"/>
  <c r="F233" i="1" l="1"/>
  <c r="G190" i="1" s="1"/>
  <c r="G194" i="1" s="1"/>
  <c r="B515" i="1" l="1"/>
  <c r="C13" i="1" l="1"/>
  <c r="F296" i="1" l="1"/>
  <c r="F295" i="1"/>
  <c r="F293" i="1"/>
  <c r="I292" i="1"/>
  <c r="F294" i="1"/>
  <c r="G197" i="1" l="1"/>
  <c r="G203" i="1" s="1"/>
  <c r="B51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42" i="1"/>
  <c r="A293" i="1"/>
  <c r="A294" i="1" s="1"/>
  <c r="A295" i="1" s="1"/>
  <c r="A296" i="1" s="1"/>
  <c r="A297" i="1" s="1"/>
  <c r="A298" i="1" s="1"/>
  <c r="A299" i="1" s="1"/>
  <c r="A300" i="1" s="1"/>
  <c r="J101" i="1"/>
  <c r="J100" i="1"/>
  <c r="J99" i="1"/>
  <c r="J98" i="1"/>
  <c r="C90" i="1"/>
  <c r="J87" i="1"/>
  <c r="J86" i="1"/>
  <c r="J85" i="1"/>
  <c r="J84" i="1"/>
  <c r="C76" i="1"/>
  <c r="D60" i="1"/>
  <c r="G47" i="1"/>
  <c r="E40" i="1"/>
  <c r="E41" i="1" s="1"/>
  <c r="E24" i="1"/>
  <c r="E22" i="1"/>
  <c r="E7" i="1"/>
  <c r="E3" i="1"/>
  <c r="D70" i="1" s="1"/>
  <c r="H77" i="1"/>
  <c r="H91" i="1"/>
  <c r="A301" i="1" l="1"/>
  <c r="A302" i="1" s="1"/>
  <c r="A303" i="1" s="1"/>
  <c r="D101" i="1"/>
  <c r="D102" i="1"/>
  <c r="D103" i="1"/>
  <c r="D97" i="1"/>
  <c r="D98" i="1"/>
  <c r="D99" i="1"/>
  <c r="D100" i="1"/>
  <c r="D96" i="1"/>
  <c r="D89" i="1"/>
  <c r="D87" i="1"/>
  <c r="D86" i="1"/>
  <c r="D85" i="1"/>
  <c r="D83" i="1"/>
  <c r="D82" i="1"/>
  <c r="D88" i="1"/>
  <c r="D84" i="1"/>
  <c r="J80" i="1"/>
  <c r="J81" i="1"/>
  <c r="C80" i="1" s="1"/>
  <c r="J79" i="1"/>
  <c r="J82" i="1"/>
  <c r="J96" i="1"/>
  <c r="J94" i="1"/>
  <c r="J95" i="1"/>
  <c r="C94" i="1" s="1"/>
  <c r="J93" i="1"/>
  <c r="H161" i="1"/>
  <c r="J83" i="1" l="1"/>
  <c r="J165" i="1"/>
  <c r="C164" i="1" s="1"/>
  <c r="D173" i="1"/>
  <c r="D171" i="1"/>
  <c r="D169" i="1"/>
  <c r="D167" i="1"/>
  <c r="J163" i="1"/>
  <c r="J166" i="1"/>
  <c r="J164" i="1"/>
  <c r="D172" i="1"/>
  <c r="D170" i="1"/>
  <c r="D168" i="1"/>
  <c r="D166" i="1"/>
  <c r="J97" i="1"/>
  <c r="J102" i="1" s="1"/>
  <c r="D80" i="1"/>
  <c r="D94" i="1"/>
  <c r="H105" i="1"/>
  <c r="H133" i="1"/>
  <c r="H147" i="1"/>
  <c r="J88" i="1" l="1"/>
  <c r="J167" i="1"/>
  <c r="J172" i="1" s="1"/>
  <c r="J103" i="1"/>
  <c r="C95" i="1" s="1"/>
  <c r="E94" i="1" s="1"/>
  <c r="D164" i="1"/>
  <c r="J151" i="1"/>
  <c r="C150" i="1" s="1"/>
  <c r="D159" i="1"/>
  <c r="D157" i="1"/>
  <c r="D155" i="1"/>
  <c r="D153" i="1"/>
  <c r="J152" i="1"/>
  <c r="D158" i="1"/>
  <c r="D154" i="1"/>
  <c r="D152" i="1"/>
  <c r="J149" i="1"/>
  <c r="J150" i="1"/>
  <c r="D156" i="1"/>
  <c r="J138" i="1"/>
  <c r="J136" i="1"/>
  <c r="D144" i="1"/>
  <c r="D142" i="1"/>
  <c r="D140" i="1"/>
  <c r="D138" i="1"/>
  <c r="J135" i="1"/>
  <c r="J137" i="1"/>
  <c r="C136" i="1" s="1"/>
  <c r="D145" i="1"/>
  <c r="D143" i="1"/>
  <c r="D141" i="1"/>
  <c r="D139" i="1"/>
  <c r="J109" i="1"/>
  <c r="C108" i="1" s="1"/>
  <c r="D117" i="1"/>
  <c r="D115" i="1"/>
  <c r="D113" i="1"/>
  <c r="D111" i="1"/>
  <c r="J110" i="1"/>
  <c r="J108" i="1"/>
  <c r="J107" i="1"/>
  <c r="D116" i="1"/>
  <c r="D114" i="1"/>
  <c r="D112" i="1"/>
  <c r="D110" i="1"/>
  <c r="J89" i="1" l="1"/>
  <c r="C81" i="1" s="1"/>
  <c r="G80" i="1" s="1"/>
  <c r="I90" i="1"/>
  <c r="C92" i="1" s="1"/>
  <c r="J111" i="1"/>
  <c r="J116" i="1" s="1"/>
  <c r="J173" i="1"/>
  <c r="C165" i="1" s="1"/>
  <c r="D165" i="1" s="1"/>
  <c r="G94" i="1"/>
  <c r="D74" i="1" s="1"/>
  <c r="D75" i="1" s="1"/>
  <c r="D95" i="1"/>
  <c r="J153" i="1"/>
  <c r="J139" i="1"/>
  <c r="D108" i="1"/>
  <c r="D136" i="1"/>
  <c r="D150" i="1"/>
  <c r="D81" i="1" l="1"/>
  <c r="E80" i="1"/>
  <c r="I76" i="1" s="1"/>
  <c r="C78" i="1" s="1"/>
  <c r="J117" i="1"/>
  <c r="C109" i="1" s="1"/>
  <c r="D109" i="1" s="1"/>
  <c r="G164" i="1"/>
  <c r="E164" i="1"/>
  <c r="I160" i="1" s="1"/>
  <c r="C162" i="1" s="1"/>
  <c r="F75" i="1"/>
  <c r="J144" i="1"/>
  <c r="J158" i="1"/>
  <c r="G108" i="1" l="1"/>
  <c r="E108" i="1"/>
  <c r="I104" i="1" s="1"/>
  <c r="C106" i="1" s="1"/>
  <c r="J159" i="1"/>
  <c r="C151" i="1" s="1"/>
  <c r="G150" i="1" s="1"/>
  <c r="J145" i="1"/>
  <c r="C137" i="1" s="1"/>
  <c r="D137" i="1" s="1"/>
  <c r="E136" i="1" l="1"/>
  <c r="I132" i="1" s="1"/>
  <c r="C134" i="1" s="1"/>
  <c r="D151" i="1"/>
  <c r="G136" i="1"/>
  <c r="E150" i="1"/>
  <c r="I146" i="1" s="1"/>
  <c r="C148" i="1" s="1"/>
</calcChain>
</file>

<file path=xl/sharedStrings.xml><?xml version="1.0" encoding="utf-8"?>
<sst xmlns="http://schemas.openxmlformats.org/spreadsheetml/2006/main" count="1032" uniqueCount="306">
  <si>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</si>
  <si>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</si>
  <si>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</si>
  <si>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</si>
  <si>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</si>
  <si>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</si>
  <si>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</si>
  <si>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</si>
  <si>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</si>
  <si>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</si>
  <si>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</si>
  <si>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</si>
  <si>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</si>
  <si>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</si>
  <si>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</si>
  <si>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</si>
  <si>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</si>
  <si>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</si>
  <si>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</si>
  <si>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</si>
  <si>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</si>
  <si>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</si>
  <si>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</si>
  <si>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</si>
  <si>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</si>
  <si>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</si>
  <si>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</si>
  <si>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</si>
  <si>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</si>
  <si>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</si>
  <si>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</si>
  <si>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</si>
  <si>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</si>
  <si>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</si>
  <si>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</si>
  <si>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</si>
  <si>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</si>
  <si>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</si>
  <si>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</si>
  <si>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</si>
  <si>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</si>
  <si>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</si>
  <si>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</si>
  <si>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</si>
  <si>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</si>
  <si>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</si>
  <si>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</si>
  <si>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</si>
  <si>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</si>
  <si>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</si>
  <si>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</si>
  <si>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</si>
  <si>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</si>
  <si>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</si>
  <si>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</si>
  <si>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</si>
  <si>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</si>
  <si>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</si>
  <si>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</si>
  <si>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</si>
  <si>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</si>
  <si>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</si>
  <si>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</si>
  <si>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</si>
  <si>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</si>
  <si>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</si>
  <si>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</si>
  <si>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</si>
  <si>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</si>
  <si>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</si>
  <si>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</si>
  <si>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</si>
  <si>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</si>
  <si>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</si>
  <si>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</si>
  <si>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</si>
  <si>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</si>
  <si>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</si>
  <si>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</si>
  <si>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</si>
  <si>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</si>
  <si>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</si>
  <si>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</si>
  <si>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</si>
  <si>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</si>
  <si>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</si>
  <si>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</si>
  <si>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</si>
  <si>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</si>
  <si>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</si>
  <si>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</si>
  <si>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</si>
  <si>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</si>
  <si>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</si>
  <si>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</si>
  <si>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</si>
  <si>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</si>
  <si>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</si>
  <si>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</si>
  <si>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</si>
  <si>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</si>
  <si>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</si>
  <si>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</si>
  <si>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</si>
  <si>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</si>
  <si>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</si>
  <si>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</si>
  <si>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</si>
  <si>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</si>
  <si>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</si>
  <si>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</si>
  <si>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</si>
  <si>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</si>
  <si>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</si>
  <si>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</si>
  <si>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</si>
  <si>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</si>
  <si>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</si>
  <si>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</si>
  <si>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</si>
  <si>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</si>
  <si>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</si>
  <si>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</si>
  <si>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</si>
  <si>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</si>
  <si>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</si>
  <si>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</si>
  <si>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</si>
  <si>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</si>
  <si>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</si>
  <si>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</si>
  <si>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</si>
  <si>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</si>
  <si>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</si>
  <si>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</si>
  <si>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</si>
  <si>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</si>
  <si>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</si>
  <si>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</si>
  <si>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</si>
  <si>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</si>
  <si>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</si>
  <si>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</si>
  <si>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</si>
  <si>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</si>
  <si>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</si>
  <si>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</si>
  <si>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</si>
  <si>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</si>
  <si>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</si>
  <si>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</si>
  <si>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</si>
  <si>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</si>
  <si>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</si>
  <si>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</si>
  <si>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</si>
  <si>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</si>
  <si>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</si>
  <si>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</si>
  <si>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</si>
  <si>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</si>
  <si>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</si>
  <si>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</si>
  <si>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</si>
  <si>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Axis Sanpada</t>
  </si>
  <si>
    <t>M/s.Rustagi Estates Private Limited</t>
  </si>
  <si>
    <t>Survey No</t>
  </si>
  <si>
    <t>77/4/C/78/2C, 77/4/78/2/A….83/1/P</t>
  </si>
  <si>
    <t>Titwala</t>
  </si>
  <si>
    <t>Thane</t>
  </si>
  <si>
    <t>Kalyan</t>
  </si>
  <si>
    <t>Open Plot</t>
  </si>
  <si>
    <t>Internal Road</t>
  </si>
  <si>
    <t>Chawl</t>
  </si>
  <si>
    <t>Ganesh Vidyalay</t>
  </si>
  <si>
    <t>3.9 KM from Titwala Railway Station</t>
  </si>
  <si>
    <t>Titwala (East)</t>
  </si>
  <si>
    <t>Maharashtra Housing &amp; Area Development Authority (MHADA)</t>
  </si>
  <si>
    <t>1st Floor for Residential</t>
  </si>
  <si>
    <t>Wing A</t>
  </si>
  <si>
    <t>Wing B</t>
  </si>
  <si>
    <t>8th Floor (Part Refuge Area)</t>
  </si>
  <si>
    <t>Refuge Area</t>
  </si>
  <si>
    <t>Shop</t>
  </si>
  <si>
    <t>1BHK</t>
  </si>
  <si>
    <t>Approved Plans, CC, Sale Plan, Cost Sheet</t>
  </si>
  <si>
    <t>Phase I</t>
  </si>
  <si>
    <t>Phase II</t>
  </si>
  <si>
    <t>Phase III</t>
  </si>
  <si>
    <t xml:space="preserve">Wing A </t>
  </si>
  <si>
    <t>EWS</t>
  </si>
  <si>
    <t>Phase - I  P51700034204
Phase - II P51700034078
Phase - III P51700033998</t>
  </si>
  <si>
    <t>Name / No.of the Building</t>
  </si>
  <si>
    <t xml:space="preserve">Layout Approval No.    </t>
  </si>
  <si>
    <t>Approved No.of units</t>
  </si>
  <si>
    <t>Approved No.of Floors</t>
  </si>
  <si>
    <t>Proposed No.of Floors</t>
  </si>
  <si>
    <t>Building No.3 (Wing A &amp; B) = Gr/St + 1st to 10th Floor</t>
  </si>
  <si>
    <t>Phase I (Building No.2)</t>
  </si>
  <si>
    <t>Building No.1</t>
  </si>
  <si>
    <t>Building No.2</t>
  </si>
  <si>
    <t>Building No.4</t>
  </si>
  <si>
    <t>Building No.3 (Wing A)</t>
  </si>
  <si>
    <t>Building No.5</t>
  </si>
  <si>
    <t>Building No.3</t>
  </si>
  <si>
    <t>2) I/We have No.direct or Indirect Interest in the property being valued</t>
  </si>
  <si>
    <t>Abhishek</t>
  </si>
  <si>
    <t>125000 to 200000</t>
  </si>
  <si>
    <t>6500 to 11200</t>
  </si>
  <si>
    <t>Costsheet</t>
  </si>
  <si>
    <t xml:space="preserve">1.Vitrified tiles flooring 2. Granite Kitchen Platform  3. Decorative Enternace  etc. 
</t>
  </si>
  <si>
    <t>Location Link</t>
  </si>
  <si>
    <t>Building No.3 (Wing B) = Gr/St + 1st to 10th Floor</t>
  </si>
  <si>
    <t>3200 to 3500 &amp; charges</t>
  </si>
  <si>
    <t>rushikesh</t>
  </si>
  <si>
    <t>cost sheet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</si>
  <si>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</si>
  <si>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EE/BP/PMAY/A/MHADA/023/2023</t>
  </si>
  <si>
    <t>Building No.2 &amp; 5 = Gr/St + 1st to 10th Floor
Building No.4 = Gr/St + 1st to 11th Floor</t>
  </si>
  <si>
    <t>Building No.2 = Gr/St + 1st to 12th Floor</t>
  </si>
  <si>
    <t>Building No.4 = Gr/St + 1st to 13th Floor</t>
  </si>
  <si>
    <t>Building No.5 (Wing A) = Gr/St + 1st to 12th Floor</t>
  </si>
  <si>
    <t>Building No.5 (Wing B) = Gr/St + 1st to 12th Floor</t>
  </si>
  <si>
    <t>Phase III = Bldg No.3 &amp; 5</t>
  </si>
  <si>
    <t>Phase II = Bldg 1, 2 &amp; 4</t>
  </si>
  <si>
    <t>Building No.2 &amp; 5 = 10th to 12th Floor
Building No.4 = 11th to 13th Floor</t>
  </si>
  <si>
    <t>EE/BP/PMAY/A/MHADA/177/2024</t>
  </si>
  <si>
    <t>EE/BP/PMAY/A/MHADA/191/2024</t>
  </si>
  <si>
    <t>This amended CC is issued for work upto plinth level only.</t>
  </si>
  <si>
    <t>EE/BP/PMAY/A/MHADA/340/2023</t>
  </si>
  <si>
    <t>Building No.3 = Gr/Stilt + 1st to 10th Floor</t>
  </si>
  <si>
    <t>Commencement-CC No
Valid Up to:
Building No.1</t>
  </si>
  <si>
    <t>Latitude,Longitude</t>
  </si>
  <si>
    <t xml:space="preserve">Commencement-CC No
Valid Up to: 
Building No.2, 4 &amp; 5 </t>
  </si>
  <si>
    <t>Commencement-CC No
Valid Up to:
Building No.3</t>
  </si>
  <si>
    <t>Layout :</t>
  </si>
  <si>
    <t>Lower Stilt for Parking &amp; Entrance Lobby</t>
  </si>
  <si>
    <t>Upper Stilt for Parking &amp; Society Office</t>
  </si>
  <si>
    <t>Upper Stilt for Parking, Society Office, Meter Room &amp; Commercial</t>
  </si>
  <si>
    <t>Ground Floor for Meter Room, Entrance Lobby &amp; Commercial</t>
  </si>
  <si>
    <t>Ground Floor + 1st for Duplex Shop</t>
  </si>
  <si>
    <t>Duplex Shop</t>
  </si>
  <si>
    <t>2nd Floor for Commercial</t>
  </si>
  <si>
    <t>3rd Floor for Commercial</t>
  </si>
  <si>
    <t>Ground Floor for Commercial, Society Office, Meter Room, Pump Room &amp; Double Heighted Lobby</t>
  </si>
  <si>
    <t>Double Heighted Lobby</t>
  </si>
  <si>
    <t>Ground Floor for Society Office, Meter Room, Pump Room &amp; Double Heighted Lobby</t>
  </si>
  <si>
    <t>2nd to 7th &amp; 9th to 10th Floor for Residential</t>
  </si>
  <si>
    <t>Garden</t>
  </si>
  <si>
    <t>1st to 6th &amp; 9th to 11th &amp; 13th Floor for Residential</t>
  </si>
  <si>
    <t>7th Floor (Part Refuge Area)</t>
  </si>
  <si>
    <t>8th Floor for Residential</t>
  </si>
  <si>
    <t>12th Floor (Part Refuge Area)</t>
  </si>
  <si>
    <t>Refuge Area / Garden</t>
  </si>
  <si>
    <t>2nd to 6th &amp; 8th to 11th Floor for Residential</t>
  </si>
  <si>
    <t>7th &amp; 12th Floor (Part Refuge Area)</t>
  </si>
  <si>
    <t>Rusttagi Aarambha Phase I, II &amp; III</t>
  </si>
  <si>
    <t>Development Charges (Only for 2BHK)</t>
  </si>
  <si>
    <t>We have updated Approved Plans &amp; Latest CC (On 14/06/2024).</t>
  </si>
  <si>
    <t>Building No.1
Building No.2 
Building No.3 (Wing A &amp; B)
Building No.4 
Building No.5 (Wing A &amp; B)</t>
  </si>
  <si>
    <t>Building No.1 = 1st to 3rd Floor</t>
  </si>
  <si>
    <t>Building No. 1 plans are completely revised and structure is reduced to Gr. + 1st to 3rd Floor Commercial Building (Previous approved structure Gr. + 1st to 11th Floor).</t>
  </si>
  <si>
    <t>Loading taken as 40% to adjust extra Area on 14/06/2024</t>
  </si>
  <si>
    <t xml:space="preserve">Construction work of Building No. 2 &amp; 5 goes beyond approved no. of floor. Please Provide revised Approved Plans.
</t>
  </si>
  <si>
    <t xml:space="preserve">(Ground Floor) </t>
  </si>
  <si>
    <t>Mr. Rocky Punjabi 8788898425 / 818149313156</t>
  </si>
  <si>
    <t>Phase I -   Building No.2 = Shops Only
Phase II -  Building No.1 = 1st to 3rd Floor
                 Building No.2 = Gr/St + 1st to 12th Floor
                 Building No.4 = Gr/St + 1st to 13th Floor
Phase III - Building No.3 (Wing A &amp; B) = Gr/St + 1st to 10th Floor
                 Building No.5 (Wing A &amp; B) = Gr/St + 1st to 10th Floor</t>
  </si>
  <si>
    <t>Ground Floor for Commercial, Society Office, Meter Room, Pump Room, 
Double Heighted Lobby &amp; Parking</t>
  </si>
  <si>
    <t>Flats - 679, Shops - 39</t>
  </si>
  <si>
    <t>EE/BP/PMAYA/A/MHADA/171/2024</t>
  </si>
  <si>
    <t>EE/BP/PMAYA/A/MHADA/170/2024</t>
  </si>
  <si>
    <t>Phase II
 (Building No.1)
Wing A &amp; B</t>
  </si>
  <si>
    <t>19.295792,73.230689</t>
  </si>
  <si>
    <t>https://maps.app.goo.gl/RpkaYK87EqUrYx9q6</t>
  </si>
  <si>
    <t>As per Layout</t>
  </si>
  <si>
    <t xml:space="preserve"> Anand Home</t>
  </si>
  <si>
    <t>24.00 M. Wide D.P Road</t>
  </si>
  <si>
    <t>Adj S. No.82 &amp; 83</t>
  </si>
  <si>
    <t>Adj S. No.81</t>
  </si>
  <si>
    <t>Adj S. No.66</t>
  </si>
  <si>
    <t>Phase III
(Building No.3)
Wing A</t>
  </si>
  <si>
    <t>Phase III
(Building No.5)
Wing A &amp; B</t>
  </si>
  <si>
    <t>Phase III 
(Building No.3)
Wing A</t>
  </si>
  <si>
    <t>Phase III 
(Building No.3)
Wing B</t>
  </si>
  <si>
    <t>Phase III 
(Building No.5) 
(Wing A)</t>
  </si>
  <si>
    <t>Phase III 
(Building No.5) 
(Wing B)</t>
  </si>
  <si>
    <t>Phase II 
(Building No.4)</t>
  </si>
  <si>
    <t>Phase II 
(Building No.2)</t>
  </si>
  <si>
    <t>8th Floor (Part Refuge &amp; Garden Area)</t>
  </si>
  <si>
    <t>Double Heighted Entrance Lobby</t>
  </si>
  <si>
    <t>1st Floor For Residential &amp; Part Double Height Entrance Lobby</t>
  </si>
  <si>
    <t>08 Buildings</t>
  </si>
  <si>
    <t>We considered Gross carpet area = Net carpet + Encl Balcony + Serv. Slab Area</t>
  </si>
  <si>
    <t xml:space="preserve">2nd to 7th, 9th to 12th Floor For  Residential </t>
  </si>
  <si>
    <t>We have updated approved floor plans of Phase I &amp; Phase II (Building No.2) On 23/12/2024.</t>
  </si>
  <si>
    <t>Refuge with Garden Area</t>
  </si>
  <si>
    <t>Building No.1 to 5 = Construction work is in process at the time of visit.</t>
  </si>
  <si>
    <t>Mangesh Laxman Bapardekar</t>
  </si>
  <si>
    <t>As per RERA, completion period of project Rustaagi Aarambha Phase I is expired on 21/02/2025 but still project is under construction.</t>
  </si>
  <si>
    <t>Building No.5 (Wing A &amp; B) = Gr/St + 1st to 12th Floor</t>
  </si>
  <si>
    <t>As per RERA - Phase I = 31/03/2026
                       Phase II = 22/02/2026
                       Phase III = 22/02/2027</t>
  </si>
  <si>
    <t>Pooja Kawale</t>
  </si>
  <si>
    <t>On Site, we meet Mr. Rocky : 8788898425 &amp; Variya : 9284560995.</t>
  </si>
  <si>
    <t>EE/BP/PMAY/A/MHADA/350/2024</t>
  </si>
  <si>
    <t>Building No.1 = Further CC for Only Ground Floor</t>
  </si>
  <si>
    <t>We have updated revised CC for Building no.1 (On 28/09/2025).
Construction work of Building No.1 goes beyond CC permission. Please provide revised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</si>
</sst>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7" fillId="0" borderId="12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44" fontId="6" fillId="0" borderId="0" xfId="10" applyFont="1" applyFill="1"/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6" fillId="2" borderId="0" xfId="1" applyFont="1" applyFill="1"/>
    <xf numFmtId="14" fontId="16" fillId="2" borderId="0" xfId="1" applyNumberFormat="1" applyFont="1" applyFill="1"/>
    <xf numFmtId="3" fontId="16" fillId="2" borderId="0" xfId="1" applyNumberFormat="1" applyFont="1" applyFill="1"/>
    <xf numFmtId="0" fontId="7" fillId="2" borderId="0" xfId="1" applyFont="1" applyFill="1"/>
    <xf numFmtId="14" fontId="7" fillId="2" borderId="0" xfId="1" applyNumberFormat="1" applyFont="1" applyFill="1"/>
    <xf numFmtId="0" fontId="7" fillId="0" borderId="0" xfId="1" applyFont="1" applyAlignment="1">
      <alignment horizontal="left" vertical="top"/>
    </xf>
    <xf numFmtId="0" fontId="12" fillId="3" borderId="1" xfId="1" applyFont="1" applyFill="1" applyBorder="1" applyAlignment="1" applyProtection="1">
      <alignment vertical="top" wrapText="1"/>
      <protection locked="0"/>
    </xf>
    <xf numFmtId="0" fontId="12" fillId="4" borderId="1" xfId="1" applyFont="1" applyFill="1" applyBorder="1" applyAlignment="1" applyProtection="1">
      <alignment vertical="top" wrapText="1"/>
      <protection locked="0"/>
    </xf>
    <xf numFmtId="0" fontId="12" fillId="5" borderId="1" xfId="1" applyFont="1" applyFill="1" applyBorder="1" applyAlignment="1" applyProtection="1">
      <alignment vertical="top" wrapText="1"/>
      <protection locked="0"/>
    </xf>
    <xf numFmtId="0" fontId="12" fillId="6" borderId="1" xfId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top"/>
    </xf>
    <xf numFmtId="1" fontId="12" fillId="0" borderId="1" xfId="2" applyNumberFormat="1" applyFont="1" applyBorder="1" applyAlignment="1">
      <alignment horizontal="center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25" fillId="0" borderId="1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25" fillId="0" borderId="8" xfId="0" applyNumberFormat="1" applyFont="1" applyBorder="1" applyAlignment="1" applyProtection="1">
      <alignment vertical="top" wrapText="1"/>
      <protection locked="0"/>
    </xf>
    <xf numFmtId="1" fontId="25" fillId="0" borderId="23" xfId="0" applyNumberFormat="1" applyFont="1" applyBorder="1" applyAlignment="1" applyProtection="1">
      <alignment vertical="top" wrapText="1"/>
      <protection locked="0"/>
    </xf>
    <xf numFmtId="1" fontId="25" fillId="0" borderId="9" xfId="0" applyNumberFormat="1" applyFont="1" applyBorder="1" applyAlignment="1" applyProtection="1">
      <alignment vertical="top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3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9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30" xfId="8" applyFont="1" applyFill="1" applyBorder="1" applyAlignment="1" applyProtection="1">
      <alignment horizontal="center" vertical="center" wrapText="1"/>
      <protection locked="0"/>
    </xf>
    <xf numFmtId="9" fontId="7" fillId="0" borderId="31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0" fontId="10" fillId="0" borderId="15" xfId="1" applyFont="1" applyBorder="1" applyAlignment="1" applyProtection="1">
      <alignment horizontal="left" vertical="top" wrapText="1"/>
      <protection locked="0"/>
    </xf>
    <xf numFmtId="0" fontId="10" fillId="0" borderId="16" xfId="1" applyFont="1" applyBorder="1" applyAlignment="1" applyProtection="1">
      <alignment horizontal="left" vertical="top" wrapText="1"/>
      <protection locked="0"/>
    </xf>
    <xf numFmtId="0" fontId="10" fillId="0" borderId="25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44" fontId="8" fillId="0" borderId="1" xfId="10" applyFont="1" applyFill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0" fillId="0" borderId="24" xfId="1" applyFont="1" applyBorder="1" applyAlignment="1" applyProtection="1">
      <alignment horizontal="left" vertical="top" wrapText="1"/>
      <protection locked="0"/>
    </xf>
    <xf numFmtId="0" fontId="10" fillId="0" borderId="17" xfId="1" applyFont="1" applyBorder="1" applyAlignment="1" applyProtection="1">
      <alignment horizontal="left" vertical="top" wrapText="1"/>
      <protection locked="0"/>
    </xf>
    <xf numFmtId="0" fontId="10" fillId="0" borderId="32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21" xfId="1" applyFont="1" applyBorder="1" applyAlignment="1" applyProtection="1">
      <alignment horizontal="left" vertical="top" wrapText="1"/>
      <protection locked="0"/>
    </xf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33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12" fillId="3" borderId="8" xfId="1" applyFont="1" applyFill="1" applyBorder="1" applyAlignment="1" applyProtection="1">
      <alignment horizontal="left" vertical="top" wrapText="1"/>
      <protection locked="0"/>
    </xf>
    <xf numFmtId="0" fontId="12" fillId="3" borderId="23" xfId="1" applyFont="1" applyFill="1" applyBorder="1" applyAlignment="1" applyProtection="1">
      <alignment horizontal="left" vertical="top" wrapText="1"/>
      <protection locked="0"/>
    </xf>
    <xf numFmtId="0" fontId="12" fillId="3" borderId="9" xfId="1" applyFont="1" applyFill="1" applyBorder="1" applyAlignment="1" applyProtection="1">
      <alignment horizontal="left" vertical="top" wrapText="1"/>
      <protection locked="0"/>
    </xf>
    <xf numFmtId="14" fontId="12" fillId="3" borderId="8" xfId="1" applyNumberFormat="1" applyFont="1" applyFill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horizontal="left" vertical="top" wrapText="1"/>
      <protection locked="0"/>
    </xf>
    <xf numFmtId="1" fontId="8" fillId="0" borderId="23" xfId="0" applyNumberFormat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4" fontId="12" fillId="5" borderId="8" xfId="1" applyNumberFormat="1" applyFont="1" applyFill="1" applyBorder="1" applyAlignment="1" applyProtection="1">
      <alignment horizontal="left" vertical="top" wrapText="1"/>
      <protection locked="0"/>
    </xf>
    <xf numFmtId="0" fontId="12" fillId="5" borderId="9" xfId="1" applyFont="1" applyFill="1" applyBorder="1" applyAlignment="1" applyProtection="1">
      <alignment horizontal="left" vertical="top" wrapText="1"/>
      <protection locked="0"/>
    </xf>
    <xf numFmtId="0" fontId="12" fillId="5" borderId="8" xfId="1" applyFont="1" applyFill="1" applyBorder="1" applyAlignment="1" applyProtection="1">
      <alignment horizontal="left" vertical="top" wrapText="1"/>
      <protection locked="0"/>
    </xf>
    <xf numFmtId="0" fontId="12" fillId="5" borderId="23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4" fillId="0" borderId="1" xfId="11" applyBorder="1" applyAlignment="1" applyProtection="1">
      <alignment horizontal="left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2" fillId="6" borderId="8" xfId="1" applyFont="1" applyFill="1" applyBorder="1" applyAlignment="1" applyProtection="1">
      <alignment horizontal="left" vertical="top" wrapText="1"/>
      <protection locked="0"/>
    </xf>
    <xf numFmtId="0" fontId="12" fillId="6" borderId="23" xfId="1" applyFont="1" applyFill="1" applyBorder="1" applyAlignment="1" applyProtection="1">
      <alignment horizontal="left" vertical="top" wrapText="1"/>
      <protection locked="0"/>
    </xf>
    <xf numFmtId="0" fontId="12" fillId="6" borderId="9" xfId="1" applyFont="1" applyFill="1" applyBorder="1" applyAlignment="1" applyProtection="1">
      <alignment horizontal="left" vertical="top" wrapText="1"/>
      <protection locked="0"/>
    </xf>
    <xf numFmtId="14" fontId="12" fillId="6" borderId="8" xfId="1" applyNumberFormat="1" applyFont="1" applyFill="1" applyBorder="1" applyAlignment="1" applyProtection="1">
      <alignment horizontal="left" vertical="top" wrapText="1"/>
      <protection locked="0"/>
    </xf>
    <xf numFmtId="0" fontId="12" fillId="4" borderId="8" xfId="1" applyFont="1" applyFill="1" applyBorder="1" applyAlignment="1" applyProtection="1">
      <alignment horizontal="left" vertical="top" wrapText="1"/>
      <protection locked="0"/>
    </xf>
    <xf numFmtId="0" fontId="12" fillId="4" borderId="23" xfId="1" applyFont="1" applyFill="1" applyBorder="1" applyAlignment="1" applyProtection="1">
      <alignment horizontal="left" vertical="top" wrapText="1"/>
      <protection locked="0"/>
    </xf>
    <xf numFmtId="0" fontId="12" fillId="4" borderId="9" xfId="1" applyFont="1" applyFill="1" applyBorder="1" applyAlignment="1" applyProtection="1">
      <alignment horizontal="left" vertical="top" wrapText="1"/>
      <protection locked="0"/>
    </xf>
    <xf numFmtId="14" fontId="12" fillId="4" borderId="8" xfId="1" applyNumberFormat="1" applyFont="1" applyFill="1" applyBorder="1" applyAlignment="1" applyProtection="1">
      <alignment horizontal="left" vertical="top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2">
    <cellStyle name="Comma" xfId="9" builtinId="3"/>
    <cellStyle name="Comma 2" xfId="6"/>
    <cellStyle name="Currency" xfId="10" builtinId="4"/>
    <cellStyle name="Excel Built-in Normal" xfId="2"/>
    <cellStyle name="Excel Built-in Normal 2" xfId="4"/>
    <cellStyle name="Hyperlink" xfId="11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1012071</xdr:colOff>
      <xdr:row>545</xdr:row>
      <xdr:rowOff>26121</xdr:rowOff>
    </xdr:from>
    <xdr:ext cx="301686" cy="37414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151680" y="110540969"/>
          <a:ext cx="301686" cy="3741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>
              <a:solidFill>
                <a:srgbClr val="C00000"/>
              </a:solidFill>
            </a:rPr>
            <a:t>4</a:t>
          </a:r>
        </a:p>
      </xdr:txBody>
    </xdr:sp>
    <xdr:clientData/>
  </xdr:oneCellAnchor>
  <xdr:oneCellAnchor>
    <xdr:from>
      <xdr:col>8</xdr:col>
      <xdr:colOff>1529861</xdr:colOff>
      <xdr:row>544</xdr:row>
      <xdr:rowOff>112899</xdr:rowOff>
    </xdr:from>
    <xdr:ext cx="301686" cy="37414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048274" y="110437247"/>
          <a:ext cx="301686" cy="3741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>
              <a:solidFill>
                <a:srgbClr val="C00000"/>
              </a:solidFill>
            </a:rPr>
            <a:t>2</a:t>
          </a:r>
        </a:p>
      </xdr:txBody>
    </xdr:sp>
    <xdr:clientData/>
  </xdr:oneCellAnchor>
  <xdr:oneCellAnchor>
    <xdr:from>
      <xdr:col>8</xdr:col>
      <xdr:colOff>1071006</xdr:colOff>
      <xdr:row>547</xdr:row>
      <xdr:rowOff>18966</xdr:rowOff>
    </xdr:from>
    <xdr:ext cx="441531" cy="37414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210615" y="110931379"/>
          <a:ext cx="441531" cy="3741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>
              <a:solidFill>
                <a:srgbClr val="C00000"/>
              </a:solidFill>
            </a:rPr>
            <a:t>3A</a:t>
          </a:r>
        </a:p>
      </xdr:txBody>
    </xdr:sp>
    <xdr:clientData/>
  </xdr:oneCellAnchor>
  <xdr:oneCellAnchor>
    <xdr:from>
      <xdr:col>8</xdr:col>
      <xdr:colOff>1741390</xdr:colOff>
      <xdr:row>547</xdr:row>
      <xdr:rowOff>13232</xdr:rowOff>
    </xdr:from>
    <xdr:ext cx="431080" cy="37414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259803" y="110925645"/>
          <a:ext cx="431080" cy="3741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>
              <a:solidFill>
                <a:srgbClr val="C00000"/>
              </a:solidFill>
            </a:rPr>
            <a:t>3B</a:t>
          </a:r>
        </a:p>
      </xdr:txBody>
    </xdr:sp>
    <xdr:clientData/>
  </xdr:oneCellAnchor>
  <xdr:oneCellAnchor>
    <xdr:from>
      <xdr:col>15</xdr:col>
      <xdr:colOff>23574</xdr:colOff>
      <xdr:row>562</xdr:row>
      <xdr:rowOff>15722</xdr:rowOff>
    </xdr:from>
    <xdr:ext cx="301686" cy="37414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3226052" y="113909874"/>
          <a:ext cx="301686" cy="37414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/>
            <a:t>4</a:t>
          </a:r>
        </a:p>
      </xdr:txBody>
    </xdr:sp>
    <xdr:clientData/>
  </xdr:oneCellAnchor>
  <xdr:oneCellAnchor>
    <xdr:from>
      <xdr:col>9</xdr:col>
      <xdr:colOff>612851</xdr:colOff>
      <xdr:row>571</xdr:row>
      <xdr:rowOff>66261</xdr:rowOff>
    </xdr:from>
    <xdr:ext cx="472171" cy="37414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367568" y="115749457"/>
          <a:ext cx="472171" cy="37414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800" b="1"/>
            <a:t>5B</a:t>
          </a:r>
        </a:p>
      </xdr:txBody>
    </xdr:sp>
    <xdr:clientData/>
  </xdr:oneCellAnchor>
  <xdr:oneCellAnchor>
    <xdr:from>
      <xdr:col>9</xdr:col>
      <xdr:colOff>530087</xdr:colOff>
      <xdr:row>574</xdr:row>
      <xdr:rowOff>89366</xdr:rowOff>
    </xdr:from>
    <xdr:ext cx="441531" cy="37414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284804" y="116368909"/>
          <a:ext cx="441531" cy="37414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/>
            <a:t>5B</a:t>
          </a:r>
        </a:p>
      </xdr:txBody>
    </xdr:sp>
    <xdr:clientData/>
  </xdr:oneCellAnchor>
  <xdr:oneCellAnchor>
    <xdr:from>
      <xdr:col>3</xdr:col>
      <xdr:colOff>501226</xdr:colOff>
      <xdr:row>569</xdr:row>
      <xdr:rowOff>82827</xdr:rowOff>
    </xdr:from>
    <xdr:ext cx="184731" cy="374141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911465" y="114391110"/>
          <a:ext cx="184731" cy="3741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800" b="1">
            <a:solidFill>
              <a:srgbClr val="C00000"/>
            </a:solidFill>
          </a:endParaRPr>
        </a:p>
      </xdr:txBody>
    </xdr:sp>
    <xdr:clientData/>
  </xdr:oneCellAnchor>
  <xdr:twoCellAnchor>
    <xdr:from>
      <xdr:col>9</xdr:col>
      <xdr:colOff>365125</xdr:colOff>
      <xdr:row>567</xdr:row>
      <xdr:rowOff>168275</xdr:rowOff>
    </xdr:from>
    <xdr:to>
      <xdr:col>9</xdr:col>
      <xdr:colOff>415925</xdr:colOff>
      <xdr:row>570</xdr:row>
      <xdr:rowOff>3175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9747250" y="116116100"/>
          <a:ext cx="50800" cy="4349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628712</xdr:colOff>
      <xdr:row>544</xdr:row>
      <xdr:rowOff>146050</xdr:rowOff>
    </xdr:from>
    <xdr:ext cx="441531" cy="374141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010837" y="111502825"/>
          <a:ext cx="441531" cy="37414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/>
            <a:t>3A</a:t>
          </a:r>
        </a:p>
      </xdr:txBody>
    </xdr:sp>
    <xdr:clientData/>
  </xdr:oneCellAnchor>
  <xdr:oneCellAnchor>
    <xdr:from>
      <xdr:col>8</xdr:col>
      <xdr:colOff>1230032</xdr:colOff>
      <xdr:row>572</xdr:row>
      <xdr:rowOff>45571</xdr:rowOff>
    </xdr:from>
    <xdr:ext cx="536814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379385" y="119948512"/>
          <a:ext cx="5368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8</xdr:col>
      <xdr:colOff>1645200</xdr:colOff>
      <xdr:row>564</xdr:row>
      <xdr:rowOff>63196</xdr:rowOff>
    </xdr:from>
    <xdr:ext cx="536814" cy="23383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794553" y="118352490"/>
          <a:ext cx="536814" cy="2338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13th Flr</a:t>
          </a:r>
        </a:p>
      </xdr:txBody>
    </xdr:sp>
    <xdr:clientData/>
  </xdr:oneCellAnchor>
  <xdr:twoCellAnchor>
    <xdr:from>
      <xdr:col>8</xdr:col>
      <xdr:colOff>1533142</xdr:colOff>
      <xdr:row>564</xdr:row>
      <xdr:rowOff>190127</xdr:rowOff>
    </xdr:from>
    <xdr:to>
      <xdr:col>8</xdr:col>
      <xdr:colOff>1631950</xdr:colOff>
      <xdr:row>565</xdr:row>
      <xdr:rowOff>77392</xdr:rowOff>
    </xdr:to>
    <xdr:cxnSp macro="">
      <xdr:nvCxnSpPr>
        <xdr:cNvPr id="75" name="Straight Arrow Connector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 flipH="1">
          <a:off x="8682495" y="118479421"/>
          <a:ext cx="98808" cy="8897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517338</xdr:colOff>
      <xdr:row>560</xdr:row>
      <xdr:rowOff>31375</xdr:rowOff>
    </xdr:from>
    <xdr:to>
      <xdr:col>13</xdr:col>
      <xdr:colOff>742950</xdr:colOff>
      <xdr:row>560</xdr:row>
      <xdr:rowOff>88525</xdr:rowOff>
    </xdr:to>
    <xdr:cxnSp macro="">
      <xdr:nvCxnSpPr>
        <xdr:cNvPr id="78" name="Straight Arrow Connector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xfrm flipH="1" flipV="1">
          <a:off x="12877426" y="117513846"/>
          <a:ext cx="225612" cy="571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589</xdr:row>
      <xdr:rowOff>180975</xdr:rowOff>
    </xdr:from>
    <xdr:to>
      <xdr:col>7</xdr:col>
      <xdr:colOff>1343025</xdr:colOff>
      <xdr:row>627</xdr:row>
      <xdr:rowOff>98700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409575" y="116284375"/>
          <a:ext cx="6934200" cy="7398025"/>
          <a:chOff x="409575" y="123767850"/>
          <a:chExt cx="6629400" cy="751867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409575" y="123767850"/>
            <a:ext cx="6629400" cy="4320000"/>
            <a:chOff x="409575" y="123767850"/>
            <a:chExt cx="6629400" cy="4320000"/>
          </a:xfrm>
        </xdr:grpSpPr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7718" t="11516" r="-391" b="17122"/>
            <a:stretch/>
          </xdr:blipFill>
          <xdr:spPr>
            <a:xfrm>
              <a:off x="409575" y="123767850"/>
              <a:ext cx="6327971" cy="43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2800350" y="123863100"/>
              <a:ext cx="2455865" cy="43678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1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BUILDING 1 ADDED IN PHASE II</a:t>
              </a:r>
            </a:p>
            <a:p>
              <a:r>
                <a:rPr lang="en-IN" sz="11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SO PHASE II LAND AREA = 7346.52 SQM</a:t>
              </a:r>
              <a:endParaRPr lang="en-IN" sz="1100"/>
            </a:p>
          </xdr:txBody>
        </xdr:sp>
        <xdr:sp macro="" textlink="">
          <xdr:nvSpPr>
            <xdr:cNvPr id="1025" name="Text Box 1">
              <a:extLs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95775" y="124348875"/>
              <a:ext cx="2543176" cy="40957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BLUILDING NO. 1 REMOVED FROM PHASE 1</a:t>
              </a:r>
            </a:p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SO PHASE 1 LAND AREA = 2290 SQM</a:t>
              </a:r>
            </a:p>
          </xdr:txBody>
        </xdr:sp>
        <xdr:sp macro="" textlink="">
          <xdr:nvSpPr>
            <xdr:cNvPr id="1026" name="Text Box 2">
              <a:extLs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067300" y="125129925"/>
              <a:ext cx="1971675" cy="3619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IN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BUILDING 6 ADDED IN PHASE III</a:t>
              </a:r>
            </a:p>
            <a:p>
              <a:pPr algn="l" rtl="0">
                <a:defRPr sz="1000"/>
              </a:pPr>
              <a:r>
                <a:rPr lang="en-IN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SO PHASE III LAND AREA = 11348 SQM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3048000" y="125110875"/>
              <a:ext cx="288669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600" b="1"/>
                <a:t>1</a:t>
              </a:r>
            </a:p>
          </xdr:txBody>
        </xdr:sp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3009900" y="127034925"/>
              <a:ext cx="288669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600" b="1"/>
                <a:t>4</a:t>
              </a:r>
            </a:p>
          </xdr:txBody>
        </xdr:sp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3552825" y="126130050"/>
              <a:ext cx="412998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600" b="1"/>
                <a:t>3A</a:t>
              </a:r>
            </a:p>
          </xdr:txBody>
        </xdr:sp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 txBox="1"/>
          </xdr:nvSpPr>
          <xdr:spPr>
            <a:xfrm>
              <a:off x="4914900" y="125482350"/>
              <a:ext cx="288669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600" b="1"/>
                <a:t>6</a:t>
              </a:r>
            </a:p>
          </xdr:txBody>
        </xdr:sp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 txBox="1"/>
          </xdr:nvSpPr>
          <xdr:spPr>
            <a:xfrm>
              <a:off x="3952875" y="124987050"/>
              <a:ext cx="288669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600" b="1"/>
                <a:t>2</a:t>
              </a:r>
            </a:p>
          </xdr:txBody>
        </xdr:sp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 txBox="1"/>
          </xdr:nvSpPr>
          <xdr:spPr>
            <a:xfrm>
              <a:off x="1647825" y="125806200"/>
              <a:ext cx="403700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600" b="1"/>
                <a:t>5B</a:t>
              </a:r>
            </a:p>
          </xdr:txBody>
        </xdr:sp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2190750" y="126253875"/>
              <a:ext cx="412998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600" b="1"/>
                <a:t>5A</a:t>
              </a:r>
            </a:p>
          </xdr:txBody>
        </xdr:sp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 txBox="1"/>
          </xdr:nvSpPr>
          <xdr:spPr>
            <a:xfrm>
              <a:off x="4267200" y="125920500"/>
              <a:ext cx="403700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600" b="1"/>
                <a:t>3B</a:t>
              </a:r>
            </a:p>
          </xdr:txBody>
        </xdr:sp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428625" y="128406525"/>
            <a:ext cx="6333566" cy="2880000"/>
            <a:chOff x="428625" y="128406525"/>
            <a:chExt cx="6333566" cy="2880000"/>
          </a:xfrm>
        </xdr:grpSpPr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8625" y="128406525"/>
              <a:ext cx="4154909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95071" y="128407105"/>
              <a:ext cx="2067120" cy="2052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oneCellAnchor>
    <xdr:from>
      <xdr:col>8</xdr:col>
      <xdr:colOff>533400</xdr:colOff>
      <xdr:row>538</xdr:row>
      <xdr:rowOff>9525</xdr:rowOff>
    </xdr:from>
    <xdr:ext cx="569771" cy="280205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7677150" y="112909350"/>
          <a:ext cx="569771" cy="28020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1</a:t>
          </a:r>
        </a:p>
      </xdr:txBody>
    </xdr:sp>
    <xdr:clientData/>
  </xdr:oneCellAnchor>
  <xdr:twoCellAnchor>
    <xdr:from>
      <xdr:col>10</xdr:col>
      <xdr:colOff>73906</xdr:colOff>
      <xdr:row>537</xdr:row>
      <xdr:rowOff>60113</xdr:rowOff>
    </xdr:from>
    <xdr:to>
      <xdr:col>13</xdr:col>
      <xdr:colOff>81195</xdr:colOff>
      <xdr:row>539</xdr:row>
      <xdr:rowOff>48847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9687806" y="105933663"/>
          <a:ext cx="2305989" cy="382434"/>
          <a:chOff x="4411863" y="116137205"/>
          <a:chExt cx="2222531" cy="388785"/>
        </a:xfrm>
      </xdr:grpSpPr>
      <xdr:sp macro="" textlink="">
        <xdr:nvSpPr>
          <xdr:cNvPr id="107" name="TextBox 106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 txBox="1"/>
        </xdr:nvSpPr>
        <xdr:spPr>
          <a:xfrm>
            <a:off x="6064623" y="116137205"/>
            <a:ext cx="569771" cy="280205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5</a:t>
            </a:r>
          </a:p>
        </xdr:txBody>
      </xdr:sp>
      <xdr:sp macro="" textlink="">
        <xdr:nvSpPr>
          <xdr:cNvPr id="111" name="TextBox 110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 txBox="1"/>
        </xdr:nvSpPr>
        <xdr:spPr>
          <a:xfrm>
            <a:off x="5304971" y="116245785"/>
            <a:ext cx="708105" cy="2802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200" b="1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12" name="TextBox 111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/>
        </xdr:nvSpPr>
        <xdr:spPr>
          <a:xfrm>
            <a:off x="4411863" y="116144932"/>
            <a:ext cx="708105" cy="2802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200" b="1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 editAs="oneCell">
    <xdr:from>
      <xdr:col>8</xdr:col>
      <xdr:colOff>1057275</xdr:colOff>
      <xdr:row>43</xdr:row>
      <xdr:rowOff>69635</xdr:rowOff>
    </xdr:from>
    <xdr:to>
      <xdr:col>14</xdr:col>
      <xdr:colOff>179268</xdr:colOff>
      <xdr:row>48</xdr:row>
      <xdr:rowOff>320841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01025" y="10737635"/>
          <a:ext cx="4154555" cy="1479931"/>
        </a:xfrm>
        <a:prstGeom prst="rect">
          <a:avLst/>
        </a:prstGeom>
      </xdr:spPr>
    </xdr:pic>
    <xdr:clientData/>
  </xdr:twoCellAnchor>
  <xdr:twoCellAnchor editAs="oneCell">
    <xdr:from>
      <xdr:col>8</xdr:col>
      <xdr:colOff>578783</xdr:colOff>
      <xdr:row>49</xdr:row>
      <xdr:rowOff>42960</xdr:rowOff>
    </xdr:from>
    <xdr:to>
      <xdr:col>13</xdr:col>
      <xdr:colOff>777111</xdr:colOff>
      <xdr:row>53</xdr:row>
      <xdr:rowOff>28411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28136" y="12425460"/>
          <a:ext cx="4400534" cy="1240510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189</xdr:row>
      <xdr:rowOff>129716</xdr:rowOff>
    </xdr:from>
    <xdr:to>
      <xdr:col>13</xdr:col>
      <xdr:colOff>647017</xdr:colOff>
      <xdr:row>192</xdr:row>
      <xdr:rowOff>156152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19975" y="44344766"/>
          <a:ext cx="4561792" cy="1470264"/>
        </a:xfrm>
        <a:prstGeom prst="rect">
          <a:avLst/>
        </a:prstGeom>
      </xdr:spPr>
    </xdr:pic>
    <xdr:clientData/>
  </xdr:twoCellAnchor>
  <xdr:twoCellAnchor editAs="oneCell">
    <xdr:from>
      <xdr:col>8</xdr:col>
      <xdr:colOff>287324</xdr:colOff>
      <xdr:row>33</xdr:row>
      <xdr:rowOff>112058</xdr:rowOff>
    </xdr:from>
    <xdr:to>
      <xdr:col>13</xdr:col>
      <xdr:colOff>1748</xdr:colOff>
      <xdr:row>44</xdr:row>
      <xdr:rowOff>42311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36677" y="8819029"/>
          <a:ext cx="3916630" cy="2149017"/>
        </a:xfrm>
        <a:prstGeom prst="rect">
          <a:avLst/>
        </a:prstGeom>
      </xdr:spPr>
    </xdr:pic>
    <xdr:clientData/>
  </xdr:twoCellAnchor>
  <xdr:twoCellAnchor editAs="oneCell">
    <xdr:from>
      <xdr:col>8</xdr:col>
      <xdr:colOff>334495</xdr:colOff>
      <xdr:row>11</xdr:row>
      <xdr:rowOff>266700</xdr:rowOff>
    </xdr:from>
    <xdr:to>
      <xdr:col>14</xdr:col>
      <xdr:colOff>651249</xdr:colOff>
      <xdr:row>16</xdr:row>
      <xdr:rowOff>4117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78245" y="3667125"/>
          <a:ext cx="5345954" cy="1394767"/>
        </a:xfrm>
        <a:prstGeom prst="rect">
          <a:avLst/>
        </a:prstGeom>
      </xdr:spPr>
    </xdr:pic>
    <xdr:clientData/>
  </xdr:twoCellAnchor>
  <xdr:twoCellAnchor editAs="oneCell">
    <xdr:from>
      <xdr:col>9</xdr:col>
      <xdr:colOff>530679</xdr:colOff>
      <xdr:row>270</xdr:row>
      <xdr:rowOff>175124</xdr:rowOff>
    </xdr:from>
    <xdr:to>
      <xdr:col>20</xdr:col>
      <xdr:colOff>136072</xdr:colOff>
      <xdr:row>298</xdr:row>
      <xdr:rowOff>172099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71858" y="61312017"/>
          <a:ext cx="7293428" cy="5902476"/>
        </a:xfrm>
        <a:prstGeom prst="rect">
          <a:avLst/>
        </a:prstGeom>
      </xdr:spPr>
    </xdr:pic>
    <xdr:clientData/>
  </xdr:twoCellAnchor>
  <xdr:twoCellAnchor editAs="oneCell">
    <xdr:from>
      <xdr:col>8</xdr:col>
      <xdr:colOff>963706</xdr:colOff>
      <xdr:row>192</xdr:row>
      <xdr:rowOff>582706</xdr:rowOff>
    </xdr:from>
    <xdr:to>
      <xdr:col>24</xdr:col>
      <xdr:colOff>294522</xdr:colOff>
      <xdr:row>199</xdr:row>
      <xdr:rowOff>556179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13059" y="46179441"/>
          <a:ext cx="10659963" cy="2629267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637</xdr:row>
      <xdr:rowOff>111503</xdr:rowOff>
    </xdr:from>
    <xdr:to>
      <xdr:col>7</xdr:col>
      <xdr:colOff>923412</xdr:colOff>
      <xdr:row>675</xdr:row>
      <xdr:rowOff>195675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390525" y="125663703"/>
          <a:ext cx="6533637" cy="7564472"/>
          <a:chOff x="390525" y="133709153"/>
          <a:chExt cx="6228837" cy="7685122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390525" y="133709153"/>
            <a:ext cx="6228837" cy="7685122"/>
            <a:chOff x="361950" y="133223378"/>
            <a:chExt cx="6228837" cy="7685122"/>
          </a:xfrm>
        </xdr:grpSpPr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504825" y="133223378"/>
              <a:ext cx="5831553" cy="307987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2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361950" y="136588500"/>
              <a:ext cx="6228837" cy="43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82" name="Freeform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1485899" y="137817225"/>
            <a:ext cx="3619501" cy="3143251"/>
          </a:xfrm>
          <a:custGeom>
            <a:avLst/>
            <a:gdLst>
              <a:gd name="connsiteX0" fmla="*/ 0 w 1152525"/>
              <a:gd name="connsiteY0" fmla="*/ 114300 h 962025"/>
              <a:gd name="connsiteX1" fmla="*/ 142875 w 1152525"/>
              <a:gd name="connsiteY1" fmla="*/ 104775 h 962025"/>
              <a:gd name="connsiteX2" fmla="*/ 209550 w 1152525"/>
              <a:gd name="connsiteY2" fmla="*/ 28575 h 962025"/>
              <a:gd name="connsiteX3" fmla="*/ 171450 w 1152525"/>
              <a:gd name="connsiteY3" fmla="*/ 0 h 962025"/>
              <a:gd name="connsiteX4" fmla="*/ 381000 w 1152525"/>
              <a:gd name="connsiteY4" fmla="*/ 142875 h 962025"/>
              <a:gd name="connsiteX5" fmla="*/ 904875 w 1152525"/>
              <a:gd name="connsiteY5" fmla="*/ 238125 h 962025"/>
              <a:gd name="connsiteX6" fmla="*/ 1152525 w 1152525"/>
              <a:gd name="connsiteY6" fmla="*/ 476250 h 962025"/>
              <a:gd name="connsiteX7" fmla="*/ 771525 w 1152525"/>
              <a:gd name="connsiteY7" fmla="*/ 657225 h 962025"/>
              <a:gd name="connsiteX8" fmla="*/ 771525 w 1152525"/>
              <a:gd name="connsiteY8" fmla="*/ 819150 h 962025"/>
              <a:gd name="connsiteX9" fmla="*/ 390525 w 1152525"/>
              <a:gd name="connsiteY9" fmla="*/ 962025 h 962025"/>
              <a:gd name="connsiteX10" fmla="*/ 285750 w 1152525"/>
              <a:gd name="connsiteY10" fmla="*/ 762000 h 962025"/>
              <a:gd name="connsiteX11" fmla="*/ 371475 w 1152525"/>
              <a:gd name="connsiteY11" fmla="*/ 600075 h 962025"/>
              <a:gd name="connsiteX12" fmla="*/ 171450 w 1152525"/>
              <a:gd name="connsiteY12" fmla="*/ 514350 h 962025"/>
              <a:gd name="connsiteX13" fmla="*/ 133350 w 1152525"/>
              <a:gd name="connsiteY13" fmla="*/ 257175 h 962025"/>
              <a:gd name="connsiteX14" fmla="*/ 0 w 1152525"/>
              <a:gd name="connsiteY14" fmla="*/ 114300 h 962025"/>
              <a:gd name="connsiteX0" fmla="*/ 0 w 1152525"/>
              <a:gd name="connsiteY0" fmla="*/ 125053 h 972778"/>
              <a:gd name="connsiteX1" fmla="*/ 142875 w 1152525"/>
              <a:gd name="connsiteY1" fmla="*/ 115528 h 972778"/>
              <a:gd name="connsiteX2" fmla="*/ 272090 w 1152525"/>
              <a:gd name="connsiteY2" fmla="*/ 0 h 972778"/>
              <a:gd name="connsiteX3" fmla="*/ 171450 w 1152525"/>
              <a:gd name="connsiteY3" fmla="*/ 10753 h 972778"/>
              <a:gd name="connsiteX4" fmla="*/ 381000 w 1152525"/>
              <a:gd name="connsiteY4" fmla="*/ 153628 h 972778"/>
              <a:gd name="connsiteX5" fmla="*/ 904875 w 1152525"/>
              <a:gd name="connsiteY5" fmla="*/ 248878 h 972778"/>
              <a:gd name="connsiteX6" fmla="*/ 1152525 w 1152525"/>
              <a:gd name="connsiteY6" fmla="*/ 487003 h 972778"/>
              <a:gd name="connsiteX7" fmla="*/ 771525 w 1152525"/>
              <a:gd name="connsiteY7" fmla="*/ 667978 h 972778"/>
              <a:gd name="connsiteX8" fmla="*/ 771525 w 1152525"/>
              <a:gd name="connsiteY8" fmla="*/ 829903 h 972778"/>
              <a:gd name="connsiteX9" fmla="*/ 390525 w 1152525"/>
              <a:gd name="connsiteY9" fmla="*/ 972778 h 972778"/>
              <a:gd name="connsiteX10" fmla="*/ 285750 w 1152525"/>
              <a:gd name="connsiteY10" fmla="*/ 772753 h 972778"/>
              <a:gd name="connsiteX11" fmla="*/ 371475 w 1152525"/>
              <a:gd name="connsiteY11" fmla="*/ 610828 h 972778"/>
              <a:gd name="connsiteX12" fmla="*/ 171450 w 1152525"/>
              <a:gd name="connsiteY12" fmla="*/ 525103 h 972778"/>
              <a:gd name="connsiteX13" fmla="*/ 133350 w 1152525"/>
              <a:gd name="connsiteY13" fmla="*/ 267928 h 972778"/>
              <a:gd name="connsiteX14" fmla="*/ 0 w 1152525"/>
              <a:gd name="connsiteY14" fmla="*/ 125053 h 972778"/>
              <a:gd name="connsiteX0" fmla="*/ 0 w 1152525"/>
              <a:gd name="connsiteY0" fmla="*/ 125053 h 972778"/>
              <a:gd name="connsiteX1" fmla="*/ 142875 w 1152525"/>
              <a:gd name="connsiteY1" fmla="*/ 115528 h 972778"/>
              <a:gd name="connsiteX2" fmla="*/ 272090 w 1152525"/>
              <a:gd name="connsiteY2" fmla="*/ 0 h 972778"/>
              <a:gd name="connsiteX3" fmla="*/ 278662 w 1152525"/>
              <a:gd name="connsiteY3" fmla="*/ 4703 h 972778"/>
              <a:gd name="connsiteX4" fmla="*/ 381000 w 1152525"/>
              <a:gd name="connsiteY4" fmla="*/ 153628 h 972778"/>
              <a:gd name="connsiteX5" fmla="*/ 904875 w 1152525"/>
              <a:gd name="connsiteY5" fmla="*/ 248878 h 972778"/>
              <a:gd name="connsiteX6" fmla="*/ 1152525 w 1152525"/>
              <a:gd name="connsiteY6" fmla="*/ 487003 h 972778"/>
              <a:gd name="connsiteX7" fmla="*/ 771525 w 1152525"/>
              <a:gd name="connsiteY7" fmla="*/ 667978 h 972778"/>
              <a:gd name="connsiteX8" fmla="*/ 771525 w 1152525"/>
              <a:gd name="connsiteY8" fmla="*/ 829903 h 972778"/>
              <a:gd name="connsiteX9" fmla="*/ 390525 w 1152525"/>
              <a:gd name="connsiteY9" fmla="*/ 972778 h 972778"/>
              <a:gd name="connsiteX10" fmla="*/ 285750 w 1152525"/>
              <a:gd name="connsiteY10" fmla="*/ 772753 h 972778"/>
              <a:gd name="connsiteX11" fmla="*/ 371475 w 1152525"/>
              <a:gd name="connsiteY11" fmla="*/ 610828 h 972778"/>
              <a:gd name="connsiteX12" fmla="*/ 171450 w 1152525"/>
              <a:gd name="connsiteY12" fmla="*/ 525103 h 972778"/>
              <a:gd name="connsiteX13" fmla="*/ 133350 w 1152525"/>
              <a:gd name="connsiteY13" fmla="*/ 267928 h 972778"/>
              <a:gd name="connsiteX14" fmla="*/ 0 w 1152525"/>
              <a:gd name="connsiteY14" fmla="*/ 125053 h 972778"/>
              <a:gd name="connsiteX0" fmla="*/ 0 w 1128762"/>
              <a:gd name="connsiteY0" fmla="*/ 125053 h 972778"/>
              <a:gd name="connsiteX1" fmla="*/ 142875 w 1128762"/>
              <a:gd name="connsiteY1" fmla="*/ 115528 h 972778"/>
              <a:gd name="connsiteX2" fmla="*/ 272090 w 1128762"/>
              <a:gd name="connsiteY2" fmla="*/ 0 h 972778"/>
              <a:gd name="connsiteX3" fmla="*/ 278662 w 1128762"/>
              <a:gd name="connsiteY3" fmla="*/ 4703 h 972778"/>
              <a:gd name="connsiteX4" fmla="*/ 381000 w 1128762"/>
              <a:gd name="connsiteY4" fmla="*/ 153628 h 972778"/>
              <a:gd name="connsiteX5" fmla="*/ 904875 w 1128762"/>
              <a:gd name="connsiteY5" fmla="*/ 248878 h 972778"/>
              <a:gd name="connsiteX6" fmla="*/ 1128762 w 1128762"/>
              <a:gd name="connsiteY6" fmla="*/ 419204 h 972778"/>
              <a:gd name="connsiteX7" fmla="*/ 771525 w 1128762"/>
              <a:gd name="connsiteY7" fmla="*/ 667978 h 972778"/>
              <a:gd name="connsiteX8" fmla="*/ 771525 w 1128762"/>
              <a:gd name="connsiteY8" fmla="*/ 829903 h 972778"/>
              <a:gd name="connsiteX9" fmla="*/ 390525 w 1128762"/>
              <a:gd name="connsiteY9" fmla="*/ 972778 h 972778"/>
              <a:gd name="connsiteX10" fmla="*/ 285750 w 1128762"/>
              <a:gd name="connsiteY10" fmla="*/ 772753 h 972778"/>
              <a:gd name="connsiteX11" fmla="*/ 371475 w 1128762"/>
              <a:gd name="connsiteY11" fmla="*/ 610828 h 972778"/>
              <a:gd name="connsiteX12" fmla="*/ 171450 w 1128762"/>
              <a:gd name="connsiteY12" fmla="*/ 525103 h 972778"/>
              <a:gd name="connsiteX13" fmla="*/ 133350 w 1128762"/>
              <a:gd name="connsiteY13" fmla="*/ 267928 h 972778"/>
              <a:gd name="connsiteX14" fmla="*/ 0 w 1128762"/>
              <a:gd name="connsiteY14" fmla="*/ 125053 h 972778"/>
              <a:gd name="connsiteX0" fmla="*/ 0 w 1128762"/>
              <a:gd name="connsiteY0" fmla="*/ 125053 h 972778"/>
              <a:gd name="connsiteX1" fmla="*/ 142875 w 1128762"/>
              <a:gd name="connsiteY1" fmla="*/ 115528 h 972778"/>
              <a:gd name="connsiteX2" fmla="*/ 272090 w 1128762"/>
              <a:gd name="connsiteY2" fmla="*/ 0 h 972778"/>
              <a:gd name="connsiteX3" fmla="*/ 278662 w 1128762"/>
              <a:gd name="connsiteY3" fmla="*/ 4703 h 972778"/>
              <a:gd name="connsiteX4" fmla="*/ 381000 w 1128762"/>
              <a:gd name="connsiteY4" fmla="*/ 153628 h 972778"/>
              <a:gd name="connsiteX5" fmla="*/ 904875 w 1128762"/>
              <a:gd name="connsiteY5" fmla="*/ 248878 h 972778"/>
              <a:gd name="connsiteX6" fmla="*/ 1128762 w 1128762"/>
              <a:gd name="connsiteY6" fmla="*/ 419204 h 972778"/>
              <a:gd name="connsiteX7" fmla="*/ 816081 w 1128762"/>
              <a:gd name="connsiteY7" fmla="*/ 703352 h 972778"/>
              <a:gd name="connsiteX8" fmla="*/ 771525 w 1128762"/>
              <a:gd name="connsiteY8" fmla="*/ 829903 h 972778"/>
              <a:gd name="connsiteX9" fmla="*/ 390525 w 1128762"/>
              <a:gd name="connsiteY9" fmla="*/ 972778 h 972778"/>
              <a:gd name="connsiteX10" fmla="*/ 285750 w 1128762"/>
              <a:gd name="connsiteY10" fmla="*/ 772753 h 972778"/>
              <a:gd name="connsiteX11" fmla="*/ 371475 w 1128762"/>
              <a:gd name="connsiteY11" fmla="*/ 610828 h 972778"/>
              <a:gd name="connsiteX12" fmla="*/ 171450 w 1128762"/>
              <a:gd name="connsiteY12" fmla="*/ 525103 h 972778"/>
              <a:gd name="connsiteX13" fmla="*/ 133350 w 1128762"/>
              <a:gd name="connsiteY13" fmla="*/ 267928 h 972778"/>
              <a:gd name="connsiteX14" fmla="*/ 0 w 1128762"/>
              <a:gd name="connsiteY14" fmla="*/ 125053 h 972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1128762" h="972778">
                <a:moveTo>
                  <a:pt x="0" y="125053"/>
                </a:moveTo>
                <a:lnTo>
                  <a:pt x="142875" y="115528"/>
                </a:lnTo>
                <a:lnTo>
                  <a:pt x="272090" y="0"/>
                </a:lnTo>
                <a:lnTo>
                  <a:pt x="278662" y="4703"/>
                </a:lnTo>
                <a:lnTo>
                  <a:pt x="381000" y="153628"/>
                </a:lnTo>
                <a:lnTo>
                  <a:pt x="904875" y="248878"/>
                </a:lnTo>
                <a:lnTo>
                  <a:pt x="1128762" y="419204"/>
                </a:lnTo>
                <a:lnTo>
                  <a:pt x="816081" y="703352"/>
                </a:lnTo>
                <a:lnTo>
                  <a:pt x="771525" y="829903"/>
                </a:lnTo>
                <a:lnTo>
                  <a:pt x="390525" y="972778"/>
                </a:lnTo>
                <a:lnTo>
                  <a:pt x="285750" y="772753"/>
                </a:lnTo>
                <a:lnTo>
                  <a:pt x="371475" y="610828"/>
                </a:lnTo>
                <a:lnTo>
                  <a:pt x="171450" y="525103"/>
                </a:lnTo>
                <a:lnTo>
                  <a:pt x="133350" y="267928"/>
                </a:lnTo>
                <a:lnTo>
                  <a:pt x="0" y="125053"/>
                </a:lnTo>
                <a:close/>
              </a:path>
            </a:pathLst>
          </a:cu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8</xdr:col>
      <xdr:colOff>899160</xdr:colOff>
      <xdr:row>539</xdr:row>
      <xdr:rowOff>105410</xdr:rowOff>
    </xdr:from>
    <xdr:to>
      <xdr:col>17</xdr:col>
      <xdr:colOff>108064</xdr:colOff>
      <xdr:row>579</xdr:row>
      <xdr:rowOff>115610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8423910" y="106372660"/>
          <a:ext cx="6625704" cy="7877850"/>
          <a:chOff x="342900" y="112890300"/>
          <a:chExt cx="6578714" cy="7877850"/>
        </a:xfrm>
      </xdr:grpSpPr>
      <xdr:pic>
        <xdr:nvPicPr>
          <xdr:cNvPr id="86" name="Picture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6926" y="119328150"/>
            <a:ext cx="8100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7" name="Picture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0770" y="112890300"/>
            <a:ext cx="3839605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6926" y="112890300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9" name="Picture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59316" y="119328150"/>
            <a:ext cx="8100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115156250"/>
            <a:ext cx="3199671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1" name="Picture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117062200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2" name="Picture 9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4892" y="115156250"/>
            <a:ext cx="3199671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3" name="Picture 9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61969" y="119328150"/>
            <a:ext cx="2559737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3" name="Picture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5572" y="117062200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0" name="Picture 10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82009" y="117062200"/>
            <a:ext cx="3839605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387350</xdr:colOff>
      <xdr:row>542</xdr:row>
      <xdr:rowOff>139700</xdr:rowOff>
    </xdr:from>
    <xdr:to>
      <xdr:col>7</xdr:col>
      <xdr:colOff>1025968</xdr:colOff>
      <xdr:row>585</xdr:row>
      <xdr:rowOff>187868</xdr:rowOff>
    </xdr:to>
    <xdr:grpSp>
      <xdr:nvGrpSpPr>
        <xdr:cNvPr id="3" name="Group 2"/>
        <xdr:cNvGrpSpPr/>
      </xdr:nvGrpSpPr>
      <xdr:grpSpPr>
        <a:xfrm>
          <a:off x="387350" y="106997500"/>
          <a:ext cx="6639368" cy="8506368"/>
          <a:chOff x="387350" y="106172000"/>
          <a:chExt cx="6639368" cy="8506368"/>
        </a:xfrm>
      </xdr:grpSpPr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87821" y="112878368"/>
            <a:ext cx="113889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4550" y="10617200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4367" y="11287836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9" name="Picture 98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48033" y="1061720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0" name="Picture 99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71412" y="112878368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1" name="Picture 100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61276" y="11073891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2" name="Picture 101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5032" y="11073891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4" name="Picture 103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7350" y="11287836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5" name="Picture 104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0159" y="108455456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8" name="Picture 107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06663" y="1061720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9" name="Picture 108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93642" y="108455456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3" name="Picture 112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18154" y="11073891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4" name="Picture 113"/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04398" y="11073891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5" name="TextBox 114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/>
        </xdr:nvSpPr>
        <xdr:spPr>
          <a:xfrm>
            <a:off x="1991400" y="106394250"/>
            <a:ext cx="569771" cy="2802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1</a:t>
            </a:r>
          </a:p>
        </xdr:txBody>
      </xdr:sp>
      <xdr:sp macro="" textlink="">
        <xdr:nvSpPr>
          <xdr:cNvPr id="116" name="TextBox 115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/>
        </xdr:nvSpPr>
        <xdr:spPr>
          <a:xfrm>
            <a:off x="5446363" y="106565700"/>
            <a:ext cx="569771" cy="2802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RpkaYK87EqUrYx9q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36"/>
  <sheetViews>
    <sheetView tabSelected="1" view="pageBreakPreview" topLeftCell="A522" zoomScaleNormal="100" zoomScaleSheetLayoutView="100" zoomScalePageLayoutView="70" workbookViewId="0">
      <selection activeCell="K529" sqref="K529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81640625" style="39" customWidth="1"/>
    <col min="4" max="4" width="14.1796875" style="39" customWidth="1"/>
    <col min="5" max="7" width="11.81640625" style="39" customWidth="1"/>
    <col min="8" max="8" width="21.81640625" style="39" customWidth="1"/>
    <col min="9" max="9" width="18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81640625" style="20" customWidth="1"/>
    <col min="17" max="247" width="9.1796875" style="20"/>
    <col min="248" max="248" width="8.81640625" style="20" customWidth="1"/>
    <col min="249" max="249" width="9.81640625" style="20" customWidth="1"/>
    <col min="250" max="250" width="14.453125" style="20" customWidth="1"/>
    <col min="251" max="251" width="7.179687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81640625" style="20" customWidth="1"/>
    <col min="505" max="505" width="9.81640625" style="20" customWidth="1"/>
    <col min="506" max="506" width="14.453125" style="20" customWidth="1"/>
    <col min="507" max="507" width="7.179687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81640625" style="20" customWidth="1"/>
    <col min="761" max="761" width="9.81640625" style="20" customWidth="1"/>
    <col min="762" max="762" width="14.453125" style="20" customWidth="1"/>
    <col min="763" max="763" width="7.179687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81640625" style="20" customWidth="1"/>
    <col min="1017" max="1017" width="9.81640625" style="20" customWidth="1"/>
    <col min="1018" max="1018" width="14.453125" style="20" customWidth="1"/>
    <col min="1019" max="1019" width="7.179687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81640625" style="20" customWidth="1"/>
    <col min="1273" max="1273" width="9.81640625" style="20" customWidth="1"/>
    <col min="1274" max="1274" width="14.453125" style="20" customWidth="1"/>
    <col min="1275" max="1275" width="7.179687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81640625" style="20" customWidth="1"/>
    <col min="1529" max="1529" width="9.81640625" style="20" customWidth="1"/>
    <col min="1530" max="1530" width="14.453125" style="20" customWidth="1"/>
    <col min="1531" max="1531" width="7.179687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81640625" style="20" customWidth="1"/>
    <col min="1785" max="1785" width="9.81640625" style="20" customWidth="1"/>
    <col min="1786" max="1786" width="14.453125" style="20" customWidth="1"/>
    <col min="1787" max="1787" width="7.179687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81640625" style="20" customWidth="1"/>
    <col min="2041" max="2041" width="9.81640625" style="20" customWidth="1"/>
    <col min="2042" max="2042" width="14.453125" style="20" customWidth="1"/>
    <col min="2043" max="2043" width="7.179687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81640625" style="20" customWidth="1"/>
    <col min="2297" max="2297" width="9.81640625" style="20" customWidth="1"/>
    <col min="2298" max="2298" width="14.453125" style="20" customWidth="1"/>
    <col min="2299" max="2299" width="7.179687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81640625" style="20" customWidth="1"/>
    <col min="2553" max="2553" width="9.81640625" style="20" customWidth="1"/>
    <col min="2554" max="2554" width="14.453125" style="20" customWidth="1"/>
    <col min="2555" max="2555" width="7.179687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81640625" style="20" customWidth="1"/>
    <col min="2809" max="2809" width="9.81640625" style="20" customWidth="1"/>
    <col min="2810" max="2810" width="14.453125" style="20" customWidth="1"/>
    <col min="2811" max="2811" width="7.179687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81640625" style="20" customWidth="1"/>
    <col min="3065" max="3065" width="9.81640625" style="20" customWidth="1"/>
    <col min="3066" max="3066" width="14.453125" style="20" customWidth="1"/>
    <col min="3067" max="3067" width="7.179687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81640625" style="20" customWidth="1"/>
    <col min="3321" max="3321" width="9.81640625" style="20" customWidth="1"/>
    <col min="3322" max="3322" width="14.453125" style="20" customWidth="1"/>
    <col min="3323" max="3323" width="7.179687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81640625" style="20" customWidth="1"/>
    <col min="3577" max="3577" width="9.81640625" style="20" customWidth="1"/>
    <col min="3578" max="3578" width="14.453125" style="20" customWidth="1"/>
    <col min="3579" max="3579" width="7.179687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81640625" style="20" customWidth="1"/>
    <col min="3833" max="3833" width="9.81640625" style="20" customWidth="1"/>
    <col min="3834" max="3834" width="14.453125" style="20" customWidth="1"/>
    <col min="3835" max="3835" width="7.179687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81640625" style="20" customWidth="1"/>
    <col min="4089" max="4089" width="9.81640625" style="20" customWidth="1"/>
    <col min="4090" max="4090" width="14.453125" style="20" customWidth="1"/>
    <col min="4091" max="4091" width="7.179687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81640625" style="20" customWidth="1"/>
    <col min="4345" max="4345" width="9.81640625" style="20" customWidth="1"/>
    <col min="4346" max="4346" width="14.453125" style="20" customWidth="1"/>
    <col min="4347" max="4347" width="7.179687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81640625" style="20" customWidth="1"/>
    <col min="4601" max="4601" width="9.81640625" style="20" customWidth="1"/>
    <col min="4602" max="4602" width="14.453125" style="20" customWidth="1"/>
    <col min="4603" max="4603" width="7.179687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81640625" style="20" customWidth="1"/>
    <col min="4857" max="4857" width="9.81640625" style="20" customWidth="1"/>
    <col min="4858" max="4858" width="14.453125" style="20" customWidth="1"/>
    <col min="4859" max="4859" width="7.179687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81640625" style="20" customWidth="1"/>
    <col min="5113" max="5113" width="9.81640625" style="20" customWidth="1"/>
    <col min="5114" max="5114" width="14.453125" style="20" customWidth="1"/>
    <col min="5115" max="5115" width="7.179687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81640625" style="20" customWidth="1"/>
    <col min="5369" max="5369" width="9.81640625" style="20" customWidth="1"/>
    <col min="5370" max="5370" width="14.453125" style="20" customWidth="1"/>
    <col min="5371" max="5371" width="7.179687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81640625" style="20" customWidth="1"/>
    <col min="5625" max="5625" width="9.81640625" style="20" customWidth="1"/>
    <col min="5626" max="5626" width="14.453125" style="20" customWidth="1"/>
    <col min="5627" max="5627" width="7.179687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81640625" style="20" customWidth="1"/>
    <col min="5881" max="5881" width="9.81640625" style="20" customWidth="1"/>
    <col min="5882" max="5882" width="14.453125" style="20" customWidth="1"/>
    <col min="5883" max="5883" width="7.179687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81640625" style="20" customWidth="1"/>
    <col min="6137" max="6137" width="9.81640625" style="20" customWidth="1"/>
    <col min="6138" max="6138" width="14.453125" style="20" customWidth="1"/>
    <col min="6139" max="6139" width="7.179687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81640625" style="20" customWidth="1"/>
    <col min="6393" max="6393" width="9.81640625" style="20" customWidth="1"/>
    <col min="6394" max="6394" width="14.453125" style="20" customWidth="1"/>
    <col min="6395" max="6395" width="7.179687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81640625" style="20" customWidth="1"/>
    <col min="6649" max="6649" width="9.81640625" style="20" customWidth="1"/>
    <col min="6650" max="6650" width="14.453125" style="20" customWidth="1"/>
    <col min="6651" max="6651" width="7.179687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81640625" style="20" customWidth="1"/>
    <col min="6905" max="6905" width="9.81640625" style="20" customWidth="1"/>
    <col min="6906" max="6906" width="14.453125" style="20" customWidth="1"/>
    <col min="6907" max="6907" width="7.179687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81640625" style="20" customWidth="1"/>
    <col min="7161" max="7161" width="9.81640625" style="20" customWidth="1"/>
    <col min="7162" max="7162" width="14.453125" style="20" customWidth="1"/>
    <col min="7163" max="7163" width="7.179687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81640625" style="20" customWidth="1"/>
    <col min="7417" max="7417" width="9.81640625" style="20" customWidth="1"/>
    <col min="7418" max="7418" width="14.453125" style="20" customWidth="1"/>
    <col min="7419" max="7419" width="7.179687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81640625" style="20" customWidth="1"/>
    <col min="7673" max="7673" width="9.81640625" style="20" customWidth="1"/>
    <col min="7674" max="7674" width="14.453125" style="20" customWidth="1"/>
    <col min="7675" max="7675" width="7.179687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81640625" style="20" customWidth="1"/>
    <col min="7929" max="7929" width="9.81640625" style="20" customWidth="1"/>
    <col min="7930" max="7930" width="14.453125" style="20" customWidth="1"/>
    <col min="7931" max="7931" width="7.179687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81640625" style="20" customWidth="1"/>
    <col min="8185" max="8185" width="9.81640625" style="20" customWidth="1"/>
    <col min="8186" max="8186" width="14.453125" style="20" customWidth="1"/>
    <col min="8187" max="8187" width="7.179687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81640625" style="20" customWidth="1"/>
    <col min="8441" max="8441" width="9.81640625" style="20" customWidth="1"/>
    <col min="8442" max="8442" width="14.453125" style="20" customWidth="1"/>
    <col min="8443" max="8443" width="7.179687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81640625" style="20" customWidth="1"/>
    <col min="8697" max="8697" width="9.81640625" style="20" customWidth="1"/>
    <col min="8698" max="8698" width="14.453125" style="20" customWidth="1"/>
    <col min="8699" max="8699" width="7.179687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81640625" style="20" customWidth="1"/>
    <col min="8953" max="8953" width="9.81640625" style="20" customWidth="1"/>
    <col min="8954" max="8954" width="14.453125" style="20" customWidth="1"/>
    <col min="8955" max="8955" width="7.179687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81640625" style="20" customWidth="1"/>
    <col min="9209" max="9209" width="9.81640625" style="20" customWidth="1"/>
    <col min="9210" max="9210" width="14.453125" style="20" customWidth="1"/>
    <col min="9211" max="9211" width="7.179687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81640625" style="20" customWidth="1"/>
    <col min="9465" max="9465" width="9.81640625" style="20" customWidth="1"/>
    <col min="9466" max="9466" width="14.453125" style="20" customWidth="1"/>
    <col min="9467" max="9467" width="7.179687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81640625" style="20" customWidth="1"/>
    <col min="9721" max="9721" width="9.81640625" style="20" customWidth="1"/>
    <col min="9722" max="9722" width="14.453125" style="20" customWidth="1"/>
    <col min="9723" max="9723" width="7.179687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81640625" style="20" customWidth="1"/>
    <col min="9977" max="9977" width="9.81640625" style="20" customWidth="1"/>
    <col min="9978" max="9978" width="14.453125" style="20" customWidth="1"/>
    <col min="9979" max="9979" width="7.179687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81640625" style="20" customWidth="1"/>
    <col min="10233" max="10233" width="9.81640625" style="20" customWidth="1"/>
    <col min="10234" max="10234" width="14.453125" style="20" customWidth="1"/>
    <col min="10235" max="10235" width="7.179687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81640625" style="20" customWidth="1"/>
    <col min="10489" max="10489" width="9.81640625" style="20" customWidth="1"/>
    <col min="10490" max="10490" width="14.453125" style="20" customWidth="1"/>
    <col min="10491" max="10491" width="7.179687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81640625" style="20" customWidth="1"/>
    <col min="10745" max="10745" width="9.81640625" style="20" customWidth="1"/>
    <col min="10746" max="10746" width="14.453125" style="20" customWidth="1"/>
    <col min="10747" max="10747" width="7.179687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81640625" style="20" customWidth="1"/>
    <col min="11001" max="11001" width="9.81640625" style="20" customWidth="1"/>
    <col min="11002" max="11002" width="14.453125" style="20" customWidth="1"/>
    <col min="11003" max="11003" width="7.179687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81640625" style="20" customWidth="1"/>
    <col min="11257" max="11257" width="9.81640625" style="20" customWidth="1"/>
    <col min="11258" max="11258" width="14.453125" style="20" customWidth="1"/>
    <col min="11259" max="11259" width="7.179687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81640625" style="20" customWidth="1"/>
    <col min="11513" max="11513" width="9.81640625" style="20" customWidth="1"/>
    <col min="11514" max="11514" width="14.453125" style="20" customWidth="1"/>
    <col min="11515" max="11515" width="7.179687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81640625" style="20" customWidth="1"/>
    <col min="11769" max="11769" width="9.81640625" style="20" customWidth="1"/>
    <col min="11770" max="11770" width="14.453125" style="20" customWidth="1"/>
    <col min="11771" max="11771" width="7.179687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81640625" style="20" customWidth="1"/>
    <col min="12025" max="12025" width="9.81640625" style="20" customWidth="1"/>
    <col min="12026" max="12026" width="14.453125" style="20" customWidth="1"/>
    <col min="12027" max="12027" width="7.179687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81640625" style="20" customWidth="1"/>
    <col min="12281" max="12281" width="9.81640625" style="20" customWidth="1"/>
    <col min="12282" max="12282" width="14.453125" style="20" customWidth="1"/>
    <col min="12283" max="12283" width="7.179687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81640625" style="20" customWidth="1"/>
    <col min="12537" max="12537" width="9.81640625" style="20" customWidth="1"/>
    <col min="12538" max="12538" width="14.453125" style="20" customWidth="1"/>
    <col min="12539" max="12539" width="7.179687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81640625" style="20" customWidth="1"/>
    <col min="12793" max="12793" width="9.81640625" style="20" customWidth="1"/>
    <col min="12794" max="12794" width="14.453125" style="20" customWidth="1"/>
    <col min="12795" max="12795" width="7.179687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81640625" style="20" customWidth="1"/>
    <col min="13049" max="13049" width="9.81640625" style="20" customWidth="1"/>
    <col min="13050" max="13050" width="14.453125" style="20" customWidth="1"/>
    <col min="13051" max="13051" width="7.179687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81640625" style="20" customWidth="1"/>
    <col min="13305" max="13305" width="9.81640625" style="20" customWidth="1"/>
    <col min="13306" max="13306" width="14.453125" style="20" customWidth="1"/>
    <col min="13307" max="13307" width="7.179687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81640625" style="20" customWidth="1"/>
    <col min="13561" max="13561" width="9.81640625" style="20" customWidth="1"/>
    <col min="13562" max="13562" width="14.453125" style="20" customWidth="1"/>
    <col min="13563" max="13563" width="7.179687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81640625" style="20" customWidth="1"/>
    <col min="13817" max="13817" width="9.81640625" style="20" customWidth="1"/>
    <col min="13818" max="13818" width="14.453125" style="20" customWidth="1"/>
    <col min="13819" max="13819" width="7.179687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81640625" style="20" customWidth="1"/>
    <col min="14073" max="14073" width="9.81640625" style="20" customWidth="1"/>
    <col min="14074" max="14074" width="14.453125" style="20" customWidth="1"/>
    <col min="14075" max="14075" width="7.179687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81640625" style="20" customWidth="1"/>
    <col min="14329" max="14329" width="9.81640625" style="20" customWidth="1"/>
    <col min="14330" max="14330" width="14.453125" style="20" customWidth="1"/>
    <col min="14331" max="14331" width="7.179687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81640625" style="20" customWidth="1"/>
    <col min="14585" max="14585" width="9.81640625" style="20" customWidth="1"/>
    <col min="14586" max="14586" width="14.453125" style="20" customWidth="1"/>
    <col min="14587" max="14587" width="7.179687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81640625" style="20" customWidth="1"/>
    <col min="14841" max="14841" width="9.81640625" style="20" customWidth="1"/>
    <col min="14842" max="14842" width="14.453125" style="20" customWidth="1"/>
    <col min="14843" max="14843" width="7.179687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81640625" style="20" customWidth="1"/>
    <col min="15097" max="15097" width="9.81640625" style="20" customWidth="1"/>
    <col min="15098" max="15098" width="14.453125" style="20" customWidth="1"/>
    <col min="15099" max="15099" width="7.179687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81640625" style="20" customWidth="1"/>
    <col min="15353" max="15353" width="9.81640625" style="20" customWidth="1"/>
    <col min="15354" max="15354" width="14.453125" style="20" customWidth="1"/>
    <col min="15355" max="15355" width="7.179687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81640625" style="20" customWidth="1"/>
    <col min="15609" max="15609" width="9.81640625" style="20" customWidth="1"/>
    <col min="15610" max="15610" width="14.453125" style="20" customWidth="1"/>
    <col min="15611" max="15611" width="7.179687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81640625" style="20" customWidth="1"/>
    <col min="15865" max="15865" width="9.81640625" style="20" customWidth="1"/>
    <col min="15866" max="15866" width="14.453125" style="20" customWidth="1"/>
    <col min="15867" max="15867" width="7.179687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81640625" style="20" customWidth="1"/>
    <col min="16121" max="16121" width="9.81640625" style="20" customWidth="1"/>
    <col min="16122" max="16122" width="14.453125" style="20" customWidth="1"/>
    <col min="16123" max="16123" width="7.179687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10" ht="46.5" customHeight="1" x14ac:dyDescent="0.35">
      <c r="A1" s="185" t="s">
        <v>216</v>
      </c>
      <c r="B1" s="185"/>
      <c r="C1" s="185"/>
      <c r="D1" s="185"/>
      <c r="E1" s="185"/>
      <c r="F1" s="185"/>
      <c r="G1" s="185"/>
      <c r="H1" s="185"/>
    </row>
    <row r="2" spans="1:10" ht="16.5" customHeight="1" x14ac:dyDescent="0.35">
      <c r="A2" s="111" t="s">
        <v>0</v>
      </c>
      <c r="B2" s="111"/>
      <c r="C2" s="111"/>
      <c r="D2" s="111"/>
      <c r="E2" s="111"/>
      <c r="F2" s="111"/>
      <c r="G2" s="111"/>
      <c r="H2" s="111"/>
    </row>
    <row r="3" spans="1:10" x14ac:dyDescent="0.35">
      <c r="A3" s="148" t="s">
        <v>1</v>
      </c>
      <c r="B3" s="148"/>
      <c r="C3" s="148"/>
      <c r="D3" s="148"/>
      <c r="E3" s="148" t="str">
        <f ca="1">TEXT(TODAY(),"DD/MM/YYYY")</f>
        <v>28/09/2025</v>
      </c>
      <c r="F3" s="148"/>
      <c r="G3" s="148"/>
      <c r="H3" s="148"/>
    </row>
    <row r="4" spans="1:10" ht="15" customHeight="1" x14ac:dyDescent="0.35">
      <c r="A4" s="148" t="s">
        <v>2</v>
      </c>
      <c r="B4" s="148"/>
      <c r="C4" s="148"/>
      <c r="D4" s="148"/>
      <c r="E4" s="148" t="s">
        <v>164</v>
      </c>
      <c r="F4" s="148"/>
      <c r="G4" s="148"/>
      <c r="H4" s="148"/>
    </row>
    <row r="5" spans="1:10" x14ac:dyDescent="0.35">
      <c r="A5" s="148" t="s">
        <v>3</v>
      </c>
      <c r="B5" s="148"/>
      <c r="C5" s="148"/>
      <c r="D5" s="148"/>
      <c r="E5" s="186">
        <v>45926</v>
      </c>
      <c r="F5" s="148"/>
      <c r="G5" s="148"/>
      <c r="H5" s="148"/>
    </row>
    <row r="6" spans="1:10" ht="16.5" customHeight="1" x14ac:dyDescent="0.35">
      <c r="A6" s="148" t="s">
        <v>4</v>
      </c>
      <c r="B6" s="148"/>
      <c r="C6" s="148"/>
      <c r="D6" s="148"/>
      <c r="E6" s="148" t="s">
        <v>165</v>
      </c>
      <c r="F6" s="148"/>
      <c r="G6" s="148"/>
      <c r="H6" s="148"/>
    </row>
    <row r="7" spans="1:10" ht="15" customHeight="1" x14ac:dyDescent="0.35">
      <c r="A7" s="148" t="s">
        <v>5</v>
      </c>
      <c r="B7" s="148"/>
      <c r="C7" s="148"/>
      <c r="D7" s="148"/>
      <c r="E7" s="148" t="str">
        <f>E6</f>
        <v>M/s.Rustagi Estates Private Limited</v>
      </c>
      <c r="F7" s="148"/>
      <c r="G7" s="148"/>
      <c r="H7" s="148"/>
    </row>
    <row r="8" spans="1:10" x14ac:dyDescent="0.35">
      <c r="A8" s="148" t="s">
        <v>6</v>
      </c>
      <c r="B8" s="148"/>
      <c r="C8" s="148"/>
      <c r="D8" s="148"/>
      <c r="E8" s="165" t="s">
        <v>256</v>
      </c>
      <c r="F8" s="165"/>
      <c r="G8" s="165"/>
      <c r="H8" s="165"/>
    </row>
    <row r="9" spans="1:10" x14ac:dyDescent="0.35">
      <c r="A9" s="148" t="s">
        <v>121</v>
      </c>
      <c r="B9" s="148"/>
      <c r="C9" s="148"/>
      <c r="D9" s="148"/>
      <c r="E9" s="148" t="s">
        <v>265</v>
      </c>
      <c r="F9" s="148"/>
      <c r="G9" s="148"/>
      <c r="H9" s="148"/>
    </row>
    <row r="10" spans="1:10" ht="79.5" customHeight="1" x14ac:dyDescent="0.35">
      <c r="A10" s="148" t="s">
        <v>192</v>
      </c>
      <c r="B10" s="148"/>
      <c r="C10" s="148"/>
      <c r="D10" s="148"/>
      <c r="E10" s="118" t="s">
        <v>259</v>
      </c>
      <c r="F10" s="148"/>
      <c r="G10" s="148"/>
      <c r="H10" s="148"/>
    </row>
    <row r="11" spans="1:10" x14ac:dyDescent="0.35">
      <c r="A11" s="135" t="s">
        <v>7</v>
      </c>
      <c r="B11" s="135"/>
      <c r="C11" s="135"/>
      <c r="D11" s="135"/>
      <c r="E11" s="118" t="s">
        <v>185</v>
      </c>
      <c r="F11" s="118"/>
      <c r="G11" s="118"/>
      <c r="H11" s="118"/>
      <c r="J11" s="20" t="s">
        <v>224</v>
      </c>
    </row>
    <row r="12" spans="1:10" ht="48.75" customHeight="1" x14ac:dyDescent="0.35">
      <c r="A12" s="135" t="s">
        <v>8</v>
      </c>
      <c r="B12" s="135"/>
      <c r="C12" s="135"/>
      <c r="D12" s="135"/>
      <c r="E12" s="118" t="s">
        <v>191</v>
      </c>
      <c r="F12" s="148"/>
      <c r="G12" s="148"/>
      <c r="H12" s="148"/>
      <c r="J12" s="61" t="s">
        <v>223</v>
      </c>
    </row>
    <row r="13" spans="1:10" ht="35.15" customHeight="1" x14ac:dyDescent="0.35">
      <c r="A13" s="118" t="s">
        <v>9</v>
      </c>
      <c r="B13" s="118"/>
      <c r="C13" s="118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Rusttagi Aarambha Phase I, II &amp; III, Survey No.77/4/C/78/2C, 77/4/78/2/A….83/1/P, near Ganesh Vidyalay, Internal Road, Titwala, Titwala (East), Kalyan, Thane - 421605.</v>
      </c>
      <c r="D13" s="118"/>
      <c r="E13" s="118"/>
      <c r="F13" s="118"/>
      <c r="G13" s="118"/>
      <c r="H13" s="118"/>
    </row>
    <row r="14" spans="1:10" x14ac:dyDescent="0.35">
      <c r="A14" s="118" t="s">
        <v>166</v>
      </c>
      <c r="B14" s="118"/>
      <c r="C14" s="118" t="s">
        <v>167</v>
      </c>
      <c r="D14" s="118"/>
      <c r="E14" s="118"/>
      <c r="F14" s="118"/>
      <c r="G14" s="118"/>
      <c r="H14" s="118"/>
    </row>
    <row r="15" spans="1:10" ht="15.75" customHeight="1" x14ac:dyDescent="0.35">
      <c r="A15" s="118" t="s">
        <v>10</v>
      </c>
      <c r="B15" s="118"/>
      <c r="C15" s="148" t="s">
        <v>172</v>
      </c>
      <c r="D15" s="148"/>
      <c r="E15" s="118" t="s">
        <v>69</v>
      </c>
      <c r="F15" s="118"/>
      <c r="G15" s="118" t="s">
        <v>168</v>
      </c>
      <c r="H15" s="118"/>
    </row>
    <row r="16" spans="1:10" x14ac:dyDescent="0.35">
      <c r="A16" s="148" t="s">
        <v>12</v>
      </c>
      <c r="B16" s="148"/>
      <c r="C16" s="118" t="s">
        <v>176</v>
      </c>
      <c r="D16" s="118"/>
      <c r="E16" s="118" t="s">
        <v>11</v>
      </c>
      <c r="F16" s="118"/>
      <c r="G16" s="187" t="s">
        <v>169</v>
      </c>
      <c r="H16" s="187"/>
    </row>
    <row r="17" spans="1:8" x14ac:dyDescent="0.35">
      <c r="A17" s="148" t="s">
        <v>70</v>
      </c>
      <c r="B17" s="148"/>
      <c r="C17" s="118" t="s">
        <v>170</v>
      </c>
      <c r="D17" s="118"/>
      <c r="E17" s="118" t="s">
        <v>13</v>
      </c>
      <c r="F17" s="118"/>
      <c r="G17" s="118">
        <v>421605</v>
      </c>
      <c r="H17" s="118"/>
    </row>
    <row r="18" spans="1:8" ht="32.25" customHeight="1" x14ac:dyDescent="0.35">
      <c r="A18" s="148" t="s">
        <v>123</v>
      </c>
      <c r="B18" s="148"/>
      <c r="C18" s="118" t="s">
        <v>174</v>
      </c>
      <c r="D18" s="118"/>
      <c r="E18" s="118" t="s">
        <v>14</v>
      </c>
      <c r="F18" s="118"/>
      <c r="G18" s="118" t="s">
        <v>175</v>
      </c>
      <c r="H18" s="118"/>
    </row>
    <row r="19" spans="1:8" ht="15" customHeight="1" x14ac:dyDescent="0.35">
      <c r="A19" s="136" t="s">
        <v>73</v>
      </c>
      <c r="B19" s="136"/>
      <c r="C19" s="136"/>
      <c r="D19" s="136"/>
      <c r="E19" s="148" t="s">
        <v>15</v>
      </c>
      <c r="F19" s="148"/>
      <c r="G19" s="148"/>
      <c r="H19" s="148"/>
    </row>
    <row r="20" spans="1:8" ht="18.75" customHeight="1" x14ac:dyDescent="0.35">
      <c r="A20" s="136"/>
      <c r="B20" s="136"/>
      <c r="C20" s="136"/>
      <c r="D20" s="136"/>
      <c r="E20" s="148"/>
      <c r="F20" s="148"/>
      <c r="G20" s="148"/>
      <c r="H20" s="148"/>
    </row>
    <row r="21" spans="1:8" ht="15" customHeight="1" x14ac:dyDescent="0.35">
      <c r="A21" s="136" t="s">
        <v>16</v>
      </c>
      <c r="B21" s="136"/>
      <c r="C21" s="136"/>
      <c r="D21" s="136"/>
      <c r="E21" s="118" t="s">
        <v>17</v>
      </c>
      <c r="F21" s="118"/>
      <c r="G21" s="118"/>
      <c r="H21" s="118"/>
    </row>
    <row r="22" spans="1:8" ht="15" customHeight="1" x14ac:dyDescent="0.35">
      <c r="A22" s="135" t="s">
        <v>18</v>
      </c>
      <c r="B22" s="135"/>
      <c r="C22" s="135"/>
      <c r="D22" s="135"/>
      <c r="E22" s="118" t="str">
        <f>IF(AND(G16="Mumbai"),"Upper Class","Middle Class")</f>
        <v>Middle Class</v>
      </c>
      <c r="F22" s="118"/>
      <c r="G22" s="118"/>
      <c r="H22" s="118"/>
    </row>
    <row r="23" spans="1:8" x14ac:dyDescent="0.35">
      <c r="A23" s="135" t="s">
        <v>19</v>
      </c>
      <c r="B23" s="135"/>
      <c r="C23" s="135"/>
      <c r="D23" s="135"/>
      <c r="E23" s="118" t="s">
        <v>20</v>
      </c>
      <c r="F23" s="118"/>
      <c r="G23" s="118"/>
      <c r="H23" s="118"/>
    </row>
    <row r="24" spans="1:8" ht="15.75" customHeight="1" x14ac:dyDescent="0.35">
      <c r="A24" s="135" t="s">
        <v>21</v>
      </c>
      <c r="B24" s="135"/>
      <c r="C24" s="135"/>
      <c r="D24" s="135"/>
      <c r="E24" s="118" t="str">
        <f>IF(AND(G16="Mumbai"),"Developed","Developing")</f>
        <v>Developing</v>
      </c>
      <c r="F24" s="118"/>
      <c r="G24" s="118"/>
      <c r="H24" s="118"/>
    </row>
    <row r="25" spans="1:8" x14ac:dyDescent="0.35">
      <c r="A25" s="135" t="s">
        <v>22</v>
      </c>
      <c r="B25" s="135"/>
      <c r="C25" s="135"/>
      <c r="D25" s="135"/>
      <c r="E25" s="118" t="s">
        <v>23</v>
      </c>
      <c r="F25" s="118"/>
      <c r="G25" s="118"/>
      <c r="H25" s="118"/>
    </row>
    <row r="26" spans="1:8" ht="15.75" customHeight="1" x14ac:dyDescent="0.35">
      <c r="A26" s="135" t="s">
        <v>78</v>
      </c>
      <c r="B26" s="135"/>
      <c r="C26" s="135"/>
      <c r="D26" s="135"/>
      <c r="E26" s="118" t="s">
        <v>79</v>
      </c>
      <c r="F26" s="118"/>
      <c r="G26" s="118"/>
      <c r="H26" s="118"/>
    </row>
    <row r="27" spans="1:8" ht="15" customHeight="1" x14ac:dyDescent="0.35">
      <c r="A27" s="135" t="s">
        <v>31</v>
      </c>
      <c r="B27" s="135"/>
      <c r="C27" s="135"/>
      <c r="D27" s="135"/>
      <c r="E27" s="118" t="str">
        <f>IF(AND(ISNUMBER(SEARCH("Flat",D61)),ISNUMBER(SEARCH("Shop",D61)),ISNUMBER(SEARCH("Office",D61))),"Residential + Commercial",IF(AND(ISNUMBER(SEARCH("Flat",D61)),ISNUMBER(SEARCH("Shop",D61))),"Residential + Commercial",IF(AND(ISNUMBER(SEARCH("Flat",D61)),ISNUMBER(SEARCH("Office",D61))),"Residential + Commercial",IF(AND(ISNUMBER(SEARCH("Shop",D61)),ISNUMBER(SEARCH("Office",D61))),"Commercial",IF(ISNUMBER(SEARCH("Shop",D61)),"Commercial",IF(ISNUMBER(SEARCH("Office",D61)),"Commercial",IF(ISNUMBER(SEARCH("Flat",D61)),"Residentail")))))))</f>
        <v>Residential + Commercial</v>
      </c>
      <c r="F27" s="118"/>
      <c r="G27" s="118"/>
      <c r="H27" s="118"/>
    </row>
    <row r="28" spans="1:8" ht="15.75" customHeight="1" x14ac:dyDescent="0.35">
      <c r="A28" s="135" t="s">
        <v>89</v>
      </c>
      <c r="B28" s="135"/>
      <c r="C28" s="135"/>
      <c r="D28" s="135"/>
      <c r="E28" s="118" t="s">
        <v>32</v>
      </c>
      <c r="F28" s="118"/>
      <c r="G28" s="118"/>
      <c r="H28" s="118"/>
    </row>
    <row r="29" spans="1:8" s="21" customFormat="1" x14ac:dyDescent="0.35">
      <c r="A29" s="190" t="s">
        <v>90</v>
      </c>
      <c r="B29" s="190"/>
      <c r="C29" s="112" t="s">
        <v>274</v>
      </c>
      <c r="D29" s="112"/>
      <c r="E29" s="112"/>
      <c r="F29" s="112" t="s">
        <v>29</v>
      </c>
      <c r="G29" s="112"/>
      <c r="H29" s="112"/>
    </row>
    <row r="30" spans="1:8" s="21" customFormat="1" x14ac:dyDescent="0.35">
      <c r="A30" s="189" t="s">
        <v>24</v>
      </c>
      <c r="B30" s="189" t="s">
        <v>28</v>
      </c>
      <c r="C30" s="188" t="s">
        <v>279</v>
      </c>
      <c r="D30" s="188"/>
      <c r="E30" s="188"/>
      <c r="F30" s="188" t="s">
        <v>173</v>
      </c>
      <c r="G30" s="188"/>
      <c r="H30" s="188"/>
    </row>
    <row r="31" spans="1:8" x14ac:dyDescent="0.35">
      <c r="A31" s="189" t="s">
        <v>25</v>
      </c>
      <c r="B31" s="189" t="s">
        <v>28</v>
      </c>
      <c r="C31" s="188" t="s">
        <v>278</v>
      </c>
      <c r="D31" s="188"/>
      <c r="E31" s="188"/>
      <c r="F31" s="188" t="s">
        <v>275</v>
      </c>
      <c r="G31" s="188"/>
      <c r="H31" s="188"/>
    </row>
    <row r="32" spans="1:8" s="21" customFormat="1" x14ac:dyDescent="0.35">
      <c r="A32" s="189" t="s">
        <v>27</v>
      </c>
      <c r="B32" s="189" t="s">
        <v>28</v>
      </c>
      <c r="C32" s="188" t="s">
        <v>276</v>
      </c>
      <c r="D32" s="188"/>
      <c r="E32" s="188"/>
      <c r="F32" s="188" t="s">
        <v>172</v>
      </c>
      <c r="G32" s="188"/>
      <c r="H32" s="188"/>
    </row>
    <row r="33" spans="1:8" x14ac:dyDescent="0.35">
      <c r="A33" s="189" t="s">
        <v>26</v>
      </c>
      <c r="B33" s="189" t="s">
        <v>28</v>
      </c>
      <c r="C33" s="188" t="s">
        <v>277</v>
      </c>
      <c r="D33" s="188"/>
      <c r="E33" s="188"/>
      <c r="F33" s="188" t="s">
        <v>171</v>
      </c>
      <c r="G33" s="188"/>
      <c r="H33" s="188"/>
    </row>
    <row r="34" spans="1:8" x14ac:dyDescent="0.35">
      <c r="A34" s="148" t="s">
        <v>30</v>
      </c>
      <c r="B34" s="148"/>
      <c r="C34" s="148"/>
      <c r="D34" s="148"/>
      <c r="E34" s="148"/>
      <c r="F34" s="148"/>
      <c r="G34" s="148"/>
      <c r="H34" s="148"/>
    </row>
    <row r="35" spans="1:8" ht="15.75" customHeight="1" x14ac:dyDescent="0.35">
      <c r="A35" s="112" t="s">
        <v>232</v>
      </c>
      <c r="B35" s="112"/>
      <c r="C35" s="187" t="s">
        <v>272</v>
      </c>
      <c r="D35" s="187"/>
      <c r="E35" s="187"/>
      <c r="F35" s="187"/>
      <c r="G35" s="187"/>
      <c r="H35" s="187"/>
    </row>
    <row r="36" spans="1:8" ht="15.75" customHeight="1" x14ac:dyDescent="0.35">
      <c r="A36" s="112" t="s">
        <v>211</v>
      </c>
      <c r="B36" s="112"/>
      <c r="C36" s="191" t="s">
        <v>273</v>
      </c>
      <c r="D36" s="187"/>
      <c r="E36" s="187"/>
      <c r="F36" s="187"/>
      <c r="G36" s="187"/>
      <c r="H36" s="187"/>
    </row>
    <row r="37" spans="1:8" x14ac:dyDescent="0.35">
      <c r="A37" s="183" t="s">
        <v>33</v>
      </c>
      <c r="B37" s="183"/>
      <c r="C37" s="183"/>
      <c r="D37" s="183"/>
      <c r="E37" s="183"/>
      <c r="F37" s="183"/>
      <c r="G37" s="183"/>
      <c r="H37" s="183"/>
    </row>
    <row r="38" spans="1:8" x14ac:dyDescent="0.35">
      <c r="A38" s="148" t="s">
        <v>34</v>
      </c>
      <c r="B38" s="148"/>
      <c r="C38" s="148"/>
      <c r="D38" s="148"/>
      <c r="E38" s="171">
        <v>23756.38</v>
      </c>
      <c r="F38" s="171"/>
      <c r="G38" s="171"/>
      <c r="H38" s="171"/>
    </row>
    <row r="39" spans="1:8" x14ac:dyDescent="0.35">
      <c r="A39" s="148" t="s">
        <v>35</v>
      </c>
      <c r="B39" s="148"/>
      <c r="C39" s="148"/>
      <c r="D39" s="148"/>
      <c r="E39" s="147">
        <v>1</v>
      </c>
      <c r="F39" s="147"/>
      <c r="G39" s="147"/>
      <c r="H39" s="147"/>
    </row>
    <row r="40" spans="1:8" x14ac:dyDescent="0.35">
      <c r="A40" s="148" t="s">
        <v>36</v>
      </c>
      <c r="B40" s="148"/>
      <c r="C40" s="148"/>
      <c r="D40" s="148"/>
      <c r="E40" s="147">
        <f>E42/E38-E39</f>
        <v>0.62745755035068473</v>
      </c>
      <c r="F40" s="147"/>
      <c r="G40" s="147"/>
      <c r="H40" s="147"/>
    </row>
    <row r="41" spans="1:8" x14ac:dyDescent="0.35">
      <c r="A41" s="148" t="s">
        <v>37</v>
      </c>
      <c r="B41" s="148"/>
      <c r="C41" s="148"/>
      <c r="D41" s="148"/>
      <c r="E41" s="147">
        <f>E39+E40</f>
        <v>1.6274575503506847</v>
      </c>
      <c r="F41" s="147"/>
      <c r="G41" s="147"/>
      <c r="H41" s="147"/>
    </row>
    <row r="42" spans="1:8" x14ac:dyDescent="0.35">
      <c r="A42" s="148" t="s">
        <v>88</v>
      </c>
      <c r="B42" s="148"/>
      <c r="C42" s="148"/>
      <c r="D42" s="148"/>
      <c r="E42" s="171">
        <v>38662.5</v>
      </c>
      <c r="F42" s="171"/>
      <c r="G42" s="171"/>
      <c r="H42" s="171"/>
    </row>
    <row r="43" spans="1:8" x14ac:dyDescent="0.35">
      <c r="A43" s="148" t="s">
        <v>38</v>
      </c>
      <c r="B43" s="148"/>
      <c r="C43" s="148"/>
      <c r="D43" s="148"/>
      <c r="E43" s="148" t="s">
        <v>291</v>
      </c>
      <c r="F43" s="148"/>
      <c r="G43" s="148"/>
      <c r="H43" s="148"/>
    </row>
    <row r="44" spans="1:8" x14ac:dyDescent="0.35">
      <c r="A44" s="183" t="s">
        <v>39</v>
      </c>
      <c r="B44" s="183"/>
      <c r="C44" s="183"/>
      <c r="D44" s="183"/>
      <c r="E44" s="183"/>
      <c r="F44" s="183"/>
      <c r="G44" s="183"/>
      <c r="H44" s="183"/>
    </row>
    <row r="45" spans="1:8" ht="33.75" customHeight="1" x14ac:dyDescent="0.35">
      <c r="A45" s="132" t="s">
        <v>152</v>
      </c>
      <c r="B45" s="133"/>
      <c r="C45" s="176" t="s">
        <v>177</v>
      </c>
      <c r="D45" s="206"/>
      <c r="E45" s="206"/>
      <c r="F45" s="206"/>
      <c r="G45" s="206"/>
      <c r="H45" s="177"/>
    </row>
    <row r="46" spans="1:8" ht="15.75" customHeight="1" x14ac:dyDescent="0.35">
      <c r="A46" s="132" t="s">
        <v>193</v>
      </c>
      <c r="B46" s="133"/>
      <c r="C46" s="132" t="s">
        <v>269</v>
      </c>
      <c r="D46" s="134"/>
      <c r="E46" s="133"/>
      <c r="F46" s="43" t="s">
        <v>40</v>
      </c>
      <c r="G46" s="156">
        <v>45350</v>
      </c>
      <c r="H46" s="133"/>
    </row>
    <row r="47" spans="1:8" x14ac:dyDescent="0.35">
      <c r="A47" s="132" t="s">
        <v>41</v>
      </c>
      <c r="B47" s="133"/>
      <c r="C47" s="132" t="s">
        <v>270</v>
      </c>
      <c r="D47" s="134"/>
      <c r="E47" s="133"/>
      <c r="F47" s="43" t="s">
        <v>40</v>
      </c>
      <c r="G47" s="156">
        <f>G46</f>
        <v>45350</v>
      </c>
      <c r="H47" s="133"/>
    </row>
    <row r="48" spans="1:8" s="22" customFormat="1" ht="15.75" customHeight="1" x14ac:dyDescent="0.35">
      <c r="A48" s="137" t="s">
        <v>231</v>
      </c>
      <c r="B48" s="138"/>
      <c r="C48" s="174" t="s">
        <v>227</v>
      </c>
      <c r="D48" s="175"/>
      <c r="E48" s="173"/>
      <c r="F48" s="64" t="s">
        <v>40</v>
      </c>
      <c r="G48" s="172">
        <v>45357</v>
      </c>
      <c r="H48" s="173"/>
    </row>
    <row r="49" spans="1:9" s="22" customFormat="1" ht="33.75" customHeight="1" x14ac:dyDescent="0.35">
      <c r="A49" s="178"/>
      <c r="B49" s="179"/>
      <c r="C49" s="132" t="s">
        <v>228</v>
      </c>
      <c r="D49" s="134"/>
      <c r="E49" s="133"/>
      <c r="F49" s="43" t="s">
        <v>122</v>
      </c>
      <c r="G49" s="156">
        <v>45721</v>
      </c>
      <c r="H49" s="133"/>
    </row>
    <row r="50" spans="1:9" s="22" customFormat="1" ht="15.75" customHeight="1" x14ac:dyDescent="0.35">
      <c r="A50" s="137" t="s">
        <v>233</v>
      </c>
      <c r="B50" s="138"/>
      <c r="C50" s="211" t="s">
        <v>217</v>
      </c>
      <c r="D50" s="212"/>
      <c r="E50" s="213"/>
      <c r="F50" s="63" t="s">
        <v>40</v>
      </c>
      <c r="G50" s="214">
        <v>44936</v>
      </c>
      <c r="H50" s="213"/>
    </row>
    <row r="51" spans="1:9" s="22" customFormat="1" ht="33.75" customHeight="1" x14ac:dyDescent="0.35">
      <c r="A51" s="139"/>
      <c r="B51" s="140"/>
      <c r="C51" s="132" t="s">
        <v>218</v>
      </c>
      <c r="D51" s="134"/>
      <c r="E51" s="134"/>
      <c r="F51" s="134"/>
      <c r="G51" s="134"/>
      <c r="H51" s="133"/>
    </row>
    <row r="52" spans="1:9" s="22" customFormat="1" ht="15.75" customHeight="1" x14ac:dyDescent="0.35">
      <c r="A52" s="137" t="s">
        <v>233</v>
      </c>
      <c r="B52" s="138"/>
      <c r="C52" s="143" t="s">
        <v>226</v>
      </c>
      <c r="D52" s="144"/>
      <c r="E52" s="145"/>
      <c r="F52" s="62" t="s">
        <v>40</v>
      </c>
      <c r="G52" s="146">
        <v>45350</v>
      </c>
      <c r="H52" s="145"/>
    </row>
    <row r="53" spans="1:9" s="22" customFormat="1" ht="33.75" customHeight="1" x14ac:dyDescent="0.35">
      <c r="A53" s="139"/>
      <c r="B53" s="140"/>
      <c r="C53" s="132" t="s">
        <v>225</v>
      </c>
      <c r="D53" s="134"/>
      <c r="E53" s="134"/>
      <c r="F53" s="134"/>
      <c r="G53" s="134"/>
      <c r="H53" s="133"/>
    </row>
    <row r="54" spans="1:9" s="22" customFormat="1" ht="15.75" customHeight="1" x14ac:dyDescent="0.35">
      <c r="A54" s="137" t="s">
        <v>234</v>
      </c>
      <c r="B54" s="138"/>
      <c r="C54" s="207" t="s">
        <v>229</v>
      </c>
      <c r="D54" s="208"/>
      <c r="E54" s="209"/>
      <c r="F54" s="65" t="s">
        <v>40</v>
      </c>
      <c r="G54" s="210">
        <v>45041</v>
      </c>
      <c r="H54" s="209"/>
    </row>
    <row r="55" spans="1:9" s="22" customFormat="1" ht="30.75" customHeight="1" x14ac:dyDescent="0.35">
      <c r="A55" s="178"/>
      <c r="B55" s="179"/>
      <c r="C55" s="132" t="s">
        <v>230</v>
      </c>
      <c r="D55" s="134"/>
      <c r="E55" s="134"/>
      <c r="F55" s="134"/>
      <c r="G55" s="134"/>
      <c r="H55" s="133"/>
    </row>
    <row r="56" spans="1:9" s="22" customFormat="1" ht="15.75" customHeight="1" x14ac:dyDescent="0.35">
      <c r="A56" s="137" t="s">
        <v>231</v>
      </c>
      <c r="B56" s="138"/>
      <c r="C56" s="207" t="s">
        <v>303</v>
      </c>
      <c r="D56" s="208"/>
      <c r="E56" s="209"/>
      <c r="F56" s="65" t="s">
        <v>40</v>
      </c>
      <c r="G56" s="210">
        <v>45428</v>
      </c>
      <c r="H56" s="209"/>
    </row>
    <row r="57" spans="1:9" s="22" customFormat="1" ht="30.75" customHeight="1" x14ac:dyDescent="0.35">
      <c r="A57" s="178"/>
      <c r="B57" s="179"/>
      <c r="C57" s="132" t="s">
        <v>304</v>
      </c>
      <c r="D57" s="134"/>
      <c r="E57" s="134"/>
      <c r="F57" s="134"/>
      <c r="G57" s="134"/>
      <c r="H57" s="133"/>
    </row>
    <row r="58" spans="1:9" x14ac:dyDescent="0.35">
      <c r="A58" s="157" t="s">
        <v>42</v>
      </c>
      <c r="B58" s="158"/>
      <c r="C58" s="157" t="s">
        <v>103</v>
      </c>
      <c r="D58" s="159"/>
      <c r="E58" s="158"/>
      <c r="F58" s="44" t="s">
        <v>40</v>
      </c>
      <c r="G58" s="176" t="s">
        <v>28</v>
      </c>
      <c r="H58" s="177"/>
    </row>
    <row r="59" spans="1:9" x14ac:dyDescent="0.35">
      <c r="A59" s="160" t="s">
        <v>44</v>
      </c>
      <c r="B59" s="160"/>
      <c r="C59" s="160"/>
      <c r="D59" s="160"/>
      <c r="E59" s="160"/>
      <c r="F59" s="160"/>
      <c r="G59" s="160"/>
      <c r="H59" s="160"/>
    </row>
    <row r="60" spans="1:9" x14ac:dyDescent="0.35">
      <c r="A60" s="136" t="s">
        <v>87</v>
      </c>
      <c r="B60" s="136"/>
      <c r="C60" s="136"/>
      <c r="D60" s="135">
        <f>E42</f>
        <v>38662.5</v>
      </c>
      <c r="E60" s="135"/>
      <c r="F60" s="135"/>
      <c r="G60" s="135"/>
      <c r="H60" s="135"/>
    </row>
    <row r="61" spans="1:9" x14ac:dyDescent="0.35">
      <c r="A61" s="118" t="s">
        <v>194</v>
      </c>
      <c r="B61" s="148"/>
      <c r="C61" s="148"/>
      <c r="D61" s="117" t="s">
        <v>268</v>
      </c>
      <c r="E61" s="117"/>
      <c r="F61" s="117"/>
      <c r="G61" s="117"/>
      <c r="H61" s="117"/>
      <c r="I61" s="23"/>
    </row>
    <row r="62" spans="1:9" ht="95.25" customHeight="1" x14ac:dyDescent="0.35">
      <c r="A62" s="118" t="s">
        <v>195</v>
      </c>
      <c r="B62" s="118"/>
      <c r="C62" s="118"/>
      <c r="D62" s="141" t="s">
        <v>266</v>
      </c>
      <c r="E62" s="141"/>
      <c r="F62" s="141"/>
      <c r="G62" s="141"/>
      <c r="H62" s="142"/>
      <c r="I62" s="67" t="s">
        <v>264</v>
      </c>
    </row>
    <row r="63" spans="1:9" ht="15.75" customHeight="1" x14ac:dyDescent="0.35">
      <c r="A63" s="118" t="s">
        <v>196</v>
      </c>
      <c r="B63" s="118"/>
      <c r="C63" s="118"/>
      <c r="D63" s="117" t="s">
        <v>260</v>
      </c>
      <c r="E63" s="117"/>
      <c r="F63" s="117"/>
      <c r="G63" s="117"/>
      <c r="H63" s="117"/>
    </row>
    <row r="64" spans="1:9" ht="15.75" customHeight="1" x14ac:dyDescent="0.35">
      <c r="A64" s="118"/>
      <c r="B64" s="118"/>
      <c r="C64" s="118"/>
      <c r="D64" s="117" t="s">
        <v>219</v>
      </c>
      <c r="E64" s="117"/>
      <c r="F64" s="117"/>
      <c r="G64" s="117"/>
      <c r="H64" s="117"/>
    </row>
    <row r="65" spans="1:14" ht="15.75" customHeight="1" x14ac:dyDescent="0.35">
      <c r="A65" s="118"/>
      <c r="B65" s="118"/>
      <c r="C65" s="118"/>
      <c r="D65" s="117" t="s">
        <v>197</v>
      </c>
      <c r="E65" s="117"/>
      <c r="F65" s="117"/>
      <c r="G65" s="117"/>
      <c r="H65" s="117"/>
    </row>
    <row r="66" spans="1:14" ht="15.75" customHeight="1" x14ac:dyDescent="0.35">
      <c r="A66" s="118"/>
      <c r="B66" s="118"/>
      <c r="C66" s="118"/>
      <c r="D66" s="117" t="s">
        <v>220</v>
      </c>
      <c r="E66" s="117"/>
      <c r="F66" s="117"/>
      <c r="G66" s="117"/>
      <c r="H66" s="117"/>
    </row>
    <row r="67" spans="1:14" ht="15.75" customHeight="1" x14ac:dyDescent="0.35">
      <c r="A67" s="118"/>
      <c r="B67" s="118"/>
      <c r="C67" s="118"/>
      <c r="D67" s="117" t="s">
        <v>221</v>
      </c>
      <c r="E67" s="117"/>
      <c r="F67" s="117"/>
      <c r="G67" s="117"/>
      <c r="H67" s="117"/>
    </row>
    <row r="68" spans="1:14" ht="15.75" customHeight="1" x14ac:dyDescent="0.35">
      <c r="A68" s="118"/>
      <c r="B68" s="118"/>
      <c r="C68" s="118"/>
      <c r="D68" s="117" t="s">
        <v>222</v>
      </c>
      <c r="E68" s="117"/>
      <c r="F68" s="117"/>
      <c r="G68" s="117"/>
      <c r="H68" s="117"/>
    </row>
    <row r="69" spans="1:14" ht="46.5" customHeight="1" x14ac:dyDescent="0.35">
      <c r="A69" s="135" t="s">
        <v>43</v>
      </c>
      <c r="B69" s="135"/>
      <c r="C69" s="135"/>
      <c r="D69" s="184" t="s">
        <v>300</v>
      </c>
      <c r="E69" s="184"/>
      <c r="F69" s="184"/>
      <c r="G69" s="184"/>
      <c r="H69" s="184"/>
      <c r="J69" s="24"/>
      <c r="K69" s="23"/>
      <c r="N69" s="23"/>
    </row>
    <row r="70" spans="1:14" ht="15.75" customHeight="1" x14ac:dyDescent="0.35">
      <c r="A70" s="135" t="s">
        <v>84</v>
      </c>
      <c r="B70" s="135"/>
      <c r="C70" s="135"/>
      <c r="D70" s="180" t="str">
        <f>(IF(G58="NA","60 Years After Completion",IF(G58&lt;&gt;"NA",""&amp;60-ROUNDDOWN((E3-G58)/360,0)&amp;" Years"," ")))</f>
        <v>60 Years After Completion</v>
      </c>
      <c r="E70" s="180"/>
      <c r="F70" s="180"/>
      <c r="G70" s="180"/>
      <c r="H70" s="180"/>
      <c r="N70" s="23"/>
    </row>
    <row r="71" spans="1:14" ht="15.75" customHeight="1" x14ac:dyDescent="0.35">
      <c r="A71" s="135" t="s">
        <v>85</v>
      </c>
      <c r="B71" s="135"/>
      <c r="C71" s="135"/>
      <c r="D71" s="136" t="s">
        <v>23</v>
      </c>
      <c r="E71" s="136"/>
      <c r="F71" s="136"/>
      <c r="G71" s="136"/>
      <c r="H71" s="136"/>
      <c r="J71" s="16"/>
      <c r="K71" s="16"/>
    </row>
    <row r="72" spans="1:14" ht="31.5" customHeight="1" x14ac:dyDescent="0.35">
      <c r="A72" s="135" t="s">
        <v>71</v>
      </c>
      <c r="B72" s="135"/>
      <c r="C72" s="135"/>
      <c r="D72" s="118" t="s">
        <v>210</v>
      </c>
      <c r="E72" s="136"/>
      <c r="F72" s="136"/>
      <c r="G72" s="136"/>
      <c r="H72" s="136"/>
    </row>
    <row r="73" spans="1:14" x14ac:dyDescent="0.35">
      <c r="A73" s="136" t="s">
        <v>149</v>
      </c>
      <c r="B73" s="136"/>
      <c r="C73" s="136"/>
      <c r="D73" s="136" t="s">
        <v>28</v>
      </c>
      <c r="E73" s="136"/>
      <c r="F73" s="136"/>
      <c r="G73" s="136"/>
      <c r="H73" s="136"/>
      <c r="I73" s="25"/>
      <c r="J73" s="25"/>
      <c r="K73" s="25"/>
      <c r="L73" s="25"/>
      <c r="M73" s="25"/>
      <c r="N73" s="25"/>
    </row>
    <row r="74" spans="1:14" ht="15.75" customHeight="1" x14ac:dyDescent="0.35">
      <c r="A74" s="135" t="s">
        <v>83</v>
      </c>
      <c r="B74" s="135"/>
      <c r="C74" s="135"/>
      <c r="D74" s="118" t="str">
        <f ca="1">(IF(G94&gt;95%,"Nothing",IF(G94&gt;0%,"Cement, Aggregate, Steel, etc",IF(G94=0%,"Work not yet Started"))))</f>
        <v>Cement, Aggregate, Steel, etc</v>
      </c>
      <c r="E74" s="118"/>
      <c r="F74" s="118"/>
      <c r="G74" s="118"/>
      <c r="H74" s="118"/>
      <c r="J74" s="16"/>
    </row>
    <row r="75" spans="1:14" ht="33.75" customHeight="1" thickBot="1" x14ac:dyDescent="0.4">
      <c r="A75" s="136" t="s">
        <v>116</v>
      </c>
      <c r="B75" s="136"/>
      <c r="C75" s="136"/>
      <c r="D75" s="118" t="str">
        <f ca="1">(IF(D74="Nothing","Yes",IF(D74="Cement, Aggregate, Steel, etc","Under Construction",IF(D74="Work not yet Started","Work not yet Started"))))</f>
        <v>Under Construction</v>
      </c>
      <c r="E75" s="118"/>
      <c r="F75" s="118" t="str">
        <f ca="1">(IF(D74="Nothing","Yes",IF(D74="Cement, Aggregate, Steel, etc","Under Construction",IF(D74="Work not yet Started","Work not yet Started"))))</f>
        <v>Under Construction</v>
      </c>
      <c r="G75" s="118"/>
      <c r="H75" s="118"/>
    </row>
    <row r="76" spans="1:14" ht="15.75" customHeight="1" x14ac:dyDescent="0.35">
      <c r="A76" s="121" t="s">
        <v>141</v>
      </c>
      <c r="B76" s="122"/>
      <c r="C76" s="123" t="str">
        <f>D63</f>
        <v>Building No.1 = 1st to 3rd Floor</v>
      </c>
      <c r="D76" s="124"/>
      <c r="E76" s="124"/>
      <c r="F76" s="124"/>
      <c r="G76" s="124"/>
      <c r="H76" s="125"/>
      <c r="I76" s="15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completed","0")))))))))))&amp;(IF(C82=(D77+F77+H77),", RCC Slab Completed",IF(C82&gt;0,", RCC upto "&amp;C82&amp;" Slab Completed",""))&amp;(IF(C83=H77,", Brickwork Completed",IF(C83&gt;0,", Brickwork upto "&amp;C83&amp;" Floor Completed",""))&amp;(IF(C84=H77,", Internal Plaster Completed",IF(C84&gt;0,", Internal Plaster upto "&amp;C84&amp;" Floor Completed",""))&amp;(IF(C85=H77,", External Plaster Completed",IF(C85&gt;0,", External Plaster upto "&amp;C85&amp;" Floor Completed",""))&amp;(IF(C86=H77,", Flooring Completed",IF(C86&gt;0,", Flooring upto "&amp;C86&amp;" Floor Completed",""))&amp;(IF(C87=H77,", Painting Completed",IF(C87&gt;0,", Painting upto "&amp;C87&amp;" Floor Completed",""))&amp;(IF(C88&gt;0,", Finishing upto "&amp;C88&amp;" Floor Completed","")&amp;(IF(C82&gt;0.5,".",""))))))))))))))</f>
        <v>Excavation work Completed. Plinth work completed, RCC Slab Completed, Brickwork Completed, Internal Plaster upto 1 Floor Completed, External Plaster upto 2 Floor Completed.</v>
      </c>
      <c r="J76" s="26"/>
    </row>
    <row r="77" spans="1:14" x14ac:dyDescent="0.35">
      <c r="A77" s="45" t="s">
        <v>143</v>
      </c>
      <c r="B77" s="46">
        <v>0</v>
      </c>
      <c r="C77" s="46" t="s">
        <v>68</v>
      </c>
      <c r="D77" s="46">
        <v>1</v>
      </c>
      <c r="E77" s="46" t="s">
        <v>67</v>
      </c>
      <c r="F77" s="46">
        <v>0</v>
      </c>
      <c r="G77" s="46" t="s">
        <v>77</v>
      </c>
      <c r="H77" s="47">
        <f ca="1">--TRIM(RIGHT(SUBSTITUTE(LEFT(C76,_xlfn.AGGREGATE(16,6,FIND({0,1,2,3,4,5,6,7,8,9},C76,ROW(INDIRECT("1:"&amp;LEN(C76)))),1))," ",REPT(" ",LEN(C76))),LEN(C76)))</f>
        <v>3</v>
      </c>
      <c r="I77" s="16"/>
      <c r="J77" s="27"/>
    </row>
    <row r="78" spans="1:14" ht="33" customHeight="1" x14ac:dyDescent="0.35">
      <c r="A78" s="107" t="s">
        <v>86</v>
      </c>
      <c r="B78" s="108"/>
      <c r="C78" s="109" t="str">
        <f ca="1">(IF($G$58="NA",I76,"All work Completed. OC Received."))</f>
        <v>Excavation work Completed. Plinth work completed, RCC Slab Completed, Brickwork Completed, Internal Plaster upto 1 Floor Completed, External Plaster upto 2 Floor Completed.</v>
      </c>
      <c r="D78" s="109"/>
      <c r="E78" s="109"/>
      <c r="F78" s="109"/>
      <c r="G78" s="109"/>
      <c r="H78" s="110"/>
      <c r="I78" s="16" t="s">
        <v>102</v>
      </c>
      <c r="J78" s="27"/>
    </row>
    <row r="79" spans="1:14" ht="15.75" customHeight="1" x14ac:dyDescent="0.35">
      <c r="A79" s="90" t="s">
        <v>45</v>
      </c>
      <c r="B79" s="91"/>
      <c r="C79" s="51" t="s">
        <v>140</v>
      </c>
      <c r="D79" s="51" t="s">
        <v>80</v>
      </c>
      <c r="E79" s="91" t="s">
        <v>82</v>
      </c>
      <c r="F79" s="91"/>
      <c r="G79" s="91" t="s">
        <v>81</v>
      </c>
      <c r="H79" s="94"/>
      <c r="I79" s="14" t="s">
        <v>142</v>
      </c>
      <c r="J79" s="28">
        <f ca="1">H77*25%</f>
        <v>0.75</v>
      </c>
    </row>
    <row r="80" spans="1:14" x14ac:dyDescent="0.35">
      <c r="A80" s="90" t="s">
        <v>129</v>
      </c>
      <c r="B80" s="91"/>
      <c r="C80" s="51">
        <f ca="1">J81</f>
        <v>3</v>
      </c>
      <c r="D80" s="18">
        <f ca="1">((100/H77)*C80)/100</f>
        <v>1</v>
      </c>
      <c r="E80" s="95">
        <f ca="1">(((C81/H77*10)+(40/(D77+F77+H77)*C82)+(7.5/(H77)*C83)+(7.5/(H77)*C84)+(10/H77*C85)+(10/H77*C86)+(5/H77*C87)+(5/H77*C88)+(5/H77*C89))/100)</f>
        <v>0.66666666666666674</v>
      </c>
      <c r="F80" s="96"/>
      <c r="G80" s="95">
        <f ca="1">((((C80/H77)*20)+((C81/H77)*25)+(30/(H77+F77+D77)*C82)+(5/H77*C83)+(5/H77*C84)+(5/H77*C85)+(5/H77*C86)+(0/H77*C87)+(0/H77*C88)+(5/H77*C89))/100)</f>
        <v>0.85</v>
      </c>
      <c r="H80" s="101"/>
      <c r="I80" s="14" t="s">
        <v>97</v>
      </c>
      <c r="J80" s="29">
        <f ca="1">H77*50%</f>
        <v>1.5</v>
      </c>
    </row>
    <row r="81" spans="1:10" x14ac:dyDescent="0.35">
      <c r="A81" s="90" t="s">
        <v>46</v>
      </c>
      <c r="B81" s="91"/>
      <c r="C81" s="55">
        <f ca="1">J89</f>
        <v>3</v>
      </c>
      <c r="D81" s="18">
        <f ca="1">((100/H77)*C81)/100</f>
        <v>1</v>
      </c>
      <c r="E81" s="97"/>
      <c r="F81" s="98"/>
      <c r="G81" s="97"/>
      <c r="H81" s="102"/>
      <c r="I81" s="14" t="s">
        <v>98</v>
      </c>
      <c r="J81" s="29">
        <f ca="1">H77</f>
        <v>3</v>
      </c>
    </row>
    <row r="82" spans="1:10" ht="15.75" customHeight="1" x14ac:dyDescent="0.35">
      <c r="A82" s="90" t="s">
        <v>130</v>
      </c>
      <c r="B82" s="91"/>
      <c r="C82" s="51">
        <v>4</v>
      </c>
      <c r="D82" s="18">
        <f ca="1">((100/(D77+F77+H77))*C82)/100</f>
        <v>1</v>
      </c>
      <c r="E82" s="97"/>
      <c r="F82" s="98"/>
      <c r="G82" s="97"/>
      <c r="H82" s="102"/>
      <c r="I82" s="14" t="s">
        <v>99</v>
      </c>
      <c r="J82" s="30">
        <f ca="1">(IF(B77&gt;1,(H77/(B77+2)),H77/4))</f>
        <v>0.75</v>
      </c>
    </row>
    <row r="83" spans="1:10" ht="15.75" customHeight="1" x14ac:dyDescent="0.35">
      <c r="A83" s="90" t="s">
        <v>137</v>
      </c>
      <c r="B83" s="91" t="s">
        <v>131</v>
      </c>
      <c r="C83" s="51">
        <v>3</v>
      </c>
      <c r="D83" s="18">
        <f ca="1">((100/H77)*C83)/100</f>
        <v>1</v>
      </c>
      <c r="E83" s="97"/>
      <c r="F83" s="98"/>
      <c r="G83" s="97"/>
      <c r="H83" s="102"/>
      <c r="I83" s="14" t="s">
        <v>100</v>
      </c>
      <c r="J83" s="30">
        <f ca="1">(IF(B77&gt;1,(H77/(B77+2)+J82),H77/4+J82))</f>
        <v>1.5</v>
      </c>
    </row>
    <row r="84" spans="1:10" ht="15.75" customHeight="1" x14ac:dyDescent="0.35">
      <c r="A84" s="90" t="s">
        <v>138</v>
      </c>
      <c r="B84" s="91" t="s">
        <v>131</v>
      </c>
      <c r="C84" s="51">
        <v>1</v>
      </c>
      <c r="D84" s="18">
        <f ca="1">((100/H77)*C84)/100</f>
        <v>0.33333333333333337</v>
      </c>
      <c r="E84" s="97"/>
      <c r="F84" s="98"/>
      <c r="G84" s="97"/>
      <c r="H84" s="102"/>
      <c r="I84" s="14" t="s">
        <v>147</v>
      </c>
      <c r="J84" s="30">
        <f>(IF(B77&gt;1,(H77/(B77+2)+J83),0))</f>
        <v>0</v>
      </c>
    </row>
    <row r="85" spans="1:10" ht="15" customHeight="1" x14ac:dyDescent="0.35">
      <c r="A85" s="90" t="s">
        <v>136</v>
      </c>
      <c r="B85" s="91" t="s">
        <v>133</v>
      </c>
      <c r="C85" s="51">
        <v>2</v>
      </c>
      <c r="D85" s="18">
        <f ca="1">((100/(H77))*C85)/100</f>
        <v>0.66666666666666674</v>
      </c>
      <c r="E85" s="97"/>
      <c r="F85" s="98"/>
      <c r="G85" s="97"/>
      <c r="H85" s="102"/>
      <c r="I85" s="14" t="s">
        <v>144</v>
      </c>
      <c r="J85" s="30">
        <f>(IF(B77&gt;2,(H77/(B77+2)+J84),0))</f>
        <v>0</v>
      </c>
    </row>
    <row r="86" spans="1:10" ht="15.75" customHeight="1" x14ac:dyDescent="0.35">
      <c r="A86" s="90" t="s">
        <v>132</v>
      </c>
      <c r="B86" s="91" t="s">
        <v>132</v>
      </c>
      <c r="C86" s="51">
        <v>0</v>
      </c>
      <c r="D86" s="18">
        <f ca="1">((100/H77)*C86)/100</f>
        <v>0</v>
      </c>
      <c r="E86" s="97"/>
      <c r="F86" s="98"/>
      <c r="G86" s="97"/>
      <c r="H86" s="102"/>
      <c r="I86" s="14" t="s">
        <v>145</v>
      </c>
      <c r="J86" s="31">
        <f>(IF(B77&gt;3,(H77/(B77+2)+J85),0))</f>
        <v>0</v>
      </c>
    </row>
    <row r="87" spans="1:10" ht="15.75" customHeight="1" x14ac:dyDescent="0.35">
      <c r="A87" s="90" t="s">
        <v>139</v>
      </c>
      <c r="B87" s="91"/>
      <c r="C87" s="51">
        <v>0</v>
      </c>
      <c r="D87" s="18">
        <f ca="1">((100/H77)*C87)/100</f>
        <v>0</v>
      </c>
      <c r="E87" s="97"/>
      <c r="F87" s="98"/>
      <c r="G87" s="97"/>
      <c r="H87" s="102"/>
      <c r="I87" s="14" t="s">
        <v>146</v>
      </c>
      <c r="J87" s="30">
        <f>(IF(B77&gt;4,(H77/(B77+2)+J86),0))</f>
        <v>0</v>
      </c>
    </row>
    <row r="88" spans="1:10" ht="15.75" customHeight="1" x14ac:dyDescent="0.35">
      <c r="A88" s="90" t="s">
        <v>134</v>
      </c>
      <c r="B88" s="91" t="s">
        <v>134</v>
      </c>
      <c r="C88" s="51">
        <v>0</v>
      </c>
      <c r="D88" s="18">
        <f ca="1">((100/(H77))*C88)/100</f>
        <v>0</v>
      </c>
      <c r="E88" s="97"/>
      <c r="F88" s="98"/>
      <c r="G88" s="97"/>
      <c r="H88" s="102"/>
      <c r="I88" s="14" t="s">
        <v>148</v>
      </c>
      <c r="J88" s="30">
        <f ca="1">(IF(B77=1,(H77/(B77+3)+J83),IF(B77=0,(H77/4+J83),IF(B77&gt;1,0))))</f>
        <v>2.25</v>
      </c>
    </row>
    <row r="89" spans="1:10" ht="16" thickBot="1" x14ac:dyDescent="0.4">
      <c r="A89" s="92" t="s">
        <v>135</v>
      </c>
      <c r="B89" s="93"/>
      <c r="C89" s="52">
        <v>0</v>
      </c>
      <c r="D89" s="19">
        <f ca="1">((100/(H77))*C89)/100</f>
        <v>0</v>
      </c>
      <c r="E89" s="99"/>
      <c r="F89" s="100"/>
      <c r="G89" s="99"/>
      <c r="H89" s="103"/>
      <c r="I89" s="17" t="s">
        <v>101</v>
      </c>
      <c r="J89" s="32">
        <f ca="1">(IF(B77&gt;1.5,(H77/(B77+2)+J83+MAX(0,J84-J83)+MAX(0,J85-J84)+MAX(0,J86-J85)+MAX(0,J87-J86)+MAX(0,J88-J87)),IF(B77=1,(H77/(B77+3)+J88),IF(B77=0,H77/4+J88))))</f>
        <v>3</v>
      </c>
    </row>
    <row r="90" spans="1:10" ht="15.75" customHeight="1" x14ac:dyDescent="0.35">
      <c r="A90" s="119" t="s">
        <v>141</v>
      </c>
      <c r="B90" s="120"/>
      <c r="C90" s="104" t="str">
        <f>D64</f>
        <v>Building No.2 = Gr/St + 1st to 12th Floor</v>
      </c>
      <c r="D90" s="105"/>
      <c r="E90" s="105"/>
      <c r="F90" s="105"/>
      <c r="G90" s="105"/>
      <c r="H90" s="106"/>
      <c r="I90" s="15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","0")))&amp;(IF(C95=0%,"",IF(C95=J96,"Footing work is process",IF(C95=J97,"Footing work Completed",IF(C95=J98,"1st Basement Completed",IF(C95=J99,"1st &amp; 2nd Basement Completed",IF(C95=J100,"1st to 3rd Basement Completed",IF(C95=J101,"1st to 4th Basement Completed",IF(C95=J102,"Plinth work is process",IF(C95=J103,"Plinth work completed","0")))))))))))&amp;(IF(C96=(D91+F91+H91),", RCC Slab Completed",IF(C96&gt;0,", RCC upto "&amp;C96&amp;" Slab Completed",""))&amp;(IF(C97=H91,", Brickwork Completed",IF(C97&gt;0,", Brickwork upto "&amp;C97&amp;" Floor Completed",""))&amp;(IF(C98=H91,", Internal Plaster Completed",IF(C98&gt;0,", Internal Plaster upto "&amp;C98&amp;" Floor Completed",""))&amp;(IF(C99=H91,", External Plaster Completed",IF(C99&gt;0,", External Plaster upto "&amp;C99&amp;" Floor Completed",""))&amp;(IF(C100=H91,", Flooring Completed",IF(C100&gt;0,", Flooring upto "&amp;C100&amp;" Floor Completed",""))&amp;(IF(C101=H91,", Painting Completed",IF(C101&gt;0,", Painting upto "&amp;C101&amp;" Floor Completed",""))&amp;(IF(C102&gt;0,", Finishing upto "&amp;C102&amp;" Floor Completed","")&amp;(IF(C96&gt;0.5,".",""))))))))))))))</f>
        <v>Plinth, RCC, Brick, Plaster, Flooring, Painting work Completed. Finishing work is in process.</v>
      </c>
      <c r="J90" s="26"/>
    </row>
    <row r="91" spans="1:10" x14ac:dyDescent="0.35">
      <c r="A91" s="45" t="s">
        <v>143</v>
      </c>
      <c r="B91" s="46">
        <v>0</v>
      </c>
      <c r="C91" s="46" t="s">
        <v>68</v>
      </c>
      <c r="D91" s="46">
        <v>1</v>
      </c>
      <c r="E91" s="46" t="s">
        <v>67</v>
      </c>
      <c r="F91" s="46">
        <v>0</v>
      </c>
      <c r="G91" s="46" t="s">
        <v>77</v>
      </c>
      <c r="H91" s="47">
        <f ca="1">--TRIM(RIGHT(SUBSTITUTE(LEFT(C90,_xlfn.AGGREGATE(16,6,FIND({0,1,2,3,4,5,6,7,8,9},C90,ROW(INDIRECT("1:"&amp;LEN(C90)))),1))," ",REPT(" ",LEN(C90))),LEN(C90)))</f>
        <v>12</v>
      </c>
      <c r="I91" s="16"/>
      <c r="J91" s="27"/>
    </row>
    <row r="92" spans="1:10" ht="32.5" customHeight="1" x14ac:dyDescent="0.35">
      <c r="A92" s="107" t="s">
        <v>86</v>
      </c>
      <c r="B92" s="108"/>
      <c r="C92" s="109" t="str">
        <f ca="1">(IF($G$58="NA",I90,"All work Completed. OC Received."))</f>
        <v>Plinth, RCC, Brick, Plaster, Flooring, Painting work Completed. Finishing work is in process.</v>
      </c>
      <c r="D92" s="109"/>
      <c r="E92" s="109"/>
      <c r="F92" s="109"/>
      <c r="G92" s="109"/>
      <c r="H92" s="110"/>
      <c r="I92" s="16" t="s">
        <v>102</v>
      </c>
      <c r="J92" s="27"/>
    </row>
    <row r="93" spans="1:10" ht="15.75" customHeight="1" x14ac:dyDescent="0.35">
      <c r="A93" s="90" t="s">
        <v>45</v>
      </c>
      <c r="B93" s="91"/>
      <c r="C93" s="51" t="s">
        <v>140</v>
      </c>
      <c r="D93" s="51" t="s">
        <v>80</v>
      </c>
      <c r="E93" s="91" t="s">
        <v>82</v>
      </c>
      <c r="F93" s="91"/>
      <c r="G93" s="91" t="s">
        <v>81</v>
      </c>
      <c r="H93" s="94"/>
      <c r="I93" s="14" t="s">
        <v>142</v>
      </c>
      <c r="J93" s="28">
        <f ca="1">H91*25%</f>
        <v>3</v>
      </c>
    </row>
    <row r="94" spans="1:10" x14ac:dyDescent="0.35">
      <c r="A94" s="90" t="s">
        <v>129</v>
      </c>
      <c r="B94" s="91"/>
      <c r="C94" s="51">
        <f ca="1">J95</f>
        <v>12</v>
      </c>
      <c r="D94" s="18">
        <f ca="1">((100/H91)*C94)/100</f>
        <v>1</v>
      </c>
      <c r="E94" s="95">
        <f ca="1">(((C95/H91*10)+(40/(D91+F91+H91)*C96)+(7.5/(H91)*C97)+(7.5/(H91)*C98)+(10/H91*C99)+(10/H91*C100)+(5/H91*C101)+(5/H91*C102)+(5/H91*C103))/100)</f>
        <v>0.92500000000000004</v>
      </c>
      <c r="F94" s="96"/>
      <c r="G94" s="95">
        <f ca="1">((((C94/H91)*20)+((C95/H91)*25)+(30/(H91+F91+D91)*C96)+(5/H91*C97)+(5/H91*C98)+(5/H91*C99)+(5/H91*C100)+(0/H91*C101)+(0/H91*C102)+(5/H91*C103))/100)</f>
        <v>0.95</v>
      </c>
      <c r="H94" s="101"/>
      <c r="I94" s="14" t="s">
        <v>97</v>
      </c>
      <c r="J94" s="29">
        <f ca="1">H91*50%</f>
        <v>6</v>
      </c>
    </row>
    <row r="95" spans="1:10" x14ac:dyDescent="0.35">
      <c r="A95" s="90" t="s">
        <v>46</v>
      </c>
      <c r="B95" s="91"/>
      <c r="C95" s="55">
        <f ca="1">J103</f>
        <v>12</v>
      </c>
      <c r="D95" s="18">
        <f ca="1">((100/H91)*C95)/100</f>
        <v>1</v>
      </c>
      <c r="E95" s="97"/>
      <c r="F95" s="98"/>
      <c r="G95" s="97"/>
      <c r="H95" s="102"/>
      <c r="I95" s="14" t="s">
        <v>98</v>
      </c>
      <c r="J95" s="29">
        <f ca="1">H91</f>
        <v>12</v>
      </c>
    </row>
    <row r="96" spans="1:10" ht="15.75" customHeight="1" x14ac:dyDescent="0.35">
      <c r="A96" s="90" t="s">
        <v>130</v>
      </c>
      <c r="B96" s="91"/>
      <c r="C96" s="51">
        <v>13</v>
      </c>
      <c r="D96" s="18">
        <f ca="1">((100/(D91+F91+H91))*C96)/100</f>
        <v>1</v>
      </c>
      <c r="E96" s="97"/>
      <c r="F96" s="98"/>
      <c r="G96" s="97"/>
      <c r="H96" s="102"/>
      <c r="I96" s="14" t="s">
        <v>99</v>
      </c>
      <c r="J96" s="30">
        <f ca="1">(IF(B91&gt;1,(H91/(B91+2)),H91/4))</f>
        <v>3</v>
      </c>
    </row>
    <row r="97" spans="1:10" ht="15.75" customHeight="1" x14ac:dyDescent="0.35">
      <c r="A97" s="90" t="s">
        <v>137</v>
      </c>
      <c r="B97" s="91" t="s">
        <v>131</v>
      </c>
      <c r="C97" s="51">
        <v>12</v>
      </c>
      <c r="D97" s="18">
        <f ca="1">((100/H91)*C97)/100</f>
        <v>1</v>
      </c>
      <c r="E97" s="97"/>
      <c r="F97" s="98"/>
      <c r="G97" s="97"/>
      <c r="H97" s="102"/>
      <c r="I97" s="14" t="s">
        <v>100</v>
      </c>
      <c r="J97" s="30">
        <f ca="1">(IF(B91&gt;1,(H91/(B91+2)+J96),H91/4+J96))</f>
        <v>6</v>
      </c>
    </row>
    <row r="98" spans="1:10" ht="15.75" customHeight="1" x14ac:dyDescent="0.35">
      <c r="A98" s="90" t="s">
        <v>138</v>
      </c>
      <c r="B98" s="91" t="s">
        <v>131</v>
      </c>
      <c r="C98" s="51">
        <v>12</v>
      </c>
      <c r="D98" s="18">
        <f ca="1">((100/H91)*C98)/100</f>
        <v>1</v>
      </c>
      <c r="E98" s="97"/>
      <c r="F98" s="98"/>
      <c r="G98" s="97"/>
      <c r="H98" s="102"/>
      <c r="I98" s="14" t="s">
        <v>147</v>
      </c>
      <c r="J98" s="30">
        <f>(IF(B91&gt;1,(H91/(B91+2)+J97),0))</f>
        <v>0</v>
      </c>
    </row>
    <row r="99" spans="1:10" ht="15" customHeight="1" x14ac:dyDescent="0.35">
      <c r="A99" s="90" t="s">
        <v>136</v>
      </c>
      <c r="B99" s="91" t="s">
        <v>133</v>
      </c>
      <c r="C99" s="51">
        <v>12</v>
      </c>
      <c r="D99" s="18">
        <f ca="1">((100/(H91))*C99)/100</f>
        <v>1</v>
      </c>
      <c r="E99" s="97"/>
      <c r="F99" s="98"/>
      <c r="G99" s="97"/>
      <c r="H99" s="102"/>
      <c r="I99" s="14" t="s">
        <v>144</v>
      </c>
      <c r="J99" s="30">
        <f>(IF(B91&gt;2,(H91/(B91+2)+J98),0))</f>
        <v>0</v>
      </c>
    </row>
    <row r="100" spans="1:10" ht="15.75" customHeight="1" x14ac:dyDescent="0.35">
      <c r="A100" s="90" t="s">
        <v>132</v>
      </c>
      <c r="B100" s="91" t="s">
        <v>132</v>
      </c>
      <c r="C100" s="51">
        <v>12</v>
      </c>
      <c r="D100" s="18">
        <f ca="1">((100/H91)*C100)/100</f>
        <v>1</v>
      </c>
      <c r="E100" s="97"/>
      <c r="F100" s="98"/>
      <c r="G100" s="97"/>
      <c r="H100" s="102"/>
      <c r="I100" s="14" t="s">
        <v>145</v>
      </c>
      <c r="J100" s="31">
        <f>(IF(B91&gt;3,(H91/(B91+2)+J99),0))</f>
        <v>0</v>
      </c>
    </row>
    <row r="101" spans="1:10" ht="15.75" customHeight="1" x14ac:dyDescent="0.35">
      <c r="A101" s="90" t="s">
        <v>139</v>
      </c>
      <c r="B101" s="91"/>
      <c r="C101" s="51">
        <v>12</v>
      </c>
      <c r="D101" s="18">
        <f ca="1">((100/H91)*C101)/100</f>
        <v>1</v>
      </c>
      <c r="E101" s="97"/>
      <c r="F101" s="98"/>
      <c r="G101" s="97"/>
      <c r="H101" s="102"/>
      <c r="I101" s="14" t="s">
        <v>146</v>
      </c>
      <c r="J101" s="30">
        <f>(IF(B91&gt;4,(H91/(B91+2)+J100),0))</f>
        <v>0</v>
      </c>
    </row>
    <row r="102" spans="1:10" ht="15.75" customHeight="1" x14ac:dyDescent="0.35">
      <c r="A102" s="90" t="s">
        <v>134</v>
      </c>
      <c r="B102" s="91" t="s">
        <v>134</v>
      </c>
      <c r="C102" s="51">
        <v>6</v>
      </c>
      <c r="D102" s="18">
        <f ca="1">((100/(H91))*C102)/100</f>
        <v>0.5</v>
      </c>
      <c r="E102" s="97"/>
      <c r="F102" s="98"/>
      <c r="G102" s="97"/>
      <c r="H102" s="102"/>
      <c r="I102" s="14" t="s">
        <v>148</v>
      </c>
      <c r="J102" s="30">
        <f ca="1">(IF(B91=1,(H91/(B91+3)+J97),IF(B91=0,(H91/4+J97),IF(B91&gt;1,0))))</f>
        <v>9</v>
      </c>
    </row>
    <row r="103" spans="1:10" ht="16" thickBot="1" x14ac:dyDescent="0.4">
      <c r="A103" s="92" t="s">
        <v>135</v>
      </c>
      <c r="B103" s="93"/>
      <c r="C103" s="52">
        <v>0</v>
      </c>
      <c r="D103" s="19">
        <f ca="1">((100/(H91))*C103)/100</f>
        <v>0</v>
      </c>
      <c r="E103" s="99"/>
      <c r="F103" s="100"/>
      <c r="G103" s="99"/>
      <c r="H103" s="103"/>
      <c r="I103" s="17" t="s">
        <v>101</v>
      </c>
      <c r="J103" s="32">
        <f ca="1">(IF(B91&gt;1.5,(H91/(B91+2)+J97+MAX(0,J98-J97)+MAX(0,J99-J98)+MAX(0,J100-J99)+MAX(0,J101-J100)+MAX(0,J102-J101)),IF(B91=1,(H91/(B91+3)+J102),IF(B91=0,H91/4+J102))))</f>
        <v>12</v>
      </c>
    </row>
    <row r="104" spans="1:10" ht="15.75" customHeight="1" x14ac:dyDescent="0.35">
      <c r="A104" s="119" t="s">
        <v>141</v>
      </c>
      <c r="B104" s="120"/>
      <c r="C104" s="104" t="s">
        <v>197</v>
      </c>
      <c r="D104" s="105"/>
      <c r="E104" s="105"/>
      <c r="F104" s="105"/>
      <c r="G104" s="105"/>
      <c r="H104" s="106"/>
      <c r="I104" s="15" t="str">
        <f ca="1">(IF(E108&gt;99%,"All work completed. Please provide OC.",IF(E108&gt;89.8%,"Plinth, RCC, Brick, Plaster, Flooring, Painting work Completed. Finishing work is in process.",IF(E108&lt;94%,(IF(C108=0,"Work not yet Started.",IF(D108=25%,"Piling work in process",IF(D108=50%,"Excavation work in process",IF(D108=100%,"Excavation work Completed. ","0")))&amp;(IF(C109=0%,"",IF(C109=J110,"Footing work is process",IF(C109=J111,"Footing work Completed",IF(C109=J112,"1st Basement Completed",IF(C109=J113,"1st &amp; 2nd Basement Completed",IF(C109=J114,"1st to 3rd Basement Completed",IF(C109=J115,"1st to 4th Basement Completed",IF(C109=J116,"Plinth work is process",IF(C109=J117,"Plinth work completed","0")))))))))))&amp;(IF(C110=(D105+F105+H105),", RCC Slab Completed",IF(C110&gt;0,", RCC upto "&amp;C110&amp;" Slab Completed",""))&amp;(IF(C111=H105,", Brickwork Completed",IF(C111&gt;0,", Brickwork upto "&amp;C111&amp;" Floor Completed",""))&amp;(IF(C112=H105,", Internal Plaster Completed",IF(C112&gt;0,", Internal Plaster upto "&amp;C112&amp;" Floor Completed",""))&amp;(IF(C113=H105,", External Plaster Completed",IF(C113&gt;0,", External Plaster upto "&amp;C113&amp;" Floor Completed",""))&amp;(IF(C114=H105,", Flooring Completed",IF(C114&gt;0,", Flooring upto "&amp;C114&amp;" Floor Completed",""))&amp;(IF(C115=H105,", Painting Completed",IF(C115&gt;0,", Painting upto "&amp;C115&amp;" Floor Completed",""))&amp;(IF(C116&gt;0,", Finishing upto "&amp;C116&amp;" Floor Completed","")&amp;(IF(C110&gt;0.5,".",""))))))))))))))</f>
        <v>Plinth, RCC, Brick, Plaster, Flooring, Painting work Completed. Finishing work is in process.</v>
      </c>
      <c r="J104" s="26"/>
    </row>
    <row r="105" spans="1:10" x14ac:dyDescent="0.35">
      <c r="A105" s="45" t="s">
        <v>143</v>
      </c>
      <c r="B105" s="46">
        <v>0</v>
      </c>
      <c r="C105" s="46" t="s">
        <v>68</v>
      </c>
      <c r="D105" s="46">
        <v>1</v>
      </c>
      <c r="E105" s="46" t="s">
        <v>67</v>
      </c>
      <c r="F105" s="46">
        <v>0</v>
      </c>
      <c r="G105" s="46" t="s">
        <v>77</v>
      </c>
      <c r="H105" s="47">
        <f ca="1">--TRIM(RIGHT(SUBSTITUTE(LEFT(C104,_xlfn.AGGREGATE(16,6,FIND({0,1,2,3,4,5,6,7,8,9},C104,ROW(INDIRECT("1:"&amp;LEN(C104)))),1))," ",REPT(" ",LEN(C104))),LEN(C104)))</f>
        <v>10</v>
      </c>
      <c r="I105" s="16"/>
      <c r="J105" s="27"/>
    </row>
    <row r="106" spans="1:10" ht="34.5" customHeight="1" x14ac:dyDescent="0.35">
      <c r="A106" s="108" t="s">
        <v>86</v>
      </c>
      <c r="B106" s="108"/>
      <c r="C106" s="109" t="str">
        <f ca="1">(IF($G$58="NA",I104,"All work Completed. OC Received."))</f>
        <v>Plinth, RCC, Brick, Plaster, Flooring, Painting work Completed. Finishing work is in process.</v>
      </c>
      <c r="D106" s="109"/>
      <c r="E106" s="109"/>
      <c r="F106" s="109"/>
      <c r="G106" s="109"/>
      <c r="H106" s="109"/>
      <c r="I106" s="16" t="s">
        <v>102</v>
      </c>
      <c r="J106" s="27"/>
    </row>
    <row r="107" spans="1:10" ht="15.75" customHeight="1" x14ac:dyDescent="0.35">
      <c r="A107" s="91" t="s">
        <v>45</v>
      </c>
      <c r="B107" s="91"/>
      <c r="C107" s="51" t="s">
        <v>140</v>
      </c>
      <c r="D107" s="51" t="s">
        <v>80</v>
      </c>
      <c r="E107" s="91" t="s">
        <v>82</v>
      </c>
      <c r="F107" s="91"/>
      <c r="G107" s="91" t="s">
        <v>81</v>
      </c>
      <c r="H107" s="91"/>
      <c r="I107" s="14" t="s">
        <v>142</v>
      </c>
      <c r="J107" s="28">
        <f ca="1">H105*25%</f>
        <v>2.5</v>
      </c>
    </row>
    <row r="108" spans="1:10" x14ac:dyDescent="0.35">
      <c r="A108" s="91" t="s">
        <v>129</v>
      </c>
      <c r="B108" s="91"/>
      <c r="C108" s="51">
        <f ca="1">J109</f>
        <v>10</v>
      </c>
      <c r="D108" s="18">
        <f ca="1">((100/H105)*C108)/100</f>
        <v>1</v>
      </c>
      <c r="E108" s="126">
        <f ca="1">(((C109/H105*10)+(40/(D105+F105+H105)*C110)+(7.5/(H105)*C111)+(7.5/(H105)*C112)+(10/H105*C113)+(10/H105*C114)+(5/H105*C115)+(5/H105*C116)+(5/H105*C117))/100)</f>
        <v>0.9</v>
      </c>
      <c r="F108" s="126"/>
      <c r="G108" s="126">
        <f ca="1">((((C108/H105)*20)+((C109/H105)*25)+(30/(H105+F105+D105)*C110)+(5/H105*C111)+(5/H105*C112)+(5/H105*C113)+(5/H105*C114)+(0/H105*C115)+(0/H105*C116)+(5/H105*C117))/100)</f>
        <v>0.95</v>
      </c>
      <c r="H108" s="126"/>
      <c r="I108" s="14" t="s">
        <v>97</v>
      </c>
      <c r="J108" s="29">
        <f ca="1">H105*50%</f>
        <v>5</v>
      </c>
    </row>
    <row r="109" spans="1:10" x14ac:dyDescent="0.35">
      <c r="A109" s="91" t="s">
        <v>46</v>
      </c>
      <c r="B109" s="91"/>
      <c r="C109" s="55">
        <f ca="1">J117</f>
        <v>10</v>
      </c>
      <c r="D109" s="18">
        <f ca="1">((100/H105)*C109)/100</f>
        <v>1</v>
      </c>
      <c r="E109" s="126"/>
      <c r="F109" s="126"/>
      <c r="G109" s="126"/>
      <c r="H109" s="126"/>
      <c r="I109" s="14" t="s">
        <v>98</v>
      </c>
      <c r="J109" s="29">
        <f ca="1">H105</f>
        <v>10</v>
      </c>
    </row>
    <row r="110" spans="1:10" ht="15.75" customHeight="1" x14ac:dyDescent="0.35">
      <c r="A110" s="91" t="s">
        <v>130</v>
      </c>
      <c r="B110" s="91"/>
      <c r="C110" s="51">
        <v>11</v>
      </c>
      <c r="D110" s="18">
        <f ca="1">((100/(D105+F105+H105))*C110)/100</f>
        <v>1.0000000000000002</v>
      </c>
      <c r="E110" s="126"/>
      <c r="F110" s="126"/>
      <c r="G110" s="126"/>
      <c r="H110" s="126"/>
      <c r="I110" s="14" t="s">
        <v>99</v>
      </c>
      <c r="J110" s="30">
        <f ca="1">(IF(B105&gt;1,(H105/(B105+2)),H105/4))</f>
        <v>2.5</v>
      </c>
    </row>
    <row r="111" spans="1:10" ht="15.75" customHeight="1" x14ac:dyDescent="0.35">
      <c r="A111" s="91" t="s">
        <v>137</v>
      </c>
      <c r="B111" s="91" t="s">
        <v>131</v>
      </c>
      <c r="C111" s="51">
        <v>10</v>
      </c>
      <c r="D111" s="18">
        <f ca="1">((100/H105)*C111)/100</f>
        <v>1</v>
      </c>
      <c r="E111" s="126"/>
      <c r="F111" s="126"/>
      <c r="G111" s="126"/>
      <c r="H111" s="126"/>
      <c r="I111" s="14" t="s">
        <v>100</v>
      </c>
      <c r="J111" s="30">
        <f ca="1">(IF(B105&gt;1,(H105/(B105+2)+J110),H105/4+J110))</f>
        <v>5</v>
      </c>
    </row>
    <row r="112" spans="1:10" ht="15.75" customHeight="1" x14ac:dyDescent="0.35">
      <c r="A112" s="91" t="s">
        <v>138</v>
      </c>
      <c r="B112" s="91" t="s">
        <v>131</v>
      </c>
      <c r="C112" s="51">
        <v>10</v>
      </c>
      <c r="D112" s="18">
        <f ca="1">((100/H105)*C112)/100</f>
        <v>1</v>
      </c>
      <c r="E112" s="126"/>
      <c r="F112" s="126"/>
      <c r="G112" s="126"/>
      <c r="H112" s="126"/>
      <c r="I112" s="14" t="s">
        <v>147</v>
      </c>
      <c r="J112" s="30">
        <f>(IF(B105&gt;1,(H105/(B105+2)+J111),0))</f>
        <v>0</v>
      </c>
    </row>
    <row r="113" spans="1:10" ht="15" customHeight="1" x14ac:dyDescent="0.35">
      <c r="A113" s="91" t="s">
        <v>136</v>
      </c>
      <c r="B113" s="91" t="s">
        <v>133</v>
      </c>
      <c r="C113" s="51">
        <v>10</v>
      </c>
      <c r="D113" s="18">
        <f ca="1">((100/(H105))*C113)/100</f>
        <v>1</v>
      </c>
      <c r="E113" s="126"/>
      <c r="F113" s="126"/>
      <c r="G113" s="126"/>
      <c r="H113" s="126"/>
      <c r="I113" s="14" t="s">
        <v>144</v>
      </c>
      <c r="J113" s="30">
        <f>(IF(B105&gt;2,(H105/(B105+2)+J112),0))</f>
        <v>0</v>
      </c>
    </row>
    <row r="114" spans="1:10" ht="15.75" customHeight="1" x14ac:dyDescent="0.35">
      <c r="A114" s="91" t="s">
        <v>132</v>
      </c>
      <c r="B114" s="91" t="s">
        <v>132</v>
      </c>
      <c r="C114" s="51">
        <v>10</v>
      </c>
      <c r="D114" s="18">
        <f ca="1">((100/H105)*C114)/100</f>
        <v>1</v>
      </c>
      <c r="E114" s="126"/>
      <c r="F114" s="126"/>
      <c r="G114" s="126"/>
      <c r="H114" s="126"/>
      <c r="I114" s="14" t="s">
        <v>145</v>
      </c>
      <c r="J114" s="31">
        <f>(IF(B105&gt;3,(H105/(B105+2)+J113),0))</f>
        <v>0</v>
      </c>
    </row>
    <row r="115" spans="1:10" ht="15.75" customHeight="1" x14ac:dyDescent="0.35">
      <c r="A115" s="91" t="s">
        <v>139</v>
      </c>
      <c r="B115" s="91"/>
      <c r="C115" s="51">
        <v>10</v>
      </c>
      <c r="D115" s="18">
        <f ca="1">((100/H105)*C115)/100</f>
        <v>1</v>
      </c>
      <c r="E115" s="126"/>
      <c r="F115" s="126"/>
      <c r="G115" s="126"/>
      <c r="H115" s="126"/>
      <c r="I115" s="14" t="s">
        <v>146</v>
      </c>
      <c r="J115" s="30">
        <f>(IF(B105&gt;4,(H105/(B105+2)+J114),0))</f>
        <v>0</v>
      </c>
    </row>
    <row r="116" spans="1:10" ht="15.75" customHeight="1" x14ac:dyDescent="0.35">
      <c r="A116" s="91" t="s">
        <v>134</v>
      </c>
      <c r="B116" s="91" t="s">
        <v>134</v>
      </c>
      <c r="C116" s="51">
        <v>0</v>
      </c>
      <c r="D116" s="18">
        <f ca="1">((100/(H105))*C116)/100</f>
        <v>0</v>
      </c>
      <c r="E116" s="126"/>
      <c r="F116" s="126"/>
      <c r="G116" s="126"/>
      <c r="H116" s="126"/>
      <c r="I116" s="14" t="s">
        <v>148</v>
      </c>
      <c r="J116" s="30">
        <f ca="1">(IF(B105=1,(H105/(B105+3)+J111),IF(B105=0,(H105/4+J111),IF(B105&gt;1,0))))</f>
        <v>7.5</v>
      </c>
    </row>
    <row r="117" spans="1:10" ht="16" thickBot="1" x14ac:dyDescent="0.4">
      <c r="A117" s="91" t="s">
        <v>135</v>
      </c>
      <c r="B117" s="91"/>
      <c r="C117" s="51">
        <v>0</v>
      </c>
      <c r="D117" s="18">
        <f ca="1">((100/(H105))*C117)/100</f>
        <v>0</v>
      </c>
      <c r="E117" s="126"/>
      <c r="F117" s="126"/>
      <c r="G117" s="126"/>
      <c r="H117" s="126"/>
      <c r="I117" s="17" t="s">
        <v>101</v>
      </c>
      <c r="J117" s="32">
        <f ca="1">(IF(B105&gt;1.5,(H105/(B105+2)+J111+MAX(0,J112-J111)+MAX(0,J113-J112)+MAX(0,J114-J113)+MAX(0,J115-J114)+MAX(0,J116-J115)),IF(B105=1,(H105/(B105+3)+J116),IF(B105=0,H105/4+J116))))</f>
        <v>10</v>
      </c>
    </row>
    <row r="118" spans="1:10" ht="15.75" hidden="1" customHeight="1" x14ac:dyDescent="0.35">
      <c r="A118" s="121" t="s">
        <v>141</v>
      </c>
      <c r="B118" s="122"/>
      <c r="C118" s="123" t="s">
        <v>212</v>
      </c>
      <c r="D118" s="124"/>
      <c r="E118" s="124"/>
      <c r="F118" s="124"/>
      <c r="G118" s="124"/>
      <c r="H118" s="125"/>
      <c r="I118" s="15" t="str">
        <f ca="1">(IF(E122&gt;99%,"All work completed. Please provide OC.",IF(E122&gt;89.8%,"Plinth, RCC, Brick, Plaster, Flooring, Painting work Completed. Finishing work is in process.",IF(E122&lt;94%,(IF(C122=0,"Work not yet Started.",IF(D122=25%,"Piling work in process",IF(D122=50%,"Excavation work in process",IF(D122=100%,"Excavation work Completed. ","0")))&amp;(IF(C123=0%,"",IF(C123=J124,"Footing work is process",IF(C123=J125,"Footing work Completed",IF(C123=J126,"1st Basement Completed",IF(C123=J127,"1st &amp; 2nd Basement Completed",IF(C123=J128,"1st to 3rd Basement Completed",IF(C123=J129,"1st to 4th Basement Completed",IF(C123=J130,"Plinth work is process",IF(C123=J131,"Plinth work completed","0")))))))))))&amp;(IF(C124=(D119+F119+H119),", RCC Slab Completed",IF(C124&gt;0,", RCC upto "&amp;C124&amp;" Slab Completed",""))&amp;(IF(C125=H119,", Brickwork Completed",IF(C125&gt;0,", Brickwork upto "&amp;C125&amp;" Floor Completed",""))&amp;(IF(C126=H119,", Internal Plaster Completed",IF(C126&gt;0,", Internal Plaster upto "&amp;C126&amp;" Floor Completed",""))&amp;(IF(C127=H119,", External Plaster Completed",IF(C127&gt;0,", External Plaster upto "&amp;C127&amp;" Floor Completed",""))&amp;(IF(C128=H119,", Flooring Completed",IF(C128&gt;0,", Flooring upto "&amp;C128&amp;" Floor Completed",""))&amp;(IF(C129=H119,", Painting Completed",IF(C129&gt;0,", Painting upto "&amp;C129&amp;" Floor Completed",""))&amp;(IF(C130&gt;0,", Finishing upto "&amp;C130&amp;" Floor Completed","")&amp;(IF(C124&gt;0.5,".",""))))))))))))))</f>
        <v>Excavation work Completed. Plinth work completed, RCC Slab Completed, Brickwork Completed, Internal Plaster Completed, External Plaster Completed, Flooring upto 9 Floor Completed, Painting upto 8 Floor Completed.</v>
      </c>
      <c r="J118" s="26"/>
    </row>
    <row r="119" spans="1:10" hidden="1" x14ac:dyDescent="0.35">
      <c r="A119" s="45" t="s">
        <v>143</v>
      </c>
      <c r="B119" s="46">
        <v>0</v>
      </c>
      <c r="C119" s="46" t="s">
        <v>68</v>
      </c>
      <c r="D119" s="46">
        <v>1</v>
      </c>
      <c r="E119" s="46" t="s">
        <v>67</v>
      </c>
      <c r="F119" s="46">
        <v>0</v>
      </c>
      <c r="G119" s="46" t="s">
        <v>77</v>
      </c>
      <c r="H119" s="47">
        <f ca="1">--TRIM(RIGHT(SUBSTITUTE(LEFT(C118,_xlfn.AGGREGATE(16,6,FIND({0,1,2,3,4,5,6,7,8,9},C118,ROW(INDIRECT("1:"&amp;LEN(C118)))),1))," ",REPT(" ",LEN(C118))),LEN(C118)))</f>
        <v>10</v>
      </c>
      <c r="I119" s="16"/>
      <c r="J119" s="27"/>
    </row>
    <row r="120" spans="1:10" ht="51.75" hidden="1" customHeight="1" x14ac:dyDescent="0.35">
      <c r="A120" s="107" t="s">
        <v>86</v>
      </c>
      <c r="B120" s="108"/>
      <c r="C120" s="109" t="str">
        <f ca="1">(IF($G$58="NA",I118,"All work Completed. OC Received."))</f>
        <v>Excavation work Completed. Plinth work completed, RCC Slab Completed, Brickwork Completed, Internal Plaster Completed, External Plaster Completed, Flooring upto 9 Floor Completed, Painting upto 8 Floor Completed.</v>
      </c>
      <c r="D120" s="109"/>
      <c r="E120" s="109"/>
      <c r="F120" s="109"/>
      <c r="G120" s="109"/>
      <c r="H120" s="110"/>
      <c r="I120" s="16" t="s">
        <v>102</v>
      </c>
      <c r="J120" s="27"/>
    </row>
    <row r="121" spans="1:10" ht="15.75" hidden="1" customHeight="1" x14ac:dyDescent="0.35">
      <c r="A121" s="90" t="s">
        <v>45</v>
      </c>
      <c r="B121" s="91"/>
      <c r="C121" s="51" t="s">
        <v>140</v>
      </c>
      <c r="D121" s="51" t="s">
        <v>80</v>
      </c>
      <c r="E121" s="91" t="s">
        <v>82</v>
      </c>
      <c r="F121" s="91"/>
      <c r="G121" s="91" t="s">
        <v>81</v>
      </c>
      <c r="H121" s="94"/>
      <c r="I121" s="14" t="s">
        <v>142</v>
      </c>
      <c r="J121" s="28">
        <f ca="1">H119*25%</f>
        <v>2.5</v>
      </c>
    </row>
    <row r="122" spans="1:10" hidden="1" x14ac:dyDescent="0.35">
      <c r="A122" s="90" t="s">
        <v>129</v>
      </c>
      <c r="B122" s="91"/>
      <c r="C122" s="51">
        <f ca="1">J123</f>
        <v>10</v>
      </c>
      <c r="D122" s="18">
        <f ca="1">((100/H119)*C122)/100</f>
        <v>1</v>
      </c>
      <c r="E122" s="95">
        <f ca="1">(((C123/H119*10)+(40/(D119+F119+H119)*C124)+(7.5/(H119)*C125)+(7.5/(H119)*C126)+(10/H119*C127)+(10/H119*C128)+(5/H119*C129)+(5/H119*C130)+(5/H119*C131))/100)</f>
        <v>0.88</v>
      </c>
      <c r="F122" s="96"/>
      <c r="G122" s="95">
        <f ca="1">((((C122/H119)*20)+((C123/H119)*25)+(30/(H119+F119+D119)*C124)+(5/H119*C125)+(5/H119*C126)+(5/H119*C127)+(5/H119*C128)+(0/H119*C129)+(0/H119*C130)+(5/H119*C131))/100)</f>
        <v>0.94499999999999995</v>
      </c>
      <c r="H122" s="101"/>
      <c r="I122" s="14" t="s">
        <v>97</v>
      </c>
      <c r="J122" s="29">
        <f ca="1">H119*50%</f>
        <v>5</v>
      </c>
    </row>
    <row r="123" spans="1:10" hidden="1" x14ac:dyDescent="0.35">
      <c r="A123" s="90" t="s">
        <v>46</v>
      </c>
      <c r="B123" s="91"/>
      <c r="C123" s="55">
        <f ca="1">J131</f>
        <v>10</v>
      </c>
      <c r="D123" s="18">
        <f ca="1">((100/H119)*C123)/100</f>
        <v>1</v>
      </c>
      <c r="E123" s="97"/>
      <c r="F123" s="98"/>
      <c r="G123" s="97"/>
      <c r="H123" s="102"/>
      <c r="I123" s="14" t="s">
        <v>98</v>
      </c>
      <c r="J123" s="29">
        <f ca="1">H119</f>
        <v>10</v>
      </c>
    </row>
    <row r="124" spans="1:10" ht="15.75" hidden="1" customHeight="1" x14ac:dyDescent="0.35">
      <c r="A124" s="90" t="s">
        <v>130</v>
      </c>
      <c r="B124" s="91"/>
      <c r="C124" s="51">
        <v>11</v>
      </c>
      <c r="D124" s="18">
        <f ca="1">((100/(D119+F119+H119))*C124)/100</f>
        <v>1.0000000000000002</v>
      </c>
      <c r="E124" s="97"/>
      <c r="F124" s="98"/>
      <c r="G124" s="97"/>
      <c r="H124" s="102"/>
      <c r="I124" s="14" t="s">
        <v>99</v>
      </c>
      <c r="J124" s="30">
        <f ca="1">(IF(B119&gt;1,(H119/(B119+2)),H119/4))</f>
        <v>2.5</v>
      </c>
    </row>
    <row r="125" spans="1:10" ht="15.75" hidden="1" customHeight="1" x14ac:dyDescent="0.35">
      <c r="A125" s="90" t="s">
        <v>137</v>
      </c>
      <c r="B125" s="91" t="s">
        <v>131</v>
      </c>
      <c r="C125" s="51">
        <v>10</v>
      </c>
      <c r="D125" s="18">
        <f ca="1">((100/H119)*C125)/100</f>
        <v>1</v>
      </c>
      <c r="E125" s="97"/>
      <c r="F125" s="98"/>
      <c r="G125" s="97"/>
      <c r="H125" s="102"/>
      <c r="I125" s="14" t="s">
        <v>100</v>
      </c>
      <c r="J125" s="30">
        <f ca="1">(IF(B119&gt;1,(H119/(B119+2)+J124),H119/4+J124))</f>
        <v>5</v>
      </c>
    </row>
    <row r="126" spans="1:10" ht="15.75" hidden="1" customHeight="1" x14ac:dyDescent="0.35">
      <c r="A126" s="90" t="s">
        <v>138</v>
      </c>
      <c r="B126" s="91" t="s">
        <v>131</v>
      </c>
      <c r="C126" s="51">
        <v>10</v>
      </c>
      <c r="D126" s="18">
        <f ca="1">((100/H119)*C126)/100</f>
        <v>1</v>
      </c>
      <c r="E126" s="97"/>
      <c r="F126" s="98"/>
      <c r="G126" s="97"/>
      <c r="H126" s="102"/>
      <c r="I126" s="14" t="s">
        <v>147</v>
      </c>
      <c r="J126" s="30">
        <f>(IF(B119&gt;1,(H119/(B119+2)+J125),0))</f>
        <v>0</v>
      </c>
    </row>
    <row r="127" spans="1:10" ht="15" hidden="1" customHeight="1" x14ac:dyDescent="0.35">
      <c r="A127" s="90" t="s">
        <v>136</v>
      </c>
      <c r="B127" s="91" t="s">
        <v>133</v>
      </c>
      <c r="C127" s="51">
        <v>10</v>
      </c>
      <c r="D127" s="18">
        <f ca="1">((100/(H119))*C127)/100</f>
        <v>1</v>
      </c>
      <c r="E127" s="97"/>
      <c r="F127" s="98"/>
      <c r="G127" s="97"/>
      <c r="H127" s="102"/>
      <c r="I127" s="14" t="s">
        <v>144</v>
      </c>
      <c r="J127" s="30">
        <f>(IF(B119&gt;2,(H119/(B119+2)+J126),0))</f>
        <v>0</v>
      </c>
    </row>
    <row r="128" spans="1:10" ht="15.75" hidden="1" customHeight="1" x14ac:dyDescent="0.35">
      <c r="A128" s="90" t="s">
        <v>132</v>
      </c>
      <c r="B128" s="91" t="s">
        <v>132</v>
      </c>
      <c r="C128" s="51">
        <v>9</v>
      </c>
      <c r="D128" s="18">
        <f ca="1">((100/H119)*C128)/100</f>
        <v>0.9</v>
      </c>
      <c r="E128" s="97"/>
      <c r="F128" s="98"/>
      <c r="G128" s="97"/>
      <c r="H128" s="102"/>
      <c r="I128" s="14" t="s">
        <v>145</v>
      </c>
      <c r="J128" s="31">
        <f>(IF(B119&gt;3,(H119/(B119+2)+J127),0))</f>
        <v>0</v>
      </c>
    </row>
    <row r="129" spans="1:10" ht="15.75" hidden="1" customHeight="1" x14ac:dyDescent="0.35">
      <c r="A129" s="90" t="s">
        <v>139</v>
      </c>
      <c r="B129" s="91"/>
      <c r="C129" s="51">
        <v>8</v>
      </c>
      <c r="D129" s="18">
        <f ca="1">((100/H119)*C129)/100</f>
        <v>0.8</v>
      </c>
      <c r="E129" s="97"/>
      <c r="F129" s="98"/>
      <c r="G129" s="97"/>
      <c r="H129" s="102"/>
      <c r="I129" s="14" t="s">
        <v>146</v>
      </c>
      <c r="J129" s="30">
        <f>(IF(B119&gt;4,(H119/(B119+2)+J128),0))</f>
        <v>0</v>
      </c>
    </row>
    <row r="130" spans="1:10" ht="15.75" hidden="1" customHeight="1" x14ac:dyDescent="0.35">
      <c r="A130" s="90" t="s">
        <v>134</v>
      </c>
      <c r="B130" s="91" t="s">
        <v>134</v>
      </c>
      <c r="C130" s="51">
        <v>0</v>
      </c>
      <c r="D130" s="18">
        <f ca="1">((100/(H119))*C130)/100</f>
        <v>0</v>
      </c>
      <c r="E130" s="97"/>
      <c r="F130" s="98"/>
      <c r="G130" s="97"/>
      <c r="H130" s="102"/>
      <c r="I130" s="14" t="s">
        <v>148</v>
      </c>
      <c r="J130" s="30">
        <f ca="1">(IF(B119=1,(H119/(B119+3)+J125),IF(B119=0,(H119/4+J125),IF(B119&gt;1,0))))</f>
        <v>7.5</v>
      </c>
    </row>
    <row r="131" spans="1:10" ht="16" hidden="1" thickBot="1" x14ac:dyDescent="0.4">
      <c r="A131" s="92" t="s">
        <v>135</v>
      </c>
      <c r="B131" s="93"/>
      <c r="C131" s="52">
        <v>0</v>
      </c>
      <c r="D131" s="19">
        <f ca="1">((100/(H119))*C131)/100</f>
        <v>0</v>
      </c>
      <c r="E131" s="99"/>
      <c r="F131" s="100"/>
      <c r="G131" s="99"/>
      <c r="H131" s="103"/>
      <c r="I131" s="17" t="s">
        <v>101</v>
      </c>
      <c r="J131" s="32">
        <f ca="1">(IF(B119&gt;1.5,(H119/(B119+2)+J125+MAX(0,J126-J125)+MAX(0,J127-J126)+MAX(0,J128-J127)+MAX(0,J129-J128)+MAX(0,J130-J129)),IF(B119=1,(H119/(B119+3)+J130),IF(B119=0,H119/4+J130))))</f>
        <v>10</v>
      </c>
    </row>
    <row r="132" spans="1:10" ht="15.75" customHeight="1" x14ac:dyDescent="0.35">
      <c r="A132" s="119" t="s">
        <v>141</v>
      </c>
      <c r="B132" s="120"/>
      <c r="C132" s="104" t="str">
        <f>D66</f>
        <v>Building No.4 = Gr/St + 1st to 13th Floor</v>
      </c>
      <c r="D132" s="105"/>
      <c r="E132" s="105"/>
      <c r="F132" s="105"/>
      <c r="G132" s="105"/>
      <c r="H132" s="106"/>
      <c r="I132" s="15" t="str">
        <f ca="1">(IF(E136&gt;99%,"All work completed. Please provide OC.",IF(E136&gt;89.8%,"Plinth, RCC, Brick, Plaster, Flooring, Painting work Completed. Finishing work is in process.",IF(E136&lt;94%,(IF(C136=0,"Work not yet Started.",IF(D136=25%,"Piling work in process",IF(D136=50%,"Excavation work in process",IF(D136=100%,"Excavation work Completed. ","0")))&amp;(IF(C137=0%,"",IF(C137=J138,"Footing work is process",IF(C137=J139,"Footing work Completed",IF(C137=J140,"1st Basement Completed",IF(C137=J141,"1st &amp; 2nd Basement Completed",IF(C137=J142,"1st to 3rd Basement Completed",IF(C137=J143,"1st to 4th Basement Completed",IF(C137=J144,"Plinth work is process",IF(C137=J145,"Plinth work completed","0")))))))))))&amp;(IF(C138=(D133+F133+H133),", RCC Slab Completed",IF(C138&gt;0,", RCC upto "&amp;C138&amp;" Slab Completed",""))&amp;(IF(C139=H133,", Brickwork Completed",IF(C139&gt;0,", Brickwork upto "&amp;C139&amp;" Floor Completed",""))&amp;(IF(C140=H133,", Internal Plaster Completed",IF(C140&gt;0,", Internal Plaster upto "&amp;C140&amp;" Floor Completed",""))&amp;(IF(C141=H133,", External Plaster Completed",IF(C141&gt;0,", External Plaster upto "&amp;C141&amp;" Floor Completed",""))&amp;(IF(C142=H133,", Flooring Completed",IF(C142&gt;0,", Flooring upto "&amp;C142&amp;" Floor Completed",""))&amp;(IF(C143=H133,", Painting Completed",IF(C143&gt;0,", Painting upto "&amp;C143&amp;" Floor Completed",""))&amp;(IF(C144&gt;0,", Finishing upto "&amp;C144&amp;" Floor Completed","")&amp;(IF(C138&gt;0.5,".",""))))))))))))))</f>
        <v>Excavation work Completed. Plinth work completed, RCC Slab Completed, Brickwork Completed, Internal Plaster Completed, External Plaster Completed, Flooring upto 12 Floor Completed, Painting upto 12 Floor Completed.</v>
      </c>
      <c r="J132" s="26"/>
    </row>
    <row r="133" spans="1:10" x14ac:dyDescent="0.35">
      <c r="A133" s="45" t="s">
        <v>143</v>
      </c>
      <c r="B133" s="46">
        <v>0</v>
      </c>
      <c r="C133" s="46" t="s">
        <v>68</v>
      </c>
      <c r="D133" s="46">
        <v>1</v>
      </c>
      <c r="E133" s="46" t="s">
        <v>67</v>
      </c>
      <c r="F133" s="46">
        <v>0</v>
      </c>
      <c r="G133" s="46" t="s">
        <v>77</v>
      </c>
      <c r="H133" s="47">
        <f ca="1">--TRIM(RIGHT(SUBSTITUTE(LEFT(C132,_xlfn.AGGREGATE(16,6,FIND({0,1,2,3,4,5,6,7,8,9},C132,ROW(INDIRECT("1:"&amp;LEN(C132)))),1))," ",REPT(" ",LEN(C132))),LEN(C132)))</f>
        <v>13</v>
      </c>
      <c r="I133" s="16"/>
      <c r="J133" s="27"/>
    </row>
    <row r="134" spans="1:10" ht="49" customHeight="1" x14ac:dyDescent="0.35">
      <c r="A134" s="107" t="s">
        <v>86</v>
      </c>
      <c r="B134" s="108"/>
      <c r="C134" s="109" t="str">
        <f ca="1">(IF($G$58="NA",I132,"All work Completed. OC Received."))</f>
        <v>Excavation work Completed. Plinth work completed, RCC Slab Completed, Brickwork Completed, Internal Plaster Completed, External Plaster Completed, Flooring upto 12 Floor Completed, Painting upto 12 Floor Completed.</v>
      </c>
      <c r="D134" s="109"/>
      <c r="E134" s="109"/>
      <c r="F134" s="109"/>
      <c r="G134" s="109"/>
      <c r="H134" s="110"/>
      <c r="I134" s="16" t="s">
        <v>102</v>
      </c>
      <c r="J134" s="27"/>
    </row>
    <row r="135" spans="1:10" ht="15.75" customHeight="1" x14ac:dyDescent="0.35">
      <c r="A135" s="90" t="s">
        <v>45</v>
      </c>
      <c r="B135" s="91"/>
      <c r="C135" s="51" t="s">
        <v>140</v>
      </c>
      <c r="D135" s="51" t="s">
        <v>80</v>
      </c>
      <c r="E135" s="91" t="s">
        <v>82</v>
      </c>
      <c r="F135" s="91"/>
      <c r="G135" s="91" t="s">
        <v>81</v>
      </c>
      <c r="H135" s="94"/>
      <c r="I135" s="14" t="s">
        <v>142</v>
      </c>
      <c r="J135" s="28">
        <f ca="1">H133*25%</f>
        <v>3.25</v>
      </c>
    </row>
    <row r="136" spans="1:10" x14ac:dyDescent="0.35">
      <c r="A136" s="91" t="s">
        <v>129</v>
      </c>
      <c r="B136" s="91"/>
      <c r="C136" s="51">
        <f ca="1">J137</f>
        <v>13</v>
      </c>
      <c r="D136" s="18">
        <f ca="1">((100/H133)*C136)/100</f>
        <v>1</v>
      </c>
      <c r="E136" s="126">
        <f ca="1">(((C137/H133*10)+(40/(D133+F133+H133)*C138)+(7.5/(H133)*C139)+(7.5/(H133)*C140)+(10/H133*C141)+(10/H133*C142)+(5/H133*C143)+(5/H133*C144)+(5/H133*C145))/100)</f>
        <v>0.88846153846153841</v>
      </c>
      <c r="F136" s="126"/>
      <c r="G136" s="126">
        <f ca="1">((((C136/H133)*20)+((C137/H133)*25)+(30/(H133+F133+D133)*C138)+(5/H133*C139)+(5/H133*C140)+(5/H133*C141)+(5/H133*C142)+(0/H133*C143)+(0/H133*C144)+(5/H133*C145))/100)</f>
        <v>0.94615384615384612</v>
      </c>
      <c r="H136" s="126"/>
      <c r="I136" s="14" t="s">
        <v>97</v>
      </c>
      <c r="J136" s="29">
        <f ca="1">H133*50%</f>
        <v>6.5</v>
      </c>
    </row>
    <row r="137" spans="1:10" x14ac:dyDescent="0.35">
      <c r="A137" s="91" t="s">
        <v>46</v>
      </c>
      <c r="B137" s="91"/>
      <c r="C137" s="55">
        <f ca="1">J145</f>
        <v>13</v>
      </c>
      <c r="D137" s="18">
        <f ca="1">((100/H133)*C137)/100</f>
        <v>1</v>
      </c>
      <c r="E137" s="126"/>
      <c r="F137" s="126"/>
      <c r="G137" s="126"/>
      <c r="H137" s="126"/>
      <c r="I137" s="14" t="s">
        <v>98</v>
      </c>
      <c r="J137" s="29">
        <f ca="1">H133</f>
        <v>13</v>
      </c>
    </row>
    <row r="138" spans="1:10" ht="15.75" customHeight="1" x14ac:dyDescent="0.35">
      <c r="A138" s="91" t="s">
        <v>130</v>
      </c>
      <c r="B138" s="91"/>
      <c r="C138" s="51">
        <v>14</v>
      </c>
      <c r="D138" s="18">
        <f ca="1">((100/(D133+F133+H133))*C138)/100</f>
        <v>1</v>
      </c>
      <c r="E138" s="126"/>
      <c r="F138" s="126"/>
      <c r="G138" s="126"/>
      <c r="H138" s="126"/>
      <c r="I138" s="14" t="s">
        <v>99</v>
      </c>
      <c r="J138" s="30">
        <f ca="1">(IF(B133&gt;1,(H133/(B133+2)),H133/4))</f>
        <v>3.25</v>
      </c>
    </row>
    <row r="139" spans="1:10" ht="15.75" customHeight="1" x14ac:dyDescent="0.35">
      <c r="A139" s="91" t="s">
        <v>137</v>
      </c>
      <c r="B139" s="91" t="s">
        <v>131</v>
      </c>
      <c r="C139" s="51">
        <v>13</v>
      </c>
      <c r="D139" s="18">
        <f ca="1">((100/H133)*C139)/100</f>
        <v>1</v>
      </c>
      <c r="E139" s="126"/>
      <c r="F139" s="126"/>
      <c r="G139" s="126"/>
      <c r="H139" s="126"/>
      <c r="I139" s="14" t="s">
        <v>100</v>
      </c>
      <c r="J139" s="30">
        <f ca="1">(IF(B133&gt;1,(H133/(B133+2)+J138),H133/4+J138))</f>
        <v>6.5</v>
      </c>
    </row>
    <row r="140" spans="1:10" ht="15.75" customHeight="1" x14ac:dyDescent="0.35">
      <c r="A140" s="91" t="s">
        <v>138</v>
      </c>
      <c r="B140" s="91" t="s">
        <v>131</v>
      </c>
      <c r="C140" s="51">
        <v>13</v>
      </c>
      <c r="D140" s="18">
        <f ca="1">((100/H133)*C140)/100</f>
        <v>1</v>
      </c>
      <c r="E140" s="126"/>
      <c r="F140" s="126"/>
      <c r="G140" s="126"/>
      <c r="H140" s="126"/>
      <c r="I140" s="14" t="s">
        <v>147</v>
      </c>
      <c r="J140" s="30">
        <f>(IF(B133&gt;1,(H133/(B133+2)+J139),0))</f>
        <v>0</v>
      </c>
    </row>
    <row r="141" spans="1:10" ht="15" customHeight="1" x14ac:dyDescent="0.35">
      <c r="A141" s="91" t="s">
        <v>136</v>
      </c>
      <c r="B141" s="91" t="s">
        <v>133</v>
      </c>
      <c r="C141" s="51">
        <v>13</v>
      </c>
      <c r="D141" s="18">
        <f ca="1">((100/(H133))*C141)/100</f>
        <v>1</v>
      </c>
      <c r="E141" s="126"/>
      <c r="F141" s="126"/>
      <c r="G141" s="126"/>
      <c r="H141" s="126"/>
      <c r="I141" s="14" t="s">
        <v>144</v>
      </c>
      <c r="J141" s="30">
        <f>(IF(B133&gt;2,(H133/(B133+2)+J140),0))</f>
        <v>0</v>
      </c>
    </row>
    <row r="142" spans="1:10" ht="15.75" customHeight="1" x14ac:dyDescent="0.35">
      <c r="A142" s="91" t="s">
        <v>132</v>
      </c>
      <c r="B142" s="91" t="s">
        <v>132</v>
      </c>
      <c r="C142" s="51">
        <v>12</v>
      </c>
      <c r="D142" s="18">
        <f ca="1">((100/H133)*C142)/100</f>
        <v>0.92307692307692302</v>
      </c>
      <c r="E142" s="126"/>
      <c r="F142" s="126"/>
      <c r="G142" s="126"/>
      <c r="H142" s="126"/>
      <c r="I142" s="14" t="s">
        <v>145</v>
      </c>
      <c r="J142" s="31">
        <f>(IF(B133&gt;3,(H133/(B133+2)+J141),0))</f>
        <v>0</v>
      </c>
    </row>
    <row r="143" spans="1:10" ht="15.75" customHeight="1" x14ac:dyDescent="0.35">
      <c r="A143" s="91" t="s">
        <v>139</v>
      </c>
      <c r="B143" s="91"/>
      <c r="C143" s="51">
        <v>12</v>
      </c>
      <c r="D143" s="18">
        <f ca="1">((100/H133)*C143)/100</f>
        <v>0.92307692307692302</v>
      </c>
      <c r="E143" s="126"/>
      <c r="F143" s="126"/>
      <c r="G143" s="126"/>
      <c r="H143" s="126"/>
      <c r="I143" s="14" t="s">
        <v>146</v>
      </c>
      <c r="J143" s="30">
        <f>(IF(B133&gt;4,(H133/(B133+2)+J142),0))</f>
        <v>0</v>
      </c>
    </row>
    <row r="144" spans="1:10" ht="15.75" customHeight="1" x14ac:dyDescent="0.35">
      <c r="A144" s="91" t="s">
        <v>134</v>
      </c>
      <c r="B144" s="91" t="s">
        <v>134</v>
      </c>
      <c r="C144" s="51">
        <v>0</v>
      </c>
      <c r="D144" s="18">
        <f ca="1">((100/(H133))*C144)/100</f>
        <v>0</v>
      </c>
      <c r="E144" s="126"/>
      <c r="F144" s="126"/>
      <c r="G144" s="126"/>
      <c r="H144" s="126"/>
      <c r="I144" s="14" t="s">
        <v>148</v>
      </c>
      <c r="J144" s="30">
        <f ca="1">(IF(B133=1,(H133/(B133+3)+J139),IF(B133=0,(H133/4+J139),IF(B133&gt;1,0))))</f>
        <v>9.75</v>
      </c>
    </row>
    <row r="145" spans="1:10" ht="16" thickBot="1" x14ac:dyDescent="0.4">
      <c r="A145" s="91" t="s">
        <v>135</v>
      </c>
      <c r="B145" s="91"/>
      <c r="C145" s="51">
        <v>0</v>
      </c>
      <c r="D145" s="18">
        <f ca="1">((100/(H133))*C145)/100</f>
        <v>0</v>
      </c>
      <c r="E145" s="126"/>
      <c r="F145" s="126"/>
      <c r="G145" s="126"/>
      <c r="H145" s="126"/>
      <c r="I145" s="17" t="s">
        <v>101</v>
      </c>
      <c r="J145" s="32">
        <f ca="1">(IF(B133&gt;1.5,(H133/(B133+2)+J139+MAX(0,J140-J139)+MAX(0,J141-J140)+MAX(0,J142-J141)+MAX(0,J143-J142)+MAX(0,J144-J143)),IF(B133=1,(H133/(B133+3)+J144),IF(B133=0,H133/4+J144))))</f>
        <v>13</v>
      </c>
    </row>
    <row r="146" spans="1:10" ht="15.75" customHeight="1" x14ac:dyDescent="0.35">
      <c r="A146" s="109" t="s">
        <v>141</v>
      </c>
      <c r="B146" s="109"/>
      <c r="C146" s="109" t="s">
        <v>299</v>
      </c>
      <c r="D146" s="109"/>
      <c r="E146" s="109"/>
      <c r="F146" s="109"/>
      <c r="G146" s="109"/>
      <c r="H146" s="109"/>
      <c r="I146" s="15" t="str">
        <f ca="1">(IF(E150&gt;99%,"All work completed. Please provide OC.",IF(E150&gt;89.8%,"Plinth, RCC, Brick, Plaster, Flooring, Painting work Completed. Finishing work is in process.",IF(E150&lt;94%,(IF(C150=0,"Work not yet Started.",IF(D150=25%,"Piling work in process",IF(D150=50%,"Excavation work in process",IF(D150=100%,"Excavation work Completed. ","0")))&amp;(IF(C151=0%,"",IF(C151=J152,"Footing work is process",IF(C151=J153,"Footing work Completed",IF(C151=J154,"1st Basement Completed",IF(C151=J155,"1st &amp; 2nd Basement Completed",IF(C151=J156,"1st to 3rd Basement Completed",IF(C151=J157,"1st to 4th Basement Completed",IF(C151=J158,"Plinth work is process",IF(C151=J159,"Plinth work completed","0")))))))))))&amp;(IF(C152=(D147+F147+H147),", RCC Slab Completed",IF(C152&gt;0,", RCC upto "&amp;C152&amp;" Slab Completed",""))&amp;(IF(C153=H147,", Brickwork Completed",IF(C153&gt;0,", Brickwork upto "&amp;C153&amp;" Floor Completed",""))&amp;(IF(C154=H147,", Internal Plaster Completed",IF(C154&gt;0,", Internal Plaster upto "&amp;C154&amp;" Floor Completed",""))&amp;(IF(C155=H147,", External Plaster Completed",IF(C155&gt;0,", External Plaster upto "&amp;C155&amp;" Floor Completed",""))&amp;(IF(C156=H147,", Flooring Completed",IF(C156&gt;0,", Flooring upto "&amp;C156&amp;" Floor Completed",""))&amp;(IF(C157=H147,", Painting Completed",IF(C157&gt;0,", Painting upto "&amp;C157&amp;" Floor Completed",""))&amp;(IF(C158&gt;0,", Finishing upto "&amp;C158&amp;" Floor Completed","")&amp;(IF(C152&gt;0.5,".",""))))))))))))))</f>
        <v>Excavation work Completed. Plinth work completed, RCC Slab Completed, Brickwork Completed, Internal Plaster Completed, External Plaster Completed, Flooring Completed, Painting upto 11 Floor Completed.</v>
      </c>
      <c r="J146" s="26"/>
    </row>
    <row r="147" spans="1:10" x14ac:dyDescent="0.35">
      <c r="A147" s="46" t="s">
        <v>143</v>
      </c>
      <c r="B147" s="46">
        <v>0</v>
      </c>
      <c r="C147" s="46" t="s">
        <v>68</v>
      </c>
      <c r="D147" s="46">
        <v>1</v>
      </c>
      <c r="E147" s="46" t="s">
        <v>67</v>
      </c>
      <c r="F147" s="46">
        <v>0</v>
      </c>
      <c r="G147" s="46" t="s">
        <v>77</v>
      </c>
      <c r="H147" s="46">
        <f ca="1">--TRIM(RIGHT(SUBSTITUTE(LEFT(C146,_xlfn.AGGREGATE(16,6,FIND({0,1,2,3,4,5,6,7,8,9},C146,ROW(INDIRECT("1:"&amp;LEN(C146)))),1))," ",REPT(" ",LEN(C146))),LEN(C146)))</f>
        <v>12</v>
      </c>
      <c r="I147" s="16"/>
      <c r="J147" s="27"/>
    </row>
    <row r="148" spans="1:10" ht="50.25" customHeight="1" x14ac:dyDescent="0.35">
      <c r="A148" s="108" t="s">
        <v>86</v>
      </c>
      <c r="B148" s="108"/>
      <c r="C148" s="109" t="str">
        <f ca="1">(IF($G$58="NA",I146,"All work Completed. OC Received."))</f>
        <v>Excavation work Completed. Plinth work completed, RCC Slab Completed, Brickwork Completed, Internal Plaster Completed, External Plaster Completed, Flooring Completed, Painting upto 11 Floor Completed.</v>
      </c>
      <c r="D148" s="109"/>
      <c r="E148" s="109"/>
      <c r="F148" s="109"/>
      <c r="G148" s="109"/>
      <c r="H148" s="109"/>
      <c r="I148" s="16" t="s">
        <v>102</v>
      </c>
      <c r="J148" s="27"/>
    </row>
    <row r="149" spans="1:10" ht="15.75" customHeight="1" x14ac:dyDescent="0.35">
      <c r="A149" s="91" t="s">
        <v>45</v>
      </c>
      <c r="B149" s="91"/>
      <c r="C149" s="51" t="s">
        <v>140</v>
      </c>
      <c r="D149" s="51" t="s">
        <v>80</v>
      </c>
      <c r="E149" s="91" t="s">
        <v>82</v>
      </c>
      <c r="F149" s="91"/>
      <c r="G149" s="91" t="s">
        <v>81</v>
      </c>
      <c r="H149" s="91"/>
      <c r="I149" s="14" t="s">
        <v>142</v>
      </c>
      <c r="J149" s="28">
        <f ca="1">H147*25%</f>
        <v>3</v>
      </c>
    </row>
    <row r="150" spans="1:10" x14ac:dyDescent="0.35">
      <c r="A150" s="91" t="s">
        <v>129</v>
      </c>
      <c r="B150" s="91"/>
      <c r="C150" s="51">
        <f ca="1">J151</f>
        <v>12</v>
      </c>
      <c r="D150" s="18">
        <f ca="1">((100/H147)*C150)/100</f>
        <v>1</v>
      </c>
      <c r="E150" s="126">
        <f ca="1">(((C151/H147*10)+(40/(D147+F147+H147)*C152)+(7.5/(H147)*C153)+(7.5/(H147)*C154)+(10/H147*C155)+(10/H147*C156)+(5/H147*C157)+(5/H147*C158)+(5/H147*C159))/100)</f>
        <v>0.89583333333333326</v>
      </c>
      <c r="F150" s="126"/>
      <c r="G150" s="126">
        <f ca="1">((((C150/H147)*20)+((C151/H147)*25)+(30/(H147+F147+D147)*C152)+(5/H147*C153)+(5/H147*C154)+(5/H147*C155)+(5/H147*C156)+(0/H147*C157)+(0/H147*C158)+(5/H147*C159))/100)</f>
        <v>0.95</v>
      </c>
      <c r="H150" s="126"/>
      <c r="I150" s="14" t="s">
        <v>97</v>
      </c>
      <c r="J150" s="29">
        <f ca="1">H147*50%</f>
        <v>6</v>
      </c>
    </row>
    <row r="151" spans="1:10" x14ac:dyDescent="0.35">
      <c r="A151" s="91" t="s">
        <v>46</v>
      </c>
      <c r="B151" s="91"/>
      <c r="C151" s="55">
        <f ca="1">J159</f>
        <v>12</v>
      </c>
      <c r="D151" s="18">
        <f ca="1">((100/H147)*C151)/100</f>
        <v>1</v>
      </c>
      <c r="E151" s="126"/>
      <c r="F151" s="126"/>
      <c r="G151" s="126"/>
      <c r="H151" s="126"/>
      <c r="I151" s="14" t="s">
        <v>98</v>
      </c>
      <c r="J151" s="29">
        <f ca="1">H147</f>
        <v>12</v>
      </c>
    </row>
    <row r="152" spans="1:10" ht="15.75" customHeight="1" x14ac:dyDescent="0.35">
      <c r="A152" s="91" t="s">
        <v>130</v>
      </c>
      <c r="B152" s="91"/>
      <c r="C152" s="51">
        <v>13</v>
      </c>
      <c r="D152" s="18">
        <f ca="1">((100/(D147+F147+H147))*C152)/100</f>
        <v>1</v>
      </c>
      <c r="E152" s="126"/>
      <c r="F152" s="126"/>
      <c r="G152" s="126"/>
      <c r="H152" s="126"/>
      <c r="I152" s="14" t="s">
        <v>99</v>
      </c>
      <c r="J152" s="30">
        <f ca="1">(IF(B147&gt;1,(H147/(B147+2)),H147/4))</f>
        <v>3</v>
      </c>
    </row>
    <row r="153" spans="1:10" ht="15.75" customHeight="1" x14ac:dyDescent="0.35">
      <c r="A153" s="91" t="s">
        <v>137</v>
      </c>
      <c r="B153" s="91" t="s">
        <v>131</v>
      </c>
      <c r="C153" s="51">
        <v>12</v>
      </c>
      <c r="D153" s="18">
        <f ca="1">((100/H147)*C153)/100</f>
        <v>1</v>
      </c>
      <c r="E153" s="126"/>
      <c r="F153" s="126"/>
      <c r="G153" s="126"/>
      <c r="H153" s="126"/>
      <c r="I153" s="14" t="s">
        <v>100</v>
      </c>
      <c r="J153" s="30">
        <f ca="1">(IF(B147&gt;1,(H147/(B147+2)+J152),H147/4+J152))</f>
        <v>6</v>
      </c>
    </row>
    <row r="154" spans="1:10" ht="15.75" customHeight="1" x14ac:dyDescent="0.35">
      <c r="A154" s="91" t="s">
        <v>138</v>
      </c>
      <c r="B154" s="91" t="s">
        <v>131</v>
      </c>
      <c r="C154" s="51">
        <v>12</v>
      </c>
      <c r="D154" s="18">
        <f ca="1">((100/H147)*C154)/100</f>
        <v>1</v>
      </c>
      <c r="E154" s="126"/>
      <c r="F154" s="126"/>
      <c r="G154" s="126"/>
      <c r="H154" s="126"/>
      <c r="I154" s="14" t="s">
        <v>147</v>
      </c>
      <c r="J154" s="30">
        <f>(IF(B147&gt;1,(H147/(B147+2)+J153),0))</f>
        <v>0</v>
      </c>
    </row>
    <row r="155" spans="1:10" ht="15" customHeight="1" x14ac:dyDescent="0.35">
      <c r="A155" s="91" t="s">
        <v>136</v>
      </c>
      <c r="B155" s="91" t="s">
        <v>133</v>
      </c>
      <c r="C155" s="51">
        <v>12</v>
      </c>
      <c r="D155" s="18">
        <f ca="1">((100/(H147))*C155)/100</f>
        <v>1</v>
      </c>
      <c r="E155" s="126"/>
      <c r="F155" s="126"/>
      <c r="G155" s="126"/>
      <c r="H155" s="126"/>
      <c r="I155" s="14" t="s">
        <v>144</v>
      </c>
      <c r="J155" s="30">
        <f>(IF(B147&gt;2,(H147/(B147+2)+J154),0))</f>
        <v>0</v>
      </c>
    </row>
    <row r="156" spans="1:10" ht="15.75" customHeight="1" x14ac:dyDescent="0.35">
      <c r="A156" s="91" t="s">
        <v>132</v>
      </c>
      <c r="B156" s="91" t="s">
        <v>132</v>
      </c>
      <c r="C156" s="51">
        <v>12</v>
      </c>
      <c r="D156" s="18">
        <f ca="1">((100/H147)*C156)/100</f>
        <v>1</v>
      </c>
      <c r="E156" s="126"/>
      <c r="F156" s="126"/>
      <c r="G156" s="126"/>
      <c r="H156" s="126"/>
      <c r="I156" s="14" t="s">
        <v>145</v>
      </c>
      <c r="J156" s="31">
        <f>(IF(B147&gt;3,(H147/(B147+2)+J155),0))</f>
        <v>0</v>
      </c>
    </row>
    <row r="157" spans="1:10" ht="15.75" customHeight="1" x14ac:dyDescent="0.35">
      <c r="A157" s="91" t="s">
        <v>139</v>
      </c>
      <c r="B157" s="91"/>
      <c r="C157" s="51">
        <v>11</v>
      </c>
      <c r="D157" s="18">
        <f ca="1">((100/H147)*C157)/100</f>
        <v>0.91666666666666674</v>
      </c>
      <c r="E157" s="126"/>
      <c r="F157" s="126"/>
      <c r="G157" s="126"/>
      <c r="H157" s="126"/>
      <c r="I157" s="14" t="s">
        <v>146</v>
      </c>
      <c r="J157" s="30">
        <f>(IF(B147&gt;4,(H147/(B147+2)+J156),0))</f>
        <v>0</v>
      </c>
    </row>
    <row r="158" spans="1:10" ht="15.75" customHeight="1" x14ac:dyDescent="0.35">
      <c r="A158" s="91" t="s">
        <v>134</v>
      </c>
      <c r="B158" s="91" t="s">
        <v>134</v>
      </c>
      <c r="C158" s="51">
        <v>0</v>
      </c>
      <c r="D158" s="18">
        <f ca="1">((100/(H147))*C158)/100</f>
        <v>0</v>
      </c>
      <c r="E158" s="126"/>
      <c r="F158" s="126"/>
      <c r="G158" s="126"/>
      <c r="H158" s="126"/>
      <c r="I158" s="14" t="s">
        <v>148</v>
      </c>
      <c r="J158" s="30">
        <f ca="1">(IF(B147=1,(H147/(B147+3)+J153),IF(B147=0,(H147/4+J153),IF(B147&gt;1,0))))</f>
        <v>9</v>
      </c>
    </row>
    <row r="159" spans="1:10" ht="16" thickBot="1" x14ac:dyDescent="0.4">
      <c r="A159" s="91" t="s">
        <v>135</v>
      </c>
      <c r="B159" s="91"/>
      <c r="C159" s="51">
        <v>0</v>
      </c>
      <c r="D159" s="18">
        <f ca="1">((100/(H147))*C159)/100</f>
        <v>0</v>
      </c>
      <c r="E159" s="126"/>
      <c r="F159" s="126"/>
      <c r="G159" s="126"/>
      <c r="H159" s="126"/>
      <c r="I159" s="17" t="s">
        <v>101</v>
      </c>
      <c r="J159" s="32">
        <f ca="1">(IF(B147&gt;1.5,(H147/(B147+2)+J153+MAX(0,J154-J153)+MAX(0,J155-J154)+MAX(0,J156-J155)+MAX(0,J157-J156)+MAX(0,J158-J157)),IF(B147=1,(H147/(B147+3)+J158),IF(B147=0,H147/4+J158))))</f>
        <v>12</v>
      </c>
    </row>
    <row r="160" spans="1:10" ht="15.75" hidden="1" customHeight="1" x14ac:dyDescent="0.35">
      <c r="A160" s="121" t="s">
        <v>141</v>
      </c>
      <c r="B160" s="122"/>
      <c r="C160" s="123" t="str">
        <f>D68</f>
        <v>Building No.5 (Wing B) = Gr/St + 1st to 12th Floor</v>
      </c>
      <c r="D160" s="124"/>
      <c r="E160" s="124"/>
      <c r="F160" s="124"/>
      <c r="G160" s="124"/>
      <c r="H160" s="125"/>
      <c r="I160" s="15" t="str">
        <f ca="1">(IF(E164&gt;99%,"All work completed. Please provide OC.",IF(E164&gt;89.8%,"Plinth, RCC, Brick, Plaster, Flooring, Painting work Completed. Finishing work is in process.",IF(E164&lt;94%,(IF(C164=0,"Work not yet Started.",IF(D164=25%,"Piling work in process",IF(D164=50%,"Excavation work in process",IF(D164=100%,"Excavation work Completed. ","0")))&amp;(IF(C165=0%,"",IF(C165=J166,"Footing work is process",IF(C165=J167,"Footing work Completed",IF(C165=J168,"1st Basement Completed",IF(C165=J169,"1st &amp; 2nd Basement Completed",IF(C165=J170,"1st to 3rd Basement Completed",IF(C165=J171,"1st to 4th Basement Completed",IF(C165=J172,"Plinth work is process",IF(C165=J173,"Plinth work completed","0")))))))))))&amp;(IF(C166=(D161+F161+H161),", RCC Slab Completed",IF(C166&gt;0,", RCC upto "&amp;C166&amp;" Slab Completed",""))&amp;(IF(C167=H161,", Brickwork Completed",IF(C167&gt;0,", Brickwork upto "&amp;C167&amp;" Floor Completed",""))&amp;(IF(C168=H161,", Internal Plaster Completed",IF(C168&gt;0,", Internal Plaster upto "&amp;C168&amp;" Floor Completed",""))&amp;(IF(C169=H161,", External Plaster Completed",IF(C169&gt;0,", External Plaster upto "&amp;C169&amp;" Floor Completed",""))&amp;(IF(C170=H161,", Flooring Completed",IF(C170&gt;0,", Flooring upto "&amp;C170&amp;" Floor Completed",""))&amp;(IF(C171=H161,", Painting Completed",IF(C171&gt;0,", Painting upto "&amp;C171&amp;" Floor Completed",""))&amp;(IF(C172&gt;0,", Finishing upto "&amp;C172&amp;" Floor Completed","")&amp;(IF(C166&gt;0.5,".",""))))))))))))))</f>
        <v>Excavation work Completed. Plinth work completed, RCC Slab Completed, Brickwork Completed, Internal Plaster Completed, External Plaster Completed, Flooring upto 11 Floor Completed, Painting upto 11 Floor Completed.</v>
      </c>
      <c r="J160" s="26"/>
    </row>
    <row r="161" spans="1:12" hidden="1" x14ac:dyDescent="0.35">
      <c r="A161" s="45" t="s">
        <v>143</v>
      </c>
      <c r="B161" s="46">
        <v>0</v>
      </c>
      <c r="C161" s="46" t="s">
        <v>68</v>
      </c>
      <c r="D161" s="46">
        <v>1</v>
      </c>
      <c r="E161" s="46" t="s">
        <v>67</v>
      </c>
      <c r="F161" s="46">
        <v>0</v>
      </c>
      <c r="G161" s="46" t="s">
        <v>77</v>
      </c>
      <c r="H161" s="47">
        <f ca="1">--TRIM(RIGHT(SUBSTITUTE(LEFT(C160,_xlfn.AGGREGATE(16,6,FIND({0,1,2,3,4,5,6,7,8,9},C160,ROW(INDIRECT("1:"&amp;LEN(C160)))),1))," ",REPT(" ",LEN(C160))),LEN(C160)))</f>
        <v>12</v>
      </c>
      <c r="I161" s="16"/>
      <c r="J161" s="27"/>
    </row>
    <row r="162" spans="1:12" ht="48.75" hidden="1" customHeight="1" x14ac:dyDescent="0.35">
      <c r="A162" s="107" t="s">
        <v>86</v>
      </c>
      <c r="B162" s="108"/>
      <c r="C162" s="109" t="str">
        <f ca="1">(IF($G$58="NA",I160,"All work Completed. OC Received."))</f>
        <v>Excavation work Completed. Plinth work completed, RCC Slab Completed, Brickwork Completed, Internal Plaster Completed, External Plaster Completed, Flooring upto 11 Floor Completed, Painting upto 11 Floor Completed.</v>
      </c>
      <c r="D162" s="109"/>
      <c r="E162" s="109"/>
      <c r="F162" s="109"/>
      <c r="G162" s="109"/>
      <c r="H162" s="110"/>
      <c r="I162" s="16" t="s">
        <v>102</v>
      </c>
      <c r="J162" s="27"/>
    </row>
    <row r="163" spans="1:12" ht="15.75" hidden="1" customHeight="1" x14ac:dyDescent="0.35">
      <c r="A163" s="90" t="s">
        <v>45</v>
      </c>
      <c r="B163" s="91"/>
      <c r="C163" s="51" t="s">
        <v>140</v>
      </c>
      <c r="D163" s="51" t="s">
        <v>80</v>
      </c>
      <c r="E163" s="91" t="s">
        <v>82</v>
      </c>
      <c r="F163" s="91"/>
      <c r="G163" s="91" t="s">
        <v>81</v>
      </c>
      <c r="H163" s="94"/>
      <c r="I163" s="14" t="s">
        <v>142</v>
      </c>
      <c r="J163" s="28">
        <f ca="1">H161*25%</f>
        <v>3</v>
      </c>
    </row>
    <row r="164" spans="1:12" hidden="1" x14ac:dyDescent="0.35">
      <c r="A164" s="90" t="s">
        <v>129</v>
      </c>
      <c r="B164" s="91"/>
      <c r="C164" s="51">
        <f ca="1">J165</f>
        <v>12</v>
      </c>
      <c r="D164" s="18">
        <f ca="1">((100/H161)*C164)/100</f>
        <v>1</v>
      </c>
      <c r="E164" s="95">
        <f ca="1">(((C165/H161*10)+(40/(D161+F161+H161)*C166)+(7.5/(H161)*C167)+(7.5/(H161)*C168)+(10/H161*C169)+(10/H161*C170)+(5/H161*C171)+(5/H161*C172)+(5/H161*C173))/100)</f>
        <v>0.88749999999999996</v>
      </c>
      <c r="F164" s="96"/>
      <c r="G164" s="95">
        <f ca="1">((((C164/H161)*20)+((C165/H161)*25)+(30/(H161+F161+D161)*C166)+(5/H161*C167)+(5/H161*C168)+(5/H161*C169)+(5/H161*C170)+(0/H161*C171)+(0/H161*C172)+(5/H161*C173))/100)</f>
        <v>0.9458333333333333</v>
      </c>
      <c r="H164" s="101"/>
      <c r="I164" s="14" t="s">
        <v>97</v>
      </c>
      <c r="J164" s="29">
        <f ca="1">H161*50%</f>
        <v>6</v>
      </c>
    </row>
    <row r="165" spans="1:12" hidden="1" x14ac:dyDescent="0.35">
      <c r="A165" s="90" t="s">
        <v>46</v>
      </c>
      <c r="B165" s="91"/>
      <c r="C165" s="55">
        <f ca="1">J173</f>
        <v>12</v>
      </c>
      <c r="D165" s="18">
        <f ca="1">((100/H161)*C165)/100</f>
        <v>1</v>
      </c>
      <c r="E165" s="97"/>
      <c r="F165" s="98"/>
      <c r="G165" s="97"/>
      <c r="H165" s="102"/>
      <c r="I165" s="14" t="s">
        <v>98</v>
      </c>
      <c r="J165" s="29">
        <f ca="1">H161</f>
        <v>12</v>
      </c>
    </row>
    <row r="166" spans="1:12" ht="15.75" hidden="1" customHeight="1" x14ac:dyDescent="0.35">
      <c r="A166" s="90" t="s">
        <v>130</v>
      </c>
      <c r="B166" s="91"/>
      <c r="C166" s="51">
        <v>13</v>
      </c>
      <c r="D166" s="18">
        <f ca="1">((100/(D161+F161+H161))*C166)/100</f>
        <v>1</v>
      </c>
      <c r="E166" s="97"/>
      <c r="F166" s="98"/>
      <c r="G166" s="97"/>
      <c r="H166" s="102"/>
      <c r="I166" s="14" t="s">
        <v>99</v>
      </c>
      <c r="J166" s="30">
        <f ca="1">(IF(B161&gt;1,(H161/(B161+2)),H161/4))</f>
        <v>3</v>
      </c>
    </row>
    <row r="167" spans="1:12" ht="15.75" hidden="1" customHeight="1" x14ac:dyDescent="0.35">
      <c r="A167" s="90" t="s">
        <v>137</v>
      </c>
      <c r="B167" s="91" t="s">
        <v>131</v>
      </c>
      <c r="C167" s="51">
        <v>12</v>
      </c>
      <c r="D167" s="18">
        <f ca="1">((100/H161)*C167)/100</f>
        <v>1</v>
      </c>
      <c r="E167" s="97"/>
      <c r="F167" s="98"/>
      <c r="G167" s="97"/>
      <c r="H167" s="102"/>
      <c r="I167" s="14" t="s">
        <v>100</v>
      </c>
      <c r="J167" s="30">
        <f ca="1">(IF(B161&gt;1,(H161/(B161+2)+J166),H161/4+J166))</f>
        <v>6</v>
      </c>
    </row>
    <row r="168" spans="1:12" ht="15.75" hidden="1" customHeight="1" x14ac:dyDescent="0.35">
      <c r="A168" s="90" t="s">
        <v>138</v>
      </c>
      <c r="B168" s="91" t="s">
        <v>131</v>
      </c>
      <c r="C168" s="51">
        <v>12</v>
      </c>
      <c r="D168" s="18">
        <f ca="1">((100/H161)*C168)/100</f>
        <v>1</v>
      </c>
      <c r="E168" s="97"/>
      <c r="F168" s="98"/>
      <c r="G168" s="97"/>
      <c r="H168" s="102"/>
      <c r="I168" s="14" t="s">
        <v>147</v>
      </c>
      <c r="J168" s="30">
        <f>(IF(B161&gt;1,(H161/(B161+2)+J167),0))</f>
        <v>0</v>
      </c>
    </row>
    <row r="169" spans="1:12" ht="15" hidden="1" customHeight="1" x14ac:dyDescent="0.35">
      <c r="A169" s="90" t="s">
        <v>136</v>
      </c>
      <c r="B169" s="91" t="s">
        <v>133</v>
      </c>
      <c r="C169" s="51">
        <v>12</v>
      </c>
      <c r="D169" s="18">
        <f ca="1">((100/(H161))*C169)/100</f>
        <v>1</v>
      </c>
      <c r="E169" s="97"/>
      <c r="F169" s="98"/>
      <c r="G169" s="97"/>
      <c r="H169" s="102"/>
      <c r="I169" s="14" t="s">
        <v>144</v>
      </c>
      <c r="J169" s="30">
        <f>(IF(B161&gt;2,(H161/(B161+2)+J168),0))</f>
        <v>0</v>
      </c>
    </row>
    <row r="170" spans="1:12" ht="15.75" hidden="1" customHeight="1" x14ac:dyDescent="0.35">
      <c r="A170" s="90" t="s">
        <v>132</v>
      </c>
      <c r="B170" s="91" t="s">
        <v>132</v>
      </c>
      <c r="C170" s="51">
        <v>11</v>
      </c>
      <c r="D170" s="18">
        <f ca="1">((100/H161)*C170)/100</f>
        <v>0.91666666666666674</v>
      </c>
      <c r="E170" s="97"/>
      <c r="F170" s="98"/>
      <c r="G170" s="97"/>
      <c r="H170" s="102"/>
      <c r="I170" s="14" t="s">
        <v>145</v>
      </c>
      <c r="J170" s="31">
        <f>(IF(B161&gt;3,(H161/(B161+2)+J169),0))</f>
        <v>0</v>
      </c>
    </row>
    <row r="171" spans="1:12" ht="15.75" hidden="1" customHeight="1" x14ac:dyDescent="0.35">
      <c r="A171" s="90" t="s">
        <v>139</v>
      </c>
      <c r="B171" s="91"/>
      <c r="C171" s="51">
        <v>11</v>
      </c>
      <c r="D171" s="18">
        <f ca="1">((100/H161)*C171)/100</f>
        <v>0.91666666666666674</v>
      </c>
      <c r="E171" s="97"/>
      <c r="F171" s="98"/>
      <c r="G171" s="97"/>
      <c r="H171" s="102"/>
      <c r="I171" s="14" t="s">
        <v>146</v>
      </c>
      <c r="J171" s="30">
        <f>(IF(B161&gt;4,(H161/(B161+2)+J170),0))</f>
        <v>0</v>
      </c>
    </row>
    <row r="172" spans="1:12" ht="15.75" hidden="1" customHeight="1" x14ac:dyDescent="0.35">
      <c r="A172" s="90" t="s">
        <v>134</v>
      </c>
      <c r="B172" s="91" t="s">
        <v>134</v>
      </c>
      <c r="C172" s="51">
        <v>0</v>
      </c>
      <c r="D172" s="18">
        <f ca="1">((100/(H161))*C172)/100</f>
        <v>0</v>
      </c>
      <c r="E172" s="97"/>
      <c r="F172" s="98"/>
      <c r="G172" s="97"/>
      <c r="H172" s="102"/>
      <c r="I172" s="14" t="s">
        <v>148</v>
      </c>
      <c r="J172" s="30">
        <f ca="1">(IF(B161=1,(H161/(B161+3)+J167),IF(B161=0,(H161/4+J167),IF(B161&gt;1,0))))</f>
        <v>9</v>
      </c>
    </row>
    <row r="173" spans="1:12" ht="16" hidden="1" thickBot="1" x14ac:dyDescent="0.4">
      <c r="A173" s="92" t="s">
        <v>135</v>
      </c>
      <c r="B173" s="93"/>
      <c r="C173" s="52">
        <v>0</v>
      </c>
      <c r="D173" s="19">
        <f ca="1">((100/(H161))*C173)/100</f>
        <v>0</v>
      </c>
      <c r="E173" s="99"/>
      <c r="F173" s="100"/>
      <c r="G173" s="99"/>
      <c r="H173" s="103"/>
      <c r="I173" s="17" t="s">
        <v>101</v>
      </c>
      <c r="J173" s="32">
        <f ca="1">(IF(B161&gt;1.5,(H161/(B161+2)+J167+MAX(0,J168-J167)+MAX(0,J169-J168)+MAX(0,J170-J169)+MAX(0,J171-J170)+MAX(0,J172-J171)),IF(B161=1,(H161/(B161+3)+J172),IF(B161=0,H161/4+J172))))</f>
        <v>12</v>
      </c>
    </row>
    <row r="174" spans="1:12" x14ac:dyDescent="0.35">
      <c r="A174" s="201" t="s">
        <v>157</v>
      </c>
      <c r="B174" s="201"/>
      <c r="C174" s="201"/>
      <c r="D174" s="201"/>
      <c r="E174" s="201"/>
      <c r="F174" s="198" t="s">
        <v>162</v>
      </c>
      <c r="G174" s="198"/>
      <c r="H174" s="198"/>
    </row>
    <row r="175" spans="1:12" x14ac:dyDescent="0.35">
      <c r="A175" s="148" t="s">
        <v>160</v>
      </c>
      <c r="B175" s="148"/>
      <c r="C175" s="148"/>
      <c r="D175" s="148"/>
      <c r="E175" s="148"/>
      <c r="F175" s="153">
        <v>3500</v>
      </c>
      <c r="G175" s="153"/>
      <c r="H175" s="153"/>
      <c r="I175" s="59" t="s">
        <v>213</v>
      </c>
      <c r="J175" s="60">
        <v>45104</v>
      </c>
      <c r="K175" s="59" t="s">
        <v>214</v>
      </c>
      <c r="L175" s="59" t="s">
        <v>215</v>
      </c>
    </row>
    <row r="176" spans="1:12" x14ac:dyDescent="0.35">
      <c r="A176" s="148" t="s">
        <v>159</v>
      </c>
      <c r="B176" s="148"/>
      <c r="C176" s="148"/>
      <c r="D176" s="148"/>
      <c r="E176" s="148"/>
      <c r="F176" s="164">
        <v>11200</v>
      </c>
      <c r="G176" s="164"/>
      <c r="H176" s="164"/>
      <c r="I176" s="59" t="s">
        <v>208</v>
      </c>
      <c r="J176" s="60">
        <v>44854</v>
      </c>
      <c r="K176" s="56" t="s">
        <v>206</v>
      </c>
      <c r="L176" s="59" t="s">
        <v>209</v>
      </c>
    </row>
    <row r="177" spans="1:12" hidden="1" x14ac:dyDescent="0.35">
      <c r="A177" s="148" t="s">
        <v>161</v>
      </c>
      <c r="B177" s="148"/>
      <c r="C177" s="148"/>
      <c r="D177" s="148"/>
      <c r="E177" s="148"/>
      <c r="F177" s="164"/>
      <c r="G177" s="164"/>
      <c r="H177" s="164"/>
      <c r="K177" s="56" t="s">
        <v>206</v>
      </c>
    </row>
    <row r="178" spans="1:12" s="33" customFormat="1" hidden="1" x14ac:dyDescent="0.3">
      <c r="A178" s="148" t="s">
        <v>158</v>
      </c>
      <c r="B178" s="148"/>
      <c r="C178" s="148"/>
      <c r="D178" s="148"/>
      <c r="E178" s="148"/>
      <c r="F178" s="164"/>
      <c r="G178" s="164"/>
      <c r="H178" s="164"/>
      <c r="K178" s="56" t="s">
        <v>206</v>
      </c>
    </row>
    <row r="179" spans="1:12" s="33" customFormat="1" x14ac:dyDescent="0.3">
      <c r="A179" s="148" t="s">
        <v>257</v>
      </c>
      <c r="B179" s="148"/>
      <c r="C179" s="148"/>
      <c r="D179" s="148"/>
      <c r="E179" s="148"/>
      <c r="F179" s="164">
        <v>300000</v>
      </c>
      <c r="G179" s="164"/>
      <c r="H179" s="164"/>
      <c r="I179" s="56" t="s">
        <v>91</v>
      </c>
      <c r="J179" s="57">
        <v>44838</v>
      </c>
      <c r="K179" s="56" t="s">
        <v>206</v>
      </c>
      <c r="L179" s="58" t="s">
        <v>207</v>
      </c>
    </row>
    <row r="180" spans="1:12" s="33" customFormat="1" hidden="1" x14ac:dyDescent="0.3">
      <c r="A180" s="148" t="s">
        <v>92</v>
      </c>
      <c r="B180" s="148"/>
      <c r="C180" s="148"/>
      <c r="D180" s="148"/>
      <c r="E180" s="148"/>
      <c r="F180" s="164"/>
      <c r="G180" s="164"/>
      <c r="H180" s="164"/>
    </row>
    <row r="181" spans="1:12" s="33" customFormat="1" hidden="1" x14ac:dyDescent="0.3">
      <c r="A181" s="148" t="s">
        <v>163</v>
      </c>
      <c r="B181" s="148"/>
      <c r="C181" s="148"/>
      <c r="D181" s="148"/>
      <c r="E181" s="148"/>
      <c r="F181" s="164"/>
      <c r="G181" s="164"/>
      <c r="H181" s="164"/>
    </row>
    <row r="182" spans="1:12" s="33" customFormat="1" hidden="1" x14ac:dyDescent="0.3">
      <c r="A182" s="148" t="s">
        <v>93</v>
      </c>
      <c r="B182" s="148"/>
      <c r="C182" s="148"/>
      <c r="D182" s="148"/>
      <c r="E182" s="148"/>
      <c r="F182" s="164"/>
      <c r="G182" s="164"/>
      <c r="H182" s="164"/>
    </row>
    <row r="183" spans="1:12" s="33" customFormat="1" hidden="1" x14ac:dyDescent="0.3">
      <c r="A183" s="148" t="s">
        <v>94</v>
      </c>
      <c r="B183" s="148"/>
      <c r="C183" s="148"/>
      <c r="D183" s="148"/>
      <c r="E183" s="148"/>
      <c r="F183" s="164"/>
      <c r="G183" s="164"/>
      <c r="H183" s="164"/>
    </row>
    <row r="184" spans="1:12" s="33" customFormat="1" hidden="1" x14ac:dyDescent="0.3">
      <c r="A184" s="148" t="s">
        <v>95</v>
      </c>
      <c r="B184" s="148"/>
      <c r="C184" s="148"/>
      <c r="D184" s="148"/>
      <c r="E184" s="148"/>
      <c r="F184" s="164"/>
      <c r="G184" s="164"/>
      <c r="H184" s="164"/>
    </row>
    <row r="185" spans="1:12" s="33" customFormat="1" hidden="1" x14ac:dyDescent="0.3">
      <c r="A185" s="148" t="s">
        <v>96</v>
      </c>
      <c r="B185" s="148"/>
      <c r="C185" s="148"/>
      <c r="D185" s="148"/>
      <c r="E185" s="148"/>
      <c r="F185" s="164"/>
      <c r="G185" s="164"/>
      <c r="H185" s="164"/>
    </row>
    <row r="186" spans="1:12" x14ac:dyDescent="0.35">
      <c r="A186" s="148" t="s">
        <v>47</v>
      </c>
      <c r="B186" s="148"/>
      <c r="C186" s="148"/>
      <c r="D186" s="148"/>
      <c r="E186" s="148"/>
      <c r="F186" s="164">
        <v>100000</v>
      </c>
      <c r="G186" s="164"/>
      <c r="H186" s="164"/>
      <c r="I186" s="20" t="s">
        <v>262</v>
      </c>
      <c r="J186" s="24"/>
    </row>
    <row r="187" spans="1:12" s="34" customFormat="1" x14ac:dyDescent="0.35">
      <c r="A187" s="165" t="s">
        <v>48</v>
      </c>
      <c r="B187" s="165"/>
      <c r="C187" s="165"/>
      <c r="D187" s="165"/>
      <c r="E187" s="165"/>
      <c r="F187" s="164">
        <f>F175*0.8</f>
        <v>2800</v>
      </c>
      <c r="G187" s="164"/>
      <c r="H187" s="164"/>
    </row>
    <row r="188" spans="1:12" s="35" customFormat="1" ht="15.75" customHeight="1" x14ac:dyDescent="0.35">
      <c r="A188" s="163" t="s">
        <v>72</v>
      </c>
      <c r="B188" s="163"/>
      <c r="C188" s="163"/>
      <c r="D188" s="163"/>
      <c r="E188" s="163"/>
      <c r="F188" s="163"/>
      <c r="G188" s="163"/>
      <c r="H188" s="163"/>
    </row>
    <row r="189" spans="1:12" s="35" customFormat="1" ht="15.75" customHeight="1" x14ac:dyDescent="0.35">
      <c r="A189" s="150" t="s">
        <v>49</v>
      </c>
      <c r="B189" s="150"/>
      <c r="C189" s="182" t="s">
        <v>75</v>
      </c>
      <c r="D189" s="182"/>
      <c r="E189" s="181" t="s">
        <v>50</v>
      </c>
      <c r="F189" s="181"/>
      <c r="G189" s="150" t="s">
        <v>51</v>
      </c>
      <c r="H189" s="150"/>
    </row>
    <row r="190" spans="1:12" s="35" customFormat="1" ht="49.5" customHeight="1" x14ac:dyDescent="0.35">
      <c r="A190" s="114" t="s">
        <v>271</v>
      </c>
      <c r="B190" s="114"/>
      <c r="C190" s="199">
        <f>COUNT(D233,D235,D237)</f>
        <v>3</v>
      </c>
      <c r="D190" s="200"/>
      <c r="E190" s="115">
        <f>SUM(D233,D235,D237)</f>
        <v>30144.582000000002</v>
      </c>
      <c r="F190" s="154"/>
      <c r="G190" s="115">
        <f>SUM(F233,F235,F237)</f>
        <v>46724.102100000004</v>
      </c>
      <c r="H190" s="154"/>
    </row>
    <row r="191" spans="1:12" s="35" customFormat="1" ht="21" customHeight="1" x14ac:dyDescent="0.35">
      <c r="A191" s="114" t="s">
        <v>198</v>
      </c>
      <c r="B191" s="114"/>
      <c r="C191" s="199">
        <f>COUNT(D211:D228)</f>
        <v>18</v>
      </c>
      <c r="D191" s="200"/>
      <c r="E191" s="115">
        <f>SUM(D211:D228)</f>
        <v>2422.5458400000002</v>
      </c>
      <c r="F191" s="154"/>
      <c r="G191" s="115">
        <f>SUM(F211:F228)</f>
        <v>3754.9460519999998</v>
      </c>
      <c r="H191" s="154"/>
    </row>
    <row r="192" spans="1:12" s="35" customFormat="1" ht="43.5" customHeight="1" x14ac:dyDescent="0.35">
      <c r="A192" s="114" t="s">
        <v>280</v>
      </c>
      <c r="B192" s="114"/>
      <c r="C192" s="199">
        <f>COUNT(D261:D266)</f>
        <v>6</v>
      </c>
      <c r="D192" s="200"/>
      <c r="E192" s="115">
        <f>SUM(D261:D266)</f>
        <v>991.57967999999983</v>
      </c>
      <c r="F192" s="154"/>
      <c r="G192" s="115">
        <f>SUM(F261:F266)</f>
        <v>1536.9485039999997</v>
      </c>
      <c r="H192" s="154"/>
    </row>
    <row r="193" spans="1:9" s="35" customFormat="1" ht="46.5" customHeight="1" x14ac:dyDescent="0.35">
      <c r="A193" s="114" t="s">
        <v>281</v>
      </c>
      <c r="B193" s="114"/>
      <c r="C193" s="199">
        <f>COUNT(D271:D276)+COUNT(D280:D285)</f>
        <v>12</v>
      </c>
      <c r="D193" s="200"/>
      <c r="E193" s="115">
        <f>SUM(D271:D276)+SUM(D280:D285)</f>
        <v>1983.1593599999999</v>
      </c>
      <c r="F193" s="154"/>
      <c r="G193" s="115">
        <f>SUM(F271:F276)+SUM(F280:F285)</f>
        <v>3073.8970079999999</v>
      </c>
      <c r="H193" s="154"/>
    </row>
    <row r="194" spans="1:9" s="35" customFormat="1" x14ac:dyDescent="0.35">
      <c r="A194" s="163" t="s">
        <v>151</v>
      </c>
      <c r="B194" s="163"/>
      <c r="C194" s="203">
        <f>SUM(C190:C193)</f>
        <v>39</v>
      </c>
      <c r="D194" s="182"/>
      <c r="E194" s="204">
        <f>SUM(E190:F193)</f>
        <v>35541.866880000001</v>
      </c>
      <c r="F194" s="181"/>
      <c r="G194" s="204">
        <f>SUM(G190:H193)</f>
        <v>55089.893664000003</v>
      </c>
      <c r="H194" s="181"/>
    </row>
    <row r="195" spans="1:9" s="35" customFormat="1" x14ac:dyDescent="0.35">
      <c r="A195" s="163" t="s">
        <v>66</v>
      </c>
      <c r="B195" s="163"/>
      <c r="C195" s="163"/>
      <c r="D195" s="163"/>
      <c r="E195" s="163"/>
      <c r="F195" s="163"/>
      <c r="G195" s="163"/>
      <c r="H195" s="163"/>
    </row>
    <row r="196" spans="1:9" s="35" customFormat="1" ht="15.75" customHeight="1" x14ac:dyDescent="0.35">
      <c r="A196" s="150" t="s">
        <v>49</v>
      </c>
      <c r="B196" s="150"/>
      <c r="C196" s="182" t="s">
        <v>75</v>
      </c>
      <c r="D196" s="182"/>
      <c r="E196" s="181" t="s">
        <v>50</v>
      </c>
      <c r="F196" s="181"/>
      <c r="G196" s="150" t="s">
        <v>51</v>
      </c>
      <c r="H196" s="150"/>
    </row>
    <row r="197" spans="1:9" s="35" customFormat="1" ht="36.75" customHeight="1" x14ac:dyDescent="0.35">
      <c r="A197" s="205" t="s">
        <v>287</v>
      </c>
      <c r="B197" s="205"/>
      <c r="C197" s="205">
        <f>COUNT(D292:D300,D302:D303)+COUNT(D305:D316)*10+COUNT(D318:D325,D328:D329)</f>
        <v>141</v>
      </c>
      <c r="D197" s="205"/>
      <c r="E197" s="205">
        <f>SUM(D292:D300,D302:D303)+SUM(D305:D316)*10+SUM(D318:D325,D328:D329)</f>
        <v>55897.774919999996</v>
      </c>
      <c r="F197" s="205"/>
      <c r="G197" s="205">
        <f>SUM(F292:F300,F302:F303)+SUM(F305:F316)*10+SUM(F318:F325,F328:F329)</f>
        <v>78453.543168000004</v>
      </c>
      <c r="H197" s="205"/>
      <c r="I197" s="35">
        <f>12*12-3</f>
        <v>141</v>
      </c>
    </row>
    <row r="198" spans="1:9" s="35" customFormat="1" ht="32.25" customHeight="1" x14ac:dyDescent="0.35">
      <c r="A198" s="114" t="s">
        <v>286</v>
      </c>
      <c r="B198" s="114"/>
      <c r="C198" s="115">
        <f>COUNT(D334:D345)*10+COUNT(D347:D355,D358,D360:D371,D373:D381,D383:D384)</f>
        <v>153</v>
      </c>
      <c r="D198" s="115"/>
      <c r="E198" s="115">
        <f>SUM(D334:D345)*10+SUM(D347:D355,D358,D360:D371,D373:D381,D383:D384)</f>
        <v>61379.664840000012</v>
      </c>
      <c r="F198" s="115"/>
      <c r="G198" s="115">
        <f>SUM(F334:F345)*10+SUM(F347:F355,F358,F360:F371,F373:F381,F383:F384)</f>
        <v>85931.530776000029</v>
      </c>
      <c r="H198" s="115"/>
    </row>
    <row r="199" spans="1:9" s="35" customFormat="1" ht="45" customHeight="1" x14ac:dyDescent="0.35">
      <c r="A199" s="114" t="s">
        <v>282</v>
      </c>
      <c r="B199" s="114"/>
      <c r="C199" s="115">
        <f>COUNT(D389:D400,D415:D417,D420:D426)+COUNT(D402:D413)*8</f>
        <v>118</v>
      </c>
      <c r="D199" s="115"/>
      <c r="E199" s="115">
        <f>SUM(D389:D400,D415:D417,D420:D426)+SUM(D402:D413)*8</f>
        <v>47296.58544000001</v>
      </c>
      <c r="F199" s="115"/>
      <c r="G199" s="115">
        <f>SUM(F389:F400,F415:F417,F420:F426)+SUM(F402:F413)*8</f>
        <v>66215.219616000002</v>
      </c>
      <c r="H199" s="115"/>
    </row>
    <row r="200" spans="1:9" s="35" customFormat="1" ht="48" customHeight="1" x14ac:dyDescent="0.35">
      <c r="A200" s="114" t="s">
        <v>283</v>
      </c>
      <c r="B200" s="114"/>
      <c r="C200" s="115">
        <f>COUNT(D430:D437,D448:D450,D452:D455)+COUNT(D439:D446)*8</f>
        <v>79</v>
      </c>
      <c r="D200" s="115"/>
      <c r="E200" s="115">
        <f>SUM(D430:D437,D448:D450,D452:D455)+SUM(D439:D446)*8</f>
        <v>31582.221839999995</v>
      </c>
      <c r="F200" s="115"/>
      <c r="G200" s="115">
        <f>SUM(F430:F437,F448:F450,F452:F455)+SUM(F439:F446)*8</f>
        <v>44215.110575999977</v>
      </c>
      <c r="H200" s="115"/>
    </row>
    <row r="201" spans="1:9" s="35" customFormat="1" ht="52.5" customHeight="1" x14ac:dyDescent="0.35">
      <c r="A201" s="114" t="s">
        <v>284</v>
      </c>
      <c r="B201" s="114"/>
      <c r="C201" s="115">
        <f>COUNT(D459:D466)+COUNT(D468:D475)*9+COUNT(D477:D482,D484:D484)*2</f>
        <v>94</v>
      </c>
      <c r="D201" s="115"/>
      <c r="E201" s="115">
        <f>SUM(D459:D466)+SUM(D468:D475)*9+SUM(D477:D482,D484:D484)*2</f>
        <v>37710.382320000004</v>
      </c>
      <c r="F201" s="115"/>
      <c r="G201" s="115">
        <f>SUM(F459:F466)+SUM(F468:F475)*9+SUM(F477:F482,F484:F484)*2</f>
        <v>52794.535248000015</v>
      </c>
      <c r="H201" s="115"/>
    </row>
    <row r="202" spans="1:9" s="35" customFormat="1" ht="54" customHeight="1" x14ac:dyDescent="0.35">
      <c r="A202" s="114" t="s">
        <v>285</v>
      </c>
      <c r="B202" s="114"/>
      <c r="C202" s="115">
        <f>COUNT(D487:D494)+COUNT(D496:D503)*9+COUNT(D505:D510,D512)*2</f>
        <v>94</v>
      </c>
      <c r="D202" s="115"/>
      <c r="E202" s="115">
        <f>SUM(D487:D494)+SUM(D496:D503)*9+SUM(D505:D510,D512)*2</f>
        <v>37710.382320000004</v>
      </c>
      <c r="F202" s="115"/>
      <c r="G202" s="115">
        <f>SUM(F487:F494)+SUM(F496:F503)*9+SUM(F505:F510,F512)*2</f>
        <v>52794.535248000015</v>
      </c>
      <c r="H202" s="115"/>
    </row>
    <row r="203" spans="1:9" s="35" customFormat="1" x14ac:dyDescent="0.35">
      <c r="A203" s="163" t="s">
        <v>151</v>
      </c>
      <c r="B203" s="163"/>
      <c r="C203" s="203">
        <f>SUM(C197:D202)</f>
        <v>679</v>
      </c>
      <c r="D203" s="182"/>
      <c r="E203" s="204">
        <f>SUM(E197:F202)</f>
        <v>271577.01168</v>
      </c>
      <c r="F203" s="181"/>
      <c r="G203" s="150">
        <f>SUM(G197:H202)</f>
        <v>380404.47463199997</v>
      </c>
      <c r="H203" s="150"/>
    </row>
    <row r="204" spans="1:9" s="34" customFormat="1" x14ac:dyDescent="0.35">
      <c r="A204" s="111" t="s">
        <v>52</v>
      </c>
      <c r="B204" s="111"/>
      <c r="C204" s="111"/>
      <c r="D204" s="111"/>
      <c r="E204" s="111"/>
      <c r="F204" s="111"/>
      <c r="G204" s="111"/>
      <c r="H204" s="111"/>
    </row>
    <row r="205" spans="1:9" x14ac:dyDescent="0.35">
      <c r="A205" s="111" t="s">
        <v>53</v>
      </c>
      <c r="B205" s="111"/>
      <c r="C205" s="111"/>
      <c r="D205" s="111"/>
      <c r="E205" s="111"/>
      <c r="F205" s="111"/>
      <c r="G205" s="111"/>
      <c r="H205" s="111"/>
    </row>
    <row r="206" spans="1:9" ht="47.25" customHeight="1" x14ac:dyDescent="0.35">
      <c r="A206" s="169" t="s">
        <v>118</v>
      </c>
      <c r="B206" s="169" t="s">
        <v>117</v>
      </c>
      <c r="C206" s="169" t="s">
        <v>54</v>
      </c>
      <c r="D206" s="169" t="s">
        <v>55</v>
      </c>
      <c r="E206" s="192" t="s">
        <v>156</v>
      </c>
      <c r="F206" s="53" t="s">
        <v>150</v>
      </c>
      <c r="G206" s="194" t="s">
        <v>57</v>
      </c>
      <c r="H206" s="195"/>
    </row>
    <row r="207" spans="1:9" s="48" customFormat="1" x14ac:dyDescent="0.35">
      <c r="A207" s="170"/>
      <c r="B207" s="170"/>
      <c r="C207" s="170"/>
      <c r="D207" s="170"/>
      <c r="E207" s="193"/>
      <c r="F207" s="13">
        <v>0.55000000000000004</v>
      </c>
      <c r="G207" s="196"/>
      <c r="H207" s="197"/>
    </row>
    <row r="208" spans="1:9" s="34" customFormat="1" x14ac:dyDescent="0.35">
      <c r="A208" s="111" t="s">
        <v>186</v>
      </c>
      <c r="B208" s="111"/>
      <c r="C208" s="111"/>
      <c r="D208" s="111"/>
      <c r="E208" s="111"/>
      <c r="F208" s="111"/>
      <c r="G208" s="111"/>
      <c r="H208" s="111"/>
    </row>
    <row r="209" spans="1:14" s="34" customFormat="1" x14ac:dyDescent="0.35">
      <c r="A209" s="111" t="s">
        <v>200</v>
      </c>
      <c r="B209" s="111"/>
      <c r="C209" s="111"/>
      <c r="D209" s="111"/>
      <c r="E209" s="111"/>
      <c r="F209" s="111"/>
      <c r="G209" s="111"/>
      <c r="H209" s="111"/>
    </row>
    <row r="210" spans="1:14" s="48" customFormat="1" x14ac:dyDescent="0.35">
      <c r="A210" s="129" t="s">
        <v>244</v>
      </c>
      <c r="B210" s="130"/>
      <c r="C210" s="130"/>
      <c r="D210" s="130"/>
      <c r="E210" s="130"/>
      <c r="F210" s="130"/>
      <c r="G210" s="130"/>
      <c r="H210" s="131"/>
      <c r="J210" s="36"/>
    </row>
    <row r="211" spans="1:14" s="48" customFormat="1" ht="15.75" customHeight="1" x14ac:dyDescent="0.35">
      <c r="A211" s="113">
        <v>1</v>
      </c>
      <c r="B211" s="113"/>
      <c r="C211" s="42" t="s">
        <v>183</v>
      </c>
      <c r="D211" s="42">
        <f>12.5*10.764</f>
        <v>134.54999999999998</v>
      </c>
      <c r="E211" s="42">
        <v>0</v>
      </c>
      <c r="F211" s="42">
        <f>(D211+E211)*(($F$207)+1)</f>
        <v>208.55249999999998</v>
      </c>
      <c r="G211" s="113" t="str">
        <f>A210</f>
        <v>Ground Floor for Commercial, Society Office, Meter Room, Pump Room &amp; Double Heighted Lobby</v>
      </c>
      <c r="H211" s="113"/>
      <c r="I211" s="36">
        <f>2.75*3.8+1.22*0.3+1.07*1.2</f>
        <v>12.1</v>
      </c>
      <c r="L211" s="72"/>
      <c r="M211" s="72"/>
      <c r="N211" s="36"/>
    </row>
    <row r="212" spans="1:14" s="48" customFormat="1" ht="15.75" customHeight="1" x14ac:dyDescent="0.35">
      <c r="A212" s="113">
        <f t="shared" ref="A212:A228" si="0">A211+1</f>
        <v>2</v>
      </c>
      <c r="B212" s="113"/>
      <c r="C212" s="42" t="s">
        <v>183</v>
      </c>
      <c r="D212" s="42">
        <f>9.12*10.764</f>
        <v>98.16767999999999</v>
      </c>
      <c r="E212" s="42">
        <v>0</v>
      </c>
      <c r="F212" s="42">
        <f t="shared" ref="F212:F218" si="1">(D212+E212)*(($F$207)+1)</f>
        <v>152.15990399999998</v>
      </c>
      <c r="G212" s="113"/>
      <c r="H212" s="113"/>
      <c r="I212" s="36">
        <f>2.14*3.2+0.92*0.6+1.07*1.38</f>
        <v>8.8765999999999998</v>
      </c>
      <c r="L212" s="72"/>
      <c r="M212" s="72"/>
      <c r="N212" s="36"/>
    </row>
    <row r="213" spans="1:14" s="48" customFormat="1" ht="15.75" customHeight="1" x14ac:dyDescent="0.35">
      <c r="A213" s="113">
        <f t="shared" si="0"/>
        <v>3</v>
      </c>
      <c r="B213" s="113"/>
      <c r="C213" s="42" t="s">
        <v>183</v>
      </c>
      <c r="D213" s="42">
        <f>15.89*10.764</f>
        <v>171.03996000000001</v>
      </c>
      <c r="E213" s="42">
        <v>0</v>
      </c>
      <c r="F213" s="42">
        <f t="shared" si="1"/>
        <v>265.11193800000001</v>
      </c>
      <c r="G213" s="113"/>
      <c r="H213" s="113"/>
      <c r="I213" s="36"/>
      <c r="L213" s="72"/>
      <c r="M213" s="72"/>
      <c r="N213" s="36"/>
    </row>
    <row r="214" spans="1:14" s="48" customFormat="1" ht="15.75" customHeight="1" x14ac:dyDescent="0.35">
      <c r="A214" s="113">
        <f t="shared" si="0"/>
        <v>4</v>
      </c>
      <c r="B214" s="113"/>
      <c r="C214" s="42" t="s">
        <v>183</v>
      </c>
      <c r="D214" s="42">
        <f>15.89*10.764</f>
        <v>171.03996000000001</v>
      </c>
      <c r="E214" s="42">
        <v>0</v>
      </c>
      <c r="F214" s="42">
        <f t="shared" si="1"/>
        <v>265.11193800000001</v>
      </c>
      <c r="G214" s="113"/>
      <c r="H214" s="113"/>
      <c r="I214" s="36"/>
      <c r="L214" s="72"/>
      <c r="M214" s="72"/>
      <c r="N214" s="36"/>
    </row>
    <row r="215" spans="1:14" s="48" customFormat="1" ht="15.75" customHeight="1" x14ac:dyDescent="0.35">
      <c r="A215" s="113">
        <f t="shared" si="0"/>
        <v>5</v>
      </c>
      <c r="B215" s="113"/>
      <c r="C215" s="42" t="s">
        <v>183</v>
      </c>
      <c r="D215" s="42">
        <f>9.12*10.764</f>
        <v>98.16767999999999</v>
      </c>
      <c r="E215" s="42">
        <v>0</v>
      </c>
      <c r="F215" s="42">
        <f t="shared" si="1"/>
        <v>152.15990399999998</v>
      </c>
      <c r="G215" s="113"/>
      <c r="H215" s="113"/>
      <c r="I215" s="36"/>
      <c r="L215" s="72"/>
      <c r="M215" s="72"/>
      <c r="N215" s="36"/>
    </row>
    <row r="216" spans="1:14" s="48" customFormat="1" ht="15.75" customHeight="1" x14ac:dyDescent="0.35">
      <c r="A216" s="113">
        <f t="shared" si="0"/>
        <v>6</v>
      </c>
      <c r="B216" s="113"/>
      <c r="C216" s="42" t="s">
        <v>183</v>
      </c>
      <c r="D216" s="42">
        <f>12.5*10.764</f>
        <v>134.54999999999998</v>
      </c>
      <c r="E216" s="42">
        <v>0</v>
      </c>
      <c r="F216" s="42">
        <f t="shared" si="1"/>
        <v>208.55249999999998</v>
      </c>
      <c r="G216" s="113"/>
      <c r="H216" s="113"/>
      <c r="I216" s="36"/>
      <c r="L216" s="72"/>
      <c r="M216" s="72"/>
      <c r="N216" s="36"/>
    </row>
    <row r="217" spans="1:14" s="48" customFormat="1" ht="15.75" customHeight="1" x14ac:dyDescent="0.35">
      <c r="A217" s="113">
        <f t="shared" si="0"/>
        <v>7</v>
      </c>
      <c r="B217" s="113"/>
      <c r="C217" s="42" t="s">
        <v>183</v>
      </c>
      <c r="D217" s="42">
        <f>12.5*10.764</f>
        <v>134.54999999999998</v>
      </c>
      <c r="E217" s="42">
        <v>0</v>
      </c>
      <c r="F217" s="42">
        <f t="shared" si="1"/>
        <v>208.55249999999998</v>
      </c>
      <c r="G217" s="113"/>
      <c r="H217" s="113"/>
      <c r="I217" s="36"/>
      <c r="L217" s="72"/>
      <c r="M217" s="72"/>
      <c r="N217" s="36"/>
    </row>
    <row r="218" spans="1:14" s="48" customFormat="1" ht="15.75" customHeight="1" x14ac:dyDescent="0.35">
      <c r="A218" s="113">
        <f t="shared" si="0"/>
        <v>8</v>
      </c>
      <c r="B218" s="113"/>
      <c r="C218" s="42" t="s">
        <v>183</v>
      </c>
      <c r="D218" s="42">
        <f>9.12*10.764</f>
        <v>98.16767999999999</v>
      </c>
      <c r="E218" s="42">
        <v>0</v>
      </c>
      <c r="F218" s="42">
        <f t="shared" si="1"/>
        <v>152.15990399999998</v>
      </c>
      <c r="G218" s="113"/>
      <c r="H218" s="113"/>
      <c r="I218" s="36"/>
      <c r="L218" s="72"/>
      <c r="M218" s="72"/>
      <c r="N218" s="36"/>
    </row>
    <row r="219" spans="1:14" s="48" customFormat="1" ht="15.75" customHeight="1" x14ac:dyDescent="0.35">
      <c r="A219" s="113">
        <f t="shared" si="0"/>
        <v>9</v>
      </c>
      <c r="B219" s="113"/>
      <c r="C219" s="42" t="s">
        <v>183</v>
      </c>
      <c r="D219" s="42">
        <f t="shared" ref="D219:D220" si="2">15.89*10.764</f>
        <v>171.03996000000001</v>
      </c>
      <c r="E219" s="42">
        <v>0</v>
      </c>
      <c r="F219" s="42">
        <f t="shared" ref="F219:F223" si="3">(D219+E219)*(($F$207)+1)</f>
        <v>265.11193800000001</v>
      </c>
      <c r="G219" s="113"/>
      <c r="H219" s="113"/>
      <c r="I219" s="36"/>
      <c r="L219" s="72"/>
      <c r="M219" s="72"/>
      <c r="N219" s="36"/>
    </row>
    <row r="220" spans="1:14" s="48" customFormat="1" ht="15.75" customHeight="1" x14ac:dyDescent="0.35">
      <c r="A220" s="113">
        <f t="shared" si="0"/>
        <v>10</v>
      </c>
      <c r="B220" s="113"/>
      <c r="C220" s="42" t="s">
        <v>183</v>
      </c>
      <c r="D220" s="42">
        <f t="shared" si="2"/>
        <v>171.03996000000001</v>
      </c>
      <c r="E220" s="42">
        <v>0</v>
      </c>
      <c r="F220" s="42">
        <f t="shared" si="3"/>
        <v>265.11193800000001</v>
      </c>
      <c r="G220" s="113"/>
      <c r="H220" s="113"/>
      <c r="I220" s="36"/>
      <c r="L220" s="72"/>
      <c r="M220" s="72"/>
      <c r="N220" s="36"/>
    </row>
    <row r="221" spans="1:14" s="48" customFormat="1" ht="15.75" customHeight="1" x14ac:dyDescent="0.35">
      <c r="A221" s="113">
        <f t="shared" si="0"/>
        <v>11</v>
      </c>
      <c r="B221" s="113"/>
      <c r="C221" s="42" t="s">
        <v>183</v>
      </c>
      <c r="D221" s="42">
        <f>9.12*10.764</f>
        <v>98.16767999999999</v>
      </c>
      <c r="E221" s="42">
        <v>0</v>
      </c>
      <c r="F221" s="42">
        <f t="shared" si="3"/>
        <v>152.15990399999998</v>
      </c>
      <c r="G221" s="113"/>
      <c r="H221" s="113"/>
      <c r="I221" s="36"/>
      <c r="L221" s="72"/>
      <c r="M221" s="72"/>
      <c r="N221" s="36"/>
    </row>
    <row r="222" spans="1:14" s="48" customFormat="1" ht="15.75" customHeight="1" x14ac:dyDescent="0.35">
      <c r="A222" s="113">
        <f t="shared" si="0"/>
        <v>12</v>
      </c>
      <c r="B222" s="113"/>
      <c r="C222" s="42" t="s">
        <v>183</v>
      </c>
      <c r="D222" s="42">
        <f>12.5*10.764</f>
        <v>134.54999999999998</v>
      </c>
      <c r="E222" s="42">
        <v>0</v>
      </c>
      <c r="F222" s="42">
        <f t="shared" si="3"/>
        <v>208.55249999999998</v>
      </c>
      <c r="G222" s="113"/>
      <c r="H222" s="113"/>
      <c r="I222" s="36"/>
      <c r="L222" s="72"/>
      <c r="M222" s="72"/>
      <c r="N222" s="36"/>
    </row>
    <row r="223" spans="1:14" s="48" customFormat="1" ht="15.75" customHeight="1" x14ac:dyDescent="0.35">
      <c r="A223" s="113">
        <f t="shared" si="0"/>
        <v>13</v>
      </c>
      <c r="B223" s="113"/>
      <c r="C223" s="42" t="s">
        <v>183</v>
      </c>
      <c r="D223" s="42">
        <f>12.5*10.764</f>
        <v>134.54999999999998</v>
      </c>
      <c r="E223" s="42">
        <v>0</v>
      </c>
      <c r="F223" s="42">
        <f t="shared" si="3"/>
        <v>208.55249999999998</v>
      </c>
      <c r="G223" s="113"/>
      <c r="H223" s="113"/>
      <c r="I223" s="36"/>
      <c r="L223" s="72"/>
      <c r="M223" s="72"/>
      <c r="N223" s="36"/>
    </row>
    <row r="224" spans="1:14" s="48" customFormat="1" ht="15.75" customHeight="1" x14ac:dyDescent="0.35">
      <c r="A224" s="113">
        <f t="shared" si="0"/>
        <v>14</v>
      </c>
      <c r="B224" s="113"/>
      <c r="C224" s="42" t="s">
        <v>183</v>
      </c>
      <c r="D224" s="42">
        <f>9.12*10.764</f>
        <v>98.16767999999999</v>
      </c>
      <c r="E224" s="42">
        <v>0</v>
      </c>
      <c r="F224" s="42">
        <f t="shared" ref="F224:F226" si="4">(D224+E224)*(($F$207)+1)</f>
        <v>152.15990399999998</v>
      </c>
      <c r="G224" s="113"/>
      <c r="H224" s="113"/>
      <c r="I224" s="36"/>
      <c r="L224" s="72"/>
      <c r="M224" s="72"/>
      <c r="N224" s="36"/>
    </row>
    <row r="225" spans="1:14" s="48" customFormat="1" ht="15.75" customHeight="1" x14ac:dyDescent="0.35">
      <c r="A225" s="113">
        <f t="shared" si="0"/>
        <v>15</v>
      </c>
      <c r="B225" s="113"/>
      <c r="C225" s="42" t="s">
        <v>183</v>
      </c>
      <c r="D225" s="42">
        <f>15.89*10.764</f>
        <v>171.03996000000001</v>
      </c>
      <c r="E225" s="42">
        <v>0</v>
      </c>
      <c r="F225" s="42">
        <f t="shared" si="4"/>
        <v>265.11193800000001</v>
      </c>
      <c r="G225" s="113"/>
      <c r="H225" s="113"/>
      <c r="I225" s="36"/>
      <c r="L225" s="72"/>
      <c r="M225" s="72"/>
      <c r="N225" s="36"/>
    </row>
    <row r="226" spans="1:14" s="48" customFormat="1" ht="15.75" customHeight="1" x14ac:dyDescent="0.35">
      <c r="A226" s="113">
        <f t="shared" si="0"/>
        <v>16</v>
      </c>
      <c r="B226" s="113"/>
      <c r="C226" s="42" t="s">
        <v>183</v>
      </c>
      <c r="D226" s="42">
        <f>15.89*10.764</f>
        <v>171.03996000000001</v>
      </c>
      <c r="E226" s="42">
        <v>0</v>
      </c>
      <c r="F226" s="42">
        <f t="shared" si="4"/>
        <v>265.11193800000001</v>
      </c>
      <c r="G226" s="113"/>
      <c r="H226" s="113"/>
      <c r="I226" s="36"/>
      <c r="L226" s="72"/>
      <c r="M226" s="72"/>
      <c r="N226" s="36"/>
    </row>
    <row r="227" spans="1:14" s="48" customFormat="1" ht="15.75" customHeight="1" x14ac:dyDescent="0.35">
      <c r="A227" s="113">
        <f t="shared" si="0"/>
        <v>17</v>
      </c>
      <c r="B227" s="113"/>
      <c r="C227" s="42" t="s">
        <v>183</v>
      </c>
      <c r="D227" s="42">
        <f>9.12*10.764</f>
        <v>98.16767999999999</v>
      </c>
      <c r="E227" s="42">
        <v>0</v>
      </c>
      <c r="F227" s="42">
        <f t="shared" ref="F227:F228" si="5">(D227+E227)*(($F$207)+1)</f>
        <v>152.15990399999998</v>
      </c>
      <c r="G227" s="113"/>
      <c r="H227" s="113"/>
      <c r="I227" s="36"/>
      <c r="L227" s="72"/>
      <c r="M227" s="72"/>
      <c r="N227" s="36"/>
    </row>
    <row r="228" spans="1:14" s="48" customFormat="1" ht="15.75" customHeight="1" x14ac:dyDescent="0.35">
      <c r="A228" s="113">
        <f t="shared" si="0"/>
        <v>18</v>
      </c>
      <c r="B228" s="113"/>
      <c r="C228" s="42" t="s">
        <v>183</v>
      </c>
      <c r="D228" s="42">
        <f>12.5*10.764</f>
        <v>134.54999999999998</v>
      </c>
      <c r="E228" s="42">
        <v>0</v>
      </c>
      <c r="F228" s="42">
        <f t="shared" si="5"/>
        <v>208.55249999999998</v>
      </c>
      <c r="G228" s="113"/>
      <c r="H228" s="113"/>
      <c r="I228" s="36"/>
      <c r="L228" s="72"/>
      <c r="M228" s="72"/>
      <c r="N228" s="36"/>
    </row>
    <row r="229" spans="1:14" s="34" customFormat="1" x14ac:dyDescent="0.35">
      <c r="A229" s="112" t="s">
        <v>187</v>
      </c>
      <c r="B229" s="112"/>
      <c r="C229" s="112"/>
      <c r="D229" s="112"/>
      <c r="E229" s="112"/>
      <c r="F229" s="112"/>
      <c r="G229" s="112"/>
      <c r="H229" s="112"/>
    </row>
    <row r="230" spans="1:14" s="34" customFormat="1" x14ac:dyDescent="0.35">
      <c r="A230" s="111" t="s">
        <v>199</v>
      </c>
      <c r="B230" s="111"/>
      <c r="C230" s="111"/>
      <c r="D230" s="111"/>
      <c r="E230" s="111"/>
      <c r="F230" s="111"/>
      <c r="G230" s="111"/>
      <c r="H230" s="111"/>
    </row>
    <row r="231" spans="1:14" s="48" customFormat="1" x14ac:dyDescent="0.35">
      <c r="A231" s="129" t="s">
        <v>239</v>
      </c>
      <c r="B231" s="130"/>
      <c r="C231" s="130"/>
      <c r="D231" s="130"/>
      <c r="E231" s="130"/>
      <c r="F231" s="130"/>
      <c r="G231" s="130"/>
      <c r="H231" s="131"/>
      <c r="J231" s="36"/>
    </row>
    <row r="232" spans="1:14" s="48" customFormat="1" x14ac:dyDescent="0.35">
      <c r="A232" s="129" t="s">
        <v>240</v>
      </c>
      <c r="B232" s="130"/>
      <c r="C232" s="130"/>
      <c r="D232" s="130"/>
      <c r="E232" s="130"/>
      <c r="F232" s="130"/>
      <c r="G232" s="130"/>
      <c r="H232" s="131"/>
      <c r="J232" s="36"/>
    </row>
    <row r="233" spans="1:14" s="48" customFormat="1" ht="32.25" customHeight="1" x14ac:dyDescent="0.35">
      <c r="A233" s="73">
        <v>1</v>
      </c>
      <c r="B233" s="74"/>
      <c r="C233" s="66" t="s">
        <v>241</v>
      </c>
      <c r="D233" s="50">
        <f>(848.63+906.85)*10.764</f>
        <v>18895.986720000001</v>
      </c>
      <c r="E233" s="50">
        <v>0</v>
      </c>
      <c r="F233" s="50">
        <f>(D233+E233)*(($F$207)+1)</f>
        <v>29288.779416000001</v>
      </c>
      <c r="G233" s="73" t="str">
        <f>A232</f>
        <v>Ground Floor + 1st for Duplex Shop</v>
      </c>
      <c r="H233" s="74"/>
      <c r="I233" s="36"/>
      <c r="L233" s="72"/>
      <c r="M233" s="72"/>
      <c r="N233" s="36"/>
    </row>
    <row r="234" spans="1:14" s="48" customFormat="1" x14ac:dyDescent="0.35">
      <c r="A234" s="129" t="s">
        <v>242</v>
      </c>
      <c r="B234" s="130"/>
      <c r="C234" s="130"/>
      <c r="D234" s="130"/>
      <c r="E234" s="130"/>
      <c r="F234" s="130"/>
      <c r="G234" s="130"/>
      <c r="H234" s="131"/>
      <c r="J234" s="36"/>
    </row>
    <row r="235" spans="1:14" s="48" customFormat="1" x14ac:dyDescent="0.35">
      <c r="A235" s="73">
        <v>1</v>
      </c>
      <c r="B235" s="74"/>
      <c r="C235" s="66" t="s">
        <v>183</v>
      </c>
      <c r="D235" s="50">
        <f>(968.31)*10.764</f>
        <v>10422.88884</v>
      </c>
      <c r="E235" s="50">
        <v>0</v>
      </c>
      <c r="F235" s="50">
        <f>(D235+E235)*(($F$207)+1)</f>
        <v>16155.477702</v>
      </c>
      <c r="G235" s="73" t="str">
        <f>A234</f>
        <v>2nd Floor for Commercial</v>
      </c>
      <c r="H235" s="74"/>
      <c r="I235" s="36"/>
      <c r="L235" s="72"/>
      <c r="M235" s="72"/>
      <c r="N235" s="36"/>
    </row>
    <row r="236" spans="1:14" s="48" customFormat="1" x14ac:dyDescent="0.35">
      <c r="A236" s="129" t="s">
        <v>243</v>
      </c>
      <c r="B236" s="130"/>
      <c r="C236" s="130"/>
      <c r="D236" s="130"/>
      <c r="E236" s="130"/>
      <c r="F236" s="130"/>
      <c r="G236" s="130"/>
      <c r="H236" s="131"/>
      <c r="J236" s="36"/>
    </row>
    <row r="237" spans="1:14" s="48" customFormat="1" x14ac:dyDescent="0.35">
      <c r="A237" s="73">
        <v>1</v>
      </c>
      <c r="B237" s="74"/>
      <c r="C237" s="66" t="s">
        <v>183</v>
      </c>
      <c r="D237" s="50">
        <f>(76.71)*10.764</f>
        <v>825.70643999999993</v>
      </c>
      <c r="E237" s="50">
        <v>0</v>
      </c>
      <c r="F237" s="50">
        <f>(D237+E237)*(($F$207)+1)</f>
        <v>1279.8449819999998</v>
      </c>
      <c r="G237" s="73" t="str">
        <f>A236</f>
        <v>3rd Floor for Commercial</v>
      </c>
      <c r="H237" s="74"/>
      <c r="I237" s="36"/>
      <c r="L237" s="72"/>
      <c r="M237" s="72"/>
      <c r="N237" s="36"/>
    </row>
    <row r="238" spans="1:14" s="34" customFormat="1" hidden="1" x14ac:dyDescent="0.35">
      <c r="A238" s="111" t="s">
        <v>200</v>
      </c>
      <c r="B238" s="111"/>
      <c r="C238" s="111"/>
      <c r="D238" s="111"/>
      <c r="E238" s="111"/>
      <c r="F238" s="111"/>
      <c r="G238" s="111"/>
      <c r="H238" s="111"/>
    </row>
    <row r="239" spans="1:14" s="48" customFormat="1" ht="31.5" hidden="1" customHeight="1" x14ac:dyDescent="0.35">
      <c r="A239" s="129" t="s">
        <v>267</v>
      </c>
      <c r="B239" s="130"/>
      <c r="C239" s="130"/>
      <c r="D239" s="130"/>
      <c r="E239" s="130"/>
      <c r="F239" s="130"/>
      <c r="G239" s="130"/>
      <c r="H239" s="131"/>
      <c r="J239" s="36"/>
    </row>
    <row r="240" spans="1:14" s="48" customFormat="1" ht="15.75" hidden="1" customHeight="1" x14ac:dyDescent="0.35">
      <c r="A240" s="73">
        <v>1</v>
      </c>
      <c r="B240" s="74"/>
      <c r="C240" s="42" t="s">
        <v>183</v>
      </c>
      <c r="D240" s="42">
        <f>12.5*10.764</f>
        <v>134.54999999999998</v>
      </c>
      <c r="E240" s="42">
        <v>0</v>
      </c>
      <c r="F240" s="42">
        <f>(D240+E240)*(($F$207)+1)</f>
        <v>208.55249999999998</v>
      </c>
      <c r="G240" s="78" t="str">
        <f>A239</f>
        <v>Ground Floor for Commercial, Society Office, Meter Room, Pump Room, 
Double Heighted Lobby &amp; Parking</v>
      </c>
      <c r="H240" s="79"/>
      <c r="I240" s="36"/>
      <c r="L240" s="72"/>
      <c r="M240" s="72"/>
      <c r="N240" s="36"/>
    </row>
    <row r="241" spans="1:14" s="48" customFormat="1" ht="15.75" hidden="1" customHeight="1" x14ac:dyDescent="0.35">
      <c r="A241" s="73">
        <f t="shared" ref="A241:A257" si="6">A240+1</f>
        <v>2</v>
      </c>
      <c r="B241" s="74"/>
      <c r="C241" s="42" t="s">
        <v>183</v>
      </c>
      <c r="D241" s="42">
        <f>9.12*10.764</f>
        <v>98.16767999999999</v>
      </c>
      <c r="E241" s="42">
        <v>0</v>
      </c>
      <c r="F241" s="42">
        <f t="shared" ref="F241:F253" si="7">(D241+E241)*(($F$207)+1)</f>
        <v>152.15990399999998</v>
      </c>
      <c r="G241" s="80"/>
      <c r="H241" s="81"/>
      <c r="I241" s="36"/>
      <c r="L241" s="72"/>
      <c r="M241" s="72"/>
      <c r="N241" s="36"/>
    </row>
    <row r="242" spans="1:14" s="48" customFormat="1" ht="15.75" hidden="1" customHeight="1" x14ac:dyDescent="0.35">
      <c r="A242" s="73">
        <f t="shared" si="6"/>
        <v>3</v>
      </c>
      <c r="B242" s="74"/>
      <c r="C242" s="42" t="s">
        <v>183</v>
      </c>
      <c r="D242" s="42">
        <f>15.89*10.764</f>
        <v>171.03996000000001</v>
      </c>
      <c r="E242" s="42">
        <v>0</v>
      </c>
      <c r="F242" s="42">
        <f t="shared" si="7"/>
        <v>265.11193800000001</v>
      </c>
      <c r="G242" s="80"/>
      <c r="H242" s="81"/>
      <c r="I242" s="36"/>
      <c r="L242" s="72"/>
      <c r="M242" s="72"/>
      <c r="N242" s="36"/>
    </row>
    <row r="243" spans="1:14" s="48" customFormat="1" ht="15.75" hidden="1" customHeight="1" x14ac:dyDescent="0.35">
      <c r="A243" s="73">
        <f t="shared" si="6"/>
        <v>4</v>
      </c>
      <c r="B243" s="74"/>
      <c r="C243" s="42" t="s">
        <v>183</v>
      </c>
      <c r="D243" s="42">
        <f>15.89*10.764</f>
        <v>171.03996000000001</v>
      </c>
      <c r="E243" s="42">
        <v>0</v>
      </c>
      <c r="F243" s="42">
        <f t="shared" si="7"/>
        <v>265.11193800000001</v>
      </c>
      <c r="G243" s="80"/>
      <c r="H243" s="81"/>
      <c r="I243" s="36"/>
      <c r="L243" s="72"/>
      <c r="M243" s="72"/>
      <c r="N243" s="36"/>
    </row>
    <row r="244" spans="1:14" s="48" customFormat="1" ht="15.75" hidden="1" customHeight="1" x14ac:dyDescent="0.35">
      <c r="A244" s="73">
        <f t="shared" si="6"/>
        <v>5</v>
      </c>
      <c r="B244" s="74"/>
      <c r="C244" s="42" t="s">
        <v>183</v>
      </c>
      <c r="D244" s="42">
        <f>9.12*10.764</f>
        <v>98.16767999999999</v>
      </c>
      <c r="E244" s="42">
        <v>0</v>
      </c>
      <c r="F244" s="42">
        <f t="shared" si="7"/>
        <v>152.15990399999998</v>
      </c>
      <c r="G244" s="80"/>
      <c r="H244" s="81"/>
      <c r="I244" s="36"/>
      <c r="L244" s="72"/>
      <c r="M244" s="72"/>
      <c r="N244" s="36"/>
    </row>
    <row r="245" spans="1:14" s="48" customFormat="1" ht="15.75" hidden="1" customHeight="1" x14ac:dyDescent="0.35">
      <c r="A245" s="73">
        <f t="shared" si="6"/>
        <v>6</v>
      </c>
      <c r="B245" s="74"/>
      <c r="C245" s="42" t="s">
        <v>183</v>
      </c>
      <c r="D245" s="42">
        <f>12.5*10.764</f>
        <v>134.54999999999998</v>
      </c>
      <c r="E245" s="42">
        <v>0</v>
      </c>
      <c r="F245" s="42">
        <f t="shared" si="7"/>
        <v>208.55249999999998</v>
      </c>
      <c r="G245" s="80"/>
      <c r="H245" s="81"/>
      <c r="I245" s="36"/>
      <c r="L245" s="72"/>
      <c r="M245" s="72"/>
      <c r="N245" s="36"/>
    </row>
    <row r="246" spans="1:14" s="48" customFormat="1" ht="15.75" hidden="1" customHeight="1" x14ac:dyDescent="0.35">
      <c r="A246" s="73">
        <f t="shared" si="6"/>
        <v>7</v>
      </c>
      <c r="B246" s="74"/>
      <c r="C246" s="42" t="s">
        <v>183</v>
      </c>
      <c r="D246" s="42">
        <f>12.5*10.764</f>
        <v>134.54999999999998</v>
      </c>
      <c r="E246" s="42">
        <v>0</v>
      </c>
      <c r="F246" s="42">
        <f t="shared" si="7"/>
        <v>208.55249999999998</v>
      </c>
      <c r="G246" s="80"/>
      <c r="H246" s="81"/>
      <c r="I246" s="36"/>
      <c r="L246" s="72"/>
      <c r="M246" s="72"/>
      <c r="N246" s="36"/>
    </row>
    <row r="247" spans="1:14" s="48" customFormat="1" ht="15.75" hidden="1" customHeight="1" x14ac:dyDescent="0.35">
      <c r="A247" s="73">
        <f t="shared" si="6"/>
        <v>8</v>
      </c>
      <c r="B247" s="74"/>
      <c r="C247" s="42" t="s">
        <v>183</v>
      </c>
      <c r="D247" s="42">
        <f>9.12*10.764</f>
        <v>98.16767999999999</v>
      </c>
      <c r="E247" s="42">
        <v>0</v>
      </c>
      <c r="F247" s="42">
        <f t="shared" si="7"/>
        <v>152.15990399999998</v>
      </c>
      <c r="G247" s="80"/>
      <c r="H247" s="81"/>
      <c r="I247" s="36"/>
      <c r="L247" s="72"/>
      <c r="M247" s="72"/>
      <c r="N247" s="36"/>
    </row>
    <row r="248" spans="1:14" s="48" customFormat="1" ht="15.75" hidden="1" customHeight="1" x14ac:dyDescent="0.35">
      <c r="A248" s="73">
        <f t="shared" si="6"/>
        <v>9</v>
      </c>
      <c r="B248" s="74"/>
      <c r="C248" s="42" t="s">
        <v>183</v>
      </c>
      <c r="D248" s="42">
        <f t="shared" ref="D248:D249" si="8">15.89*10.764</f>
        <v>171.03996000000001</v>
      </c>
      <c r="E248" s="42">
        <v>0</v>
      </c>
      <c r="F248" s="42">
        <f t="shared" si="7"/>
        <v>265.11193800000001</v>
      </c>
      <c r="G248" s="80"/>
      <c r="H248" s="81"/>
      <c r="I248" s="36"/>
      <c r="L248" s="72"/>
      <c r="M248" s="72"/>
      <c r="N248" s="36"/>
    </row>
    <row r="249" spans="1:14" s="48" customFormat="1" ht="15.75" hidden="1" customHeight="1" x14ac:dyDescent="0.35">
      <c r="A249" s="73">
        <f t="shared" si="6"/>
        <v>10</v>
      </c>
      <c r="B249" s="74"/>
      <c r="C249" s="42" t="s">
        <v>183</v>
      </c>
      <c r="D249" s="42">
        <f t="shared" si="8"/>
        <v>171.03996000000001</v>
      </c>
      <c r="E249" s="42">
        <v>0</v>
      </c>
      <c r="F249" s="42">
        <f t="shared" si="7"/>
        <v>265.11193800000001</v>
      </c>
      <c r="G249" s="80"/>
      <c r="H249" s="81"/>
      <c r="I249" s="36"/>
      <c r="L249" s="72"/>
      <c r="M249" s="72"/>
      <c r="N249" s="36"/>
    </row>
    <row r="250" spans="1:14" s="48" customFormat="1" ht="15.75" hidden="1" customHeight="1" x14ac:dyDescent="0.35">
      <c r="A250" s="73">
        <f t="shared" si="6"/>
        <v>11</v>
      </c>
      <c r="B250" s="74"/>
      <c r="C250" s="42" t="s">
        <v>183</v>
      </c>
      <c r="D250" s="42">
        <f>9.12*10.764</f>
        <v>98.16767999999999</v>
      </c>
      <c r="E250" s="42">
        <v>0</v>
      </c>
      <c r="F250" s="42">
        <f t="shared" si="7"/>
        <v>152.15990399999998</v>
      </c>
      <c r="G250" s="80"/>
      <c r="H250" s="81"/>
      <c r="I250" s="36"/>
      <c r="L250" s="72"/>
      <c r="M250" s="72"/>
      <c r="N250" s="36"/>
    </row>
    <row r="251" spans="1:14" s="48" customFormat="1" ht="15.75" hidden="1" customHeight="1" x14ac:dyDescent="0.35">
      <c r="A251" s="73">
        <f t="shared" si="6"/>
        <v>12</v>
      </c>
      <c r="B251" s="74"/>
      <c r="C251" s="42" t="s">
        <v>183</v>
      </c>
      <c r="D251" s="42">
        <f>12.5*10.764</f>
        <v>134.54999999999998</v>
      </c>
      <c r="E251" s="42">
        <v>0</v>
      </c>
      <c r="F251" s="42">
        <f t="shared" si="7"/>
        <v>208.55249999999998</v>
      </c>
      <c r="G251" s="80"/>
      <c r="H251" s="81"/>
      <c r="I251" s="36"/>
      <c r="L251" s="72"/>
      <c r="M251" s="72"/>
      <c r="N251" s="36"/>
    </row>
    <row r="252" spans="1:14" s="48" customFormat="1" ht="15.75" hidden="1" customHeight="1" x14ac:dyDescent="0.35">
      <c r="A252" s="73">
        <f t="shared" si="6"/>
        <v>13</v>
      </c>
      <c r="B252" s="74"/>
      <c r="C252" s="42" t="s">
        <v>183</v>
      </c>
      <c r="D252" s="42">
        <f>12.5*10.764</f>
        <v>134.54999999999998</v>
      </c>
      <c r="E252" s="42">
        <v>0</v>
      </c>
      <c r="F252" s="42">
        <f t="shared" si="7"/>
        <v>208.55249999999998</v>
      </c>
      <c r="G252" s="80"/>
      <c r="H252" s="81"/>
      <c r="I252" s="36"/>
      <c r="L252" s="72"/>
      <c r="M252" s="72"/>
      <c r="N252" s="36"/>
    </row>
    <row r="253" spans="1:14" s="48" customFormat="1" ht="15.75" hidden="1" customHeight="1" x14ac:dyDescent="0.35">
      <c r="A253" s="73">
        <f t="shared" si="6"/>
        <v>14</v>
      </c>
      <c r="B253" s="74"/>
      <c r="C253" s="42" t="s">
        <v>183</v>
      </c>
      <c r="D253" s="42">
        <f>9.12*10.764</f>
        <v>98.16767999999999</v>
      </c>
      <c r="E253" s="42">
        <v>0</v>
      </c>
      <c r="F253" s="42">
        <f t="shared" si="7"/>
        <v>152.15990399999998</v>
      </c>
      <c r="G253" s="80"/>
      <c r="H253" s="81"/>
      <c r="I253" s="36"/>
      <c r="L253" s="72"/>
      <c r="M253" s="72"/>
      <c r="N253" s="36"/>
    </row>
    <row r="254" spans="1:14" s="48" customFormat="1" ht="15.75" hidden="1" customHeight="1" x14ac:dyDescent="0.35">
      <c r="A254" s="73">
        <f t="shared" si="6"/>
        <v>15</v>
      </c>
      <c r="B254" s="74"/>
      <c r="C254" s="42" t="s">
        <v>183</v>
      </c>
      <c r="D254" s="42">
        <f>15.89*10.764</f>
        <v>171.03996000000001</v>
      </c>
      <c r="E254" s="42">
        <v>0</v>
      </c>
      <c r="F254" s="42">
        <f t="shared" ref="F254:F257" si="9">(D254+E254)*(($F$207)+1)</f>
        <v>265.11193800000001</v>
      </c>
      <c r="G254" s="80"/>
      <c r="H254" s="81"/>
      <c r="I254" s="36"/>
      <c r="L254" s="72"/>
      <c r="M254" s="72"/>
      <c r="N254" s="36"/>
    </row>
    <row r="255" spans="1:14" s="48" customFormat="1" ht="15.75" hidden="1" customHeight="1" x14ac:dyDescent="0.35">
      <c r="A255" s="73">
        <f t="shared" si="6"/>
        <v>16</v>
      </c>
      <c r="B255" s="74"/>
      <c r="C255" s="42" t="s">
        <v>183</v>
      </c>
      <c r="D255" s="42">
        <f>15.89*10.764</f>
        <v>171.03996000000001</v>
      </c>
      <c r="E255" s="42">
        <v>0</v>
      </c>
      <c r="F255" s="42">
        <f t="shared" si="9"/>
        <v>265.11193800000001</v>
      </c>
      <c r="G255" s="80"/>
      <c r="H255" s="81"/>
      <c r="I255" s="36"/>
      <c r="L255" s="72"/>
      <c r="M255" s="72"/>
      <c r="N255" s="36"/>
    </row>
    <row r="256" spans="1:14" s="48" customFormat="1" ht="15.75" hidden="1" customHeight="1" x14ac:dyDescent="0.35">
      <c r="A256" s="73">
        <f t="shared" si="6"/>
        <v>17</v>
      </c>
      <c r="B256" s="74"/>
      <c r="C256" s="42" t="s">
        <v>183</v>
      </c>
      <c r="D256" s="42">
        <f>9.12*10.764</f>
        <v>98.16767999999999</v>
      </c>
      <c r="E256" s="42">
        <v>0</v>
      </c>
      <c r="F256" s="42">
        <f t="shared" si="9"/>
        <v>152.15990399999998</v>
      </c>
      <c r="G256" s="80"/>
      <c r="H256" s="81"/>
      <c r="I256" s="36"/>
      <c r="L256" s="72"/>
      <c r="M256" s="72"/>
      <c r="N256" s="36"/>
    </row>
    <row r="257" spans="1:14" s="48" customFormat="1" ht="15.75" hidden="1" customHeight="1" x14ac:dyDescent="0.35">
      <c r="A257" s="73">
        <f t="shared" si="6"/>
        <v>18</v>
      </c>
      <c r="B257" s="74"/>
      <c r="C257" s="42" t="s">
        <v>183</v>
      </c>
      <c r="D257" s="42">
        <f>12.5*10.764</f>
        <v>134.54999999999998</v>
      </c>
      <c r="E257" s="42">
        <v>0</v>
      </c>
      <c r="F257" s="42">
        <f t="shared" si="9"/>
        <v>208.55249999999998</v>
      </c>
      <c r="G257" s="82"/>
      <c r="H257" s="83"/>
      <c r="I257" s="36"/>
      <c r="L257" s="72"/>
      <c r="M257" s="72"/>
      <c r="N257" s="36"/>
    </row>
    <row r="258" spans="1:14" s="34" customFormat="1" x14ac:dyDescent="0.35">
      <c r="A258" s="112" t="s">
        <v>188</v>
      </c>
      <c r="B258" s="112"/>
      <c r="C258" s="112"/>
      <c r="D258" s="112"/>
      <c r="E258" s="112"/>
      <c r="F258" s="112"/>
      <c r="G258" s="112"/>
      <c r="H258" s="112"/>
    </row>
    <row r="259" spans="1:14" s="34" customFormat="1" x14ac:dyDescent="0.35">
      <c r="A259" s="112" t="s">
        <v>202</v>
      </c>
      <c r="B259" s="112"/>
      <c r="C259" s="112"/>
      <c r="D259" s="112"/>
      <c r="E259" s="112"/>
      <c r="F259" s="112"/>
      <c r="G259" s="112"/>
      <c r="H259" s="112"/>
    </row>
    <row r="260" spans="1:14" s="48" customFormat="1" ht="15.75" customHeight="1" x14ac:dyDescent="0.35">
      <c r="A260" s="129" t="s">
        <v>244</v>
      </c>
      <c r="B260" s="130"/>
      <c r="C260" s="130"/>
      <c r="D260" s="130"/>
      <c r="E260" s="130"/>
      <c r="F260" s="130"/>
      <c r="G260" s="130"/>
      <c r="H260" s="131"/>
      <c r="J260" s="36"/>
    </row>
    <row r="261" spans="1:14" s="48" customFormat="1" ht="15.75" customHeight="1" x14ac:dyDescent="0.35">
      <c r="A261" s="73">
        <v>1</v>
      </c>
      <c r="B261" s="74"/>
      <c r="C261" s="42" t="s">
        <v>183</v>
      </c>
      <c r="D261" s="42">
        <f>17.63*10.764</f>
        <v>189.76931999999996</v>
      </c>
      <c r="E261" s="42">
        <v>0</v>
      </c>
      <c r="F261" s="42">
        <f>(D261+E261)*(($F$207)+1)</f>
        <v>294.14244599999995</v>
      </c>
      <c r="G261" s="78" t="str">
        <f>A260</f>
        <v>Ground Floor for Commercial, Society Office, Meter Room, Pump Room &amp; Double Heighted Lobby</v>
      </c>
      <c r="H261" s="79"/>
      <c r="I261" s="36"/>
      <c r="L261" s="72"/>
      <c r="M261" s="72"/>
      <c r="N261" s="36"/>
    </row>
    <row r="262" spans="1:14" s="48" customFormat="1" ht="15.75" customHeight="1" x14ac:dyDescent="0.35">
      <c r="A262" s="73">
        <f t="shared" ref="A262:A266" si="10">A261+1</f>
        <v>2</v>
      </c>
      <c r="B262" s="74"/>
      <c r="C262" s="42" t="s">
        <v>183</v>
      </c>
      <c r="D262" s="42">
        <f>13.49*10.764</f>
        <v>145.20635999999999</v>
      </c>
      <c r="E262" s="42">
        <v>0</v>
      </c>
      <c r="F262" s="42">
        <f t="shared" ref="F262:F266" si="11">(D262+E262)*(($F$207)+1)</f>
        <v>225.06985799999998</v>
      </c>
      <c r="G262" s="80"/>
      <c r="H262" s="81"/>
      <c r="I262" s="36"/>
      <c r="L262" s="72"/>
      <c r="M262" s="72"/>
      <c r="N262" s="36"/>
    </row>
    <row r="263" spans="1:14" s="48" customFormat="1" ht="15.75" customHeight="1" x14ac:dyDescent="0.35">
      <c r="A263" s="73">
        <f t="shared" si="10"/>
        <v>3</v>
      </c>
      <c r="B263" s="74"/>
      <c r="C263" s="42" t="s">
        <v>183</v>
      </c>
      <c r="D263" s="42">
        <f>17.33*10.764</f>
        <v>186.54011999999997</v>
      </c>
      <c r="E263" s="42">
        <v>0</v>
      </c>
      <c r="F263" s="42">
        <f t="shared" si="11"/>
        <v>289.13718599999999</v>
      </c>
      <c r="G263" s="80"/>
      <c r="H263" s="81"/>
      <c r="I263" s="36"/>
      <c r="L263" s="72"/>
      <c r="M263" s="72"/>
      <c r="N263" s="36"/>
    </row>
    <row r="264" spans="1:14" s="48" customFormat="1" ht="15.75" customHeight="1" x14ac:dyDescent="0.35">
      <c r="A264" s="73">
        <f t="shared" si="10"/>
        <v>4</v>
      </c>
      <c r="B264" s="74"/>
      <c r="C264" s="42" t="s">
        <v>183</v>
      </c>
      <c r="D264" s="42">
        <f>12.84*10.764</f>
        <v>138.20975999999999</v>
      </c>
      <c r="E264" s="42">
        <v>0</v>
      </c>
      <c r="F264" s="42">
        <f t="shared" si="11"/>
        <v>214.22512799999998</v>
      </c>
      <c r="G264" s="80"/>
      <c r="H264" s="81"/>
      <c r="I264" s="36"/>
      <c r="L264" s="72"/>
      <c r="M264" s="72"/>
      <c r="N264" s="36"/>
    </row>
    <row r="265" spans="1:14" s="48" customFormat="1" ht="15.75" customHeight="1" x14ac:dyDescent="0.35">
      <c r="A265" s="73">
        <f t="shared" si="10"/>
        <v>5</v>
      </c>
      <c r="B265" s="74"/>
      <c r="C265" s="42" t="s">
        <v>183</v>
      </c>
      <c r="D265" s="42">
        <f>13.5*10.764</f>
        <v>145.31399999999999</v>
      </c>
      <c r="E265" s="42">
        <v>0</v>
      </c>
      <c r="F265" s="42">
        <f t="shared" si="11"/>
        <v>225.23669999999998</v>
      </c>
      <c r="G265" s="80"/>
      <c r="H265" s="81"/>
      <c r="I265" s="36"/>
      <c r="L265" s="72"/>
      <c r="M265" s="72"/>
      <c r="N265" s="36"/>
    </row>
    <row r="266" spans="1:14" s="48" customFormat="1" ht="15.75" customHeight="1" x14ac:dyDescent="0.35">
      <c r="A266" s="73">
        <f t="shared" si="10"/>
        <v>6</v>
      </c>
      <c r="B266" s="74"/>
      <c r="C266" s="42" t="s">
        <v>183</v>
      </c>
      <c r="D266" s="42">
        <f>17.33*10.764</f>
        <v>186.54011999999997</v>
      </c>
      <c r="E266" s="42">
        <v>0</v>
      </c>
      <c r="F266" s="42">
        <f t="shared" si="11"/>
        <v>289.13718599999999</v>
      </c>
      <c r="G266" s="82"/>
      <c r="H266" s="83"/>
      <c r="I266" s="36"/>
      <c r="L266" s="72"/>
      <c r="M266" s="72"/>
      <c r="N266" s="36"/>
    </row>
    <row r="267" spans="1:14" s="34" customFormat="1" x14ac:dyDescent="0.35">
      <c r="A267" s="112" t="s">
        <v>203</v>
      </c>
      <c r="B267" s="112"/>
      <c r="C267" s="112"/>
      <c r="D267" s="112"/>
      <c r="E267" s="112"/>
      <c r="F267" s="112"/>
      <c r="G267" s="112"/>
      <c r="H267" s="112"/>
    </row>
    <row r="268" spans="1:14" s="34" customFormat="1" x14ac:dyDescent="0.35">
      <c r="A268" s="112" t="s">
        <v>179</v>
      </c>
      <c r="B268" s="112"/>
      <c r="C268" s="112"/>
      <c r="D268" s="112"/>
      <c r="E268" s="112"/>
      <c r="F268" s="112"/>
      <c r="G268" s="112"/>
      <c r="H268" s="112"/>
    </row>
    <row r="269" spans="1:14" s="48" customFormat="1" x14ac:dyDescent="0.35">
      <c r="A269" s="129" t="s">
        <v>236</v>
      </c>
      <c r="B269" s="130"/>
      <c r="C269" s="130"/>
      <c r="D269" s="130"/>
      <c r="E269" s="130"/>
      <c r="F269" s="130"/>
      <c r="G269" s="130"/>
      <c r="H269" s="131"/>
      <c r="J269" s="36"/>
    </row>
    <row r="270" spans="1:14" s="48" customFormat="1" ht="15.75" customHeight="1" x14ac:dyDescent="0.35">
      <c r="A270" s="129" t="s">
        <v>238</v>
      </c>
      <c r="B270" s="130"/>
      <c r="C270" s="130"/>
      <c r="D270" s="130"/>
      <c r="E270" s="130"/>
      <c r="F270" s="130"/>
      <c r="G270" s="130"/>
      <c r="H270" s="131"/>
      <c r="J270" s="36"/>
    </row>
    <row r="271" spans="1:14" s="48" customFormat="1" ht="15.75" customHeight="1" x14ac:dyDescent="0.35">
      <c r="A271" s="73">
        <v>1</v>
      </c>
      <c r="B271" s="74"/>
      <c r="C271" s="42" t="s">
        <v>183</v>
      </c>
      <c r="D271" s="42">
        <f>17.63*10.764</f>
        <v>189.76931999999996</v>
      </c>
      <c r="E271" s="42">
        <v>0</v>
      </c>
      <c r="F271" s="42">
        <f>(D271+E271)*(($F$207)+1)</f>
        <v>294.14244599999995</v>
      </c>
      <c r="G271" s="78" t="str">
        <f>A270</f>
        <v>Upper Stilt for Parking, Society Office, Meter Room &amp; Commercial</v>
      </c>
      <c r="H271" s="79"/>
      <c r="I271" s="36"/>
      <c r="L271" s="72"/>
      <c r="M271" s="72"/>
      <c r="N271" s="36"/>
    </row>
    <row r="272" spans="1:14" s="48" customFormat="1" ht="15.75" customHeight="1" x14ac:dyDescent="0.35">
      <c r="A272" s="73">
        <f t="shared" ref="A272:A276" si="12">A271+1</f>
        <v>2</v>
      </c>
      <c r="B272" s="74"/>
      <c r="C272" s="42" t="s">
        <v>183</v>
      </c>
      <c r="D272" s="42">
        <f>13.49*10.764</f>
        <v>145.20635999999999</v>
      </c>
      <c r="E272" s="42">
        <v>0</v>
      </c>
      <c r="F272" s="42">
        <f t="shared" ref="F272:F276" si="13">(D272+E272)*(($F$207)+1)</f>
        <v>225.06985799999998</v>
      </c>
      <c r="G272" s="80"/>
      <c r="H272" s="81"/>
      <c r="I272" s="36"/>
      <c r="L272" s="72"/>
      <c r="M272" s="72"/>
      <c r="N272" s="36"/>
    </row>
    <row r="273" spans="1:14" s="48" customFormat="1" ht="15.75" customHeight="1" x14ac:dyDescent="0.35">
      <c r="A273" s="73">
        <f t="shared" si="12"/>
        <v>3</v>
      </c>
      <c r="B273" s="74"/>
      <c r="C273" s="42" t="s">
        <v>183</v>
      </c>
      <c r="D273" s="42">
        <f>17.33*10.764</f>
        <v>186.54011999999997</v>
      </c>
      <c r="E273" s="42">
        <v>0</v>
      </c>
      <c r="F273" s="42">
        <f t="shared" si="13"/>
        <v>289.13718599999999</v>
      </c>
      <c r="G273" s="80"/>
      <c r="H273" s="81"/>
      <c r="I273" s="36"/>
      <c r="L273" s="72"/>
      <c r="M273" s="72"/>
      <c r="N273" s="36"/>
    </row>
    <row r="274" spans="1:14" s="48" customFormat="1" ht="15.75" customHeight="1" x14ac:dyDescent="0.35">
      <c r="A274" s="73">
        <f t="shared" si="12"/>
        <v>4</v>
      </c>
      <c r="B274" s="74"/>
      <c r="C274" s="42" t="s">
        <v>183</v>
      </c>
      <c r="D274" s="42">
        <f>12.84*10.764</f>
        <v>138.20975999999999</v>
      </c>
      <c r="E274" s="42">
        <v>0</v>
      </c>
      <c r="F274" s="42">
        <f t="shared" si="13"/>
        <v>214.22512799999998</v>
      </c>
      <c r="G274" s="80"/>
      <c r="H274" s="81"/>
      <c r="I274" s="36"/>
      <c r="L274" s="72"/>
      <c r="M274" s="72"/>
      <c r="N274" s="36"/>
    </row>
    <row r="275" spans="1:14" s="48" customFormat="1" ht="15.75" customHeight="1" x14ac:dyDescent="0.35">
      <c r="A275" s="73">
        <f t="shared" si="12"/>
        <v>5</v>
      </c>
      <c r="B275" s="74"/>
      <c r="C275" s="42" t="s">
        <v>183</v>
      </c>
      <c r="D275" s="42">
        <f>13.49*10.764</f>
        <v>145.20635999999999</v>
      </c>
      <c r="E275" s="42">
        <v>0</v>
      </c>
      <c r="F275" s="42">
        <f t="shared" si="13"/>
        <v>225.06985799999998</v>
      </c>
      <c r="G275" s="80"/>
      <c r="H275" s="81"/>
      <c r="I275" s="36"/>
      <c r="L275" s="72"/>
      <c r="M275" s="72"/>
      <c r="N275" s="36"/>
    </row>
    <row r="276" spans="1:14" s="48" customFormat="1" ht="15.75" customHeight="1" x14ac:dyDescent="0.35">
      <c r="A276" s="73">
        <f t="shared" si="12"/>
        <v>6</v>
      </c>
      <c r="B276" s="74"/>
      <c r="C276" s="42" t="s">
        <v>183</v>
      </c>
      <c r="D276" s="42">
        <f>17.33*10.764</f>
        <v>186.54011999999997</v>
      </c>
      <c r="E276" s="42">
        <v>0</v>
      </c>
      <c r="F276" s="42">
        <f t="shared" si="13"/>
        <v>289.13718599999999</v>
      </c>
      <c r="G276" s="82"/>
      <c r="H276" s="83"/>
      <c r="I276" s="36"/>
      <c r="L276" s="72"/>
      <c r="M276" s="72"/>
      <c r="N276" s="36"/>
    </row>
    <row r="277" spans="1:14" s="34" customFormat="1" x14ac:dyDescent="0.35">
      <c r="A277" s="112" t="s">
        <v>180</v>
      </c>
      <c r="B277" s="112"/>
      <c r="C277" s="112"/>
      <c r="D277" s="112"/>
      <c r="E277" s="112"/>
      <c r="F277" s="112"/>
      <c r="G277" s="112"/>
      <c r="H277" s="112"/>
    </row>
    <row r="278" spans="1:14" s="48" customFormat="1" x14ac:dyDescent="0.35">
      <c r="A278" s="128" t="s">
        <v>236</v>
      </c>
      <c r="B278" s="128"/>
      <c r="C278" s="128"/>
      <c r="D278" s="128"/>
      <c r="E278" s="128"/>
      <c r="F278" s="128"/>
      <c r="G278" s="128"/>
      <c r="H278" s="128"/>
      <c r="J278" s="36"/>
    </row>
    <row r="279" spans="1:14" s="48" customFormat="1" ht="15.75" customHeight="1" x14ac:dyDescent="0.35">
      <c r="A279" s="128" t="s">
        <v>238</v>
      </c>
      <c r="B279" s="128"/>
      <c r="C279" s="128"/>
      <c r="D279" s="128"/>
      <c r="E279" s="128"/>
      <c r="F279" s="128"/>
      <c r="G279" s="128"/>
      <c r="H279" s="128"/>
      <c r="J279" s="36"/>
    </row>
    <row r="280" spans="1:14" s="48" customFormat="1" ht="15.75" customHeight="1" x14ac:dyDescent="0.35">
      <c r="A280" s="113">
        <v>1</v>
      </c>
      <c r="B280" s="113"/>
      <c r="C280" s="42" t="s">
        <v>183</v>
      </c>
      <c r="D280" s="42">
        <f>17.63*10.764</f>
        <v>189.76931999999996</v>
      </c>
      <c r="E280" s="42">
        <v>0</v>
      </c>
      <c r="F280" s="42">
        <f>(D280+E280)*(($F$207)+1)</f>
        <v>294.14244599999995</v>
      </c>
      <c r="G280" s="113" t="str">
        <f>A279</f>
        <v>Upper Stilt for Parking, Society Office, Meter Room &amp; Commercial</v>
      </c>
      <c r="H280" s="113"/>
      <c r="I280" s="36"/>
      <c r="L280" s="72"/>
      <c r="M280" s="72"/>
      <c r="N280" s="36"/>
    </row>
    <row r="281" spans="1:14" s="48" customFormat="1" ht="15.75" customHeight="1" x14ac:dyDescent="0.35">
      <c r="A281" s="113">
        <f t="shared" ref="A281:A285" si="14">A280+1</f>
        <v>2</v>
      </c>
      <c r="B281" s="113"/>
      <c r="C281" s="42" t="s">
        <v>183</v>
      </c>
      <c r="D281" s="42">
        <f>13.49*10.764</f>
        <v>145.20635999999999</v>
      </c>
      <c r="E281" s="42">
        <v>0</v>
      </c>
      <c r="F281" s="42">
        <f t="shared" ref="F281:F285" si="15">(D281+E281)*(($F$207)+1)</f>
        <v>225.06985799999998</v>
      </c>
      <c r="G281" s="113"/>
      <c r="H281" s="113"/>
      <c r="I281" s="36"/>
      <c r="L281" s="72"/>
      <c r="M281" s="72"/>
      <c r="N281" s="36"/>
    </row>
    <row r="282" spans="1:14" s="48" customFormat="1" ht="15.75" customHeight="1" x14ac:dyDescent="0.35">
      <c r="A282" s="113">
        <f t="shared" si="14"/>
        <v>3</v>
      </c>
      <c r="B282" s="113"/>
      <c r="C282" s="42" t="s">
        <v>183</v>
      </c>
      <c r="D282" s="42">
        <f>17.35*10.764</f>
        <v>186.75540000000001</v>
      </c>
      <c r="E282" s="42">
        <v>0</v>
      </c>
      <c r="F282" s="42">
        <f t="shared" si="15"/>
        <v>289.47087000000005</v>
      </c>
      <c r="G282" s="113"/>
      <c r="H282" s="113"/>
      <c r="I282" s="36"/>
      <c r="L282" s="72"/>
      <c r="M282" s="72"/>
      <c r="N282" s="36"/>
    </row>
    <row r="283" spans="1:14" s="48" customFormat="1" ht="15.75" customHeight="1" x14ac:dyDescent="0.35">
      <c r="A283" s="113">
        <f t="shared" si="14"/>
        <v>4</v>
      </c>
      <c r="B283" s="113"/>
      <c r="C283" s="42" t="s">
        <v>183</v>
      </c>
      <c r="D283" s="42">
        <f>12.84*10.764</f>
        <v>138.20975999999999</v>
      </c>
      <c r="E283" s="42">
        <v>0</v>
      </c>
      <c r="F283" s="42">
        <f t="shared" si="15"/>
        <v>214.22512799999998</v>
      </c>
      <c r="G283" s="113"/>
      <c r="H283" s="113"/>
      <c r="I283" s="36"/>
      <c r="L283" s="72"/>
      <c r="M283" s="72"/>
      <c r="N283" s="36"/>
    </row>
    <row r="284" spans="1:14" s="48" customFormat="1" ht="15.75" customHeight="1" x14ac:dyDescent="0.35">
      <c r="A284" s="113">
        <f t="shared" si="14"/>
        <v>5</v>
      </c>
      <c r="B284" s="113"/>
      <c r="C284" s="42" t="s">
        <v>183</v>
      </c>
      <c r="D284" s="42">
        <f>13.49*10.764</f>
        <v>145.20635999999999</v>
      </c>
      <c r="E284" s="42">
        <v>0</v>
      </c>
      <c r="F284" s="42">
        <f t="shared" si="15"/>
        <v>225.06985799999998</v>
      </c>
      <c r="G284" s="113"/>
      <c r="H284" s="113"/>
      <c r="I284" s="36"/>
      <c r="L284" s="72"/>
      <c r="M284" s="72"/>
      <c r="N284" s="36"/>
    </row>
    <row r="285" spans="1:14" s="48" customFormat="1" ht="15.75" customHeight="1" x14ac:dyDescent="0.35">
      <c r="A285" s="113">
        <f t="shared" si="14"/>
        <v>6</v>
      </c>
      <c r="B285" s="113"/>
      <c r="C285" s="42" t="s">
        <v>183</v>
      </c>
      <c r="D285" s="42">
        <f>17.33*10.764</f>
        <v>186.54011999999997</v>
      </c>
      <c r="E285" s="42">
        <v>0</v>
      </c>
      <c r="F285" s="42">
        <f t="shared" si="15"/>
        <v>289.13718599999999</v>
      </c>
      <c r="G285" s="113"/>
      <c r="H285" s="113"/>
      <c r="I285" s="36"/>
      <c r="L285" s="72"/>
      <c r="M285" s="72"/>
      <c r="N285" s="36"/>
    </row>
    <row r="286" spans="1:14" s="48" customFormat="1" x14ac:dyDescent="0.35">
      <c r="A286" s="113"/>
      <c r="B286" s="113"/>
      <c r="C286" s="113"/>
      <c r="D286" s="113"/>
      <c r="E286" s="113"/>
      <c r="F286" s="113"/>
      <c r="G286" s="113"/>
      <c r="H286" s="113"/>
      <c r="I286" s="36"/>
      <c r="N286" s="36"/>
    </row>
    <row r="287" spans="1:14" ht="47.25" customHeight="1" x14ac:dyDescent="0.35">
      <c r="A287" s="151" t="s">
        <v>119</v>
      </c>
      <c r="B287" s="151" t="s">
        <v>120</v>
      </c>
      <c r="C287" s="151" t="s">
        <v>54</v>
      </c>
      <c r="D287" s="151" t="s">
        <v>55</v>
      </c>
      <c r="E287" s="152" t="s">
        <v>56</v>
      </c>
      <c r="F287" s="69" t="s">
        <v>150</v>
      </c>
      <c r="G287" s="151" t="s">
        <v>57</v>
      </c>
      <c r="H287" s="151"/>
      <c r="I287" s="36"/>
    </row>
    <row r="288" spans="1:14" s="48" customFormat="1" hidden="1" x14ac:dyDescent="0.35">
      <c r="A288" s="151"/>
      <c r="B288" s="151"/>
      <c r="C288" s="151"/>
      <c r="D288" s="151"/>
      <c r="E288" s="152"/>
      <c r="F288" s="70">
        <v>0.4</v>
      </c>
      <c r="G288" s="151"/>
      <c r="H288" s="151"/>
      <c r="I288" s="36"/>
    </row>
    <row r="289" spans="1:14" s="34" customFormat="1" x14ac:dyDescent="0.35">
      <c r="A289" s="111" t="s">
        <v>187</v>
      </c>
      <c r="B289" s="111"/>
      <c r="C289" s="111"/>
      <c r="D289" s="111"/>
      <c r="E289" s="111"/>
      <c r="F289" s="111"/>
      <c r="G289" s="111"/>
      <c r="H289" s="111"/>
      <c r="I289" s="68">
        <v>10.763999999999999</v>
      </c>
    </row>
    <row r="290" spans="1:14" s="41" customFormat="1" x14ac:dyDescent="0.35">
      <c r="A290" s="116" t="s">
        <v>200</v>
      </c>
      <c r="B290" s="116"/>
      <c r="C290" s="116"/>
      <c r="D290" s="116"/>
      <c r="E290" s="116"/>
      <c r="F290" s="116"/>
      <c r="G290" s="116"/>
      <c r="H290" s="116"/>
    </row>
    <row r="291" spans="1:14" s="48" customFormat="1" x14ac:dyDescent="0.35">
      <c r="A291" s="128" t="s">
        <v>290</v>
      </c>
      <c r="B291" s="128"/>
      <c r="C291" s="128"/>
      <c r="D291" s="128"/>
      <c r="E291" s="128"/>
      <c r="F291" s="128"/>
      <c r="G291" s="128"/>
      <c r="H291" s="128"/>
      <c r="I291" s="36"/>
      <c r="L291" s="72"/>
      <c r="M291" s="72"/>
    </row>
    <row r="292" spans="1:14" s="48" customFormat="1" ht="15.75" customHeight="1" x14ac:dyDescent="0.35">
      <c r="A292" s="73">
        <v>1</v>
      </c>
      <c r="B292" s="74" t="s">
        <v>190</v>
      </c>
      <c r="C292" s="50" t="s">
        <v>184</v>
      </c>
      <c r="D292" s="50">
        <f>(29.48+2.75+1.7+2.9)*10.764</f>
        <v>396.43812000000003</v>
      </c>
      <c r="E292" s="68">
        <f t="shared" ref="E292:E297" si="16">(2.9*1.05)*10.764</f>
        <v>32.776379999999996</v>
      </c>
      <c r="F292" s="50">
        <f>D292*(($F$288)+1)+(IF(E292&lt;101,E292,IF(E292&lt;201,E292/2,IF(E292&lt;=301,E292/3,E292/4))))</f>
        <v>587.78974800000003</v>
      </c>
      <c r="G292" s="78" t="str">
        <f>A291</f>
        <v>1st Floor For Residential &amp; Part Double Height Entrance Lobby</v>
      </c>
      <c r="H292" s="79"/>
      <c r="I292" s="36">
        <f>1568000/F292</f>
        <v>2667.6205315510197</v>
      </c>
      <c r="N292" s="36"/>
    </row>
    <row r="293" spans="1:14" s="48" customFormat="1" ht="15.75" customHeight="1" x14ac:dyDescent="0.35">
      <c r="A293" s="73">
        <f t="shared" ref="A293:A303" si="17">A292+1</f>
        <v>2</v>
      </c>
      <c r="B293" s="74" t="s">
        <v>190</v>
      </c>
      <c r="C293" s="50" t="s">
        <v>184</v>
      </c>
      <c r="D293" s="50">
        <f t="shared" ref="D293:D300" si="18">(29.48+2.75+1.7+2.9)*10.764</f>
        <v>396.43812000000003</v>
      </c>
      <c r="E293" s="68">
        <f t="shared" si="16"/>
        <v>32.776379999999996</v>
      </c>
      <c r="F293" s="50">
        <f t="shared" ref="F293" si="19">D293*(($F$288)+1)+(IF(E293&lt;101,E293,IF(E293&lt;201,E293/2,IF(E293&lt;=301,E293/3,E293/4))))</f>
        <v>587.78974800000003</v>
      </c>
      <c r="G293" s="80"/>
      <c r="H293" s="81"/>
      <c r="I293" s="36">
        <f>(2.9*3.28+2.15*3.05+2.75*2.05+1.22*2.13+1.38*0.6+0.92*0.6+1.07*1.38)</f>
        <v>27.162199999999999</v>
      </c>
      <c r="N293" s="36"/>
    </row>
    <row r="294" spans="1:14" s="48" customFormat="1" ht="15.75" customHeight="1" x14ac:dyDescent="0.35">
      <c r="A294" s="73">
        <f t="shared" si="17"/>
        <v>3</v>
      </c>
      <c r="B294" s="74" t="s">
        <v>190</v>
      </c>
      <c r="C294" s="50" t="s">
        <v>184</v>
      </c>
      <c r="D294" s="50">
        <f t="shared" si="18"/>
        <v>396.43812000000003</v>
      </c>
      <c r="E294" s="68">
        <f t="shared" si="16"/>
        <v>32.776379999999996</v>
      </c>
      <c r="F294" s="50">
        <f>D294*(($F$288)+1)+(IF(E294&lt;101,E294,IF(E294&lt;201,E294/2,IF(E294&lt;=301,E294/3,E294/4))))</f>
        <v>587.78974800000003</v>
      </c>
      <c r="G294" s="80"/>
      <c r="H294" s="81"/>
      <c r="I294" s="36"/>
      <c r="N294" s="36"/>
    </row>
    <row r="295" spans="1:14" s="48" customFormat="1" ht="15.75" customHeight="1" x14ac:dyDescent="0.35">
      <c r="A295" s="73">
        <f t="shared" si="17"/>
        <v>4</v>
      </c>
      <c r="B295" s="74" t="s">
        <v>190</v>
      </c>
      <c r="C295" s="50" t="s">
        <v>184</v>
      </c>
      <c r="D295" s="50">
        <f t="shared" si="18"/>
        <v>396.43812000000003</v>
      </c>
      <c r="E295" s="68">
        <f t="shared" si="16"/>
        <v>32.776379999999996</v>
      </c>
      <c r="F295" s="50">
        <f>D295*(($F$288)+1)+(IF(E295&lt;101,E295,IF(E295&lt;201,E295/2,IF(E295&lt;=301,E295/3,E295/4))))</f>
        <v>587.78974800000003</v>
      </c>
      <c r="G295" s="80"/>
      <c r="H295" s="81"/>
      <c r="I295" s="36"/>
      <c r="N295" s="36"/>
    </row>
    <row r="296" spans="1:14" s="48" customFormat="1" ht="15.75" customHeight="1" x14ac:dyDescent="0.35">
      <c r="A296" s="73">
        <f t="shared" si="17"/>
        <v>5</v>
      </c>
      <c r="B296" s="74" t="s">
        <v>190</v>
      </c>
      <c r="C296" s="50" t="s">
        <v>184</v>
      </c>
      <c r="D296" s="50">
        <f t="shared" si="18"/>
        <v>396.43812000000003</v>
      </c>
      <c r="E296" s="68">
        <f t="shared" si="16"/>
        <v>32.776379999999996</v>
      </c>
      <c r="F296" s="50">
        <f>D296*(($F$288)+1)+(IF(E296&lt;101,E296,IF(E296&lt;201,E296/2,IF(E296&lt;=301,E296/3,E296/4))))</f>
        <v>587.78974800000003</v>
      </c>
      <c r="G296" s="80"/>
      <c r="H296" s="81"/>
      <c r="I296" s="36"/>
      <c r="N296" s="36"/>
    </row>
    <row r="297" spans="1:14" s="48" customFormat="1" ht="15.75" customHeight="1" x14ac:dyDescent="0.35">
      <c r="A297" s="73">
        <f t="shared" si="17"/>
        <v>6</v>
      </c>
      <c r="B297" s="74" t="s">
        <v>190</v>
      </c>
      <c r="C297" s="50" t="s">
        <v>184</v>
      </c>
      <c r="D297" s="50">
        <f t="shared" si="18"/>
        <v>396.43812000000003</v>
      </c>
      <c r="E297" s="68">
        <f t="shared" si="16"/>
        <v>32.776379999999996</v>
      </c>
      <c r="F297" s="50">
        <f t="shared" ref="F297" si="20">D297*(($F$288)+1)+(IF(E297&lt;101,E297,IF(E297&lt;201,E297/2,IF(E297&lt;=301,E297/3,E297/4))))</f>
        <v>587.78974800000003</v>
      </c>
      <c r="G297" s="80"/>
      <c r="H297" s="81"/>
      <c r="I297" s="36" t="s">
        <v>245</v>
      </c>
      <c r="N297" s="36"/>
    </row>
    <row r="298" spans="1:14" s="48" customFormat="1" ht="15.75" customHeight="1" x14ac:dyDescent="0.35">
      <c r="A298" s="73">
        <f t="shared" si="17"/>
        <v>7</v>
      </c>
      <c r="B298" s="74" t="s">
        <v>190</v>
      </c>
      <c r="C298" s="50" t="s">
        <v>184</v>
      </c>
      <c r="D298" s="50">
        <f t="shared" si="18"/>
        <v>396.43812000000003</v>
      </c>
      <c r="E298" s="50">
        <v>0</v>
      </c>
      <c r="F298" s="50">
        <f>D298*(($F$288)+1)+(IF(E298&lt;101,E298,IF(E298&lt;201,E298/2,IF(E298&lt;=301,E298/3,E298/4))))</f>
        <v>555.01336800000001</v>
      </c>
      <c r="G298" s="80"/>
      <c r="H298" s="81"/>
      <c r="I298" s="36"/>
      <c r="N298" s="36"/>
    </row>
    <row r="299" spans="1:14" s="48" customFormat="1" ht="15.75" customHeight="1" x14ac:dyDescent="0.35">
      <c r="A299" s="73">
        <f t="shared" si="17"/>
        <v>8</v>
      </c>
      <c r="B299" s="74" t="s">
        <v>190</v>
      </c>
      <c r="C299" s="50" t="s">
        <v>184</v>
      </c>
      <c r="D299" s="50">
        <f t="shared" si="18"/>
        <v>396.43812000000003</v>
      </c>
      <c r="E299" s="50">
        <v>0</v>
      </c>
      <c r="F299" s="50">
        <f>D299*(($F$288)+1)+(IF(E299&lt;101,E299,IF(E299&lt;201,E299/2,IF(E299&lt;=301,E299/3,E299/4))))</f>
        <v>555.01336800000001</v>
      </c>
      <c r="G299" s="80"/>
      <c r="H299" s="81"/>
      <c r="I299" s="36"/>
      <c r="N299" s="36"/>
    </row>
    <row r="300" spans="1:14" s="48" customFormat="1" ht="15.75" customHeight="1" x14ac:dyDescent="0.35">
      <c r="A300" s="73">
        <f t="shared" si="17"/>
        <v>9</v>
      </c>
      <c r="B300" s="74" t="s">
        <v>190</v>
      </c>
      <c r="C300" s="50" t="s">
        <v>184</v>
      </c>
      <c r="D300" s="50">
        <f t="shared" si="18"/>
        <v>396.43812000000003</v>
      </c>
      <c r="E300" s="50">
        <v>0</v>
      </c>
      <c r="F300" s="50">
        <f>D300*(($F$288)+1)+(IF(E300&lt;101,E300,IF(E300&lt;201,E300/2,IF(E300&lt;=301,E300/3,E300/4))))</f>
        <v>555.01336800000001</v>
      </c>
      <c r="G300" s="80"/>
      <c r="H300" s="81"/>
      <c r="I300" s="36"/>
      <c r="N300" s="36"/>
    </row>
    <row r="301" spans="1:14" s="48" customFormat="1" ht="15.75" customHeight="1" x14ac:dyDescent="0.35">
      <c r="A301" s="73">
        <f t="shared" si="17"/>
        <v>10</v>
      </c>
      <c r="B301" s="74" t="s">
        <v>190</v>
      </c>
      <c r="C301" s="73" t="s">
        <v>289</v>
      </c>
      <c r="D301" s="127"/>
      <c r="E301" s="127"/>
      <c r="F301" s="127"/>
      <c r="G301" s="80"/>
      <c r="H301" s="81"/>
      <c r="I301" s="36"/>
      <c r="N301" s="36"/>
    </row>
    <row r="302" spans="1:14" s="48" customFormat="1" ht="15.75" customHeight="1" x14ac:dyDescent="0.35">
      <c r="A302" s="73">
        <f t="shared" si="17"/>
        <v>11</v>
      </c>
      <c r="B302" s="74" t="s">
        <v>190</v>
      </c>
      <c r="C302" s="50" t="s">
        <v>184</v>
      </c>
      <c r="D302" s="50">
        <f>(29.48+2.75+1.7+2.9)*10.764</f>
        <v>396.43812000000003</v>
      </c>
      <c r="E302" s="50">
        <v>0</v>
      </c>
      <c r="F302" s="50">
        <f>D302*(($F$288)+1)+(IF(E302&lt;101,E302,IF(E302&lt;201,E302/2,IF(E302&lt;=301,E302/3,E302/4))))</f>
        <v>555.01336800000001</v>
      </c>
      <c r="G302" s="80"/>
      <c r="H302" s="81"/>
      <c r="I302" s="36"/>
      <c r="N302" s="36"/>
    </row>
    <row r="303" spans="1:14" s="48" customFormat="1" ht="15.75" customHeight="1" x14ac:dyDescent="0.35">
      <c r="A303" s="73">
        <f t="shared" si="17"/>
        <v>12</v>
      </c>
      <c r="B303" s="74" t="s">
        <v>190</v>
      </c>
      <c r="C303" s="50" t="s">
        <v>184</v>
      </c>
      <c r="D303" s="50">
        <f>(29.48+2.75+1.7+2.9)*10.764</f>
        <v>396.43812000000003</v>
      </c>
      <c r="E303" s="50">
        <v>0</v>
      </c>
      <c r="F303" s="50">
        <f>D303*(($F$288)+1)+(IF(E303&lt;101,E303,IF(E303&lt;201,E303/2,IF(E303&lt;=301,E303/3,E303/4))))</f>
        <v>555.01336800000001</v>
      </c>
      <c r="G303" s="82"/>
      <c r="H303" s="83"/>
      <c r="I303" s="36"/>
      <c r="N303" s="36"/>
    </row>
    <row r="304" spans="1:14" s="48" customFormat="1" x14ac:dyDescent="0.35">
      <c r="A304" s="128" t="s">
        <v>293</v>
      </c>
      <c r="B304" s="128"/>
      <c r="C304" s="128"/>
      <c r="D304" s="128"/>
      <c r="E304" s="128"/>
      <c r="F304" s="128"/>
      <c r="G304" s="128"/>
      <c r="H304" s="128"/>
      <c r="I304" s="36"/>
      <c r="L304" s="72"/>
      <c r="M304" s="72"/>
    </row>
    <row r="305" spans="1:14" s="48" customFormat="1" ht="15.75" customHeight="1" x14ac:dyDescent="0.35">
      <c r="A305" s="73">
        <v>1</v>
      </c>
      <c r="B305" s="74" t="s">
        <v>190</v>
      </c>
      <c r="C305" s="50" t="s">
        <v>184</v>
      </c>
      <c r="D305" s="50">
        <f>(29.48+2.75+1.7+2.9)*10.764</f>
        <v>396.43812000000003</v>
      </c>
      <c r="E305" s="50">
        <v>0</v>
      </c>
      <c r="F305" s="50">
        <f t="shared" ref="F305" si="21">D305*(($F$288)+1)+(IF(E305&lt;101,E305,IF(E305&lt;201,E305/2,IF(E305&lt;=301,E305/3,E305/4))))</f>
        <v>555.01336800000001</v>
      </c>
      <c r="G305" s="78" t="str">
        <f>A304</f>
        <v xml:space="preserve">2nd to 7th, 9th to 12th Floor For  Residential </v>
      </c>
      <c r="H305" s="79"/>
      <c r="I305" s="36"/>
      <c r="N305" s="36"/>
    </row>
    <row r="306" spans="1:14" s="48" customFormat="1" ht="15.75" customHeight="1" x14ac:dyDescent="0.35">
      <c r="A306" s="73">
        <f t="shared" ref="A306:A316" si="22">A305+1</f>
        <v>2</v>
      </c>
      <c r="B306" s="74" t="s">
        <v>190</v>
      </c>
      <c r="C306" s="50" t="s">
        <v>184</v>
      </c>
      <c r="D306" s="50">
        <f>(29.48+2.75+1.7+2.9)*10.764</f>
        <v>396.43812000000003</v>
      </c>
      <c r="E306" s="50">
        <v>0</v>
      </c>
      <c r="F306" s="50">
        <f>D306*(($F$288)+1)+(IF(E306&lt;101,E306,IF(E306&lt;201,E306/2,IF(E306&lt;=301,E306/3,E306/4))))</f>
        <v>555.01336800000001</v>
      </c>
      <c r="G306" s="80"/>
      <c r="H306" s="81"/>
      <c r="I306" s="36"/>
      <c r="N306" s="36"/>
    </row>
    <row r="307" spans="1:14" s="48" customFormat="1" ht="15.75" customHeight="1" x14ac:dyDescent="0.35">
      <c r="A307" s="73">
        <f t="shared" si="22"/>
        <v>3</v>
      </c>
      <c r="B307" s="74" t="s">
        <v>190</v>
      </c>
      <c r="C307" s="50" t="s">
        <v>184</v>
      </c>
      <c r="D307" s="50">
        <f t="shared" ref="D307:D313" si="23">(29.48+2.75+1.7+2.9)*10.764</f>
        <v>396.43812000000003</v>
      </c>
      <c r="E307" s="50">
        <v>0</v>
      </c>
      <c r="F307" s="50">
        <f>D307*(($F$288)+1)+(IF(E307&lt;101,E307,IF(E307&lt;201,E307/2,IF(E307&lt;=301,E307/3,E307/4))))</f>
        <v>555.01336800000001</v>
      </c>
      <c r="G307" s="80"/>
      <c r="H307" s="81"/>
      <c r="I307" s="36"/>
      <c r="N307" s="36"/>
    </row>
    <row r="308" spans="1:14" s="48" customFormat="1" ht="15.75" customHeight="1" x14ac:dyDescent="0.35">
      <c r="A308" s="73">
        <f t="shared" si="22"/>
        <v>4</v>
      </c>
      <c r="B308" s="74" t="s">
        <v>190</v>
      </c>
      <c r="C308" s="50" t="s">
        <v>184</v>
      </c>
      <c r="D308" s="50">
        <f t="shared" si="23"/>
        <v>396.43812000000003</v>
      </c>
      <c r="E308" s="50">
        <v>0</v>
      </c>
      <c r="F308" s="50">
        <f>D308*(($F$288)+1)+(IF(E308&lt;101,E308,IF(E308&lt;201,E308/2,IF(E308&lt;=301,E308/3,E308/4))))</f>
        <v>555.01336800000001</v>
      </c>
      <c r="G308" s="80"/>
      <c r="H308" s="81"/>
      <c r="I308" s="36"/>
      <c r="N308" s="36"/>
    </row>
    <row r="309" spans="1:14" s="48" customFormat="1" ht="15.75" customHeight="1" x14ac:dyDescent="0.35">
      <c r="A309" s="73">
        <f t="shared" si="22"/>
        <v>5</v>
      </c>
      <c r="B309" s="74" t="s">
        <v>190</v>
      </c>
      <c r="C309" s="50" t="s">
        <v>184</v>
      </c>
      <c r="D309" s="50">
        <f t="shared" si="23"/>
        <v>396.43812000000003</v>
      </c>
      <c r="E309" s="50">
        <v>0</v>
      </c>
      <c r="F309" s="50">
        <f>D309*(($F$288)+1)+(IF(E309&lt;101,E309,IF(E309&lt;201,E309/2,IF(E309&lt;=301,E309/3,E309/4))))</f>
        <v>555.01336800000001</v>
      </c>
      <c r="G309" s="80"/>
      <c r="H309" s="81"/>
      <c r="I309" s="36"/>
      <c r="N309" s="36"/>
    </row>
    <row r="310" spans="1:14" s="48" customFormat="1" ht="15.75" customHeight="1" x14ac:dyDescent="0.35">
      <c r="A310" s="73">
        <f t="shared" si="22"/>
        <v>6</v>
      </c>
      <c r="B310" s="74" t="s">
        <v>190</v>
      </c>
      <c r="C310" s="50" t="s">
        <v>184</v>
      </c>
      <c r="D310" s="50">
        <f t="shared" si="23"/>
        <v>396.43812000000003</v>
      </c>
      <c r="E310" s="50">
        <v>0</v>
      </c>
      <c r="F310" s="50">
        <f t="shared" ref="F310" si="24">D310*(($F$288)+1)+(IF(E310&lt;101,E310,IF(E310&lt;201,E310/2,IF(E310&lt;=301,E310/3,E310/4))))</f>
        <v>555.01336800000001</v>
      </c>
      <c r="G310" s="80"/>
      <c r="H310" s="81"/>
      <c r="I310" s="36"/>
      <c r="N310" s="36"/>
    </row>
    <row r="311" spans="1:14" s="48" customFormat="1" ht="15.75" customHeight="1" x14ac:dyDescent="0.35">
      <c r="A311" s="73">
        <f t="shared" si="22"/>
        <v>7</v>
      </c>
      <c r="B311" s="74" t="s">
        <v>190</v>
      </c>
      <c r="C311" s="50" t="s">
        <v>184</v>
      </c>
      <c r="D311" s="50">
        <f t="shared" si="23"/>
        <v>396.43812000000003</v>
      </c>
      <c r="E311" s="50">
        <v>0</v>
      </c>
      <c r="F311" s="50">
        <f t="shared" ref="F311:F316" si="25">D311*(($F$288)+1)+(IF(E311&lt;101,E311,IF(E311&lt;201,E311/2,IF(E311&lt;=301,E311/3,E311/4))))</f>
        <v>555.01336800000001</v>
      </c>
      <c r="G311" s="80"/>
      <c r="H311" s="81"/>
      <c r="I311" s="36"/>
      <c r="N311" s="36"/>
    </row>
    <row r="312" spans="1:14" s="48" customFormat="1" ht="15.75" customHeight="1" x14ac:dyDescent="0.35">
      <c r="A312" s="73">
        <f t="shared" si="22"/>
        <v>8</v>
      </c>
      <c r="B312" s="74" t="s">
        <v>190</v>
      </c>
      <c r="C312" s="50" t="s">
        <v>184</v>
      </c>
      <c r="D312" s="50">
        <f t="shared" si="23"/>
        <v>396.43812000000003</v>
      </c>
      <c r="E312" s="50">
        <v>0</v>
      </c>
      <c r="F312" s="50">
        <f>D312*(($F$288)+1)+(IF(E312&lt;101,E312,IF(E312&lt;201,E312/2,IF(E312&lt;=301,E312/3,E312/4))))</f>
        <v>555.01336800000001</v>
      </c>
      <c r="G312" s="80"/>
      <c r="H312" s="81"/>
      <c r="I312" s="36"/>
      <c r="N312" s="36"/>
    </row>
    <row r="313" spans="1:14" s="48" customFormat="1" ht="15.75" customHeight="1" x14ac:dyDescent="0.35">
      <c r="A313" s="73">
        <f t="shared" si="22"/>
        <v>9</v>
      </c>
      <c r="B313" s="74" t="s">
        <v>190</v>
      </c>
      <c r="C313" s="50" t="s">
        <v>184</v>
      </c>
      <c r="D313" s="50">
        <f t="shared" si="23"/>
        <v>396.43812000000003</v>
      </c>
      <c r="E313" s="50">
        <v>0</v>
      </c>
      <c r="F313" s="50">
        <f t="shared" si="25"/>
        <v>555.01336800000001</v>
      </c>
      <c r="G313" s="80"/>
      <c r="H313" s="81"/>
      <c r="I313" s="36"/>
      <c r="N313" s="36"/>
    </row>
    <row r="314" spans="1:14" s="48" customFormat="1" ht="15.75" customHeight="1" x14ac:dyDescent="0.35">
      <c r="A314" s="73">
        <f t="shared" si="22"/>
        <v>10</v>
      </c>
      <c r="B314" s="74" t="s">
        <v>190</v>
      </c>
      <c r="C314" s="50" t="s">
        <v>184</v>
      </c>
      <c r="D314" s="50">
        <f>(29.48+2.75+1.7+2.9)*10.764</f>
        <v>396.43812000000003</v>
      </c>
      <c r="E314" s="50">
        <v>0</v>
      </c>
      <c r="F314" s="50">
        <f t="shared" si="25"/>
        <v>555.01336800000001</v>
      </c>
      <c r="G314" s="80"/>
      <c r="H314" s="81"/>
      <c r="I314" s="36"/>
      <c r="N314" s="36"/>
    </row>
    <row r="315" spans="1:14" s="48" customFormat="1" ht="15.75" customHeight="1" x14ac:dyDescent="0.35">
      <c r="A315" s="73">
        <f t="shared" si="22"/>
        <v>11</v>
      </c>
      <c r="B315" s="74" t="s">
        <v>190</v>
      </c>
      <c r="C315" s="50" t="s">
        <v>184</v>
      </c>
      <c r="D315" s="50">
        <f>(29.48+2.75+1.7+2.9)*10.764</f>
        <v>396.43812000000003</v>
      </c>
      <c r="E315" s="50">
        <v>0</v>
      </c>
      <c r="F315" s="50">
        <f t="shared" si="25"/>
        <v>555.01336800000001</v>
      </c>
      <c r="G315" s="80"/>
      <c r="H315" s="81"/>
      <c r="I315" s="36"/>
      <c r="N315" s="36"/>
    </row>
    <row r="316" spans="1:14" s="48" customFormat="1" ht="15.75" customHeight="1" x14ac:dyDescent="0.35">
      <c r="A316" s="73">
        <f t="shared" si="22"/>
        <v>12</v>
      </c>
      <c r="B316" s="74" t="s">
        <v>190</v>
      </c>
      <c r="C316" s="50" t="s">
        <v>184</v>
      </c>
      <c r="D316" s="50">
        <f t="shared" ref="D316" si="26">(29.48+2.75+1.7+2.9)*10.764</f>
        <v>396.43812000000003</v>
      </c>
      <c r="E316" s="50">
        <v>0</v>
      </c>
      <c r="F316" s="50">
        <f t="shared" si="25"/>
        <v>555.01336800000001</v>
      </c>
      <c r="G316" s="82"/>
      <c r="H316" s="83"/>
      <c r="I316" s="36"/>
      <c r="N316" s="36"/>
    </row>
    <row r="317" spans="1:14" s="48" customFormat="1" x14ac:dyDescent="0.35">
      <c r="A317" s="128" t="s">
        <v>288</v>
      </c>
      <c r="B317" s="128"/>
      <c r="C317" s="128"/>
      <c r="D317" s="128"/>
      <c r="E317" s="128"/>
      <c r="F317" s="128"/>
      <c r="G317" s="128"/>
      <c r="H317" s="128"/>
      <c r="I317" s="36"/>
      <c r="L317" s="72"/>
      <c r="M317" s="72"/>
    </row>
    <row r="318" spans="1:14" s="48" customFormat="1" ht="15.75" customHeight="1" x14ac:dyDescent="0.35">
      <c r="A318" s="73">
        <v>1</v>
      </c>
      <c r="B318" s="74" t="s">
        <v>190</v>
      </c>
      <c r="C318" s="50" t="s">
        <v>184</v>
      </c>
      <c r="D318" s="50">
        <f>(29.48+2.75+1.7+2.9)*10.764</f>
        <v>396.43812000000003</v>
      </c>
      <c r="E318" s="50">
        <v>0</v>
      </c>
      <c r="F318" s="50">
        <f>D318*(($F$288)+1)+(IF(E318&lt;101,E318,IF(E318&lt;201,E318/2,IF(E318&lt;=301,E318/3,E318/4))))</f>
        <v>555.01336800000001</v>
      </c>
      <c r="G318" s="78" t="str">
        <f>A317</f>
        <v>8th Floor (Part Refuge &amp; Garden Area)</v>
      </c>
      <c r="H318" s="79"/>
      <c r="I318" s="36"/>
      <c r="N318" s="36"/>
    </row>
    <row r="319" spans="1:14" s="48" customFormat="1" ht="15.75" customHeight="1" x14ac:dyDescent="0.35">
      <c r="A319" s="73">
        <f t="shared" ref="A319:A329" si="27">A318+1</f>
        <v>2</v>
      </c>
      <c r="B319" s="74" t="s">
        <v>190</v>
      </c>
      <c r="C319" s="50" t="s">
        <v>184</v>
      </c>
      <c r="D319" s="50">
        <f>(29.48+2.75+1.7+2.9)*10.764</f>
        <v>396.43812000000003</v>
      </c>
      <c r="E319" s="50">
        <v>0</v>
      </c>
      <c r="F319" s="50">
        <f t="shared" ref="F319" si="28">D319*(($F$288)+1)+(IF(E319&lt;101,E319,IF(E319&lt;201,E319/2,IF(E319&lt;=301,E319/3,E319/4))))</f>
        <v>555.01336800000001</v>
      </c>
      <c r="G319" s="80"/>
      <c r="H319" s="81"/>
      <c r="I319" s="36"/>
      <c r="N319" s="36"/>
    </row>
    <row r="320" spans="1:14" s="48" customFormat="1" ht="15.75" customHeight="1" x14ac:dyDescent="0.35">
      <c r="A320" s="73">
        <f t="shared" si="27"/>
        <v>3</v>
      </c>
      <c r="B320" s="74" t="s">
        <v>190</v>
      </c>
      <c r="C320" s="50" t="s">
        <v>184</v>
      </c>
      <c r="D320" s="50">
        <f t="shared" ref="D320:D325" si="29">(29.48+2.75+1.7+2.9)*10.764</f>
        <v>396.43812000000003</v>
      </c>
      <c r="E320" s="50">
        <v>0</v>
      </c>
      <c r="F320" s="50">
        <f>D320*(($F$288)+1)+(IF(E320&lt;101,E320,IF(E320&lt;201,E320/2,IF(E320&lt;=301,E320/3,E320/4))))</f>
        <v>555.01336800000001</v>
      </c>
      <c r="G320" s="80"/>
      <c r="H320" s="81"/>
      <c r="I320" s="36"/>
      <c r="N320" s="36"/>
    </row>
    <row r="321" spans="1:14" s="48" customFormat="1" ht="15.75" customHeight="1" x14ac:dyDescent="0.35">
      <c r="A321" s="73">
        <f t="shared" si="27"/>
        <v>4</v>
      </c>
      <c r="B321" s="74" t="s">
        <v>190</v>
      </c>
      <c r="C321" s="50" t="s">
        <v>184</v>
      </c>
      <c r="D321" s="50">
        <f t="shared" si="29"/>
        <v>396.43812000000003</v>
      </c>
      <c r="E321" s="50">
        <v>0</v>
      </c>
      <c r="F321" s="50">
        <f>D321*(($F$288)+1)+(IF(E321&lt;101,E321,IF(E321&lt;201,E321/2,IF(E321&lt;=301,E321/3,E321/4))))</f>
        <v>555.01336800000001</v>
      </c>
      <c r="G321" s="80"/>
      <c r="H321" s="81"/>
      <c r="I321" s="36"/>
      <c r="N321" s="36"/>
    </row>
    <row r="322" spans="1:14" s="48" customFormat="1" ht="15.75" customHeight="1" x14ac:dyDescent="0.35">
      <c r="A322" s="73">
        <f t="shared" si="27"/>
        <v>5</v>
      </c>
      <c r="B322" s="74" t="s">
        <v>190</v>
      </c>
      <c r="C322" s="50" t="s">
        <v>184</v>
      </c>
      <c r="D322" s="50">
        <f t="shared" si="29"/>
        <v>396.43812000000003</v>
      </c>
      <c r="E322" s="50">
        <v>0</v>
      </c>
      <c r="F322" s="50">
        <f>D322*(($F$288)+1)+(IF(E322&lt;101,E322,IF(E322&lt;201,E322/2,IF(E322&lt;=301,E322/3,E322/4))))</f>
        <v>555.01336800000001</v>
      </c>
      <c r="G322" s="80"/>
      <c r="H322" s="81"/>
      <c r="I322" s="36"/>
      <c r="N322" s="36"/>
    </row>
    <row r="323" spans="1:14" s="48" customFormat="1" ht="15.75" customHeight="1" x14ac:dyDescent="0.35">
      <c r="A323" s="73">
        <f t="shared" si="27"/>
        <v>6</v>
      </c>
      <c r="B323" s="74" t="s">
        <v>190</v>
      </c>
      <c r="C323" s="50" t="s">
        <v>184</v>
      </c>
      <c r="D323" s="50">
        <f t="shared" si="29"/>
        <v>396.43812000000003</v>
      </c>
      <c r="E323" s="50">
        <v>0</v>
      </c>
      <c r="F323" s="50">
        <f t="shared" ref="F323" si="30">D323*(($F$288)+1)+(IF(E323&lt;101,E323,IF(E323&lt;201,E323/2,IF(E323&lt;=301,E323/3,E323/4))))</f>
        <v>555.01336800000001</v>
      </c>
      <c r="G323" s="80"/>
      <c r="H323" s="81"/>
      <c r="I323" s="36"/>
      <c r="N323" s="36"/>
    </row>
    <row r="324" spans="1:14" s="48" customFormat="1" ht="15.75" customHeight="1" x14ac:dyDescent="0.35">
      <c r="A324" s="73">
        <f t="shared" si="27"/>
        <v>7</v>
      </c>
      <c r="B324" s="74" t="s">
        <v>190</v>
      </c>
      <c r="C324" s="50" t="s">
        <v>184</v>
      </c>
      <c r="D324" s="50">
        <f t="shared" si="29"/>
        <v>396.43812000000003</v>
      </c>
      <c r="E324" s="50">
        <v>0</v>
      </c>
      <c r="F324" s="50">
        <f>D324*(($F$288)+1)+(IF(E324&lt;101,E324,IF(E324&lt;201,E324/2,IF(E324&lt;=301,E324/3,E324/4))))</f>
        <v>555.01336800000001</v>
      </c>
      <c r="G324" s="80"/>
      <c r="H324" s="81"/>
      <c r="I324" s="36"/>
      <c r="N324" s="36"/>
    </row>
    <row r="325" spans="1:14" s="48" customFormat="1" ht="15.75" customHeight="1" x14ac:dyDescent="0.35">
      <c r="A325" s="73">
        <f t="shared" si="27"/>
        <v>8</v>
      </c>
      <c r="B325" s="74" t="s">
        <v>190</v>
      </c>
      <c r="C325" s="50" t="s">
        <v>184</v>
      </c>
      <c r="D325" s="50">
        <f t="shared" si="29"/>
        <v>396.43812000000003</v>
      </c>
      <c r="E325" s="50">
        <v>0</v>
      </c>
      <c r="F325" s="50">
        <f>D325*(($F$288)+1)+(IF(E325&lt;101,E325,IF(E325&lt;201,E325/2,IF(E325&lt;=301,E325/3,E325/4))))</f>
        <v>555.01336800000001</v>
      </c>
      <c r="G325" s="80"/>
      <c r="H325" s="81"/>
      <c r="I325" s="36"/>
      <c r="N325" s="36"/>
    </row>
    <row r="326" spans="1:14" s="48" customFormat="1" ht="15.75" customHeight="1" x14ac:dyDescent="0.35">
      <c r="A326" s="73">
        <f t="shared" si="27"/>
        <v>9</v>
      </c>
      <c r="B326" s="74" t="s">
        <v>190</v>
      </c>
      <c r="C326" s="78" t="s">
        <v>182</v>
      </c>
      <c r="D326" s="215"/>
      <c r="E326" s="215"/>
      <c r="F326" s="79"/>
      <c r="G326" s="80"/>
      <c r="H326" s="81"/>
      <c r="I326" s="36"/>
      <c r="N326" s="36"/>
    </row>
    <row r="327" spans="1:14" s="48" customFormat="1" ht="15.75" customHeight="1" x14ac:dyDescent="0.35">
      <c r="A327" s="73">
        <f t="shared" si="27"/>
        <v>10</v>
      </c>
      <c r="B327" s="74" t="s">
        <v>190</v>
      </c>
      <c r="C327" s="78" t="s">
        <v>295</v>
      </c>
      <c r="D327" s="215"/>
      <c r="E327" s="215"/>
      <c r="F327" s="79"/>
      <c r="G327" s="80"/>
      <c r="H327" s="81"/>
      <c r="I327" s="36"/>
      <c r="N327" s="36"/>
    </row>
    <row r="328" spans="1:14" s="48" customFormat="1" ht="15.75" customHeight="1" x14ac:dyDescent="0.35">
      <c r="A328" s="73">
        <f t="shared" si="27"/>
        <v>11</v>
      </c>
      <c r="B328" s="74" t="s">
        <v>190</v>
      </c>
      <c r="C328" s="50" t="s">
        <v>184</v>
      </c>
      <c r="D328" s="50">
        <f t="shared" ref="D328:D329" si="31">(29.48+2.75+1.7+2.9)*10.764</f>
        <v>396.43812000000003</v>
      </c>
      <c r="E328" s="50">
        <v>0</v>
      </c>
      <c r="F328" s="50">
        <f t="shared" ref="F328:F329" si="32">D328*(($F$288)+1)+(IF(E328&lt;101,E328,IF(E328&lt;201,E328/2,IF(E328&lt;=301,E328/3,E328/4))))</f>
        <v>555.01336800000001</v>
      </c>
      <c r="G328" s="80"/>
      <c r="H328" s="81"/>
      <c r="I328" s="36"/>
      <c r="N328" s="36"/>
    </row>
    <row r="329" spans="1:14" s="48" customFormat="1" ht="15.75" customHeight="1" x14ac:dyDescent="0.35">
      <c r="A329" s="73">
        <f t="shared" si="27"/>
        <v>12</v>
      </c>
      <c r="B329" s="74" t="s">
        <v>190</v>
      </c>
      <c r="C329" s="50" t="s">
        <v>184</v>
      </c>
      <c r="D329" s="50">
        <f t="shared" si="31"/>
        <v>396.43812000000003</v>
      </c>
      <c r="E329" s="50">
        <v>0</v>
      </c>
      <c r="F329" s="50">
        <f t="shared" si="32"/>
        <v>555.01336800000001</v>
      </c>
      <c r="G329" s="82"/>
      <c r="H329" s="83"/>
      <c r="I329" s="36"/>
      <c r="N329" s="36"/>
    </row>
    <row r="330" spans="1:14" s="41" customFormat="1" x14ac:dyDescent="0.35">
      <c r="A330" s="116" t="s">
        <v>201</v>
      </c>
      <c r="B330" s="116"/>
      <c r="C330" s="116"/>
      <c r="D330" s="116"/>
      <c r="E330" s="116"/>
      <c r="F330" s="116"/>
      <c r="G330" s="116"/>
      <c r="H330" s="116"/>
    </row>
    <row r="331" spans="1:14" s="48" customFormat="1" x14ac:dyDescent="0.35">
      <c r="A331" s="128" t="s">
        <v>236</v>
      </c>
      <c r="B331" s="128"/>
      <c r="C331" s="128"/>
      <c r="D331" s="128"/>
      <c r="E331" s="128"/>
      <c r="F331" s="128"/>
      <c r="G331" s="128"/>
      <c r="H331" s="128"/>
      <c r="J331" s="36"/>
    </row>
    <row r="332" spans="1:14" s="48" customFormat="1" x14ac:dyDescent="0.35">
      <c r="A332" s="128" t="s">
        <v>237</v>
      </c>
      <c r="B332" s="128"/>
      <c r="C332" s="128"/>
      <c r="D332" s="128"/>
      <c r="E332" s="128"/>
      <c r="F332" s="128"/>
      <c r="G332" s="128"/>
      <c r="H332" s="128"/>
      <c r="J332" s="36"/>
    </row>
    <row r="333" spans="1:14" s="48" customFormat="1" x14ac:dyDescent="0.35">
      <c r="A333" s="128" t="s">
        <v>249</v>
      </c>
      <c r="B333" s="128"/>
      <c r="C333" s="128"/>
      <c r="D333" s="128"/>
      <c r="E333" s="128"/>
      <c r="F333" s="128"/>
      <c r="G333" s="128"/>
      <c r="H333" s="128"/>
      <c r="J333" s="36"/>
    </row>
    <row r="334" spans="1:14" s="48" customFormat="1" ht="15.75" customHeight="1" x14ac:dyDescent="0.35">
      <c r="A334" s="113">
        <v>1</v>
      </c>
      <c r="B334" s="113" t="s">
        <v>190</v>
      </c>
      <c r="C334" s="50" t="s">
        <v>184</v>
      </c>
      <c r="D334" s="50">
        <f t="shared" ref="D334:D345" si="33">(29.48+2.75+2.14+2.9)*10.764</f>
        <v>401.17428000000001</v>
      </c>
      <c r="E334" s="50">
        <v>0</v>
      </c>
      <c r="F334" s="50">
        <f t="shared" ref="F334:F355" si="34">D334*(($F$288)+1)+(IF(E334&lt;101,E334,IF(E334&lt;201,E334/2,IF(E334&lt;=301,E334/3,E334/4))))</f>
        <v>561.64399200000003</v>
      </c>
      <c r="G334" s="113" t="str">
        <f>A333</f>
        <v>1st to 6th &amp; 9th to 11th &amp; 13th Floor for Residential</v>
      </c>
      <c r="H334" s="113"/>
      <c r="I334" s="36"/>
      <c r="L334" s="72"/>
      <c r="M334" s="72"/>
      <c r="N334" s="36"/>
    </row>
    <row r="335" spans="1:14" s="48" customFormat="1" ht="15.75" customHeight="1" x14ac:dyDescent="0.35">
      <c r="A335" s="113">
        <v>2</v>
      </c>
      <c r="B335" s="113" t="s">
        <v>190</v>
      </c>
      <c r="C335" s="50" t="s">
        <v>184</v>
      </c>
      <c r="D335" s="50">
        <f t="shared" si="33"/>
        <v>401.17428000000001</v>
      </c>
      <c r="E335" s="50">
        <v>0</v>
      </c>
      <c r="F335" s="50">
        <f t="shared" si="34"/>
        <v>561.64399200000003</v>
      </c>
      <c r="G335" s="113"/>
      <c r="H335" s="113"/>
      <c r="I335" s="36"/>
      <c r="L335" s="72"/>
      <c r="M335" s="72"/>
      <c r="N335" s="36"/>
    </row>
    <row r="336" spans="1:14" s="48" customFormat="1" ht="15.75" customHeight="1" x14ac:dyDescent="0.35">
      <c r="A336" s="113">
        <v>3</v>
      </c>
      <c r="B336" s="113" t="s">
        <v>190</v>
      </c>
      <c r="C336" s="50" t="s">
        <v>184</v>
      </c>
      <c r="D336" s="50">
        <f t="shared" si="33"/>
        <v>401.17428000000001</v>
      </c>
      <c r="E336" s="50">
        <v>0</v>
      </c>
      <c r="F336" s="50">
        <f t="shared" si="34"/>
        <v>561.64399200000003</v>
      </c>
      <c r="G336" s="113"/>
      <c r="H336" s="113"/>
      <c r="I336" s="36"/>
      <c r="L336" s="72"/>
      <c r="M336" s="72"/>
      <c r="N336" s="36"/>
    </row>
    <row r="337" spans="1:14" s="48" customFormat="1" ht="15.75" customHeight="1" x14ac:dyDescent="0.35">
      <c r="A337" s="113">
        <v>4</v>
      </c>
      <c r="B337" s="113" t="s">
        <v>190</v>
      </c>
      <c r="C337" s="50" t="s">
        <v>184</v>
      </c>
      <c r="D337" s="50">
        <f t="shared" si="33"/>
        <v>401.17428000000001</v>
      </c>
      <c r="E337" s="50">
        <v>0</v>
      </c>
      <c r="F337" s="50">
        <f t="shared" si="34"/>
        <v>561.64399200000003</v>
      </c>
      <c r="G337" s="113"/>
      <c r="H337" s="113"/>
      <c r="I337" s="36"/>
      <c r="L337" s="72"/>
      <c r="M337" s="72"/>
      <c r="N337" s="36"/>
    </row>
    <row r="338" spans="1:14" s="48" customFormat="1" ht="15.75" customHeight="1" x14ac:dyDescent="0.35">
      <c r="A338" s="113">
        <v>5</v>
      </c>
      <c r="B338" s="113" t="s">
        <v>190</v>
      </c>
      <c r="C338" s="50" t="s">
        <v>184</v>
      </c>
      <c r="D338" s="50">
        <f t="shared" si="33"/>
        <v>401.17428000000001</v>
      </c>
      <c r="E338" s="50">
        <v>0</v>
      </c>
      <c r="F338" s="50">
        <f t="shared" si="34"/>
        <v>561.64399200000003</v>
      </c>
      <c r="G338" s="113"/>
      <c r="H338" s="113"/>
      <c r="I338" s="36"/>
      <c r="L338" s="72"/>
      <c r="M338" s="72"/>
      <c r="N338" s="36"/>
    </row>
    <row r="339" spans="1:14" s="48" customFormat="1" ht="15.75" customHeight="1" x14ac:dyDescent="0.35">
      <c r="A339" s="113">
        <v>6</v>
      </c>
      <c r="B339" s="113" t="s">
        <v>190</v>
      </c>
      <c r="C339" s="50" t="s">
        <v>184</v>
      </c>
      <c r="D339" s="50">
        <f t="shared" si="33"/>
        <v>401.17428000000001</v>
      </c>
      <c r="E339" s="50">
        <v>0</v>
      </c>
      <c r="F339" s="50">
        <f t="shared" si="34"/>
        <v>561.64399200000003</v>
      </c>
      <c r="G339" s="113"/>
      <c r="H339" s="113"/>
      <c r="I339" s="36"/>
      <c r="L339" s="72"/>
      <c r="M339" s="72"/>
      <c r="N339" s="36"/>
    </row>
    <row r="340" spans="1:14" s="48" customFormat="1" ht="15.75" customHeight="1" x14ac:dyDescent="0.35">
      <c r="A340" s="113">
        <v>7</v>
      </c>
      <c r="B340" s="113" t="s">
        <v>190</v>
      </c>
      <c r="C340" s="50" t="s">
        <v>184</v>
      </c>
      <c r="D340" s="50">
        <f t="shared" si="33"/>
        <v>401.17428000000001</v>
      </c>
      <c r="E340" s="50">
        <v>0</v>
      </c>
      <c r="F340" s="50">
        <f t="shared" si="34"/>
        <v>561.64399200000003</v>
      </c>
      <c r="G340" s="113"/>
      <c r="H340" s="113"/>
      <c r="I340" s="36"/>
      <c r="L340" s="72"/>
      <c r="M340" s="72"/>
      <c r="N340" s="36"/>
    </row>
    <row r="341" spans="1:14" s="48" customFormat="1" ht="15.75" customHeight="1" x14ac:dyDescent="0.35">
      <c r="A341" s="113">
        <v>8</v>
      </c>
      <c r="B341" s="113" t="s">
        <v>190</v>
      </c>
      <c r="C341" s="50" t="s">
        <v>184</v>
      </c>
      <c r="D341" s="50">
        <f t="shared" si="33"/>
        <v>401.17428000000001</v>
      </c>
      <c r="E341" s="50">
        <v>0</v>
      </c>
      <c r="F341" s="50">
        <f t="shared" si="34"/>
        <v>561.64399200000003</v>
      </c>
      <c r="G341" s="113"/>
      <c r="H341" s="113"/>
      <c r="I341" s="36"/>
      <c r="L341" s="72"/>
      <c r="M341" s="72"/>
      <c r="N341" s="36"/>
    </row>
    <row r="342" spans="1:14" s="48" customFormat="1" ht="15.75" customHeight="1" x14ac:dyDescent="0.35">
      <c r="A342" s="113">
        <v>9</v>
      </c>
      <c r="B342" s="113" t="s">
        <v>190</v>
      </c>
      <c r="C342" s="50" t="s">
        <v>184</v>
      </c>
      <c r="D342" s="50">
        <f t="shared" si="33"/>
        <v>401.17428000000001</v>
      </c>
      <c r="E342" s="50">
        <v>0</v>
      </c>
      <c r="F342" s="50">
        <f t="shared" si="34"/>
        <v>561.64399200000003</v>
      </c>
      <c r="G342" s="113"/>
      <c r="H342" s="113"/>
      <c r="I342" s="36"/>
      <c r="L342" s="72"/>
      <c r="M342" s="72"/>
      <c r="N342" s="36"/>
    </row>
    <row r="343" spans="1:14" s="48" customFormat="1" ht="15.75" customHeight="1" x14ac:dyDescent="0.35">
      <c r="A343" s="113">
        <v>10</v>
      </c>
      <c r="B343" s="113" t="s">
        <v>190</v>
      </c>
      <c r="C343" s="50" t="s">
        <v>184</v>
      </c>
      <c r="D343" s="50">
        <f t="shared" si="33"/>
        <v>401.17428000000001</v>
      </c>
      <c r="E343" s="50">
        <v>0</v>
      </c>
      <c r="F343" s="50">
        <f t="shared" si="34"/>
        <v>561.64399200000003</v>
      </c>
      <c r="G343" s="113"/>
      <c r="H343" s="113"/>
      <c r="I343" s="36"/>
      <c r="L343" s="72"/>
      <c r="M343" s="72"/>
      <c r="N343" s="36"/>
    </row>
    <row r="344" spans="1:14" s="48" customFormat="1" ht="15.75" customHeight="1" x14ac:dyDescent="0.35">
      <c r="A344" s="113">
        <v>11</v>
      </c>
      <c r="B344" s="113" t="s">
        <v>190</v>
      </c>
      <c r="C344" s="50" t="s">
        <v>184</v>
      </c>
      <c r="D344" s="50">
        <f t="shared" si="33"/>
        <v>401.17428000000001</v>
      </c>
      <c r="E344" s="50">
        <v>0</v>
      </c>
      <c r="F344" s="50">
        <f t="shared" si="34"/>
        <v>561.64399200000003</v>
      </c>
      <c r="G344" s="113"/>
      <c r="H344" s="113"/>
      <c r="I344" s="36"/>
      <c r="L344" s="72"/>
      <c r="M344" s="72"/>
      <c r="N344" s="36"/>
    </row>
    <row r="345" spans="1:14" s="48" customFormat="1" ht="15.75" customHeight="1" x14ac:dyDescent="0.35">
      <c r="A345" s="113">
        <v>12</v>
      </c>
      <c r="B345" s="113" t="s">
        <v>190</v>
      </c>
      <c r="C345" s="50" t="s">
        <v>184</v>
      </c>
      <c r="D345" s="50">
        <f t="shared" si="33"/>
        <v>401.17428000000001</v>
      </c>
      <c r="E345" s="50">
        <v>0</v>
      </c>
      <c r="F345" s="50">
        <f t="shared" si="34"/>
        <v>561.64399200000003</v>
      </c>
      <c r="G345" s="113"/>
      <c r="H345" s="113"/>
      <c r="I345" s="36"/>
      <c r="L345" s="72"/>
      <c r="M345" s="72"/>
      <c r="N345" s="36"/>
    </row>
    <row r="346" spans="1:14" s="48" customFormat="1" x14ac:dyDescent="0.35">
      <c r="A346" s="129" t="s">
        <v>250</v>
      </c>
      <c r="B346" s="130"/>
      <c r="C346" s="130"/>
      <c r="D346" s="130"/>
      <c r="E346" s="130"/>
      <c r="F346" s="130"/>
      <c r="G346" s="130"/>
      <c r="H346" s="131"/>
      <c r="J346" s="36"/>
    </row>
    <row r="347" spans="1:14" s="48" customFormat="1" ht="15.75" customHeight="1" x14ac:dyDescent="0.35">
      <c r="A347" s="73">
        <v>1</v>
      </c>
      <c r="B347" s="74" t="s">
        <v>190</v>
      </c>
      <c r="C347" s="50" t="s">
        <v>184</v>
      </c>
      <c r="D347" s="50">
        <f t="shared" ref="D347:D355" si="35">(29.48+2.75+2.14+2.9)*10.764</f>
        <v>401.17428000000001</v>
      </c>
      <c r="E347" s="50">
        <v>0</v>
      </c>
      <c r="F347" s="50">
        <f t="shared" si="34"/>
        <v>561.64399200000003</v>
      </c>
      <c r="G347" s="78" t="str">
        <f>A346</f>
        <v>7th Floor (Part Refuge Area)</v>
      </c>
      <c r="H347" s="79"/>
      <c r="I347" s="36"/>
      <c r="L347" s="72"/>
      <c r="M347" s="72"/>
      <c r="N347" s="36"/>
    </row>
    <row r="348" spans="1:14" s="48" customFormat="1" ht="15.75" customHeight="1" x14ac:dyDescent="0.35">
      <c r="A348" s="73">
        <v>2</v>
      </c>
      <c r="B348" s="74" t="s">
        <v>190</v>
      </c>
      <c r="C348" s="50" t="s">
        <v>184</v>
      </c>
      <c r="D348" s="50">
        <f t="shared" si="35"/>
        <v>401.17428000000001</v>
      </c>
      <c r="E348" s="50">
        <v>0</v>
      </c>
      <c r="F348" s="50">
        <f t="shared" si="34"/>
        <v>561.64399200000003</v>
      </c>
      <c r="G348" s="80"/>
      <c r="H348" s="81"/>
      <c r="I348" s="36"/>
      <c r="L348" s="72"/>
      <c r="M348" s="72"/>
      <c r="N348" s="36"/>
    </row>
    <row r="349" spans="1:14" s="48" customFormat="1" ht="15.75" customHeight="1" x14ac:dyDescent="0.35">
      <c r="A349" s="73">
        <v>3</v>
      </c>
      <c r="B349" s="74" t="s">
        <v>190</v>
      </c>
      <c r="C349" s="50" t="s">
        <v>184</v>
      </c>
      <c r="D349" s="50">
        <f t="shared" si="35"/>
        <v>401.17428000000001</v>
      </c>
      <c r="E349" s="50">
        <v>0</v>
      </c>
      <c r="F349" s="50">
        <f t="shared" si="34"/>
        <v>561.64399200000003</v>
      </c>
      <c r="G349" s="80"/>
      <c r="H349" s="81"/>
      <c r="I349" s="36"/>
      <c r="L349" s="72"/>
      <c r="M349" s="72"/>
      <c r="N349" s="36"/>
    </row>
    <row r="350" spans="1:14" s="48" customFormat="1" ht="15.75" customHeight="1" x14ac:dyDescent="0.35">
      <c r="A350" s="73">
        <v>4</v>
      </c>
      <c r="B350" s="74" t="s">
        <v>190</v>
      </c>
      <c r="C350" s="50" t="s">
        <v>184</v>
      </c>
      <c r="D350" s="50">
        <f t="shared" si="35"/>
        <v>401.17428000000001</v>
      </c>
      <c r="E350" s="50">
        <v>0</v>
      </c>
      <c r="F350" s="50">
        <f t="shared" si="34"/>
        <v>561.64399200000003</v>
      </c>
      <c r="G350" s="80"/>
      <c r="H350" s="81"/>
      <c r="I350" s="36"/>
      <c r="L350" s="72"/>
      <c r="M350" s="72"/>
      <c r="N350" s="36"/>
    </row>
    <row r="351" spans="1:14" s="48" customFormat="1" ht="15.75" customHeight="1" x14ac:dyDescent="0.35">
      <c r="A351" s="73">
        <v>5</v>
      </c>
      <c r="B351" s="74" t="s">
        <v>190</v>
      </c>
      <c r="C351" s="50" t="s">
        <v>184</v>
      </c>
      <c r="D351" s="50">
        <f t="shared" si="35"/>
        <v>401.17428000000001</v>
      </c>
      <c r="E351" s="50">
        <v>0</v>
      </c>
      <c r="F351" s="50">
        <f t="shared" si="34"/>
        <v>561.64399200000003</v>
      </c>
      <c r="G351" s="80"/>
      <c r="H351" s="81"/>
      <c r="I351" s="36"/>
      <c r="L351" s="72"/>
      <c r="M351" s="72"/>
      <c r="N351" s="36"/>
    </row>
    <row r="352" spans="1:14" s="48" customFormat="1" ht="15.75" customHeight="1" x14ac:dyDescent="0.35">
      <c r="A352" s="73">
        <v>6</v>
      </c>
      <c r="B352" s="74" t="s">
        <v>190</v>
      </c>
      <c r="C352" s="50" t="s">
        <v>184</v>
      </c>
      <c r="D352" s="50">
        <f t="shared" si="35"/>
        <v>401.17428000000001</v>
      </c>
      <c r="E352" s="50">
        <v>0</v>
      </c>
      <c r="F352" s="50">
        <f t="shared" si="34"/>
        <v>561.64399200000003</v>
      </c>
      <c r="G352" s="80"/>
      <c r="H352" s="81"/>
      <c r="I352" s="36"/>
      <c r="L352" s="72"/>
      <c r="M352" s="72"/>
      <c r="N352" s="36"/>
    </row>
    <row r="353" spans="1:14" s="48" customFormat="1" ht="15.75" customHeight="1" x14ac:dyDescent="0.35">
      <c r="A353" s="73">
        <v>7</v>
      </c>
      <c r="B353" s="74" t="s">
        <v>190</v>
      </c>
      <c r="C353" s="50" t="s">
        <v>184</v>
      </c>
      <c r="D353" s="50">
        <f t="shared" si="35"/>
        <v>401.17428000000001</v>
      </c>
      <c r="E353" s="50">
        <v>0</v>
      </c>
      <c r="F353" s="50">
        <f t="shared" si="34"/>
        <v>561.64399200000003</v>
      </c>
      <c r="G353" s="80"/>
      <c r="H353" s="81"/>
      <c r="I353" s="36"/>
      <c r="L353" s="72"/>
      <c r="M353" s="72"/>
      <c r="N353" s="36"/>
    </row>
    <row r="354" spans="1:14" s="48" customFormat="1" ht="15.75" customHeight="1" x14ac:dyDescent="0.35">
      <c r="A354" s="73">
        <v>8</v>
      </c>
      <c r="B354" s="74" t="s">
        <v>190</v>
      </c>
      <c r="C354" s="50" t="s">
        <v>184</v>
      </c>
      <c r="D354" s="50">
        <f t="shared" si="35"/>
        <v>401.17428000000001</v>
      </c>
      <c r="E354" s="50">
        <v>0</v>
      </c>
      <c r="F354" s="50">
        <f t="shared" si="34"/>
        <v>561.64399200000003</v>
      </c>
      <c r="G354" s="80"/>
      <c r="H354" s="81"/>
      <c r="I354" s="36"/>
      <c r="L354" s="72"/>
      <c r="M354" s="72"/>
      <c r="N354" s="36"/>
    </row>
    <row r="355" spans="1:14" s="48" customFormat="1" ht="15.75" customHeight="1" x14ac:dyDescent="0.35">
      <c r="A355" s="73">
        <v>9</v>
      </c>
      <c r="B355" s="74" t="s">
        <v>190</v>
      </c>
      <c r="C355" s="50" t="s">
        <v>184</v>
      </c>
      <c r="D355" s="50">
        <f t="shared" si="35"/>
        <v>401.17428000000001</v>
      </c>
      <c r="E355" s="50">
        <v>0</v>
      </c>
      <c r="F355" s="50">
        <f t="shared" si="34"/>
        <v>561.64399200000003</v>
      </c>
      <c r="G355" s="80"/>
      <c r="H355" s="81"/>
      <c r="I355" s="36"/>
      <c r="L355" s="72"/>
      <c r="M355" s="72"/>
      <c r="N355" s="36"/>
    </row>
    <row r="356" spans="1:14" s="48" customFormat="1" ht="15.75" customHeight="1" x14ac:dyDescent="0.35">
      <c r="A356" s="73">
        <v>10</v>
      </c>
      <c r="B356" s="74" t="s">
        <v>190</v>
      </c>
      <c r="C356" s="73" t="s">
        <v>182</v>
      </c>
      <c r="D356" s="127"/>
      <c r="E356" s="127"/>
      <c r="F356" s="74"/>
      <c r="G356" s="80"/>
      <c r="H356" s="81"/>
      <c r="I356" s="36"/>
      <c r="L356" s="72"/>
      <c r="M356" s="72"/>
      <c r="N356" s="36"/>
    </row>
    <row r="357" spans="1:14" s="48" customFormat="1" ht="15.75" customHeight="1" x14ac:dyDescent="0.35">
      <c r="A357" s="73">
        <v>11</v>
      </c>
      <c r="B357" s="74" t="s">
        <v>190</v>
      </c>
      <c r="C357" s="73" t="s">
        <v>248</v>
      </c>
      <c r="D357" s="127"/>
      <c r="E357" s="127"/>
      <c r="F357" s="74"/>
      <c r="G357" s="80"/>
      <c r="H357" s="81"/>
      <c r="I357" s="36"/>
      <c r="L357" s="72"/>
      <c r="M357" s="72"/>
      <c r="N357" s="36"/>
    </row>
    <row r="358" spans="1:14" s="48" customFormat="1" ht="15.75" customHeight="1" x14ac:dyDescent="0.35">
      <c r="A358" s="73">
        <v>12</v>
      </c>
      <c r="B358" s="74" t="s">
        <v>190</v>
      </c>
      <c r="C358" s="50" t="s">
        <v>184</v>
      </c>
      <c r="D358" s="50">
        <f t="shared" ref="D358" si="36">(29.48+2.75+2.14+2.9)*10.764</f>
        <v>401.17428000000001</v>
      </c>
      <c r="E358" s="50">
        <v>0</v>
      </c>
      <c r="F358" s="50">
        <f t="shared" ref="F358" si="37">D358*(($F$288)+1)+(IF(E358&lt;101,E358,IF(E358&lt;201,E358/2,IF(E358&lt;=301,E358/3,E358/4))))</f>
        <v>561.64399200000003</v>
      </c>
      <c r="G358" s="82"/>
      <c r="H358" s="83"/>
      <c r="I358" s="36"/>
      <c r="L358" s="72"/>
      <c r="M358" s="72"/>
      <c r="N358" s="36"/>
    </row>
    <row r="359" spans="1:14" s="48" customFormat="1" x14ac:dyDescent="0.35">
      <c r="A359" s="129" t="s">
        <v>251</v>
      </c>
      <c r="B359" s="130"/>
      <c r="C359" s="130"/>
      <c r="D359" s="130"/>
      <c r="E359" s="130"/>
      <c r="F359" s="130"/>
      <c r="G359" s="130"/>
      <c r="H359" s="131"/>
      <c r="J359" s="36"/>
    </row>
    <row r="360" spans="1:14" s="48" customFormat="1" ht="15.75" customHeight="1" x14ac:dyDescent="0.35">
      <c r="A360" s="73">
        <v>1</v>
      </c>
      <c r="B360" s="74" t="s">
        <v>190</v>
      </c>
      <c r="C360" s="50" t="s">
        <v>184</v>
      </c>
      <c r="D360" s="50">
        <f t="shared" ref="D360:D371" si="38">(29.48+2.75+2.14+2.9)*10.764</f>
        <v>401.17428000000001</v>
      </c>
      <c r="E360" s="50">
        <v>0</v>
      </c>
      <c r="F360" s="50">
        <f t="shared" ref="F360:F371" si="39">D360*(($F$288)+1)+(IF(E360&lt;101,E360,IF(E360&lt;201,E360/2,IF(E360&lt;=301,E360/3,E360/4))))</f>
        <v>561.64399200000003</v>
      </c>
      <c r="G360" s="78" t="str">
        <f>A359</f>
        <v>8th Floor for Residential</v>
      </c>
      <c r="H360" s="79"/>
      <c r="I360" s="36"/>
      <c r="L360" s="72"/>
      <c r="M360" s="72"/>
      <c r="N360" s="36"/>
    </row>
    <row r="361" spans="1:14" s="48" customFormat="1" ht="15.75" customHeight="1" x14ac:dyDescent="0.35">
      <c r="A361" s="73">
        <v>2</v>
      </c>
      <c r="B361" s="74" t="s">
        <v>190</v>
      </c>
      <c r="C361" s="50" t="s">
        <v>184</v>
      </c>
      <c r="D361" s="50">
        <f t="shared" si="38"/>
        <v>401.17428000000001</v>
      </c>
      <c r="E361" s="50">
        <v>0</v>
      </c>
      <c r="F361" s="50">
        <f t="shared" si="39"/>
        <v>561.64399200000003</v>
      </c>
      <c r="G361" s="80"/>
      <c r="H361" s="81"/>
      <c r="I361" s="36"/>
      <c r="L361" s="72"/>
      <c r="M361" s="72"/>
      <c r="N361" s="36"/>
    </row>
    <row r="362" spans="1:14" s="48" customFormat="1" ht="15.75" customHeight="1" x14ac:dyDescent="0.35">
      <c r="A362" s="73">
        <v>3</v>
      </c>
      <c r="B362" s="74" t="s">
        <v>190</v>
      </c>
      <c r="C362" s="50" t="s">
        <v>184</v>
      </c>
      <c r="D362" s="50">
        <f t="shared" si="38"/>
        <v>401.17428000000001</v>
      </c>
      <c r="E362" s="50">
        <v>0</v>
      </c>
      <c r="F362" s="50">
        <f t="shared" si="39"/>
        <v>561.64399200000003</v>
      </c>
      <c r="G362" s="80"/>
      <c r="H362" s="81"/>
      <c r="I362" s="36"/>
      <c r="L362" s="72"/>
      <c r="M362" s="72"/>
      <c r="N362" s="36"/>
    </row>
    <row r="363" spans="1:14" s="48" customFormat="1" ht="15.75" customHeight="1" x14ac:dyDescent="0.35">
      <c r="A363" s="73">
        <v>4</v>
      </c>
      <c r="B363" s="74" t="s">
        <v>190</v>
      </c>
      <c r="C363" s="50" t="s">
        <v>184</v>
      </c>
      <c r="D363" s="50">
        <f t="shared" si="38"/>
        <v>401.17428000000001</v>
      </c>
      <c r="E363" s="50">
        <v>0</v>
      </c>
      <c r="F363" s="50">
        <f t="shared" si="39"/>
        <v>561.64399200000003</v>
      </c>
      <c r="G363" s="80"/>
      <c r="H363" s="81"/>
      <c r="I363" s="36"/>
      <c r="L363" s="72"/>
      <c r="M363" s="72"/>
      <c r="N363" s="36"/>
    </row>
    <row r="364" spans="1:14" s="48" customFormat="1" ht="15.75" customHeight="1" x14ac:dyDescent="0.35">
      <c r="A364" s="73">
        <v>5</v>
      </c>
      <c r="B364" s="74" t="s">
        <v>190</v>
      </c>
      <c r="C364" s="50" t="s">
        <v>184</v>
      </c>
      <c r="D364" s="50">
        <f t="shared" si="38"/>
        <v>401.17428000000001</v>
      </c>
      <c r="E364" s="50">
        <v>0</v>
      </c>
      <c r="F364" s="50">
        <f t="shared" si="39"/>
        <v>561.64399200000003</v>
      </c>
      <c r="G364" s="80"/>
      <c r="H364" s="81"/>
      <c r="I364" s="36"/>
      <c r="L364" s="72"/>
      <c r="M364" s="72"/>
      <c r="N364" s="36"/>
    </row>
    <row r="365" spans="1:14" s="48" customFormat="1" ht="15.75" customHeight="1" x14ac:dyDescent="0.35">
      <c r="A365" s="73">
        <v>6</v>
      </c>
      <c r="B365" s="74" t="s">
        <v>190</v>
      </c>
      <c r="C365" s="50" t="s">
        <v>184</v>
      </c>
      <c r="D365" s="50">
        <f t="shared" si="38"/>
        <v>401.17428000000001</v>
      </c>
      <c r="E365" s="50">
        <v>0</v>
      </c>
      <c r="F365" s="50">
        <f t="shared" si="39"/>
        <v>561.64399200000003</v>
      </c>
      <c r="G365" s="80"/>
      <c r="H365" s="81"/>
      <c r="I365" s="36"/>
      <c r="L365" s="72"/>
      <c r="M365" s="72"/>
      <c r="N365" s="36"/>
    </row>
    <row r="366" spans="1:14" s="48" customFormat="1" ht="15.75" customHeight="1" x14ac:dyDescent="0.35">
      <c r="A366" s="73">
        <v>7</v>
      </c>
      <c r="B366" s="74" t="s">
        <v>190</v>
      </c>
      <c r="C366" s="50" t="s">
        <v>184</v>
      </c>
      <c r="D366" s="50">
        <f t="shared" si="38"/>
        <v>401.17428000000001</v>
      </c>
      <c r="E366" s="50">
        <v>0</v>
      </c>
      <c r="F366" s="50">
        <f t="shared" si="39"/>
        <v>561.64399200000003</v>
      </c>
      <c r="G366" s="80"/>
      <c r="H366" s="81"/>
      <c r="I366" s="36"/>
      <c r="L366" s="72"/>
      <c r="M366" s="72"/>
      <c r="N366" s="36"/>
    </row>
    <row r="367" spans="1:14" s="48" customFormat="1" ht="15.75" customHeight="1" x14ac:dyDescent="0.35">
      <c r="A367" s="73">
        <v>8</v>
      </c>
      <c r="B367" s="74" t="s">
        <v>190</v>
      </c>
      <c r="C367" s="50" t="s">
        <v>184</v>
      </c>
      <c r="D367" s="50">
        <f t="shared" si="38"/>
        <v>401.17428000000001</v>
      </c>
      <c r="E367" s="50">
        <v>0</v>
      </c>
      <c r="F367" s="50">
        <f t="shared" si="39"/>
        <v>561.64399200000003</v>
      </c>
      <c r="G367" s="80"/>
      <c r="H367" s="81"/>
      <c r="I367" s="36"/>
      <c r="L367" s="72"/>
      <c r="M367" s="72"/>
      <c r="N367" s="36"/>
    </row>
    <row r="368" spans="1:14" s="48" customFormat="1" ht="15.75" customHeight="1" x14ac:dyDescent="0.35">
      <c r="A368" s="73">
        <v>9</v>
      </c>
      <c r="B368" s="74" t="s">
        <v>190</v>
      </c>
      <c r="C368" s="50" t="s">
        <v>184</v>
      </c>
      <c r="D368" s="50">
        <f t="shared" si="38"/>
        <v>401.17428000000001</v>
      </c>
      <c r="E368" s="50">
        <v>0</v>
      </c>
      <c r="F368" s="50">
        <f t="shared" si="39"/>
        <v>561.64399200000003</v>
      </c>
      <c r="G368" s="80"/>
      <c r="H368" s="81"/>
      <c r="I368" s="36"/>
      <c r="L368" s="72"/>
      <c r="M368" s="72"/>
      <c r="N368" s="36"/>
    </row>
    <row r="369" spans="1:14" s="48" customFormat="1" ht="15.75" customHeight="1" x14ac:dyDescent="0.35">
      <c r="A369" s="73">
        <v>10</v>
      </c>
      <c r="B369" s="74" t="s">
        <v>190</v>
      </c>
      <c r="C369" s="50" t="s">
        <v>184</v>
      </c>
      <c r="D369" s="50">
        <f t="shared" si="38"/>
        <v>401.17428000000001</v>
      </c>
      <c r="E369" s="50">
        <v>0</v>
      </c>
      <c r="F369" s="50">
        <f t="shared" si="39"/>
        <v>561.64399200000003</v>
      </c>
      <c r="G369" s="80"/>
      <c r="H369" s="81"/>
      <c r="I369" s="36"/>
      <c r="L369" s="72"/>
      <c r="M369" s="72"/>
      <c r="N369" s="36"/>
    </row>
    <row r="370" spans="1:14" s="48" customFormat="1" ht="15.75" customHeight="1" x14ac:dyDescent="0.35">
      <c r="A370" s="73">
        <v>11</v>
      </c>
      <c r="B370" s="74" t="s">
        <v>190</v>
      </c>
      <c r="C370" s="50" t="s">
        <v>184</v>
      </c>
      <c r="D370" s="50">
        <f t="shared" si="38"/>
        <v>401.17428000000001</v>
      </c>
      <c r="E370" s="50">
        <v>0</v>
      </c>
      <c r="F370" s="50">
        <f t="shared" si="39"/>
        <v>561.64399200000003</v>
      </c>
      <c r="G370" s="80"/>
      <c r="H370" s="81"/>
      <c r="I370" s="36"/>
      <c r="L370" s="72"/>
      <c r="M370" s="72"/>
      <c r="N370" s="36"/>
    </row>
    <row r="371" spans="1:14" s="48" customFormat="1" ht="15.75" customHeight="1" x14ac:dyDescent="0.35">
      <c r="A371" s="73">
        <v>12</v>
      </c>
      <c r="B371" s="74" t="s">
        <v>190</v>
      </c>
      <c r="C371" s="50" t="s">
        <v>184</v>
      </c>
      <c r="D371" s="50">
        <f t="shared" si="38"/>
        <v>401.17428000000001</v>
      </c>
      <c r="E371" s="50">
        <v>0</v>
      </c>
      <c r="F371" s="50">
        <f t="shared" si="39"/>
        <v>561.64399200000003</v>
      </c>
      <c r="G371" s="82"/>
      <c r="H371" s="83"/>
      <c r="I371" s="36"/>
      <c r="L371" s="72"/>
      <c r="M371" s="72"/>
      <c r="N371" s="36"/>
    </row>
    <row r="372" spans="1:14" s="48" customFormat="1" x14ac:dyDescent="0.35">
      <c r="A372" s="128" t="s">
        <v>252</v>
      </c>
      <c r="B372" s="128"/>
      <c r="C372" s="128"/>
      <c r="D372" s="128"/>
      <c r="E372" s="128"/>
      <c r="F372" s="128"/>
      <c r="G372" s="128"/>
      <c r="H372" s="128"/>
      <c r="J372" s="36"/>
    </row>
    <row r="373" spans="1:14" s="48" customFormat="1" ht="15.75" customHeight="1" x14ac:dyDescent="0.35">
      <c r="A373" s="113">
        <v>1</v>
      </c>
      <c r="B373" s="113" t="s">
        <v>190</v>
      </c>
      <c r="C373" s="50" t="s">
        <v>184</v>
      </c>
      <c r="D373" s="50">
        <f t="shared" ref="D373:D381" si="40">(29.48+2.75+2.14+2.9)*10.764</f>
        <v>401.17428000000001</v>
      </c>
      <c r="E373" s="50">
        <v>0</v>
      </c>
      <c r="F373" s="50">
        <f t="shared" ref="F373:F381" si="41">D373*(($F$288)+1)+(IF(E373&lt;101,E373,IF(E373&lt;201,E373/2,IF(E373&lt;=301,E373/3,E373/4))))</f>
        <v>561.64399200000003</v>
      </c>
      <c r="G373" s="113" t="str">
        <f>A372</f>
        <v>12th Floor (Part Refuge Area)</v>
      </c>
      <c r="H373" s="113"/>
      <c r="I373" s="36"/>
      <c r="L373" s="72"/>
      <c r="M373" s="72"/>
      <c r="N373" s="36"/>
    </row>
    <row r="374" spans="1:14" s="48" customFormat="1" ht="15.75" customHeight="1" x14ac:dyDescent="0.35">
      <c r="A374" s="113">
        <v>2</v>
      </c>
      <c r="B374" s="113" t="s">
        <v>190</v>
      </c>
      <c r="C374" s="50" t="s">
        <v>184</v>
      </c>
      <c r="D374" s="50">
        <f t="shared" si="40"/>
        <v>401.17428000000001</v>
      </c>
      <c r="E374" s="50">
        <v>0</v>
      </c>
      <c r="F374" s="50">
        <f t="shared" si="41"/>
        <v>561.64399200000003</v>
      </c>
      <c r="G374" s="113"/>
      <c r="H374" s="113"/>
      <c r="I374" s="36"/>
      <c r="L374" s="72"/>
      <c r="M374" s="72"/>
      <c r="N374" s="36"/>
    </row>
    <row r="375" spans="1:14" s="48" customFormat="1" ht="15.75" customHeight="1" x14ac:dyDescent="0.35">
      <c r="A375" s="113">
        <v>3</v>
      </c>
      <c r="B375" s="113" t="s">
        <v>190</v>
      </c>
      <c r="C375" s="50" t="s">
        <v>184</v>
      </c>
      <c r="D375" s="50">
        <f t="shared" si="40"/>
        <v>401.17428000000001</v>
      </c>
      <c r="E375" s="50">
        <v>0</v>
      </c>
      <c r="F375" s="50">
        <f t="shared" si="41"/>
        <v>561.64399200000003</v>
      </c>
      <c r="G375" s="113"/>
      <c r="H375" s="113"/>
      <c r="I375" s="36"/>
      <c r="L375" s="72"/>
      <c r="M375" s="72"/>
      <c r="N375" s="36"/>
    </row>
    <row r="376" spans="1:14" s="48" customFormat="1" ht="15.75" customHeight="1" x14ac:dyDescent="0.35">
      <c r="A376" s="113">
        <v>4</v>
      </c>
      <c r="B376" s="113" t="s">
        <v>190</v>
      </c>
      <c r="C376" s="50" t="s">
        <v>184</v>
      </c>
      <c r="D376" s="50">
        <f t="shared" si="40"/>
        <v>401.17428000000001</v>
      </c>
      <c r="E376" s="50">
        <v>0</v>
      </c>
      <c r="F376" s="50">
        <f t="shared" si="41"/>
        <v>561.64399200000003</v>
      </c>
      <c r="G376" s="113"/>
      <c r="H376" s="113"/>
      <c r="I376" s="36"/>
      <c r="L376" s="72"/>
      <c r="M376" s="72"/>
      <c r="N376" s="36"/>
    </row>
    <row r="377" spans="1:14" s="48" customFormat="1" ht="15.75" customHeight="1" x14ac:dyDescent="0.35">
      <c r="A377" s="113">
        <v>5</v>
      </c>
      <c r="B377" s="113" t="s">
        <v>190</v>
      </c>
      <c r="C377" s="50" t="s">
        <v>184</v>
      </c>
      <c r="D377" s="50">
        <f t="shared" si="40"/>
        <v>401.17428000000001</v>
      </c>
      <c r="E377" s="50">
        <v>0</v>
      </c>
      <c r="F377" s="50">
        <f t="shared" si="41"/>
        <v>561.64399200000003</v>
      </c>
      <c r="G377" s="113"/>
      <c r="H377" s="113"/>
      <c r="I377" s="36"/>
      <c r="L377" s="72"/>
      <c r="M377" s="72"/>
      <c r="N377" s="36"/>
    </row>
    <row r="378" spans="1:14" s="48" customFormat="1" ht="15.75" customHeight="1" x14ac:dyDescent="0.35">
      <c r="A378" s="113">
        <v>6</v>
      </c>
      <c r="B378" s="113" t="s">
        <v>190</v>
      </c>
      <c r="C378" s="50" t="s">
        <v>184</v>
      </c>
      <c r="D378" s="50">
        <f t="shared" si="40"/>
        <v>401.17428000000001</v>
      </c>
      <c r="E378" s="50">
        <v>0</v>
      </c>
      <c r="F378" s="50">
        <f t="shared" si="41"/>
        <v>561.64399200000003</v>
      </c>
      <c r="G378" s="113"/>
      <c r="H378" s="113"/>
      <c r="I378" s="36"/>
      <c r="L378" s="72"/>
      <c r="M378" s="72"/>
      <c r="N378" s="36"/>
    </row>
    <row r="379" spans="1:14" s="48" customFormat="1" ht="15.75" customHeight="1" x14ac:dyDescent="0.35">
      <c r="A379" s="113">
        <v>7</v>
      </c>
      <c r="B379" s="113" t="s">
        <v>190</v>
      </c>
      <c r="C379" s="50" t="s">
        <v>184</v>
      </c>
      <c r="D379" s="50">
        <f t="shared" si="40"/>
        <v>401.17428000000001</v>
      </c>
      <c r="E379" s="50">
        <v>0</v>
      </c>
      <c r="F379" s="50">
        <f t="shared" si="41"/>
        <v>561.64399200000003</v>
      </c>
      <c r="G379" s="113"/>
      <c r="H379" s="113"/>
      <c r="I379" s="36"/>
      <c r="L379" s="72"/>
      <c r="M379" s="72"/>
      <c r="N379" s="36"/>
    </row>
    <row r="380" spans="1:14" s="48" customFormat="1" ht="15.75" customHeight="1" x14ac:dyDescent="0.35">
      <c r="A380" s="113">
        <v>8</v>
      </c>
      <c r="B380" s="113" t="s">
        <v>190</v>
      </c>
      <c r="C380" s="50" t="s">
        <v>184</v>
      </c>
      <c r="D380" s="50">
        <f t="shared" si="40"/>
        <v>401.17428000000001</v>
      </c>
      <c r="E380" s="50">
        <v>0</v>
      </c>
      <c r="F380" s="50">
        <f t="shared" si="41"/>
        <v>561.64399200000003</v>
      </c>
      <c r="G380" s="113"/>
      <c r="H380" s="113"/>
      <c r="I380" s="36"/>
      <c r="L380" s="72"/>
      <c r="M380" s="72"/>
      <c r="N380" s="36"/>
    </row>
    <row r="381" spans="1:14" s="48" customFormat="1" ht="15.75" customHeight="1" x14ac:dyDescent="0.35">
      <c r="A381" s="113">
        <v>9</v>
      </c>
      <c r="B381" s="113" t="s">
        <v>190</v>
      </c>
      <c r="C381" s="50" t="s">
        <v>184</v>
      </c>
      <c r="D381" s="50">
        <f t="shared" si="40"/>
        <v>401.17428000000001</v>
      </c>
      <c r="E381" s="50">
        <v>0</v>
      </c>
      <c r="F381" s="50">
        <f t="shared" si="41"/>
        <v>561.64399200000003</v>
      </c>
      <c r="G381" s="113"/>
      <c r="H381" s="113"/>
      <c r="I381" s="36"/>
      <c r="L381" s="72"/>
      <c r="M381" s="72"/>
      <c r="N381" s="36"/>
    </row>
    <row r="382" spans="1:14" s="48" customFormat="1" ht="15.75" customHeight="1" x14ac:dyDescent="0.35">
      <c r="A382" s="113">
        <v>10</v>
      </c>
      <c r="B382" s="113" t="s">
        <v>190</v>
      </c>
      <c r="C382" s="113" t="s">
        <v>253</v>
      </c>
      <c r="D382" s="113"/>
      <c r="E382" s="113"/>
      <c r="F382" s="113"/>
      <c r="G382" s="113"/>
      <c r="H382" s="113"/>
      <c r="I382" s="36"/>
      <c r="L382" s="72"/>
      <c r="M382" s="72"/>
      <c r="N382" s="36"/>
    </row>
    <row r="383" spans="1:14" s="48" customFormat="1" ht="15.75" customHeight="1" x14ac:dyDescent="0.35">
      <c r="A383" s="113">
        <v>11</v>
      </c>
      <c r="B383" s="113" t="s">
        <v>190</v>
      </c>
      <c r="C383" s="50" t="s">
        <v>184</v>
      </c>
      <c r="D383" s="50">
        <f t="shared" ref="D383:D384" si="42">(29.48+2.75+2.14+2.9)*10.764</f>
        <v>401.17428000000001</v>
      </c>
      <c r="E383" s="50">
        <v>0</v>
      </c>
      <c r="F383" s="50">
        <f t="shared" ref="F383" si="43">D383*(($F$288)+1)+(IF(E383&lt;101,E383,IF(E383&lt;201,E383/2,IF(E383&lt;=301,E383/3,E383/4))))</f>
        <v>561.64399200000003</v>
      </c>
      <c r="G383" s="113"/>
      <c r="H383" s="113"/>
      <c r="I383" s="36"/>
      <c r="L383" s="72"/>
      <c r="M383" s="72"/>
      <c r="N383" s="36"/>
    </row>
    <row r="384" spans="1:14" s="48" customFormat="1" ht="15.75" customHeight="1" x14ac:dyDescent="0.35">
      <c r="A384" s="113">
        <v>12</v>
      </c>
      <c r="B384" s="113" t="s">
        <v>190</v>
      </c>
      <c r="C384" s="50" t="s">
        <v>184</v>
      </c>
      <c r="D384" s="50">
        <f t="shared" si="42"/>
        <v>401.17428000000001</v>
      </c>
      <c r="E384" s="50">
        <v>0</v>
      </c>
      <c r="F384" s="50">
        <f t="shared" ref="F384" si="44">D384*(($F$288)+1)+(IF(E384&lt;101,E384,IF(E384&lt;201,E384/2,IF(E384&lt;=301,E384/3,E384/4))))</f>
        <v>561.64399200000003</v>
      </c>
      <c r="G384" s="113"/>
      <c r="H384" s="113"/>
      <c r="I384" s="36"/>
      <c r="L384" s="72"/>
      <c r="M384" s="72"/>
      <c r="N384" s="36"/>
    </row>
    <row r="385" spans="1:14" s="41" customFormat="1" x14ac:dyDescent="0.35">
      <c r="A385" s="116" t="s">
        <v>188</v>
      </c>
      <c r="B385" s="116"/>
      <c r="C385" s="116"/>
      <c r="D385" s="116"/>
      <c r="E385" s="116"/>
      <c r="F385" s="116"/>
      <c r="G385" s="116"/>
      <c r="H385" s="116"/>
    </row>
    <row r="386" spans="1:14" s="41" customFormat="1" x14ac:dyDescent="0.35">
      <c r="A386" s="116" t="s">
        <v>204</v>
      </c>
      <c r="B386" s="116"/>
      <c r="C386" s="116"/>
      <c r="D386" s="116"/>
      <c r="E386" s="116"/>
      <c r="F386" s="116"/>
      <c r="G386" s="116"/>
      <c r="H386" s="116"/>
    </row>
    <row r="387" spans="1:14" s="41" customFormat="1" x14ac:dyDescent="0.35">
      <c r="A387" s="116" t="s">
        <v>189</v>
      </c>
      <c r="B387" s="116"/>
      <c r="C387" s="116"/>
      <c r="D387" s="116"/>
      <c r="E387" s="116"/>
      <c r="F387" s="116"/>
      <c r="G387" s="116"/>
      <c r="H387" s="116"/>
    </row>
    <row r="388" spans="1:14" s="48" customFormat="1" x14ac:dyDescent="0.35">
      <c r="A388" s="129" t="s">
        <v>178</v>
      </c>
      <c r="B388" s="130"/>
      <c r="C388" s="130"/>
      <c r="D388" s="130"/>
      <c r="E388" s="130"/>
      <c r="F388" s="130"/>
      <c r="G388" s="130"/>
      <c r="H388" s="131"/>
      <c r="J388" s="36"/>
    </row>
    <row r="389" spans="1:14" s="48" customFormat="1" ht="15.75" customHeight="1" x14ac:dyDescent="0.35">
      <c r="A389" s="73">
        <v>1</v>
      </c>
      <c r="B389" s="74" t="s">
        <v>190</v>
      </c>
      <c r="C389" s="50" t="s">
        <v>184</v>
      </c>
      <c r="D389" s="50">
        <f>(29.35+2.75+2.14+2.9)*10.764</f>
        <v>399.77495999999996</v>
      </c>
      <c r="E389" s="50">
        <v>0</v>
      </c>
      <c r="F389" s="50">
        <f t="shared" ref="F389:F417" si="45">D389*(($F$288)+1)+(IF(E389&lt;101,E389,IF(E389&lt;201,E389/2,IF(E389&lt;=301,E389/3,E389/4))))</f>
        <v>559.68494399999986</v>
      </c>
      <c r="G389" s="78" t="str">
        <f>A388</f>
        <v>1st Floor for Residential</v>
      </c>
      <c r="H389" s="79"/>
      <c r="I389" s="36"/>
      <c r="L389" s="72"/>
      <c r="M389" s="72"/>
      <c r="N389" s="36"/>
    </row>
    <row r="390" spans="1:14" s="48" customFormat="1" ht="15.75" customHeight="1" x14ac:dyDescent="0.35">
      <c r="A390" s="73">
        <v>2</v>
      </c>
      <c r="B390" s="74" t="s">
        <v>190</v>
      </c>
      <c r="C390" s="50" t="s">
        <v>184</v>
      </c>
      <c r="D390" s="50">
        <f t="shared" ref="D390:D391" si="46">(29.35+2.75+2.14+2.9)*10.764</f>
        <v>399.77495999999996</v>
      </c>
      <c r="E390" s="50">
        <v>0</v>
      </c>
      <c r="F390" s="50">
        <f t="shared" si="45"/>
        <v>559.68494399999986</v>
      </c>
      <c r="G390" s="80"/>
      <c r="H390" s="81"/>
      <c r="I390" s="36"/>
      <c r="L390" s="72"/>
      <c r="M390" s="72"/>
      <c r="N390" s="36"/>
    </row>
    <row r="391" spans="1:14" s="48" customFormat="1" ht="15.75" customHeight="1" x14ac:dyDescent="0.35">
      <c r="A391" s="73">
        <v>3</v>
      </c>
      <c r="B391" s="74" t="s">
        <v>190</v>
      </c>
      <c r="C391" s="50" t="s">
        <v>184</v>
      </c>
      <c r="D391" s="50">
        <f t="shared" si="46"/>
        <v>399.77495999999996</v>
      </c>
      <c r="E391" s="50">
        <v>0</v>
      </c>
      <c r="F391" s="50">
        <f t="shared" si="45"/>
        <v>559.68494399999986</v>
      </c>
      <c r="G391" s="80"/>
      <c r="H391" s="81"/>
      <c r="I391" s="36"/>
      <c r="L391" s="72"/>
      <c r="M391" s="72"/>
      <c r="N391" s="36"/>
    </row>
    <row r="392" spans="1:14" s="48" customFormat="1" ht="15.75" customHeight="1" x14ac:dyDescent="0.35">
      <c r="A392" s="73">
        <v>4</v>
      </c>
      <c r="B392" s="74" t="s">
        <v>190</v>
      </c>
      <c r="C392" s="50" t="s">
        <v>184</v>
      </c>
      <c r="D392" s="50">
        <f>(29.48+2.75+2.14+2.9)*10.764</f>
        <v>401.17428000000001</v>
      </c>
      <c r="E392" s="50">
        <v>0</v>
      </c>
      <c r="F392" s="50">
        <f t="shared" si="45"/>
        <v>561.64399200000003</v>
      </c>
      <c r="G392" s="80"/>
      <c r="H392" s="81"/>
      <c r="I392" s="36"/>
      <c r="L392" s="72"/>
      <c r="M392" s="72"/>
      <c r="N392" s="36"/>
    </row>
    <row r="393" spans="1:14" s="48" customFormat="1" ht="15.75" customHeight="1" x14ac:dyDescent="0.35">
      <c r="A393" s="73">
        <v>5</v>
      </c>
      <c r="B393" s="74" t="s">
        <v>190</v>
      </c>
      <c r="C393" s="50" t="s">
        <v>184</v>
      </c>
      <c r="D393" s="50">
        <f t="shared" ref="D393:D400" si="47">(29.48+2.75+2.14+2.9)*10.764</f>
        <v>401.17428000000001</v>
      </c>
      <c r="E393" s="50">
        <v>0</v>
      </c>
      <c r="F393" s="50">
        <f t="shared" si="45"/>
        <v>561.64399200000003</v>
      </c>
      <c r="G393" s="80"/>
      <c r="H393" s="81"/>
      <c r="I393" s="36"/>
      <c r="L393" s="72"/>
      <c r="M393" s="72"/>
      <c r="N393" s="36"/>
    </row>
    <row r="394" spans="1:14" s="48" customFormat="1" ht="15.75" customHeight="1" x14ac:dyDescent="0.35">
      <c r="A394" s="73">
        <v>6</v>
      </c>
      <c r="B394" s="74" t="s">
        <v>190</v>
      </c>
      <c r="C394" s="50" t="s">
        <v>184</v>
      </c>
      <c r="D394" s="50">
        <f t="shared" si="47"/>
        <v>401.17428000000001</v>
      </c>
      <c r="E394" s="50">
        <v>0</v>
      </c>
      <c r="F394" s="50">
        <f t="shared" si="45"/>
        <v>561.64399200000003</v>
      </c>
      <c r="G394" s="80"/>
      <c r="H394" s="81"/>
      <c r="I394" s="36"/>
      <c r="L394" s="72"/>
      <c r="M394" s="72"/>
      <c r="N394" s="36"/>
    </row>
    <row r="395" spans="1:14" s="48" customFormat="1" ht="15.75" customHeight="1" x14ac:dyDescent="0.35">
      <c r="A395" s="73">
        <v>7</v>
      </c>
      <c r="B395" s="74" t="s">
        <v>190</v>
      </c>
      <c r="C395" s="50" t="s">
        <v>184</v>
      </c>
      <c r="D395" s="50">
        <f t="shared" si="47"/>
        <v>401.17428000000001</v>
      </c>
      <c r="E395" s="50">
        <v>0</v>
      </c>
      <c r="F395" s="50">
        <f t="shared" si="45"/>
        <v>561.64399200000003</v>
      </c>
      <c r="G395" s="80"/>
      <c r="H395" s="81"/>
      <c r="I395" s="36"/>
      <c r="L395" s="72"/>
      <c r="M395" s="72"/>
      <c r="N395" s="36"/>
    </row>
    <row r="396" spans="1:14" s="48" customFormat="1" ht="15.75" customHeight="1" x14ac:dyDescent="0.35">
      <c r="A396" s="73">
        <v>8</v>
      </c>
      <c r="B396" s="74" t="s">
        <v>190</v>
      </c>
      <c r="C396" s="50" t="s">
        <v>184</v>
      </c>
      <c r="D396" s="50">
        <f t="shared" si="47"/>
        <v>401.17428000000001</v>
      </c>
      <c r="E396" s="50">
        <v>0</v>
      </c>
      <c r="F396" s="50">
        <f t="shared" si="45"/>
        <v>561.64399200000003</v>
      </c>
      <c r="G396" s="80"/>
      <c r="H396" s="81"/>
      <c r="I396" s="36"/>
      <c r="L396" s="72"/>
      <c r="M396" s="72"/>
      <c r="N396" s="36"/>
    </row>
    <row r="397" spans="1:14" s="48" customFormat="1" ht="15.75" customHeight="1" x14ac:dyDescent="0.35">
      <c r="A397" s="73">
        <v>9</v>
      </c>
      <c r="B397" s="74" t="s">
        <v>190</v>
      </c>
      <c r="C397" s="50" t="s">
        <v>184</v>
      </c>
      <c r="D397" s="50">
        <f t="shared" si="47"/>
        <v>401.17428000000001</v>
      </c>
      <c r="E397" s="50">
        <v>0</v>
      </c>
      <c r="F397" s="50">
        <f t="shared" si="45"/>
        <v>561.64399200000003</v>
      </c>
      <c r="G397" s="80"/>
      <c r="H397" s="81"/>
      <c r="I397" s="36"/>
      <c r="L397" s="72"/>
      <c r="M397" s="72"/>
      <c r="N397" s="36"/>
    </row>
    <row r="398" spans="1:14" s="48" customFormat="1" ht="15.75" customHeight="1" x14ac:dyDescent="0.35">
      <c r="A398" s="73">
        <v>10</v>
      </c>
      <c r="B398" s="74" t="s">
        <v>190</v>
      </c>
      <c r="C398" s="50" t="s">
        <v>184</v>
      </c>
      <c r="D398" s="50">
        <f t="shared" si="47"/>
        <v>401.17428000000001</v>
      </c>
      <c r="E398" s="50">
        <v>0</v>
      </c>
      <c r="F398" s="50">
        <f t="shared" si="45"/>
        <v>561.64399200000003</v>
      </c>
      <c r="G398" s="80"/>
      <c r="H398" s="81"/>
      <c r="I398" s="36"/>
      <c r="L398" s="72"/>
      <c r="M398" s="72"/>
      <c r="N398" s="36"/>
    </row>
    <row r="399" spans="1:14" s="48" customFormat="1" ht="15.75" customHeight="1" x14ac:dyDescent="0.35">
      <c r="A399" s="73">
        <v>11</v>
      </c>
      <c r="B399" s="74" t="s">
        <v>190</v>
      </c>
      <c r="C399" s="50" t="s">
        <v>184</v>
      </c>
      <c r="D399" s="50">
        <f t="shared" si="47"/>
        <v>401.17428000000001</v>
      </c>
      <c r="E399" s="50">
        <v>0</v>
      </c>
      <c r="F399" s="50">
        <f t="shared" si="45"/>
        <v>561.64399200000003</v>
      </c>
      <c r="G399" s="80"/>
      <c r="H399" s="81"/>
      <c r="I399" s="36"/>
      <c r="L399" s="72"/>
      <c r="M399" s="72"/>
      <c r="N399" s="36"/>
    </row>
    <row r="400" spans="1:14" s="48" customFormat="1" ht="15.75" customHeight="1" x14ac:dyDescent="0.35">
      <c r="A400" s="73">
        <v>12</v>
      </c>
      <c r="B400" s="74" t="s">
        <v>190</v>
      </c>
      <c r="C400" s="50" t="s">
        <v>184</v>
      </c>
      <c r="D400" s="50">
        <f t="shared" si="47"/>
        <v>401.17428000000001</v>
      </c>
      <c r="E400" s="50">
        <v>0</v>
      </c>
      <c r="F400" s="50">
        <f t="shared" si="45"/>
        <v>561.64399200000003</v>
      </c>
      <c r="G400" s="82"/>
      <c r="H400" s="83"/>
      <c r="I400" s="36"/>
      <c r="L400" s="72"/>
      <c r="M400" s="72"/>
      <c r="N400" s="36"/>
    </row>
    <row r="401" spans="1:14" s="48" customFormat="1" x14ac:dyDescent="0.35">
      <c r="A401" s="129" t="s">
        <v>247</v>
      </c>
      <c r="B401" s="130"/>
      <c r="C401" s="130"/>
      <c r="D401" s="130"/>
      <c r="E401" s="130"/>
      <c r="F401" s="130"/>
      <c r="G401" s="130"/>
      <c r="H401" s="131"/>
      <c r="J401" s="36"/>
    </row>
    <row r="402" spans="1:14" s="48" customFormat="1" ht="15.75" customHeight="1" x14ac:dyDescent="0.35">
      <c r="A402" s="73">
        <v>1</v>
      </c>
      <c r="B402" s="74" t="s">
        <v>190</v>
      </c>
      <c r="C402" s="50" t="s">
        <v>184</v>
      </c>
      <c r="D402" s="50">
        <f>(29.35+2.75+2.14+2.9)*10.764</f>
        <v>399.77495999999996</v>
      </c>
      <c r="E402" s="50">
        <v>0</v>
      </c>
      <c r="F402" s="50">
        <f t="shared" ref="F402:F413" si="48">D402*(($F$288)+1)+(IF(E402&lt;101,E402,IF(E402&lt;201,E402/2,IF(E402&lt;=301,E402/3,E402/4))))</f>
        <v>559.68494399999986</v>
      </c>
      <c r="G402" s="78" t="str">
        <f>A401</f>
        <v>2nd to 7th &amp; 9th to 10th Floor for Residential</v>
      </c>
      <c r="H402" s="79"/>
      <c r="I402" s="36"/>
      <c r="L402" s="72"/>
      <c r="M402" s="72"/>
      <c r="N402" s="36"/>
    </row>
    <row r="403" spans="1:14" s="48" customFormat="1" ht="15.75" customHeight="1" x14ac:dyDescent="0.35">
      <c r="A403" s="73">
        <v>2</v>
      </c>
      <c r="B403" s="74" t="s">
        <v>190</v>
      </c>
      <c r="C403" s="50" t="s">
        <v>184</v>
      </c>
      <c r="D403" s="50">
        <f t="shared" ref="D403:D404" si="49">(29.35+2.75+2.14+2.9)*10.764</f>
        <v>399.77495999999996</v>
      </c>
      <c r="E403" s="50">
        <v>0</v>
      </c>
      <c r="F403" s="50">
        <f t="shared" si="48"/>
        <v>559.68494399999986</v>
      </c>
      <c r="G403" s="80"/>
      <c r="H403" s="81"/>
      <c r="I403" s="36"/>
      <c r="L403" s="72"/>
      <c r="M403" s="72"/>
      <c r="N403" s="36"/>
    </row>
    <row r="404" spans="1:14" s="48" customFormat="1" ht="15.75" customHeight="1" x14ac:dyDescent="0.35">
      <c r="A404" s="73">
        <v>3</v>
      </c>
      <c r="B404" s="74" t="s">
        <v>190</v>
      </c>
      <c r="C404" s="50" t="s">
        <v>184</v>
      </c>
      <c r="D404" s="50">
        <f t="shared" si="49"/>
        <v>399.77495999999996</v>
      </c>
      <c r="E404" s="50">
        <v>0</v>
      </c>
      <c r="F404" s="50">
        <f t="shared" si="48"/>
        <v>559.68494399999986</v>
      </c>
      <c r="G404" s="80"/>
      <c r="H404" s="81"/>
      <c r="I404" s="36"/>
      <c r="L404" s="72"/>
      <c r="M404" s="72"/>
      <c r="N404" s="36"/>
    </row>
    <row r="405" spans="1:14" s="48" customFormat="1" ht="15.75" customHeight="1" x14ac:dyDescent="0.35">
      <c r="A405" s="73">
        <v>4</v>
      </c>
      <c r="B405" s="74" t="s">
        <v>190</v>
      </c>
      <c r="C405" s="50" t="s">
        <v>184</v>
      </c>
      <c r="D405" s="50">
        <f>(29.48+2.75+2.14+2.9)*10.764</f>
        <v>401.17428000000001</v>
      </c>
      <c r="E405" s="50">
        <v>0</v>
      </c>
      <c r="F405" s="50">
        <f t="shared" si="48"/>
        <v>561.64399200000003</v>
      </c>
      <c r="G405" s="80"/>
      <c r="H405" s="81"/>
      <c r="I405" s="36"/>
      <c r="L405" s="72"/>
      <c r="M405" s="72"/>
      <c r="N405" s="36"/>
    </row>
    <row r="406" spans="1:14" s="48" customFormat="1" ht="15.75" customHeight="1" x14ac:dyDescent="0.35">
      <c r="A406" s="73">
        <v>5</v>
      </c>
      <c r="B406" s="74" t="s">
        <v>190</v>
      </c>
      <c r="C406" s="50" t="s">
        <v>184</v>
      </c>
      <c r="D406" s="50">
        <f t="shared" ref="D406:D413" si="50">(29.48+2.75+2.14+2.9)*10.764</f>
        <v>401.17428000000001</v>
      </c>
      <c r="E406" s="50">
        <v>0</v>
      </c>
      <c r="F406" s="50">
        <f t="shared" si="48"/>
        <v>561.64399200000003</v>
      </c>
      <c r="G406" s="80"/>
      <c r="H406" s="81"/>
      <c r="I406" s="36"/>
      <c r="L406" s="72"/>
      <c r="M406" s="72"/>
      <c r="N406" s="36"/>
    </row>
    <row r="407" spans="1:14" s="48" customFormat="1" ht="15.75" customHeight="1" x14ac:dyDescent="0.35">
      <c r="A407" s="73">
        <v>6</v>
      </c>
      <c r="B407" s="74" t="s">
        <v>190</v>
      </c>
      <c r="C407" s="50" t="s">
        <v>184</v>
      </c>
      <c r="D407" s="50">
        <f t="shared" si="50"/>
        <v>401.17428000000001</v>
      </c>
      <c r="E407" s="50">
        <v>0</v>
      </c>
      <c r="F407" s="50">
        <f t="shared" si="48"/>
        <v>561.64399200000003</v>
      </c>
      <c r="G407" s="80"/>
      <c r="H407" s="81"/>
      <c r="I407" s="36"/>
      <c r="L407" s="72"/>
      <c r="M407" s="72"/>
      <c r="N407" s="36"/>
    </row>
    <row r="408" spans="1:14" s="48" customFormat="1" ht="15.75" customHeight="1" x14ac:dyDescent="0.35">
      <c r="A408" s="73">
        <v>7</v>
      </c>
      <c r="B408" s="74" t="s">
        <v>190</v>
      </c>
      <c r="C408" s="50" t="s">
        <v>184</v>
      </c>
      <c r="D408" s="50">
        <f t="shared" si="50"/>
        <v>401.17428000000001</v>
      </c>
      <c r="E408" s="50">
        <v>0</v>
      </c>
      <c r="F408" s="50">
        <f t="shared" si="48"/>
        <v>561.64399200000003</v>
      </c>
      <c r="G408" s="80"/>
      <c r="H408" s="81"/>
      <c r="I408" s="36"/>
      <c r="L408" s="72"/>
      <c r="M408" s="72"/>
      <c r="N408" s="36"/>
    </row>
    <row r="409" spans="1:14" s="48" customFormat="1" ht="15.75" customHeight="1" x14ac:dyDescent="0.35">
      <c r="A409" s="73">
        <v>8</v>
      </c>
      <c r="B409" s="74" t="s">
        <v>190</v>
      </c>
      <c r="C409" s="50" t="s">
        <v>184</v>
      </c>
      <c r="D409" s="50">
        <f t="shared" si="50"/>
        <v>401.17428000000001</v>
      </c>
      <c r="E409" s="50">
        <v>0</v>
      </c>
      <c r="F409" s="50">
        <f t="shared" si="48"/>
        <v>561.64399200000003</v>
      </c>
      <c r="G409" s="80"/>
      <c r="H409" s="81"/>
      <c r="I409" s="36"/>
      <c r="L409" s="72"/>
      <c r="M409" s="72"/>
      <c r="N409" s="36"/>
    </row>
    <row r="410" spans="1:14" s="48" customFormat="1" ht="15.75" customHeight="1" x14ac:dyDescent="0.35">
      <c r="A410" s="73">
        <v>9</v>
      </c>
      <c r="B410" s="74" t="s">
        <v>190</v>
      </c>
      <c r="C410" s="50" t="s">
        <v>184</v>
      </c>
      <c r="D410" s="50">
        <f t="shared" si="50"/>
        <v>401.17428000000001</v>
      </c>
      <c r="E410" s="50">
        <v>0</v>
      </c>
      <c r="F410" s="50">
        <f t="shared" si="48"/>
        <v>561.64399200000003</v>
      </c>
      <c r="G410" s="80"/>
      <c r="H410" s="81"/>
      <c r="I410" s="36"/>
      <c r="L410" s="72"/>
      <c r="M410" s="72"/>
      <c r="N410" s="36"/>
    </row>
    <row r="411" spans="1:14" s="48" customFormat="1" ht="15.75" customHeight="1" x14ac:dyDescent="0.35">
      <c r="A411" s="73">
        <v>10</v>
      </c>
      <c r="B411" s="74" t="s">
        <v>190</v>
      </c>
      <c r="C411" s="50" t="s">
        <v>184</v>
      </c>
      <c r="D411" s="50">
        <f t="shared" si="50"/>
        <v>401.17428000000001</v>
      </c>
      <c r="E411" s="50">
        <v>0</v>
      </c>
      <c r="F411" s="50">
        <f t="shared" si="48"/>
        <v>561.64399200000003</v>
      </c>
      <c r="G411" s="80"/>
      <c r="H411" s="81"/>
      <c r="I411" s="36"/>
      <c r="L411" s="72"/>
      <c r="M411" s="72"/>
      <c r="N411" s="36"/>
    </row>
    <row r="412" spans="1:14" s="48" customFormat="1" ht="15.75" customHeight="1" x14ac:dyDescent="0.35">
      <c r="A412" s="73">
        <v>11</v>
      </c>
      <c r="B412" s="74" t="s">
        <v>190</v>
      </c>
      <c r="C412" s="50" t="s">
        <v>184</v>
      </c>
      <c r="D412" s="50">
        <f t="shared" si="50"/>
        <v>401.17428000000001</v>
      </c>
      <c r="E412" s="50">
        <v>0</v>
      </c>
      <c r="F412" s="50">
        <f t="shared" si="48"/>
        <v>561.64399200000003</v>
      </c>
      <c r="G412" s="80"/>
      <c r="H412" s="81"/>
      <c r="I412" s="36"/>
      <c r="L412" s="72"/>
      <c r="M412" s="72"/>
      <c r="N412" s="36"/>
    </row>
    <row r="413" spans="1:14" s="48" customFormat="1" ht="15.75" customHeight="1" x14ac:dyDescent="0.35">
      <c r="A413" s="73">
        <v>12</v>
      </c>
      <c r="B413" s="74" t="s">
        <v>190</v>
      </c>
      <c r="C413" s="50" t="s">
        <v>184</v>
      </c>
      <c r="D413" s="50">
        <f t="shared" si="50"/>
        <v>401.17428000000001</v>
      </c>
      <c r="E413" s="50">
        <v>0</v>
      </c>
      <c r="F413" s="50">
        <f t="shared" si="48"/>
        <v>561.64399200000003</v>
      </c>
      <c r="G413" s="82"/>
      <c r="H413" s="83"/>
      <c r="I413" s="36"/>
      <c r="L413" s="72"/>
      <c r="M413" s="72"/>
      <c r="N413" s="36"/>
    </row>
    <row r="414" spans="1:14" s="48" customFormat="1" x14ac:dyDescent="0.35">
      <c r="A414" s="128" t="s">
        <v>181</v>
      </c>
      <c r="B414" s="128"/>
      <c r="C414" s="128"/>
      <c r="D414" s="128"/>
      <c r="E414" s="128"/>
      <c r="F414" s="128"/>
      <c r="G414" s="128"/>
      <c r="H414" s="128"/>
      <c r="J414" s="36"/>
    </row>
    <row r="415" spans="1:14" s="48" customFormat="1" ht="15.75" customHeight="1" x14ac:dyDescent="0.35">
      <c r="A415" s="113">
        <v>1</v>
      </c>
      <c r="B415" s="113" t="s">
        <v>190</v>
      </c>
      <c r="C415" s="50" t="s">
        <v>184</v>
      </c>
      <c r="D415" s="50">
        <f t="shared" ref="D415:D417" si="51">(29.35+2.75+2.14+2.9)*10.764</f>
        <v>399.77495999999996</v>
      </c>
      <c r="E415" s="50">
        <v>0</v>
      </c>
      <c r="F415" s="50">
        <f t="shared" si="45"/>
        <v>559.68494399999986</v>
      </c>
      <c r="G415" s="113" t="str">
        <f>A414</f>
        <v>8th Floor (Part Refuge Area)</v>
      </c>
      <c r="H415" s="113"/>
      <c r="I415" s="36"/>
      <c r="L415" s="72"/>
      <c r="M415" s="72"/>
      <c r="N415" s="36"/>
    </row>
    <row r="416" spans="1:14" s="48" customFormat="1" ht="15.75" customHeight="1" x14ac:dyDescent="0.35">
      <c r="A416" s="113">
        <v>2</v>
      </c>
      <c r="B416" s="113" t="s">
        <v>190</v>
      </c>
      <c r="C416" s="50" t="s">
        <v>184</v>
      </c>
      <c r="D416" s="50">
        <f t="shared" si="51"/>
        <v>399.77495999999996</v>
      </c>
      <c r="E416" s="50">
        <v>0</v>
      </c>
      <c r="F416" s="50">
        <f t="shared" si="45"/>
        <v>559.68494399999986</v>
      </c>
      <c r="G416" s="113"/>
      <c r="H416" s="113"/>
      <c r="I416" s="36"/>
      <c r="L416" s="72"/>
      <c r="M416" s="72"/>
      <c r="N416" s="36"/>
    </row>
    <row r="417" spans="1:14" s="48" customFormat="1" ht="15.75" customHeight="1" x14ac:dyDescent="0.35">
      <c r="A417" s="113">
        <v>3</v>
      </c>
      <c r="B417" s="113" t="s">
        <v>190</v>
      </c>
      <c r="C417" s="50" t="s">
        <v>184</v>
      </c>
      <c r="D417" s="50">
        <f t="shared" si="51"/>
        <v>399.77495999999996</v>
      </c>
      <c r="E417" s="50">
        <v>0</v>
      </c>
      <c r="F417" s="50">
        <f t="shared" si="45"/>
        <v>559.68494399999986</v>
      </c>
      <c r="G417" s="113"/>
      <c r="H417" s="113"/>
      <c r="I417" s="36"/>
      <c r="L417" s="72"/>
      <c r="M417" s="72"/>
      <c r="N417" s="36"/>
    </row>
    <row r="418" spans="1:14" s="48" customFormat="1" ht="15.75" customHeight="1" x14ac:dyDescent="0.35">
      <c r="A418" s="113">
        <v>4</v>
      </c>
      <c r="B418" s="113"/>
      <c r="C418" s="113" t="s">
        <v>182</v>
      </c>
      <c r="D418" s="113"/>
      <c r="E418" s="113"/>
      <c r="F418" s="113"/>
      <c r="G418" s="113"/>
      <c r="H418" s="113"/>
      <c r="I418" s="36"/>
      <c r="L418" s="72"/>
      <c r="M418" s="72"/>
      <c r="N418" s="36"/>
    </row>
    <row r="419" spans="1:14" s="48" customFormat="1" ht="15.75" customHeight="1" x14ac:dyDescent="0.35">
      <c r="A419" s="113">
        <v>5</v>
      </c>
      <c r="B419" s="113"/>
      <c r="C419" s="113" t="s">
        <v>248</v>
      </c>
      <c r="D419" s="113"/>
      <c r="E419" s="113"/>
      <c r="F419" s="113"/>
      <c r="G419" s="113"/>
      <c r="H419" s="113"/>
      <c r="I419" s="36"/>
      <c r="L419" s="72"/>
      <c r="M419" s="72"/>
      <c r="N419" s="36"/>
    </row>
    <row r="420" spans="1:14" s="48" customFormat="1" ht="15.75" customHeight="1" x14ac:dyDescent="0.35">
      <c r="A420" s="113">
        <v>6</v>
      </c>
      <c r="B420" s="113" t="s">
        <v>190</v>
      </c>
      <c r="C420" s="50" t="s">
        <v>184</v>
      </c>
      <c r="D420" s="50">
        <f t="shared" ref="D420:D426" si="52">(29.48+2.75+2.14+2.9)*10.764</f>
        <v>401.17428000000001</v>
      </c>
      <c r="E420" s="50">
        <v>0</v>
      </c>
      <c r="F420" s="50">
        <f t="shared" ref="F420:F426" si="53">D420*(($F$288)+1)+(IF(E420&lt;101,E420,IF(E420&lt;201,E420/2,IF(E420&lt;=301,E420/3,E420/4))))</f>
        <v>561.64399200000003</v>
      </c>
      <c r="G420" s="113"/>
      <c r="H420" s="113"/>
      <c r="I420" s="36"/>
      <c r="L420" s="72"/>
      <c r="M420" s="72"/>
      <c r="N420" s="36"/>
    </row>
    <row r="421" spans="1:14" s="48" customFormat="1" ht="15.75" customHeight="1" x14ac:dyDescent="0.35">
      <c r="A421" s="113">
        <v>7</v>
      </c>
      <c r="B421" s="113" t="s">
        <v>190</v>
      </c>
      <c r="C421" s="50" t="s">
        <v>184</v>
      </c>
      <c r="D421" s="50">
        <f t="shared" si="52"/>
        <v>401.17428000000001</v>
      </c>
      <c r="E421" s="50">
        <v>0</v>
      </c>
      <c r="F421" s="50">
        <f t="shared" si="53"/>
        <v>561.64399200000003</v>
      </c>
      <c r="G421" s="113"/>
      <c r="H421" s="113"/>
      <c r="I421" s="36"/>
      <c r="L421" s="72"/>
      <c r="M421" s="72"/>
      <c r="N421" s="36"/>
    </row>
    <row r="422" spans="1:14" s="48" customFormat="1" ht="15.75" customHeight="1" x14ac:dyDescent="0.35">
      <c r="A422" s="113">
        <v>8</v>
      </c>
      <c r="B422" s="113" t="s">
        <v>190</v>
      </c>
      <c r="C422" s="50" t="s">
        <v>184</v>
      </c>
      <c r="D422" s="50">
        <f t="shared" si="52"/>
        <v>401.17428000000001</v>
      </c>
      <c r="E422" s="50">
        <v>0</v>
      </c>
      <c r="F422" s="50">
        <f t="shared" si="53"/>
        <v>561.64399200000003</v>
      </c>
      <c r="G422" s="113"/>
      <c r="H422" s="113"/>
      <c r="I422" s="36"/>
      <c r="L422" s="72"/>
      <c r="M422" s="72"/>
      <c r="N422" s="36"/>
    </row>
    <row r="423" spans="1:14" s="48" customFormat="1" ht="15.75" customHeight="1" x14ac:dyDescent="0.35">
      <c r="A423" s="113">
        <v>9</v>
      </c>
      <c r="B423" s="113" t="s">
        <v>190</v>
      </c>
      <c r="C423" s="50" t="s">
        <v>184</v>
      </c>
      <c r="D423" s="50">
        <f t="shared" si="52"/>
        <v>401.17428000000001</v>
      </c>
      <c r="E423" s="50">
        <v>0</v>
      </c>
      <c r="F423" s="50">
        <f t="shared" si="53"/>
        <v>561.64399200000003</v>
      </c>
      <c r="G423" s="113"/>
      <c r="H423" s="113"/>
      <c r="I423" s="36"/>
      <c r="L423" s="72"/>
      <c r="M423" s="72"/>
      <c r="N423" s="36"/>
    </row>
    <row r="424" spans="1:14" s="48" customFormat="1" ht="15.75" customHeight="1" x14ac:dyDescent="0.35">
      <c r="A424" s="113">
        <v>10</v>
      </c>
      <c r="B424" s="113" t="s">
        <v>190</v>
      </c>
      <c r="C424" s="50" t="s">
        <v>184</v>
      </c>
      <c r="D424" s="50">
        <f t="shared" si="52"/>
        <v>401.17428000000001</v>
      </c>
      <c r="E424" s="50">
        <v>0</v>
      </c>
      <c r="F424" s="50">
        <f t="shared" si="53"/>
        <v>561.64399200000003</v>
      </c>
      <c r="G424" s="113"/>
      <c r="H424" s="113"/>
      <c r="I424" s="36"/>
      <c r="L424" s="72"/>
      <c r="M424" s="72"/>
      <c r="N424" s="36"/>
    </row>
    <row r="425" spans="1:14" s="48" customFormat="1" ht="15.75" customHeight="1" x14ac:dyDescent="0.35">
      <c r="A425" s="113">
        <v>11</v>
      </c>
      <c r="B425" s="113" t="s">
        <v>190</v>
      </c>
      <c r="C425" s="50" t="s">
        <v>184</v>
      </c>
      <c r="D425" s="50">
        <f t="shared" si="52"/>
        <v>401.17428000000001</v>
      </c>
      <c r="E425" s="50">
        <v>0</v>
      </c>
      <c r="F425" s="50">
        <f t="shared" si="53"/>
        <v>561.64399200000003</v>
      </c>
      <c r="G425" s="113"/>
      <c r="H425" s="113"/>
      <c r="I425" s="36"/>
      <c r="L425" s="72"/>
      <c r="M425" s="72"/>
      <c r="N425" s="36"/>
    </row>
    <row r="426" spans="1:14" s="48" customFormat="1" ht="15.75" customHeight="1" x14ac:dyDescent="0.35">
      <c r="A426" s="113">
        <v>12</v>
      </c>
      <c r="B426" s="113" t="s">
        <v>190</v>
      </c>
      <c r="C426" s="50" t="s">
        <v>184</v>
      </c>
      <c r="D426" s="50">
        <f t="shared" si="52"/>
        <v>401.17428000000001</v>
      </c>
      <c r="E426" s="50">
        <v>0</v>
      </c>
      <c r="F426" s="50">
        <f t="shared" si="53"/>
        <v>561.64399200000003</v>
      </c>
      <c r="G426" s="113"/>
      <c r="H426" s="113"/>
      <c r="I426" s="36"/>
      <c r="L426" s="72"/>
      <c r="M426" s="72"/>
      <c r="N426" s="36"/>
    </row>
    <row r="427" spans="1:14" s="41" customFormat="1" x14ac:dyDescent="0.35">
      <c r="A427" s="116" t="s">
        <v>180</v>
      </c>
      <c r="B427" s="116"/>
      <c r="C427" s="116"/>
      <c r="D427" s="116"/>
      <c r="E427" s="116"/>
      <c r="F427" s="116"/>
      <c r="G427" s="116"/>
      <c r="H427" s="116"/>
    </row>
    <row r="428" spans="1:14" s="48" customFormat="1" x14ac:dyDescent="0.35">
      <c r="A428" s="128" t="s">
        <v>246</v>
      </c>
      <c r="B428" s="128"/>
      <c r="C428" s="128"/>
      <c r="D428" s="128"/>
      <c r="E428" s="128"/>
      <c r="F428" s="128"/>
      <c r="G428" s="128"/>
      <c r="H428" s="128"/>
      <c r="J428" s="36"/>
    </row>
    <row r="429" spans="1:14" s="48" customFormat="1" x14ac:dyDescent="0.35">
      <c r="A429" s="128" t="s">
        <v>178</v>
      </c>
      <c r="B429" s="128"/>
      <c r="C429" s="128"/>
      <c r="D429" s="128"/>
      <c r="E429" s="128"/>
      <c r="F429" s="128"/>
      <c r="G429" s="128"/>
      <c r="H429" s="128"/>
      <c r="J429" s="36"/>
    </row>
    <row r="430" spans="1:14" s="48" customFormat="1" ht="15.75" customHeight="1" x14ac:dyDescent="0.35">
      <c r="A430" s="73">
        <v>1</v>
      </c>
      <c r="B430" s="74" t="s">
        <v>190</v>
      </c>
      <c r="C430" s="50" t="s">
        <v>184</v>
      </c>
      <c r="D430" s="50">
        <f t="shared" ref="D430:D437" si="54">(29.35+2.75+2.14+2.9)*10.764</f>
        <v>399.77495999999996</v>
      </c>
      <c r="E430" s="50">
        <v>0</v>
      </c>
      <c r="F430" s="50">
        <f t="shared" ref="F430:F455" si="55">D430*(($F$288)+1)+(IF(E430&lt;101,E430,IF(E430&lt;201,E430/2,IF(E430&lt;=301,E430/3,E430/4))))</f>
        <v>559.68494399999986</v>
      </c>
      <c r="G430" s="78" t="str">
        <f>A429</f>
        <v>1st Floor for Residential</v>
      </c>
      <c r="H430" s="79"/>
      <c r="I430" s="36"/>
      <c r="L430" s="72"/>
      <c r="M430" s="72"/>
      <c r="N430" s="36"/>
    </row>
    <row r="431" spans="1:14" s="48" customFormat="1" ht="15.75" customHeight="1" x14ac:dyDescent="0.35">
      <c r="A431" s="73">
        <v>2</v>
      </c>
      <c r="B431" s="74" t="s">
        <v>190</v>
      </c>
      <c r="C431" s="50" t="s">
        <v>184</v>
      </c>
      <c r="D431" s="50">
        <f t="shared" si="54"/>
        <v>399.77495999999996</v>
      </c>
      <c r="E431" s="50">
        <v>0</v>
      </c>
      <c r="F431" s="50">
        <f t="shared" si="55"/>
        <v>559.68494399999986</v>
      </c>
      <c r="G431" s="80"/>
      <c r="H431" s="81"/>
      <c r="I431" s="36"/>
      <c r="L431" s="72"/>
      <c r="M431" s="72"/>
      <c r="N431" s="36"/>
    </row>
    <row r="432" spans="1:14" s="48" customFormat="1" ht="15.75" customHeight="1" x14ac:dyDescent="0.35">
      <c r="A432" s="73">
        <v>3</v>
      </c>
      <c r="B432" s="74" t="s">
        <v>190</v>
      </c>
      <c r="C432" s="50" t="s">
        <v>184</v>
      </c>
      <c r="D432" s="50">
        <f t="shared" si="54"/>
        <v>399.77495999999996</v>
      </c>
      <c r="E432" s="50">
        <v>0</v>
      </c>
      <c r="F432" s="50">
        <f t="shared" si="55"/>
        <v>559.68494399999986</v>
      </c>
      <c r="G432" s="80"/>
      <c r="H432" s="81"/>
      <c r="I432" s="36"/>
      <c r="L432" s="72"/>
      <c r="M432" s="72"/>
      <c r="N432" s="36"/>
    </row>
    <row r="433" spans="1:14" s="48" customFormat="1" ht="15.75" customHeight="1" x14ac:dyDescent="0.35">
      <c r="A433" s="73">
        <v>4</v>
      </c>
      <c r="B433" s="74" t="s">
        <v>190</v>
      </c>
      <c r="C433" s="50" t="s">
        <v>184</v>
      </c>
      <c r="D433" s="50">
        <f t="shared" si="54"/>
        <v>399.77495999999996</v>
      </c>
      <c r="E433" s="50">
        <v>0</v>
      </c>
      <c r="F433" s="50">
        <f t="shared" si="55"/>
        <v>559.68494399999986</v>
      </c>
      <c r="G433" s="80"/>
      <c r="H433" s="81"/>
      <c r="I433" s="36"/>
      <c r="L433" s="72"/>
      <c r="M433" s="72"/>
      <c r="N433" s="36"/>
    </row>
    <row r="434" spans="1:14" s="48" customFormat="1" ht="15.75" customHeight="1" x14ac:dyDescent="0.35">
      <c r="A434" s="73">
        <v>5</v>
      </c>
      <c r="B434" s="74" t="s">
        <v>190</v>
      </c>
      <c r="C434" s="50" t="s">
        <v>184</v>
      </c>
      <c r="D434" s="50">
        <f t="shared" si="54"/>
        <v>399.77495999999996</v>
      </c>
      <c r="E434" s="50">
        <v>0</v>
      </c>
      <c r="F434" s="50">
        <f t="shared" si="55"/>
        <v>559.68494399999986</v>
      </c>
      <c r="G434" s="80"/>
      <c r="H434" s="81"/>
      <c r="I434" s="36"/>
      <c r="L434" s="72"/>
      <c r="M434" s="72"/>
      <c r="N434" s="36"/>
    </row>
    <row r="435" spans="1:14" s="48" customFormat="1" ht="15.75" customHeight="1" x14ac:dyDescent="0.35">
      <c r="A435" s="73">
        <v>6</v>
      </c>
      <c r="B435" s="74" t="s">
        <v>190</v>
      </c>
      <c r="C435" s="50" t="s">
        <v>184</v>
      </c>
      <c r="D435" s="50">
        <f t="shared" si="54"/>
        <v>399.77495999999996</v>
      </c>
      <c r="E435" s="50">
        <v>0</v>
      </c>
      <c r="F435" s="50">
        <f t="shared" si="55"/>
        <v>559.68494399999986</v>
      </c>
      <c r="G435" s="80"/>
      <c r="H435" s="81"/>
      <c r="I435" s="36"/>
      <c r="L435" s="72"/>
      <c r="M435" s="72"/>
      <c r="N435" s="36"/>
    </row>
    <row r="436" spans="1:14" s="48" customFormat="1" ht="15.75" customHeight="1" x14ac:dyDescent="0.35">
      <c r="A436" s="73">
        <v>7</v>
      </c>
      <c r="B436" s="74" t="s">
        <v>190</v>
      </c>
      <c r="C436" s="50" t="s">
        <v>184</v>
      </c>
      <c r="D436" s="50">
        <f t="shared" si="54"/>
        <v>399.77495999999996</v>
      </c>
      <c r="E436" s="50">
        <v>0</v>
      </c>
      <c r="F436" s="50">
        <f t="shared" si="55"/>
        <v>559.68494399999986</v>
      </c>
      <c r="G436" s="80"/>
      <c r="H436" s="81"/>
      <c r="I436" s="36"/>
      <c r="L436" s="72"/>
      <c r="M436" s="72"/>
      <c r="N436" s="36"/>
    </row>
    <row r="437" spans="1:14" s="48" customFormat="1" ht="15.75" customHeight="1" x14ac:dyDescent="0.35">
      <c r="A437" s="73">
        <v>8</v>
      </c>
      <c r="B437" s="74" t="s">
        <v>190</v>
      </c>
      <c r="C437" s="50" t="s">
        <v>184</v>
      </c>
      <c r="D437" s="50">
        <f t="shared" si="54"/>
        <v>399.77495999999996</v>
      </c>
      <c r="E437" s="50">
        <v>0</v>
      </c>
      <c r="F437" s="50">
        <f t="shared" si="55"/>
        <v>559.68494399999986</v>
      </c>
      <c r="G437" s="82"/>
      <c r="H437" s="83"/>
      <c r="I437" s="36"/>
      <c r="L437" s="72"/>
      <c r="M437" s="72"/>
      <c r="N437" s="36"/>
    </row>
    <row r="438" spans="1:14" s="48" customFormat="1" x14ac:dyDescent="0.35">
      <c r="A438" s="129" t="s">
        <v>247</v>
      </c>
      <c r="B438" s="130"/>
      <c r="C438" s="130"/>
      <c r="D438" s="130"/>
      <c r="E438" s="130"/>
      <c r="F438" s="130"/>
      <c r="G438" s="130"/>
      <c r="H438" s="131"/>
      <c r="J438" s="36"/>
    </row>
    <row r="439" spans="1:14" s="48" customFormat="1" ht="15.75" customHeight="1" x14ac:dyDescent="0.35">
      <c r="A439" s="73">
        <v>1</v>
      </c>
      <c r="B439" s="74" t="s">
        <v>190</v>
      </c>
      <c r="C439" s="50" t="s">
        <v>184</v>
      </c>
      <c r="D439" s="50">
        <f t="shared" ref="D439:D446" si="56">(29.35+2.75+2.14+2.9)*10.764</f>
        <v>399.77495999999996</v>
      </c>
      <c r="E439" s="50">
        <v>0</v>
      </c>
      <c r="F439" s="50">
        <f t="shared" ref="F439:F446" si="57">D439*(($F$288)+1)+(IF(E439&lt;101,E439,IF(E439&lt;201,E439/2,IF(E439&lt;=301,E439/3,E439/4))))</f>
        <v>559.68494399999986</v>
      </c>
      <c r="G439" s="78" t="str">
        <f>A438</f>
        <v>2nd to 7th &amp; 9th to 10th Floor for Residential</v>
      </c>
      <c r="H439" s="79"/>
      <c r="I439" s="36"/>
      <c r="L439" s="72"/>
      <c r="M439" s="72"/>
      <c r="N439" s="36"/>
    </row>
    <row r="440" spans="1:14" s="48" customFormat="1" ht="15.75" customHeight="1" x14ac:dyDescent="0.35">
      <c r="A440" s="73">
        <v>2</v>
      </c>
      <c r="B440" s="74" t="s">
        <v>190</v>
      </c>
      <c r="C440" s="50" t="s">
        <v>184</v>
      </c>
      <c r="D440" s="50">
        <f t="shared" si="56"/>
        <v>399.77495999999996</v>
      </c>
      <c r="E440" s="50">
        <v>0</v>
      </c>
      <c r="F440" s="50">
        <f t="shared" si="57"/>
        <v>559.68494399999986</v>
      </c>
      <c r="G440" s="80"/>
      <c r="H440" s="81"/>
      <c r="I440" s="36"/>
      <c r="L440" s="72"/>
      <c r="M440" s="72"/>
      <c r="N440" s="36"/>
    </row>
    <row r="441" spans="1:14" s="48" customFormat="1" ht="15.75" customHeight="1" x14ac:dyDescent="0.35">
      <c r="A441" s="73">
        <v>3</v>
      </c>
      <c r="B441" s="74" t="s">
        <v>190</v>
      </c>
      <c r="C441" s="50" t="s">
        <v>184</v>
      </c>
      <c r="D441" s="50">
        <f t="shared" si="56"/>
        <v>399.77495999999996</v>
      </c>
      <c r="E441" s="50">
        <v>0</v>
      </c>
      <c r="F441" s="50">
        <f t="shared" si="57"/>
        <v>559.68494399999986</v>
      </c>
      <c r="G441" s="80"/>
      <c r="H441" s="81"/>
      <c r="I441" s="36"/>
      <c r="L441" s="72"/>
      <c r="M441" s="72"/>
      <c r="N441" s="36"/>
    </row>
    <row r="442" spans="1:14" s="48" customFormat="1" ht="15.75" customHeight="1" x14ac:dyDescent="0.35">
      <c r="A442" s="73">
        <v>4</v>
      </c>
      <c r="B442" s="74" t="s">
        <v>190</v>
      </c>
      <c r="C442" s="50" t="s">
        <v>184</v>
      </c>
      <c r="D442" s="50">
        <f t="shared" si="56"/>
        <v>399.77495999999996</v>
      </c>
      <c r="E442" s="50">
        <v>0</v>
      </c>
      <c r="F442" s="50">
        <f t="shared" si="57"/>
        <v>559.68494399999986</v>
      </c>
      <c r="G442" s="80"/>
      <c r="H442" s="81"/>
      <c r="I442" s="36"/>
      <c r="L442" s="72"/>
      <c r="M442" s="72"/>
      <c r="N442" s="36"/>
    </row>
    <row r="443" spans="1:14" s="48" customFormat="1" ht="15.75" customHeight="1" x14ac:dyDescent="0.35">
      <c r="A443" s="73">
        <v>5</v>
      </c>
      <c r="B443" s="74" t="s">
        <v>190</v>
      </c>
      <c r="C443" s="50" t="s">
        <v>184</v>
      </c>
      <c r="D443" s="50">
        <f t="shared" si="56"/>
        <v>399.77495999999996</v>
      </c>
      <c r="E443" s="50">
        <v>0</v>
      </c>
      <c r="F443" s="50">
        <f t="shared" si="57"/>
        <v>559.68494399999986</v>
      </c>
      <c r="G443" s="80"/>
      <c r="H443" s="81"/>
      <c r="I443" s="36"/>
      <c r="L443" s="72"/>
      <c r="M443" s="72"/>
      <c r="N443" s="36"/>
    </row>
    <row r="444" spans="1:14" s="48" customFormat="1" ht="15.75" customHeight="1" x14ac:dyDescent="0.35">
      <c r="A444" s="73">
        <v>6</v>
      </c>
      <c r="B444" s="74" t="s">
        <v>190</v>
      </c>
      <c r="C444" s="50" t="s">
        <v>184</v>
      </c>
      <c r="D444" s="50">
        <f t="shared" si="56"/>
        <v>399.77495999999996</v>
      </c>
      <c r="E444" s="50">
        <v>0</v>
      </c>
      <c r="F444" s="50">
        <f t="shared" si="57"/>
        <v>559.68494399999986</v>
      </c>
      <c r="G444" s="80"/>
      <c r="H444" s="81"/>
      <c r="I444" s="36"/>
      <c r="L444" s="72"/>
      <c r="M444" s="72"/>
      <c r="N444" s="36"/>
    </row>
    <row r="445" spans="1:14" s="48" customFormat="1" ht="15.75" customHeight="1" x14ac:dyDescent="0.35">
      <c r="A445" s="73">
        <v>7</v>
      </c>
      <c r="B445" s="74" t="s">
        <v>190</v>
      </c>
      <c r="C445" s="50" t="s">
        <v>184</v>
      </c>
      <c r="D445" s="50">
        <f t="shared" si="56"/>
        <v>399.77495999999996</v>
      </c>
      <c r="E445" s="50">
        <v>0</v>
      </c>
      <c r="F445" s="50">
        <f t="shared" si="57"/>
        <v>559.68494399999986</v>
      </c>
      <c r="G445" s="80"/>
      <c r="H445" s="81"/>
      <c r="I445" s="36"/>
      <c r="L445" s="72"/>
      <c r="M445" s="72"/>
      <c r="N445" s="36"/>
    </row>
    <row r="446" spans="1:14" s="48" customFormat="1" ht="15.75" customHeight="1" x14ac:dyDescent="0.35">
      <c r="A446" s="73">
        <v>8</v>
      </c>
      <c r="B446" s="74" t="s">
        <v>190</v>
      </c>
      <c r="C446" s="50" t="s">
        <v>184</v>
      </c>
      <c r="D446" s="50">
        <f t="shared" si="56"/>
        <v>399.77495999999996</v>
      </c>
      <c r="E446" s="50">
        <v>0</v>
      </c>
      <c r="F446" s="50">
        <f t="shared" si="57"/>
        <v>559.68494399999986</v>
      </c>
      <c r="G446" s="82"/>
      <c r="H446" s="83"/>
      <c r="I446" s="36"/>
      <c r="L446" s="72"/>
      <c r="M446" s="72"/>
      <c r="N446" s="36"/>
    </row>
    <row r="447" spans="1:14" s="48" customFormat="1" x14ac:dyDescent="0.35">
      <c r="A447" s="129" t="s">
        <v>181</v>
      </c>
      <c r="B447" s="130"/>
      <c r="C447" s="130"/>
      <c r="D447" s="130"/>
      <c r="E447" s="130"/>
      <c r="F447" s="130"/>
      <c r="G447" s="130"/>
      <c r="H447" s="131"/>
      <c r="J447" s="36"/>
    </row>
    <row r="448" spans="1:14" s="48" customFormat="1" ht="15.75" customHeight="1" x14ac:dyDescent="0.35">
      <c r="A448" s="73">
        <v>1</v>
      </c>
      <c r="B448" s="74" t="s">
        <v>190</v>
      </c>
      <c r="C448" s="50" t="s">
        <v>184</v>
      </c>
      <c r="D448" s="50">
        <f t="shared" ref="D448:D450" si="58">(29.35+2.75+2.14+2.9)*10.764</f>
        <v>399.77495999999996</v>
      </c>
      <c r="E448" s="50">
        <v>0</v>
      </c>
      <c r="F448" s="50">
        <f t="shared" si="55"/>
        <v>559.68494399999986</v>
      </c>
      <c r="G448" s="78" t="str">
        <f>A447</f>
        <v>8th Floor (Part Refuge Area)</v>
      </c>
      <c r="H448" s="79"/>
      <c r="I448" s="36"/>
      <c r="L448" s="72"/>
      <c r="M448" s="72"/>
      <c r="N448" s="36"/>
    </row>
    <row r="449" spans="1:14" s="48" customFormat="1" ht="15.75" customHeight="1" x14ac:dyDescent="0.35">
      <c r="A449" s="73">
        <v>2</v>
      </c>
      <c r="B449" s="74" t="s">
        <v>190</v>
      </c>
      <c r="C449" s="50" t="s">
        <v>184</v>
      </c>
      <c r="D449" s="50">
        <f t="shared" si="58"/>
        <v>399.77495999999996</v>
      </c>
      <c r="E449" s="50">
        <v>0</v>
      </c>
      <c r="F449" s="50">
        <f t="shared" si="55"/>
        <v>559.68494399999986</v>
      </c>
      <c r="G449" s="80"/>
      <c r="H449" s="81"/>
      <c r="I449" s="36"/>
      <c r="L449" s="72"/>
      <c r="M449" s="72"/>
      <c r="N449" s="36"/>
    </row>
    <row r="450" spans="1:14" s="48" customFormat="1" ht="15.75" customHeight="1" x14ac:dyDescent="0.35">
      <c r="A450" s="73">
        <v>3</v>
      </c>
      <c r="B450" s="74" t="s">
        <v>190</v>
      </c>
      <c r="C450" s="50" t="s">
        <v>184</v>
      </c>
      <c r="D450" s="50">
        <f t="shared" si="58"/>
        <v>399.77495999999996</v>
      </c>
      <c r="E450" s="50">
        <v>0</v>
      </c>
      <c r="F450" s="50">
        <f t="shared" si="55"/>
        <v>559.68494399999986</v>
      </c>
      <c r="G450" s="80"/>
      <c r="H450" s="81"/>
      <c r="I450" s="36"/>
      <c r="L450" s="72"/>
      <c r="M450" s="72"/>
      <c r="N450" s="36"/>
    </row>
    <row r="451" spans="1:14" s="48" customFormat="1" ht="15.75" customHeight="1" x14ac:dyDescent="0.35">
      <c r="A451" s="73">
        <v>4</v>
      </c>
      <c r="B451" s="74"/>
      <c r="C451" s="73" t="s">
        <v>182</v>
      </c>
      <c r="D451" s="127"/>
      <c r="E451" s="127"/>
      <c r="F451" s="74"/>
      <c r="G451" s="80"/>
      <c r="H451" s="81"/>
      <c r="I451" s="36"/>
      <c r="L451" s="72"/>
      <c r="M451" s="72"/>
      <c r="N451" s="36"/>
    </row>
    <row r="452" spans="1:14" s="48" customFormat="1" ht="15.75" customHeight="1" x14ac:dyDescent="0.35">
      <c r="A452" s="73">
        <v>5</v>
      </c>
      <c r="B452" s="74" t="s">
        <v>190</v>
      </c>
      <c r="C452" s="50" t="s">
        <v>184</v>
      </c>
      <c r="D452" s="50">
        <f t="shared" ref="D452:D455" si="59">(29.35+2.75+2.14+2.9)*10.764</f>
        <v>399.77495999999996</v>
      </c>
      <c r="E452" s="50">
        <v>0</v>
      </c>
      <c r="F452" s="50">
        <f t="shared" si="55"/>
        <v>559.68494399999986</v>
      </c>
      <c r="G452" s="80"/>
      <c r="H452" s="81"/>
      <c r="I452" s="36"/>
      <c r="L452" s="72"/>
      <c r="M452" s="72"/>
      <c r="N452" s="36"/>
    </row>
    <row r="453" spans="1:14" s="48" customFormat="1" ht="15.75" customHeight="1" x14ac:dyDescent="0.35">
      <c r="A453" s="73">
        <v>6</v>
      </c>
      <c r="B453" s="74" t="s">
        <v>190</v>
      </c>
      <c r="C453" s="50" t="s">
        <v>184</v>
      </c>
      <c r="D453" s="50">
        <f t="shared" si="59"/>
        <v>399.77495999999996</v>
      </c>
      <c r="E453" s="50">
        <v>0</v>
      </c>
      <c r="F453" s="50">
        <f t="shared" si="55"/>
        <v>559.68494399999986</v>
      </c>
      <c r="G453" s="80"/>
      <c r="H453" s="81"/>
      <c r="I453" s="36"/>
      <c r="L453" s="72"/>
      <c r="M453" s="72"/>
      <c r="N453" s="36"/>
    </row>
    <row r="454" spans="1:14" s="48" customFormat="1" ht="15.75" customHeight="1" x14ac:dyDescent="0.35">
      <c r="A454" s="73">
        <v>7</v>
      </c>
      <c r="B454" s="74" t="s">
        <v>190</v>
      </c>
      <c r="C454" s="50" t="s">
        <v>184</v>
      </c>
      <c r="D454" s="50">
        <f t="shared" si="59"/>
        <v>399.77495999999996</v>
      </c>
      <c r="E454" s="50">
        <v>0</v>
      </c>
      <c r="F454" s="50">
        <f t="shared" si="55"/>
        <v>559.68494399999986</v>
      </c>
      <c r="G454" s="80"/>
      <c r="H454" s="81"/>
      <c r="I454" s="36"/>
      <c r="L454" s="72"/>
      <c r="M454" s="72"/>
      <c r="N454" s="36"/>
    </row>
    <row r="455" spans="1:14" s="48" customFormat="1" ht="15.75" customHeight="1" x14ac:dyDescent="0.35">
      <c r="A455" s="73">
        <v>8</v>
      </c>
      <c r="B455" s="74" t="s">
        <v>190</v>
      </c>
      <c r="C455" s="50" t="s">
        <v>184</v>
      </c>
      <c r="D455" s="50">
        <f t="shared" si="59"/>
        <v>399.77495999999996</v>
      </c>
      <c r="E455" s="50">
        <v>0</v>
      </c>
      <c r="F455" s="50">
        <f t="shared" si="55"/>
        <v>559.68494399999986</v>
      </c>
      <c r="G455" s="82"/>
      <c r="H455" s="83"/>
      <c r="I455" s="36"/>
      <c r="L455" s="72"/>
      <c r="M455" s="72"/>
      <c r="N455" s="36"/>
    </row>
    <row r="456" spans="1:14" s="41" customFormat="1" x14ac:dyDescent="0.35">
      <c r="A456" s="116" t="s">
        <v>203</v>
      </c>
      <c r="B456" s="116"/>
      <c r="C456" s="116"/>
      <c r="D456" s="116"/>
      <c r="E456" s="116"/>
      <c r="F456" s="116"/>
      <c r="G456" s="116"/>
      <c r="H456" s="116"/>
    </row>
    <row r="457" spans="1:14" s="41" customFormat="1" x14ac:dyDescent="0.35">
      <c r="A457" s="116" t="s">
        <v>189</v>
      </c>
      <c r="B457" s="116"/>
      <c r="C457" s="116"/>
      <c r="D457" s="116"/>
      <c r="E457" s="116"/>
      <c r="F457" s="116"/>
      <c r="G457" s="116"/>
      <c r="H457" s="116"/>
    </row>
    <row r="458" spans="1:14" s="48" customFormat="1" x14ac:dyDescent="0.35">
      <c r="A458" s="129" t="s">
        <v>178</v>
      </c>
      <c r="B458" s="130"/>
      <c r="C458" s="130"/>
      <c r="D458" s="130"/>
      <c r="E458" s="130"/>
      <c r="F458" s="130"/>
      <c r="G458" s="130"/>
      <c r="H458" s="131"/>
      <c r="J458" s="36"/>
    </row>
    <row r="459" spans="1:14" s="48" customFormat="1" ht="15.75" customHeight="1" x14ac:dyDescent="0.35">
      <c r="A459" s="73">
        <v>1</v>
      </c>
      <c r="B459" s="74" t="s">
        <v>190</v>
      </c>
      <c r="C459" s="50" t="s">
        <v>184</v>
      </c>
      <c r="D459" s="50">
        <f>(29.48+2.75+2.14+2.9)*10.764</f>
        <v>401.17428000000001</v>
      </c>
      <c r="E459" s="50">
        <v>0</v>
      </c>
      <c r="F459" s="50">
        <f t="shared" ref="F459:F466" si="60">D459*(($F$288)+1)+(IF(E459&lt;101,E459,IF(E459&lt;201,E459/2,IF(E459&lt;=301,E459/3,E459/4))))</f>
        <v>561.64399200000003</v>
      </c>
      <c r="G459" s="78" t="str">
        <f>A458</f>
        <v>1st Floor for Residential</v>
      </c>
      <c r="H459" s="79"/>
      <c r="I459" s="36"/>
      <c r="L459" s="72"/>
      <c r="M459" s="72"/>
      <c r="N459" s="36"/>
    </row>
    <row r="460" spans="1:14" s="48" customFormat="1" ht="15.75" customHeight="1" x14ac:dyDescent="0.35">
      <c r="A460" s="73">
        <v>2</v>
      </c>
      <c r="B460" s="74" t="s">
        <v>190</v>
      </c>
      <c r="C460" s="50" t="s">
        <v>184</v>
      </c>
      <c r="D460" s="50">
        <f t="shared" ref="D460:D466" si="61">(29.48+2.75+2.14+2.9)*10.764</f>
        <v>401.17428000000001</v>
      </c>
      <c r="E460" s="50">
        <v>0</v>
      </c>
      <c r="F460" s="50">
        <f t="shared" si="60"/>
        <v>561.64399200000003</v>
      </c>
      <c r="G460" s="80"/>
      <c r="H460" s="81"/>
      <c r="I460" s="36"/>
      <c r="L460" s="72"/>
      <c r="M460" s="72"/>
      <c r="N460" s="36"/>
    </row>
    <row r="461" spans="1:14" s="48" customFormat="1" ht="15.75" customHeight="1" x14ac:dyDescent="0.35">
      <c r="A461" s="73">
        <v>3</v>
      </c>
      <c r="B461" s="74" t="s">
        <v>190</v>
      </c>
      <c r="C461" s="50" t="s">
        <v>184</v>
      </c>
      <c r="D461" s="50">
        <f t="shared" si="61"/>
        <v>401.17428000000001</v>
      </c>
      <c r="E461" s="50">
        <v>0</v>
      </c>
      <c r="F461" s="50">
        <f t="shared" si="60"/>
        <v>561.64399200000003</v>
      </c>
      <c r="G461" s="80"/>
      <c r="H461" s="81"/>
      <c r="I461" s="36"/>
      <c r="L461" s="72"/>
      <c r="M461" s="72"/>
      <c r="N461" s="36"/>
    </row>
    <row r="462" spans="1:14" s="48" customFormat="1" ht="15.75" customHeight="1" x14ac:dyDescent="0.35">
      <c r="A462" s="73">
        <v>4</v>
      </c>
      <c r="B462" s="74" t="s">
        <v>190</v>
      </c>
      <c r="C462" s="50" t="s">
        <v>184</v>
      </c>
      <c r="D462" s="50">
        <f t="shared" si="61"/>
        <v>401.17428000000001</v>
      </c>
      <c r="E462" s="50">
        <v>0</v>
      </c>
      <c r="F462" s="50">
        <f t="shared" si="60"/>
        <v>561.64399200000003</v>
      </c>
      <c r="G462" s="80"/>
      <c r="H462" s="81"/>
      <c r="I462" s="36"/>
      <c r="L462" s="72"/>
      <c r="M462" s="72"/>
      <c r="N462" s="36"/>
    </row>
    <row r="463" spans="1:14" s="48" customFormat="1" ht="15.75" customHeight="1" x14ac:dyDescent="0.35">
      <c r="A463" s="73">
        <v>5</v>
      </c>
      <c r="B463" s="74" t="s">
        <v>190</v>
      </c>
      <c r="C463" s="50" t="s">
        <v>184</v>
      </c>
      <c r="D463" s="50">
        <f t="shared" si="61"/>
        <v>401.17428000000001</v>
      </c>
      <c r="E463" s="50">
        <v>0</v>
      </c>
      <c r="F463" s="50">
        <f t="shared" si="60"/>
        <v>561.64399200000003</v>
      </c>
      <c r="G463" s="80"/>
      <c r="H463" s="81"/>
      <c r="I463" s="36"/>
      <c r="L463" s="72"/>
      <c r="M463" s="72"/>
      <c r="N463" s="36"/>
    </row>
    <row r="464" spans="1:14" s="48" customFormat="1" ht="15.75" customHeight="1" x14ac:dyDescent="0.35">
      <c r="A464" s="73">
        <v>6</v>
      </c>
      <c r="B464" s="74" t="s">
        <v>190</v>
      </c>
      <c r="C464" s="50" t="s">
        <v>184</v>
      </c>
      <c r="D464" s="50">
        <f t="shared" si="61"/>
        <v>401.17428000000001</v>
      </c>
      <c r="E464" s="50">
        <v>0</v>
      </c>
      <c r="F464" s="50">
        <f t="shared" si="60"/>
        <v>561.64399200000003</v>
      </c>
      <c r="G464" s="80"/>
      <c r="H464" s="81"/>
      <c r="I464" s="36"/>
      <c r="L464" s="72"/>
      <c r="M464" s="72"/>
      <c r="N464" s="36"/>
    </row>
    <row r="465" spans="1:14" s="48" customFormat="1" ht="15.75" customHeight="1" x14ac:dyDescent="0.35">
      <c r="A465" s="73">
        <v>7</v>
      </c>
      <c r="B465" s="74" t="s">
        <v>190</v>
      </c>
      <c r="C465" s="50" t="s">
        <v>184</v>
      </c>
      <c r="D465" s="50">
        <f t="shared" si="61"/>
        <v>401.17428000000001</v>
      </c>
      <c r="E465" s="50">
        <v>0</v>
      </c>
      <c r="F465" s="50">
        <f t="shared" si="60"/>
        <v>561.64399200000003</v>
      </c>
      <c r="G465" s="80"/>
      <c r="H465" s="81"/>
      <c r="I465" s="36"/>
      <c r="L465" s="72"/>
      <c r="M465" s="72"/>
      <c r="N465" s="36"/>
    </row>
    <row r="466" spans="1:14" s="48" customFormat="1" ht="15.75" customHeight="1" x14ac:dyDescent="0.35">
      <c r="A466" s="73">
        <v>8</v>
      </c>
      <c r="B466" s="74" t="s">
        <v>190</v>
      </c>
      <c r="C466" s="50" t="s">
        <v>184</v>
      </c>
      <c r="D466" s="50">
        <f t="shared" si="61"/>
        <v>401.17428000000001</v>
      </c>
      <c r="E466" s="50">
        <v>0</v>
      </c>
      <c r="F466" s="50">
        <f t="shared" si="60"/>
        <v>561.64399200000003</v>
      </c>
      <c r="G466" s="82"/>
      <c r="H466" s="83"/>
      <c r="I466" s="36"/>
      <c r="L466" s="72"/>
      <c r="M466" s="72"/>
      <c r="N466" s="36"/>
    </row>
    <row r="467" spans="1:14" s="48" customFormat="1" x14ac:dyDescent="0.35">
      <c r="A467" s="128" t="s">
        <v>254</v>
      </c>
      <c r="B467" s="128"/>
      <c r="C467" s="128"/>
      <c r="D467" s="128"/>
      <c r="E467" s="128"/>
      <c r="F467" s="128"/>
      <c r="G467" s="128"/>
      <c r="H467" s="128"/>
      <c r="J467" s="36"/>
    </row>
    <row r="468" spans="1:14" s="48" customFormat="1" ht="15.75" customHeight="1" x14ac:dyDescent="0.35">
      <c r="A468" s="113">
        <v>1</v>
      </c>
      <c r="B468" s="113" t="s">
        <v>190</v>
      </c>
      <c r="C468" s="50" t="s">
        <v>184</v>
      </c>
      <c r="D468" s="50">
        <f>(29.48+2.75+2.14+2.9)*10.764</f>
        <v>401.17428000000001</v>
      </c>
      <c r="E468" s="50">
        <v>0</v>
      </c>
      <c r="F468" s="50">
        <f t="shared" ref="F468:F475" si="62">D468*(($F$288)+1)+(IF(E468&lt;101,E468,IF(E468&lt;201,E468/2,IF(E468&lt;=301,E468/3,E468/4))))</f>
        <v>561.64399200000003</v>
      </c>
      <c r="G468" s="113" t="str">
        <f>A467</f>
        <v>2nd to 6th &amp; 8th to 11th Floor for Residential</v>
      </c>
      <c r="H468" s="113"/>
      <c r="I468" s="36"/>
      <c r="L468" s="72"/>
      <c r="M468" s="72"/>
      <c r="N468" s="36"/>
    </row>
    <row r="469" spans="1:14" s="48" customFormat="1" ht="15.75" customHeight="1" x14ac:dyDescent="0.35">
      <c r="A469" s="113">
        <v>2</v>
      </c>
      <c r="B469" s="113" t="s">
        <v>190</v>
      </c>
      <c r="C469" s="50" t="s">
        <v>184</v>
      </c>
      <c r="D469" s="50">
        <f t="shared" ref="D469:D484" si="63">(29.48+2.75+2.14+2.9)*10.764</f>
        <v>401.17428000000001</v>
      </c>
      <c r="E469" s="50">
        <v>0</v>
      </c>
      <c r="F469" s="50">
        <f t="shared" si="62"/>
        <v>561.64399200000003</v>
      </c>
      <c r="G469" s="113"/>
      <c r="H469" s="113"/>
      <c r="I469" s="36"/>
      <c r="L469" s="72"/>
      <c r="M469" s="72"/>
      <c r="N469" s="36"/>
    </row>
    <row r="470" spans="1:14" s="48" customFormat="1" ht="15.75" customHeight="1" x14ac:dyDescent="0.35">
      <c r="A470" s="113">
        <v>3</v>
      </c>
      <c r="B470" s="113" t="s">
        <v>190</v>
      </c>
      <c r="C470" s="50" t="s">
        <v>184</v>
      </c>
      <c r="D470" s="50">
        <f t="shared" si="63"/>
        <v>401.17428000000001</v>
      </c>
      <c r="E470" s="50">
        <v>0</v>
      </c>
      <c r="F470" s="50">
        <f t="shared" si="62"/>
        <v>561.64399200000003</v>
      </c>
      <c r="G470" s="113"/>
      <c r="H470" s="113"/>
      <c r="I470" s="36"/>
      <c r="L470" s="72"/>
      <c r="M470" s="72"/>
      <c r="N470" s="36"/>
    </row>
    <row r="471" spans="1:14" s="48" customFormat="1" ht="15.75" customHeight="1" x14ac:dyDescent="0.35">
      <c r="A471" s="113">
        <v>4</v>
      </c>
      <c r="B471" s="113" t="s">
        <v>190</v>
      </c>
      <c r="C471" s="50" t="s">
        <v>184</v>
      </c>
      <c r="D471" s="50">
        <f t="shared" si="63"/>
        <v>401.17428000000001</v>
      </c>
      <c r="E471" s="50">
        <v>0</v>
      </c>
      <c r="F471" s="50">
        <f t="shared" si="62"/>
        <v>561.64399200000003</v>
      </c>
      <c r="G471" s="113"/>
      <c r="H471" s="113"/>
      <c r="I471" s="36"/>
      <c r="L471" s="72"/>
      <c r="M471" s="72"/>
      <c r="N471" s="36"/>
    </row>
    <row r="472" spans="1:14" s="48" customFormat="1" ht="15.75" customHeight="1" x14ac:dyDescent="0.35">
      <c r="A472" s="113">
        <v>5</v>
      </c>
      <c r="B472" s="113" t="s">
        <v>190</v>
      </c>
      <c r="C472" s="50" t="s">
        <v>184</v>
      </c>
      <c r="D472" s="50">
        <f t="shared" si="63"/>
        <v>401.17428000000001</v>
      </c>
      <c r="E472" s="50">
        <v>0</v>
      </c>
      <c r="F472" s="50">
        <f t="shared" si="62"/>
        <v>561.64399200000003</v>
      </c>
      <c r="G472" s="113"/>
      <c r="H472" s="113"/>
      <c r="I472" s="36"/>
      <c r="L472" s="72"/>
      <c r="M472" s="72"/>
      <c r="N472" s="36"/>
    </row>
    <row r="473" spans="1:14" s="48" customFormat="1" ht="15.75" customHeight="1" x14ac:dyDescent="0.35">
      <c r="A473" s="113">
        <v>6</v>
      </c>
      <c r="B473" s="113" t="s">
        <v>190</v>
      </c>
      <c r="C473" s="50" t="s">
        <v>184</v>
      </c>
      <c r="D473" s="50">
        <f t="shared" si="63"/>
        <v>401.17428000000001</v>
      </c>
      <c r="E473" s="50">
        <v>0</v>
      </c>
      <c r="F473" s="50">
        <f t="shared" si="62"/>
        <v>561.64399200000003</v>
      </c>
      <c r="G473" s="113"/>
      <c r="H473" s="113"/>
      <c r="I473" s="36"/>
      <c r="L473" s="72"/>
      <c r="M473" s="72"/>
      <c r="N473" s="36"/>
    </row>
    <row r="474" spans="1:14" s="48" customFormat="1" ht="15.75" customHeight="1" x14ac:dyDescent="0.35">
      <c r="A474" s="113">
        <v>7</v>
      </c>
      <c r="B474" s="113" t="s">
        <v>190</v>
      </c>
      <c r="C474" s="50" t="s">
        <v>184</v>
      </c>
      <c r="D474" s="50">
        <f t="shared" si="63"/>
        <v>401.17428000000001</v>
      </c>
      <c r="E474" s="50">
        <v>0</v>
      </c>
      <c r="F474" s="50">
        <f t="shared" si="62"/>
        <v>561.64399200000003</v>
      </c>
      <c r="G474" s="113"/>
      <c r="H474" s="113"/>
      <c r="I474" s="36"/>
      <c r="L474" s="72"/>
      <c r="M474" s="72"/>
      <c r="N474" s="36"/>
    </row>
    <row r="475" spans="1:14" s="48" customFormat="1" ht="15.75" customHeight="1" x14ac:dyDescent="0.35">
      <c r="A475" s="113">
        <v>8</v>
      </c>
      <c r="B475" s="113" t="s">
        <v>190</v>
      </c>
      <c r="C475" s="50" t="s">
        <v>184</v>
      </c>
      <c r="D475" s="50">
        <f t="shared" si="63"/>
        <v>401.17428000000001</v>
      </c>
      <c r="E475" s="50">
        <v>0</v>
      </c>
      <c r="F475" s="50">
        <f t="shared" si="62"/>
        <v>561.64399200000003</v>
      </c>
      <c r="G475" s="113"/>
      <c r="H475" s="113"/>
      <c r="I475" s="36"/>
      <c r="L475" s="72"/>
      <c r="M475" s="72"/>
      <c r="N475" s="36"/>
    </row>
    <row r="476" spans="1:14" s="48" customFormat="1" x14ac:dyDescent="0.35">
      <c r="A476" s="128" t="s">
        <v>255</v>
      </c>
      <c r="B476" s="128"/>
      <c r="C476" s="128"/>
      <c r="D476" s="128"/>
      <c r="E476" s="128"/>
      <c r="F476" s="128"/>
      <c r="G476" s="128"/>
      <c r="H476" s="128"/>
      <c r="J476" s="36"/>
    </row>
    <row r="477" spans="1:14" s="48" customFormat="1" ht="15.75" customHeight="1" x14ac:dyDescent="0.35">
      <c r="A477" s="73">
        <v>1</v>
      </c>
      <c r="B477" s="74" t="s">
        <v>190</v>
      </c>
      <c r="C477" s="50" t="s">
        <v>184</v>
      </c>
      <c r="D477" s="50">
        <f t="shared" si="63"/>
        <v>401.17428000000001</v>
      </c>
      <c r="E477" s="50">
        <v>0</v>
      </c>
      <c r="F477" s="50">
        <f t="shared" ref="F477:F482" si="64">D477*(($F$288)+1)+(IF(E477&lt;101,E477,IF(E477&lt;201,E477/2,IF(E477&lt;=301,E477/3,E477/4))))</f>
        <v>561.64399200000003</v>
      </c>
      <c r="G477" s="78" t="str">
        <f>A476</f>
        <v>7th &amp; 12th Floor (Part Refuge Area)</v>
      </c>
      <c r="H477" s="79"/>
      <c r="I477" s="36"/>
      <c r="L477" s="72"/>
      <c r="M477" s="72"/>
      <c r="N477" s="36"/>
    </row>
    <row r="478" spans="1:14" s="48" customFormat="1" ht="15.75" customHeight="1" x14ac:dyDescent="0.35">
      <c r="A478" s="73">
        <v>2</v>
      </c>
      <c r="B478" s="74" t="s">
        <v>190</v>
      </c>
      <c r="C478" s="50" t="s">
        <v>184</v>
      </c>
      <c r="D478" s="50">
        <f t="shared" si="63"/>
        <v>401.17428000000001</v>
      </c>
      <c r="E478" s="50">
        <v>0</v>
      </c>
      <c r="F478" s="50">
        <f t="shared" si="64"/>
        <v>561.64399200000003</v>
      </c>
      <c r="G478" s="80"/>
      <c r="H478" s="81"/>
      <c r="I478" s="36"/>
      <c r="L478" s="72"/>
      <c r="M478" s="72"/>
      <c r="N478" s="36"/>
    </row>
    <row r="479" spans="1:14" s="48" customFormat="1" ht="15.75" customHeight="1" x14ac:dyDescent="0.35">
      <c r="A479" s="73">
        <v>3</v>
      </c>
      <c r="B479" s="74" t="s">
        <v>190</v>
      </c>
      <c r="C479" s="50" t="s">
        <v>184</v>
      </c>
      <c r="D479" s="50">
        <f t="shared" si="63"/>
        <v>401.17428000000001</v>
      </c>
      <c r="E479" s="50">
        <v>0</v>
      </c>
      <c r="F479" s="50">
        <f t="shared" si="64"/>
        <v>561.64399200000003</v>
      </c>
      <c r="G479" s="80"/>
      <c r="H479" s="81"/>
      <c r="I479" s="36"/>
      <c r="L479" s="72"/>
      <c r="M479" s="72"/>
      <c r="N479" s="36"/>
    </row>
    <row r="480" spans="1:14" s="48" customFormat="1" ht="15.75" customHeight="1" x14ac:dyDescent="0.35">
      <c r="A480" s="73">
        <v>4</v>
      </c>
      <c r="B480" s="74" t="s">
        <v>190</v>
      </c>
      <c r="C480" s="50" t="s">
        <v>184</v>
      </c>
      <c r="D480" s="50">
        <f t="shared" si="63"/>
        <v>401.17428000000001</v>
      </c>
      <c r="E480" s="50">
        <v>0</v>
      </c>
      <c r="F480" s="50">
        <f t="shared" si="64"/>
        <v>561.64399200000003</v>
      </c>
      <c r="G480" s="80"/>
      <c r="H480" s="81"/>
      <c r="I480" s="36"/>
      <c r="L480" s="72"/>
      <c r="M480" s="72"/>
      <c r="N480" s="36"/>
    </row>
    <row r="481" spans="1:14" s="48" customFormat="1" ht="15.75" customHeight="1" x14ac:dyDescent="0.35">
      <c r="A481" s="73">
        <v>5</v>
      </c>
      <c r="B481" s="74" t="s">
        <v>190</v>
      </c>
      <c r="C481" s="50" t="s">
        <v>184</v>
      </c>
      <c r="D481" s="50">
        <f t="shared" si="63"/>
        <v>401.17428000000001</v>
      </c>
      <c r="E481" s="50">
        <v>0</v>
      </c>
      <c r="F481" s="50">
        <f t="shared" si="64"/>
        <v>561.64399200000003</v>
      </c>
      <c r="G481" s="80"/>
      <c r="H481" s="81"/>
      <c r="I481" s="36"/>
      <c r="L481" s="72"/>
      <c r="M481" s="72"/>
      <c r="N481" s="36"/>
    </row>
    <row r="482" spans="1:14" s="48" customFormat="1" ht="15.75" customHeight="1" x14ac:dyDescent="0.35">
      <c r="A482" s="73">
        <v>6</v>
      </c>
      <c r="B482" s="74" t="s">
        <v>190</v>
      </c>
      <c r="C482" s="50" t="s">
        <v>184</v>
      </c>
      <c r="D482" s="50">
        <f t="shared" si="63"/>
        <v>401.17428000000001</v>
      </c>
      <c r="E482" s="50">
        <v>0</v>
      </c>
      <c r="F482" s="50">
        <f t="shared" si="64"/>
        <v>561.64399200000003</v>
      </c>
      <c r="G482" s="80"/>
      <c r="H482" s="81"/>
      <c r="I482" s="36"/>
      <c r="L482" s="72"/>
      <c r="M482" s="72"/>
      <c r="N482" s="36"/>
    </row>
    <row r="483" spans="1:14" s="48" customFormat="1" ht="15.75" customHeight="1" x14ac:dyDescent="0.35">
      <c r="A483" s="73">
        <v>7</v>
      </c>
      <c r="B483" s="74"/>
      <c r="C483" s="73" t="s">
        <v>253</v>
      </c>
      <c r="D483" s="127"/>
      <c r="E483" s="127"/>
      <c r="F483" s="74"/>
      <c r="G483" s="80"/>
      <c r="H483" s="81"/>
      <c r="I483" s="36"/>
      <c r="L483" s="72"/>
      <c r="M483" s="72"/>
      <c r="N483" s="36"/>
    </row>
    <row r="484" spans="1:14" s="48" customFormat="1" ht="15.75" customHeight="1" x14ac:dyDescent="0.35">
      <c r="A484" s="73">
        <v>8</v>
      </c>
      <c r="B484" s="74" t="s">
        <v>190</v>
      </c>
      <c r="C484" s="50" t="s">
        <v>184</v>
      </c>
      <c r="D484" s="50">
        <f t="shared" si="63"/>
        <v>401.17428000000001</v>
      </c>
      <c r="E484" s="50">
        <v>0</v>
      </c>
      <c r="F484" s="50">
        <f t="shared" ref="F484" si="65">D484*(($F$288)+1)+(IF(E484&lt;101,E484,IF(E484&lt;201,E484/2,IF(E484&lt;=301,E484/3,E484/4))))</f>
        <v>561.64399200000003</v>
      </c>
      <c r="G484" s="82"/>
      <c r="H484" s="83"/>
      <c r="I484" s="36"/>
      <c r="L484" s="72"/>
      <c r="M484" s="72"/>
      <c r="N484" s="36"/>
    </row>
    <row r="485" spans="1:14" s="41" customFormat="1" x14ac:dyDescent="0.35">
      <c r="A485" s="116" t="s">
        <v>180</v>
      </c>
      <c r="B485" s="116"/>
      <c r="C485" s="116"/>
      <c r="D485" s="116"/>
      <c r="E485" s="116"/>
      <c r="F485" s="116"/>
      <c r="G485" s="116"/>
      <c r="H485" s="116"/>
    </row>
    <row r="486" spans="1:14" s="48" customFormat="1" x14ac:dyDescent="0.35">
      <c r="A486" s="129" t="s">
        <v>178</v>
      </c>
      <c r="B486" s="130"/>
      <c r="C486" s="130"/>
      <c r="D486" s="130"/>
      <c r="E486" s="130"/>
      <c r="F486" s="130"/>
      <c r="G486" s="130"/>
      <c r="H486" s="131"/>
      <c r="J486" s="36"/>
    </row>
    <row r="487" spans="1:14" s="48" customFormat="1" ht="15.75" customHeight="1" x14ac:dyDescent="0.35">
      <c r="A487" s="73">
        <v>1</v>
      </c>
      <c r="B487" s="74" t="s">
        <v>190</v>
      </c>
      <c r="C487" s="50" t="s">
        <v>184</v>
      </c>
      <c r="D487" s="50">
        <f t="shared" ref="D487:D512" si="66">(29.48+2.75+2.14+2.9)*10.764</f>
        <v>401.17428000000001</v>
      </c>
      <c r="E487" s="50">
        <v>0</v>
      </c>
      <c r="F487" s="50">
        <f t="shared" ref="F487:F494" si="67">D487*(($F$288)+1)+(IF(E487&lt;101,E487,IF(E487&lt;201,E487/2,IF(E487&lt;=301,E487/3,E487/4))))</f>
        <v>561.64399200000003</v>
      </c>
      <c r="G487" s="78" t="str">
        <f>A486</f>
        <v>1st Floor for Residential</v>
      </c>
      <c r="H487" s="79"/>
      <c r="I487" s="36"/>
      <c r="L487" s="72"/>
      <c r="M487" s="72"/>
      <c r="N487" s="36"/>
    </row>
    <row r="488" spans="1:14" s="48" customFormat="1" ht="15.75" customHeight="1" x14ac:dyDescent="0.35">
      <c r="A488" s="73">
        <v>2</v>
      </c>
      <c r="B488" s="74" t="s">
        <v>190</v>
      </c>
      <c r="C488" s="50" t="s">
        <v>184</v>
      </c>
      <c r="D488" s="50">
        <f t="shared" si="66"/>
        <v>401.17428000000001</v>
      </c>
      <c r="E488" s="50">
        <v>0</v>
      </c>
      <c r="F488" s="50">
        <f t="shared" si="67"/>
        <v>561.64399200000003</v>
      </c>
      <c r="G488" s="80"/>
      <c r="H488" s="81"/>
      <c r="I488" s="36"/>
      <c r="L488" s="72"/>
      <c r="M488" s="72"/>
      <c r="N488" s="36"/>
    </row>
    <row r="489" spans="1:14" s="48" customFormat="1" ht="15.75" customHeight="1" x14ac:dyDescent="0.35">
      <c r="A489" s="73">
        <v>3</v>
      </c>
      <c r="B489" s="74" t="s">
        <v>190</v>
      </c>
      <c r="C489" s="50" t="s">
        <v>184</v>
      </c>
      <c r="D489" s="50">
        <f t="shared" si="66"/>
        <v>401.17428000000001</v>
      </c>
      <c r="E489" s="50">
        <v>0</v>
      </c>
      <c r="F489" s="50">
        <f t="shared" si="67"/>
        <v>561.64399200000003</v>
      </c>
      <c r="G489" s="80"/>
      <c r="H489" s="81"/>
      <c r="I489" s="36"/>
      <c r="L489" s="72"/>
      <c r="M489" s="72"/>
      <c r="N489" s="36"/>
    </row>
    <row r="490" spans="1:14" s="48" customFormat="1" ht="15.75" customHeight="1" x14ac:dyDescent="0.35">
      <c r="A490" s="73">
        <v>4</v>
      </c>
      <c r="B490" s="74" t="s">
        <v>190</v>
      </c>
      <c r="C490" s="50" t="s">
        <v>184</v>
      </c>
      <c r="D490" s="50">
        <f t="shared" si="66"/>
        <v>401.17428000000001</v>
      </c>
      <c r="E490" s="50">
        <v>0</v>
      </c>
      <c r="F490" s="50">
        <f t="shared" si="67"/>
        <v>561.64399200000003</v>
      </c>
      <c r="G490" s="80"/>
      <c r="H490" s="81"/>
      <c r="I490" s="36"/>
      <c r="L490" s="72"/>
      <c r="M490" s="72"/>
      <c r="N490" s="36"/>
    </row>
    <row r="491" spans="1:14" s="48" customFormat="1" ht="15.75" customHeight="1" x14ac:dyDescent="0.35">
      <c r="A491" s="73">
        <v>5</v>
      </c>
      <c r="B491" s="74" t="s">
        <v>190</v>
      </c>
      <c r="C491" s="50" t="s">
        <v>184</v>
      </c>
      <c r="D491" s="50">
        <f t="shared" si="66"/>
        <v>401.17428000000001</v>
      </c>
      <c r="E491" s="50">
        <v>0</v>
      </c>
      <c r="F491" s="50">
        <f t="shared" si="67"/>
        <v>561.64399200000003</v>
      </c>
      <c r="G491" s="80"/>
      <c r="H491" s="81"/>
      <c r="I491" s="36"/>
      <c r="L491" s="72"/>
      <c r="M491" s="72"/>
      <c r="N491" s="36"/>
    </row>
    <row r="492" spans="1:14" s="48" customFormat="1" ht="15.75" customHeight="1" x14ac:dyDescent="0.35">
      <c r="A492" s="73">
        <v>6</v>
      </c>
      <c r="B492" s="74" t="s">
        <v>190</v>
      </c>
      <c r="C492" s="50" t="s">
        <v>184</v>
      </c>
      <c r="D492" s="50">
        <f t="shared" si="66"/>
        <v>401.17428000000001</v>
      </c>
      <c r="E492" s="50">
        <v>0</v>
      </c>
      <c r="F492" s="50">
        <f t="shared" si="67"/>
        <v>561.64399200000003</v>
      </c>
      <c r="G492" s="80"/>
      <c r="H492" s="81"/>
      <c r="I492" s="36"/>
      <c r="L492" s="72"/>
      <c r="M492" s="72"/>
      <c r="N492" s="36"/>
    </row>
    <row r="493" spans="1:14" s="48" customFormat="1" ht="15.75" customHeight="1" x14ac:dyDescent="0.35">
      <c r="A493" s="73">
        <v>7</v>
      </c>
      <c r="B493" s="74" t="s">
        <v>190</v>
      </c>
      <c r="C493" s="50" t="s">
        <v>184</v>
      </c>
      <c r="D493" s="50">
        <f t="shared" si="66"/>
        <v>401.17428000000001</v>
      </c>
      <c r="E493" s="50">
        <v>0</v>
      </c>
      <c r="F493" s="50">
        <f t="shared" si="67"/>
        <v>561.64399200000003</v>
      </c>
      <c r="G493" s="80"/>
      <c r="H493" s="81"/>
      <c r="I493" s="36"/>
      <c r="L493" s="72"/>
      <c r="M493" s="72"/>
      <c r="N493" s="36"/>
    </row>
    <row r="494" spans="1:14" s="48" customFormat="1" ht="15.75" customHeight="1" x14ac:dyDescent="0.35">
      <c r="A494" s="73">
        <v>8</v>
      </c>
      <c r="B494" s="74" t="s">
        <v>190</v>
      </c>
      <c r="C494" s="50" t="s">
        <v>184</v>
      </c>
      <c r="D494" s="50">
        <f t="shared" si="66"/>
        <v>401.17428000000001</v>
      </c>
      <c r="E494" s="50">
        <v>0</v>
      </c>
      <c r="F494" s="50">
        <f t="shared" si="67"/>
        <v>561.64399200000003</v>
      </c>
      <c r="G494" s="82"/>
      <c r="H494" s="83"/>
      <c r="I494" s="36"/>
      <c r="L494" s="72"/>
      <c r="M494" s="72"/>
      <c r="N494" s="36"/>
    </row>
    <row r="495" spans="1:14" s="48" customFormat="1" x14ac:dyDescent="0.35">
      <c r="A495" s="129" t="s">
        <v>254</v>
      </c>
      <c r="B495" s="130"/>
      <c r="C495" s="130"/>
      <c r="D495" s="130"/>
      <c r="E495" s="130"/>
      <c r="F495" s="130"/>
      <c r="G495" s="130"/>
      <c r="H495" s="131"/>
      <c r="J495" s="36"/>
    </row>
    <row r="496" spans="1:14" s="48" customFormat="1" ht="15.75" customHeight="1" x14ac:dyDescent="0.35">
      <c r="A496" s="73">
        <v>1</v>
      </c>
      <c r="B496" s="74" t="s">
        <v>190</v>
      </c>
      <c r="C496" s="50" t="s">
        <v>184</v>
      </c>
      <c r="D496" s="50">
        <f t="shared" si="66"/>
        <v>401.17428000000001</v>
      </c>
      <c r="E496" s="50">
        <v>0</v>
      </c>
      <c r="F496" s="50">
        <f t="shared" ref="F496:F503" si="68">D496*(($F$288)+1)+(IF(E496&lt;101,E496,IF(E496&lt;201,E496/2,IF(E496&lt;=301,E496/3,E496/4))))</f>
        <v>561.64399200000003</v>
      </c>
      <c r="G496" s="78" t="str">
        <f>A495</f>
        <v>2nd to 6th &amp; 8th to 11th Floor for Residential</v>
      </c>
      <c r="H496" s="79"/>
      <c r="I496" s="36"/>
      <c r="L496" s="72"/>
      <c r="M496" s="72"/>
      <c r="N496" s="36"/>
    </row>
    <row r="497" spans="1:14" s="48" customFormat="1" ht="15.75" customHeight="1" x14ac:dyDescent="0.35">
      <c r="A497" s="73">
        <v>2</v>
      </c>
      <c r="B497" s="74" t="s">
        <v>190</v>
      </c>
      <c r="C497" s="50" t="s">
        <v>184</v>
      </c>
      <c r="D497" s="50">
        <f t="shared" si="66"/>
        <v>401.17428000000001</v>
      </c>
      <c r="E497" s="50">
        <v>0</v>
      </c>
      <c r="F497" s="50">
        <f t="shared" si="68"/>
        <v>561.64399200000003</v>
      </c>
      <c r="G497" s="80"/>
      <c r="H497" s="81"/>
      <c r="I497" s="36"/>
      <c r="L497" s="72"/>
      <c r="M497" s="72"/>
      <c r="N497" s="36"/>
    </row>
    <row r="498" spans="1:14" s="48" customFormat="1" ht="15.75" customHeight="1" x14ac:dyDescent="0.35">
      <c r="A498" s="73">
        <v>3</v>
      </c>
      <c r="B498" s="74" t="s">
        <v>190</v>
      </c>
      <c r="C498" s="50" t="s">
        <v>184</v>
      </c>
      <c r="D498" s="50">
        <f t="shared" si="66"/>
        <v>401.17428000000001</v>
      </c>
      <c r="E498" s="50">
        <v>0</v>
      </c>
      <c r="F498" s="50">
        <f t="shared" si="68"/>
        <v>561.64399200000003</v>
      </c>
      <c r="G498" s="80"/>
      <c r="H498" s="81"/>
      <c r="I498" s="36"/>
      <c r="L498" s="72"/>
      <c r="M498" s="72"/>
      <c r="N498" s="36"/>
    </row>
    <row r="499" spans="1:14" s="48" customFormat="1" ht="15.75" customHeight="1" x14ac:dyDescent="0.35">
      <c r="A499" s="73">
        <v>4</v>
      </c>
      <c r="B499" s="74" t="s">
        <v>190</v>
      </c>
      <c r="C499" s="50" t="s">
        <v>184</v>
      </c>
      <c r="D499" s="50">
        <f t="shared" si="66"/>
        <v>401.17428000000001</v>
      </c>
      <c r="E499" s="50">
        <v>0</v>
      </c>
      <c r="F499" s="50">
        <f t="shared" si="68"/>
        <v>561.64399200000003</v>
      </c>
      <c r="G499" s="80"/>
      <c r="H499" s="81"/>
      <c r="I499" s="36"/>
      <c r="L499" s="72"/>
      <c r="M499" s="72"/>
      <c r="N499" s="36"/>
    </row>
    <row r="500" spans="1:14" s="48" customFormat="1" ht="15.75" customHeight="1" x14ac:dyDescent="0.35">
      <c r="A500" s="73">
        <v>5</v>
      </c>
      <c r="B500" s="74" t="s">
        <v>190</v>
      </c>
      <c r="C500" s="50" t="s">
        <v>184</v>
      </c>
      <c r="D500" s="50">
        <f t="shared" si="66"/>
        <v>401.17428000000001</v>
      </c>
      <c r="E500" s="50">
        <v>0</v>
      </c>
      <c r="F500" s="50">
        <f t="shared" si="68"/>
        <v>561.64399200000003</v>
      </c>
      <c r="G500" s="80"/>
      <c r="H500" s="81"/>
      <c r="I500" s="36"/>
      <c r="L500" s="72"/>
      <c r="M500" s="72"/>
      <c r="N500" s="36"/>
    </row>
    <row r="501" spans="1:14" s="48" customFormat="1" ht="15.75" customHeight="1" x14ac:dyDescent="0.35">
      <c r="A501" s="73">
        <v>6</v>
      </c>
      <c r="B501" s="74" t="s">
        <v>190</v>
      </c>
      <c r="C501" s="50" t="s">
        <v>184</v>
      </c>
      <c r="D501" s="50">
        <f t="shared" si="66"/>
        <v>401.17428000000001</v>
      </c>
      <c r="E501" s="50">
        <v>0</v>
      </c>
      <c r="F501" s="50">
        <f t="shared" si="68"/>
        <v>561.64399200000003</v>
      </c>
      <c r="G501" s="80"/>
      <c r="H501" s="81"/>
      <c r="I501" s="36"/>
      <c r="L501" s="72"/>
      <c r="M501" s="72"/>
      <c r="N501" s="36"/>
    </row>
    <row r="502" spans="1:14" s="48" customFormat="1" ht="15.75" customHeight="1" x14ac:dyDescent="0.35">
      <c r="A502" s="73">
        <v>7</v>
      </c>
      <c r="B502" s="74" t="s">
        <v>190</v>
      </c>
      <c r="C502" s="50" t="s">
        <v>184</v>
      </c>
      <c r="D502" s="50">
        <f t="shared" si="66"/>
        <v>401.17428000000001</v>
      </c>
      <c r="E502" s="50">
        <v>0</v>
      </c>
      <c r="F502" s="50">
        <f t="shared" si="68"/>
        <v>561.64399200000003</v>
      </c>
      <c r="G502" s="80"/>
      <c r="H502" s="81"/>
      <c r="I502" s="36"/>
      <c r="L502" s="72"/>
      <c r="M502" s="72"/>
      <c r="N502" s="36"/>
    </row>
    <row r="503" spans="1:14" s="48" customFormat="1" ht="15.75" customHeight="1" x14ac:dyDescent="0.35">
      <c r="A503" s="73">
        <v>8</v>
      </c>
      <c r="B503" s="74" t="s">
        <v>190</v>
      </c>
      <c r="C503" s="50" t="s">
        <v>184</v>
      </c>
      <c r="D503" s="50">
        <f t="shared" si="66"/>
        <v>401.17428000000001</v>
      </c>
      <c r="E503" s="50">
        <v>0</v>
      </c>
      <c r="F503" s="50">
        <f t="shared" si="68"/>
        <v>561.64399200000003</v>
      </c>
      <c r="G503" s="82"/>
      <c r="H503" s="83"/>
      <c r="I503" s="36"/>
      <c r="L503" s="72"/>
      <c r="M503" s="72"/>
      <c r="N503" s="36"/>
    </row>
    <row r="504" spans="1:14" s="48" customFormat="1" x14ac:dyDescent="0.35">
      <c r="A504" s="129" t="s">
        <v>255</v>
      </c>
      <c r="B504" s="130"/>
      <c r="C504" s="130"/>
      <c r="D504" s="130"/>
      <c r="E504" s="130"/>
      <c r="F504" s="130"/>
      <c r="G504" s="130"/>
      <c r="H504" s="131"/>
      <c r="J504" s="36"/>
    </row>
    <row r="505" spans="1:14" s="48" customFormat="1" ht="15.75" customHeight="1" x14ac:dyDescent="0.35">
      <c r="A505" s="73">
        <v>1</v>
      </c>
      <c r="B505" s="74" t="s">
        <v>190</v>
      </c>
      <c r="C505" s="50" t="s">
        <v>184</v>
      </c>
      <c r="D505" s="50">
        <f t="shared" si="66"/>
        <v>401.17428000000001</v>
      </c>
      <c r="E505" s="50">
        <v>0</v>
      </c>
      <c r="F505" s="50">
        <f t="shared" ref="F505:F510" si="69">D505*(($F$288)+1)+(IF(E505&lt;101,E505,IF(E505&lt;201,E505/2,IF(E505&lt;=301,E505/3,E505/4))))</f>
        <v>561.64399200000003</v>
      </c>
      <c r="G505" s="78" t="str">
        <f>A504</f>
        <v>7th &amp; 12th Floor (Part Refuge Area)</v>
      </c>
      <c r="H505" s="79"/>
      <c r="I505" s="36"/>
      <c r="L505" s="72"/>
      <c r="M505" s="72"/>
      <c r="N505" s="36"/>
    </row>
    <row r="506" spans="1:14" s="48" customFormat="1" ht="15.75" customHeight="1" x14ac:dyDescent="0.35">
      <c r="A506" s="73">
        <v>2</v>
      </c>
      <c r="B506" s="74" t="s">
        <v>190</v>
      </c>
      <c r="C506" s="50" t="s">
        <v>184</v>
      </c>
      <c r="D506" s="50">
        <f t="shared" si="66"/>
        <v>401.17428000000001</v>
      </c>
      <c r="E506" s="50">
        <v>0</v>
      </c>
      <c r="F506" s="50">
        <f t="shared" si="69"/>
        <v>561.64399200000003</v>
      </c>
      <c r="G506" s="80"/>
      <c r="H506" s="81"/>
      <c r="I506" s="36"/>
      <c r="L506" s="72"/>
      <c r="M506" s="72"/>
      <c r="N506" s="36"/>
    </row>
    <row r="507" spans="1:14" s="48" customFormat="1" ht="15.75" customHeight="1" x14ac:dyDescent="0.35">
      <c r="A507" s="73">
        <v>3</v>
      </c>
      <c r="B507" s="74" t="s">
        <v>190</v>
      </c>
      <c r="C507" s="50" t="s">
        <v>184</v>
      </c>
      <c r="D507" s="50">
        <f t="shared" si="66"/>
        <v>401.17428000000001</v>
      </c>
      <c r="E507" s="50">
        <v>0</v>
      </c>
      <c r="F507" s="50">
        <f t="shared" si="69"/>
        <v>561.64399200000003</v>
      </c>
      <c r="G507" s="80"/>
      <c r="H507" s="81"/>
      <c r="I507" s="36"/>
      <c r="L507" s="72"/>
      <c r="M507" s="72"/>
      <c r="N507" s="36"/>
    </row>
    <row r="508" spans="1:14" s="48" customFormat="1" ht="15.75" customHeight="1" x14ac:dyDescent="0.35">
      <c r="A508" s="73">
        <v>4</v>
      </c>
      <c r="B508" s="74" t="s">
        <v>190</v>
      </c>
      <c r="C508" s="50" t="s">
        <v>184</v>
      </c>
      <c r="D508" s="50">
        <f t="shared" si="66"/>
        <v>401.17428000000001</v>
      </c>
      <c r="E508" s="50">
        <v>0</v>
      </c>
      <c r="F508" s="50">
        <f>D508*(($F$288)+1)+(IF(E508&lt;101,E508,IF(E508&lt;201,E508/2,IF(E508&lt;=301,E508/3,E508/4))))</f>
        <v>561.64399200000003</v>
      </c>
      <c r="G508" s="80"/>
      <c r="H508" s="81"/>
      <c r="I508" s="36"/>
      <c r="L508" s="72"/>
      <c r="M508" s="72"/>
      <c r="N508" s="36"/>
    </row>
    <row r="509" spans="1:14" s="48" customFormat="1" ht="15.75" customHeight="1" x14ac:dyDescent="0.35">
      <c r="A509" s="73">
        <v>5</v>
      </c>
      <c r="B509" s="74" t="s">
        <v>190</v>
      </c>
      <c r="C509" s="50" t="s">
        <v>184</v>
      </c>
      <c r="D509" s="50">
        <f t="shared" si="66"/>
        <v>401.17428000000001</v>
      </c>
      <c r="E509" s="50">
        <v>0</v>
      </c>
      <c r="F509" s="50">
        <f t="shared" si="69"/>
        <v>561.64399200000003</v>
      </c>
      <c r="G509" s="80"/>
      <c r="H509" s="81"/>
      <c r="I509" s="36"/>
      <c r="L509" s="72"/>
      <c r="M509" s="72"/>
      <c r="N509" s="36"/>
    </row>
    <row r="510" spans="1:14" s="48" customFormat="1" ht="15.75" customHeight="1" x14ac:dyDescent="0.35">
      <c r="A510" s="73">
        <v>6</v>
      </c>
      <c r="B510" s="74" t="s">
        <v>190</v>
      </c>
      <c r="C510" s="50" t="s">
        <v>184</v>
      </c>
      <c r="D510" s="50">
        <f t="shared" si="66"/>
        <v>401.17428000000001</v>
      </c>
      <c r="E510" s="50">
        <v>0</v>
      </c>
      <c r="F510" s="50">
        <f t="shared" si="69"/>
        <v>561.64399200000003</v>
      </c>
      <c r="G510" s="80"/>
      <c r="H510" s="81"/>
      <c r="I510" s="36"/>
      <c r="L510" s="72"/>
      <c r="M510" s="72"/>
      <c r="N510" s="36"/>
    </row>
    <row r="511" spans="1:14" s="48" customFormat="1" ht="15.75" customHeight="1" x14ac:dyDescent="0.35">
      <c r="A511" s="73">
        <v>7</v>
      </c>
      <c r="B511" s="74"/>
      <c r="C511" s="73" t="s">
        <v>253</v>
      </c>
      <c r="D511" s="127"/>
      <c r="E511" s="127"/>
      <c r="F511" s="74"/>
      <c r="G511" s="80"/>
      <c r="H511" s="81"/>
      <c r="I511" s="36"/>
      <c r="L511" s="72"/>
      <c r="M511" s="72"/>
      <c r="N511" s="36"/>
    </row>
    <row r="512" spans="1:14" s="48" customFormat="1" ht="15.75" customHeight="1" x14ac:dyDescent="0.35">
      <c r="A512" s="73">
        <v>8</v>
      </c>
      <c r="B512" s="74" t="s">
        <v>190</v>
      </c>
      <c r="C512" s="50" t="s">
        <v>184</v>
      </c>
      <c r="D512" s="50">
        <f t="shared" si="66"/>
        <v>401.17428000000001</v>
      </c>
      <c r="E512" s="50">
        <v>0</v>
      </c>
      <c r="F512" s="50">
        <f t="shared" ref="F512" si="70">D512*(($F$288)+1)+(IF(E512&lt;101,E512,IF(E512&lt;201,E512/2,IF(E512&lt;=301,E512/3,E512/4))))</f>
        <v>561.64399200000003</v>
      </c>
      <c r="G512" s="82"/>
      <c r="H512" s="83"/>
      <c r="I512" s="36"/>
      <c r="L512" s="72"/>
      <c r="M512" s="72"/>
      <c r="N512" s="36"/>
    </row>
    <row r="513" spans="1:9" s="35" customFormat="1" x14ac:dyDescent="0.35">
      <c r="A513" s="166" t="s">
        <v>64</v>
      </c>
      <c r="B513" s="167"/>
      <c r="C513" s="167"/>
      <c r="D513" s="167"/>
      <c r="E513" s="167"/>
      <c r="F513" s="167"/>
      <c r="G513" s="167"/>
      <c r="H513" s="168"/>
      <c r="I513" s="54"/>
    </row>
    <row r="514" spans="1:9" s="35" customFormat="1" x14ac:dyDescent="0.35">
      <c r="A514" s="49" t="s">
        <v>154</v>
      </c>
      <c r="B514" s="155" t="s">
        <v>296</v>
      </c>
      <c r="C514" s="155"/>
      <c r="D514" s="155"/>
      <c r="E514" s="155"/>
      <c r="F514" s="155"/>
      <c r="G514" s="155"/>
      <c r="H514" s="155"/>
    </row>
    <row r="515" spans="1:9" s="35" customFormat="1" x14ac:dyDescent="0.35">
      <c r="A515" s="49" t="s">
        <v>154</v>
      </c>
      <c r="B515" s="155" t="str">
        <f>(IF(F287="Saleable area Loading :","We have considered Saleable area of Flats as per our Calculation.","We considered Saleable area of Flat as per Builder area Sheet."))</f>
        <v>We have considered Saleable area of Flats as per our Calculation.</v>
      </c>
      <c r="C515" s="155"/>
      <c r="D515" s="155"/>
      <c r="E515" s="155"/>
      <c r="F515" s="155"/>
      <c r="G515" s="155"/>
      <c r="H515" s="155"/>
    </row>
    <row r="516" spans="1:9" s="35" customFormat="1" x14ac:dyDescent="0.35">
      <c r="A516" s="49" t="s">
        <v>154</v>
      </c>
      <c r="B516" s="155" t="str">
        <f>(IF(F206="Saleable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516" s="155"/>
      <c r="D516" s="155"/>
      <c r="E516" s="155"/>
      <c r="F516" s="155"/>
      <c r="G516" s="155"/>
      <c r="H516" s="155"/>
    </row>
    <row r="517" spans="1:9" s="35" customFormat="1" x14ac:dyDescent="0.35">
      <c r="A517" s="49" t="s">
        <v>154</v>
      </c>
      <c r="B517" s="155" t="s">
        <v>124</v>
      </c>
      <c r="C517" s="155"/>
      <c r="D517" s="155"/>
      <c r="E517" s="155"/>
      <c r="F517" s="155"/>
      <c r="G517" s="155"/>
      <c r="H517" s="155"/>
    </row>
    <row r="518" spans="1:9" s="35" customFormat="1" x14ac:dyDescent="0.35">
      <c r="A518" s="49" t="s">
        <v>154</v>
      </c>
      <c r="B518" s="155" t="s">
        <v>292</v>
      </c>
      <c r="C518" s="155"/>
      <c r="D518" s="155"/>
      <c r="E518" s="155"/>
      <c r="F518" s="155"/>
      <c r="G518" s="155"/>
      <c r="H518" s="155"/>
    </row>
    <row r="519" spans="1:9" s="35" customFormat="1" x14ac:dyDescent="0.35">
      <c r="A519" s="49" t="s">
        <v>154</v>
      </c>
      <c r="B519" s="155" t="s">
        <v>153</v>
      </c>
      <c r="C519" s="155"/>
      <c r="D519" s="155"/>
      <c r="E519" s="155"/>
      <c r="F519" s="155"/>
      <c r="G519" s="155"/>
      <c r="H519" s="155"/>
    </row>
    <row r="520" spans="1:9" s="35" customFormat="1" x14ac:dyDescent="0.35">
      <c r="A520" s="49" t="s">
        <v>154</v>
      </c>
      <c r="B520" s="202" t="s">
        <v>125</v>
      </c>
      <c r="C520" s="202"/>
      <c r="D520" s="202"/>
      <c r="E520" s="202"/>
      <c r="F520" s="202"/>
      <c r="G520" s="202"/>
      <c r="H520" s="202"/>
    </row>
    <row r="521" spans="1:9" s="35" customFormat="1" ht="34.5" customHeight="1" x14ac:dyDescent="0.35">
      <c r="A521" s="49" t="s">
        <v>154</v>
      </c>
      <c r="B521" s="155" t="s">
        <v>155</v>
      </c>
      <c r="C521" s="155"/>
      <c r="D521" s="155"/>
      <c r="E521" s="155"/>
      <c r="F521" s="155"/>
      <c r="G521" s="155"/>
      <c r="H521" s="155"/>
    </row>
    <row r="522" spans="1:9" s="35" customFormat="1" x14ac:dyDescent="0.35">
      <c r="A522" s="49" t="s">
        <v>154</v>
      </c>
      <c r="B522" s="155" t="s">
        <v>126</v>
      </c>
      <c r="C522" s="155"/>
      <c r="D522" s="155"/>
      <c r="E522" s="155"/>
      <c r="F522" s="155"/>
      <c r="G522" s="155"/>
      <c r="H522" s="155"/>
    </row>
    <row r="523" spans="1:9" s="35" customFormat="1" x14ac:dyDescent="0.35">
      <c r="A523" s="49" t="s">
        <v>154</v>
      </c>
      <c r="B523" s="84" t="s">
        <v>302</v>
      </c>
      <c r="C523" s="85"/>
      <c r="D523" s="85"/>
      <c r="E523" s="85"/>
      <c r="F523" s="85"/>
      <c r="G523" s="85"/>
      <c r="H523" s="86"/>
    </row>
    <row r="524" spans="1:9" s="35" customFormat="1" x14ac:dyDescent="0.35">
      <c r="A524" s="49" t="s">
        <v>154</v>
      </c>
      <c r="B524" s="84" t="s">
        <v>258</v>
      </c>
      <c r="C524" s="85"/>
      <c r="D524" s="85"/>
      <c r="E524" s="85"/>
      <c r="F524" s="85"/>
      <c r="G524" s="85"/>
      <c r="H524" s="86"/>
    </row>
    <row r="525" spans="1:9" s="35" customFormat="1" ht="33.75" customHeight="1" x14ac:dyDescent="0.35">
      <c r="A525" s="49" t="s">
        <v>154</v>
      </c>
      <c r="B525" s="84" t="s">
        <v>261</v>
      </c>
      <c r="C525" s="85"/>
      <c r="D525" s="85"/>
      <c r="E525" s="85"/>
      <c r="F525" s="85"/>
      <c r="G525" s="85"/>
      <c r="H525" s="86"/>
    </row>
    <row r="526" spans="1:9" s="35" customFormat="1" x14ac:dyDescent="0.35">
      <c r="A526" s="49" t="s">
        <v>154</v>
      </c>
      <c r="B526" s="87" t="s">
        <v>294</v>
      </c>
      <c r="C526" s="88"/>
      <c r="D526" s="88"/>
      <c r="E526" s="88"/>
      <c r="F526" s="88"/>
      <c r="G526" s="88"/>
      <c r="H526" s="89"/>
    </row>
    <row r="527" spans="1:9" s="35" customFormat="1" ht="33" hidden="1" customHeight="1" x14ac:dyDescent="0.35">
      <c r="A527" s="49" t="s">
        <v>154</v>
      </c>
      <c r="B527" s="84" t="s">
        <v>263</v>
      </c>
      <c r="C527" s="85"/>
      <c r="D527" s="85"/>
      <c r="E527" s="85"/>
      <c r="F527" s="85"/>
      <c r="G527" s="85"/>
      <c r="H527" s="86"/>
    </row>
    <row r="528" spans="1:9" s="35" customFormat="1" ht="33" hidden="1" customHeight="1" x14ac:dyDescent="0.35">
      <c r="A528" s="49" t="s">
        <v>154</v>
      </c>
      <c r="B528" s="75" t="s">
        <v>298</v>
      </c>
      <c r="C528" s="76"/>
      <c r="D528" s="76"/>
      <c r="E528" s="76"/>
      <c r="F528" s="76"/>
      <c r="G528" s="76"/>
      <c r="H528" s="77"/>
    </row>
    <row r="529" spans="1:8" s="35" customFormat="1" ht="34.5" customHeight="1" x14ac:dyDescent="0.35">
      <c r="A529" s="71" t="s">
        <v>154</v>
      </c>
      <c r="B529" s="87" t="s">
        <v>305</v>
      </c>
      <c r="C529" s="88"/>
      <c r="D529" s="88"/>
      <c r="E529" s="88"/>
      <c r="F529" s="88"/>
      <c r="G529" s="88"/>
      <c r="H529" s="89"/>
    </row>
    <row r="530" spans="1:8" x14ac:dyDescent="0.35">
      <c r="A530" s="160" t="s">
        <v>58</v>
      </c>
      <c r="B530" s="160"/>
      <c r="C530" s="160"/>
      <c r="D530" s="160"/>
      <c r="E530" s="160"/>
      <c r="F530" s="160"/>
      <c r="G530" s="160"/>
      <c r="H530" s="160"/>
    </row>
    <row r="531" spans="1:8" x14ac:dyDescent="0.35">
      <c r="A531" s="135" t="s">
        <v>59</v>
      </c>
      <c r="B531" s="135"/>
      <c r="C531" s="135"/>
      <c r="D531" s="135"/>
      <c r="E531" s="135"/>
      <c r="F531" s="135"/>
      <c r="G531" s="135"/>
      <c r="H531" s="135"/>
    </row>
    <row r="532" spans="1:8" ht="15.75" customHeight="1" x14ac:dyDescent="0.35">
      <c r="A532" s="149" t="s">
        <v>205</v>
      </c>
      <c r="B532" s="149"/>
      <c r="C532" s="149"/>
      <c r="D532" s="149"/>
      <c r="E532" s="149"/>
      <c r="F532" s="149"/>
      <c r="G532" s="149"/>
      <c r="H532" s="149"/>
    </row>
    <row r="533" spans="1:8" x14ac:dyDescent="0.35">
      <c r="A533" s="135" t="s">
        <v>60</v>
      </c>
      <c r="B533" s="135"/>
      <c r="C533" s="135"/>
      <c r="D533" s="135"/>
      <c r="E533" s="135"/>
      <c r="F533" s="135"/>
      <c r="G533" s="135"/>
      <c r="H533" s="135"/>
    </row>
    <row r="534" spans="1:8" x14ac:dyDescent="0.35">
      <c r="A534" s="135" t="s">
        <v>61</v>
      </c>
      <c r="B534" s="135"/>
      <c r="C534" s="135"/>
      <c r="D534" s="135"/>
      <c r="E534" s="135"/>
      <c r="F534" s="135"/>
      <c r="G534" s="135"/>
      <c r="H534" s="135"/>
    </row>
    <row r="535" spans="1:8" x14ac:dyDescent="0.35">
      <c r="A535" s="135" t="s">
        <v>127</v>
      </c>
      <c r="B535" s="135"/>
      <c r="C535" s="135"/>
      <c r="D535" s="135"/>
      <c r="E535" s="135"/>
      <c r="F535" s="135"/>
      <c r="G535" s="135"/>
      <c r="H535" s="135"/>
    </row>
    <row r="536" spans="1:8" ht="35.25" hidden="1" customHeight="1" x14ac:dyDescent="0.35">
      <c r="A536" s="136" t="s">
        <v>128</v>
      </c>
      <c r="B536" s="136"/>
      <c r="C536" s="136"/>
      <c r="D536" s="136"/>
      <c r="E536" s="136"/>
      <c r="F536" s="136"/>
      <c r="G536" s="136"/>
      <c r="H536" s="136"/>
    </row>
    <row r="537" spans="1:8" x14ac:dyDescent="0.35">
      <c r="A537" s="162" t="s">
        <v>74</v>
      </c>
      <c r="B537" s="162"/>
      <c r="C537" s="162" t="s">
        <v>297</v>
      </c>
      <c r="D537" s="162"/>
      <c r="E537" s="162" t="s">
        <v>104</v>
      </c>
      <c r="F537" s="162"/>
      <c r="G537" s="162" t="s">
        <v>301</v>
      </c>
      <c r="H537" s="162"/>
    </row>
    <row r="538" spans="1:8" x14ac:dyDescent="0.35">
      <c r="A538" s="161" t="s">
        <v>76</v>
      </c>
      <c r="B538" s="161"/>
      <c r="C538" s="161"/>
      <c r="D538" s="161"/>
      <c r="E538" s="161"/>
      <c r="F538" s="161"/>
      <c r="G538" s="161"/>
      <c r="H538" s="161"/>
    </row>
    <row r="539" spans="1:8" x14ac:dyDescent="0.35">
      <c r="A539" s="161"/>
      <c r="B539" s="161"/>
      <c r="C539" s="161"/>
      <c r="D539" s="161"/>
      <c r="E539" s="161"/>
      <c r="F539" s="161"/>
      <c r="G539" s="161"/>
      <c r="H539" s="161"/>
    </row>
    <row r="540" spans="1:8" x14ac:dyDescent="0.35">
      <c r="A540" s="161"/>
      <c r="B540" s="161"/>
      <c r="C540" s="161"/>
      <c r="D540" s="161"/>
      <c r="E540" s="161"/>
      <c r="F540" s="161"/>
      <c r="G540" s="161"/>
      <c r="H540" s="161"/>
    </row>
    <row r="541" spans="1:8" x14ac:dyDescent="0.35">
      <c r="A541" s="161"/>
      <c r="B541" s="161"/>
      <c r="C541" s="161"/>
      <c r="D541" s="161"/>
      <c r="E541" s="161"/>
      <c r="F541" s="161"/>
      <c r="G541" s="161"/>
      <c r="H541" s="161"/>
    </row>
    <row r="542" spans="1:8" x14ac:dyDescent="0.35">
      <c r="A542" s="37" t="s">
        <v>62</v>
      </c>
      <c r="B542" s="38"/>
      <c r="C542" s="38"/>
      <c r="D542" s="37" t="str">
        <f>E8</f>
        <v>Rusttagi Aarambha Phase I, II &amp; III</v>
      </c>
      <c r="F542" s="38"/>
      <c r="G542" s="38"/>
      <c r="H542" s="38"/>
    </row>
    <row r="543" spans="1:8" x14ac:dyDescent="0.35">
      <c r="A543" s="38"/>
      <c r="B543" s="38"/>
      <c r="C543" s="38"/>
      <c r="D543" s="38"/>
      <c r="E543" s="38"/>
      <c r="F543" s="38"/>
      <c r="G543" s="38"/>
      <c r="H543" s="38"/>
    </row>
    <row r="544" spans="1:8" x14ac:dyDescent="0.35">
      <c r="A544" s="38"/>
      <c r="B544" s="38"/>
      <c r="C544" s="38"/>
      <c r="D544" s="38"/>
      <c r="E544" s="38"/>
      <c r="F544" s="38"/>
      <c r="G544" s="38"/>
      <c r="H544" s="38"/>
    </row>
    <row r="545" ht="15" customHeight="1" x14ac:dyDescent="0.35"/>
    <row r="589" spans="1:1" x14ac:dyDescent="0.35">
      <c r="A589" s="40" t="s">
        <v>235</v>
      </c>
    </row>
    <row r="636" spans="1:1" x14ac:dyDescent="0.35">
      <c r="A636" s="40" t="s">
        <v>63</v>
      </c>
    </row>
  </sheetData>
  <mergeCells count="973">
    <mergeCell ref="A56:B57"/>
    <mergeCell ref="C56:E56"/>
    <mergeCell ref="G56:H56"/>
    <mergeCell ref="C57:H57"/>
    <mergeCell ref="B529:H529"/>
    <mergeCell ref="G477:H484"/>
    <mergeCell ref="G468:H475"/>
    <mergeCell ref="G459:H466"/>
    <mergeCell ref="A474:B474"/>
    <mergeCell ref="L474:M474"/>
    <mergeCell ref="A475:B475"/>
    <mergeCell ref="L475:M475"/>
    <mergeCell ref="A495:H495"/>
    <mergeCell ref="A496:B496"/>
    <mergeCell ref="L496:M496"/>
    <mergeCell ref="A493:B493"/>
    <mergeCell ref="A494:B494"/>
    <mergeCell ref="A485:H485"/>
    <mergeCell ref="A486:H486"/>
    <mergeCell ref="A473:B473"/>
    <mergeCell ref="L473:M473"/>
    <mergeCell ref="A471:B471"/>
    <mergeCell ref="L471:M471"/>
    <mergeCell ref="A472:B472"/>
    <mergeCell ref="L472:M472"/>
    <mergeCell ref="A461:B461"/>
    <mergeCell ref="A462:B462"/>
    <mergeCell ref="A463:B463"/>
    <mergeCell ref="A464:B464"/>
    <mergeCell ref="A384:B384"/>
    <mergeCell ref="L384:M384"/>
    <mergeCell ref="A467:H467"/>
    <mergeCell ref="A468:B468"/>
    <mergeCell ref="L468:M468"/>
    <mergeCell ref="A469:B469"/>
    <mergeCell ref="L469:M469"/>
    <mergeCell ref="A470:B470"/>
    <mergeCell ref="L470:M470"/>
    <mergeCell ref="A440:B440"/>
    <mergeCell ref="L440:M440"/>
    <mergeCell ref="A441:B441"/>
    <mergeCell ref="L441:M441"/>
    <mergeCell ref="A442:B442"/>
    <mergeCell ref="L442:M442"/>
    <mergeCell ref="A443:B443"/>
    <mergeCell ref="L443:M443"/>
    <mergeCell ref="A444:B444"/>
    <mergeCell ref="L444:M444"/>
    <mergeCell ref="A445:B445"/>
    <mergeCell ref="L445:M445"/>
    <mergeCell ref="L409:M409"/>
    <mergeCell ref="A410:B410"/>
    <mergeCell ref="L410:M410"/>
    <mergeCell ref="L380:M380"/>
    <mergeCell ref="A381:B381"/>
    <mergeCell ref="L381:M381"/>
    <mergeCell ref="A382:B382"/>
    <mergeCell ref="C382:F382"/>
    <mergeCell ref="L382:M382"/>
    <mergeCell ref="A383:B383"/>
    <mergeCell ref="L383:M383"/>
    <mergeCell ref="G448:H455"/>
    <mergeCell ref="G439:H446"/>
    <mergeCell ref="G430:H437"/>
    <mergeCell ref="G415:H426"/>
    <mergeCell ref="G402:H413"/>
    <mergeCell ref="G389:H400"/>
    <mergeCell ref="G373:H384"/>
    <mergeCell ref="A379:B379"/>
    <mergeCell ref="L379:M379"/>
    <mergeCell ref="L378:M378"/>
    <mergeCell ref="A376:B376"/>
    <mergeCell ref="L376:M376"/>
    <mergeCell ref="A377:B377"/>
    <mergeCell ref="L377:M377"/>
    <mergeCell ref="A446:B446"/>
    <mergeCell ref="L446:M446"/>
    <mergeCell ref="A366:B366"/>
    <mergeCell ref="L366:M366"/>
    <mergeCell ref="A367:B367"/>
    <mergeCell ref="L367:M367"/>
    <mergeCell ref="A368:B368"/>
    <mergeCell ref="L368:M368"/>
    <mergeCell ref="A369:B369"/>
    <mergeCell ref="L369:M369"/>
    <mergeCell ref="A370:B370"/>
    <mergeCell ref="L370:M370"/>
    <mergeCell ref="L361:M361"/>
    <mergeCell ref="A362:B362"/>
    <mergeCell ref="L362:M362"/>
    <mergeCell ref="A363:B363"/>
    <mergeCell ref="L363:M363"/>
    <mergeCell ref="A364:B364"/>
    <mergeCell ref="L364:M364"/>
    <mergeCell ref="A365:B365"/>
    <mergeCell ref="L365:M365"/>
    <mergeCell ref="L439:M439"/>
    <mergeCell ref="A434:B434"/>
    <mergeCell ref="A435:B435"/>
    <mergeCell ref="A436:B436"/>
    <mergeCell ref="A437:B437"/>
    <mergeCell ref="A357:B357"/>
    <mergeCell ref="L357:M357"/>
    <mergeCell ref="A358:B358"/>
    <mergeCell ref="L358:M358"/>
    <mergeCell ref="C357:F357"/>
    <mergeCell ref="A359:H359"/>
    <mergeCell ref="A360:B360"/>
    <mergeCell ref="L360:M360"/>
    <mergeCell ref="A371:B371"/>
    <mergeCell ref="L371:M371"/>
    <mergeCell ref="A372:H372"/>
    <mergeCell ref="G360:H371"/>
    <mergeCell ref="A373:B373"/>
    <mergeCell ref="L373:M373"/>
    <mergeCell ref="A374:B374"/>
    <mergeCell ref="L374:M374"/>
    <mergeCell ref="A375:B375"/>
    <mergeCell ref="L375:M375"/>
    <mergeCell ref="A361:B361"/>
    <mergeCell ref="L402:M402"/>
    <mergeCell ref="A403:B403"/>
    <mergeCell ref="L403:M403"/>
    <mergeCell ref="A404:B404"/>
    <mergeCell ref="L404:M404"/>
    <mergeCell ref="A405:B405"/>
    <mergeCell ref="L405:M405"/>
    <mergeCell ref="A406:B406"/>
    <mergeCell ref="L406:M406"/>
    <mergeCell ref="L407:M407"/>
    <mergeCell ref="A408:B408"/>
    <mergeCell ref="L408:M408"/>
    <mergeCell ref="A433:B433"/>
    <mergeCell ref="C418:F418"/>
    <mergeCell ref="C419:F419"/>
    <mergeCell ref="A415:B415"/>
    <mergeCell ref="A416:B416"/>
    <mergeCell ref="A417:B417"/>
    <mergeCell ref="A418:B418"/>
    <mergeCell ref="A419:B419"/>
    <mergeCell ref="A420:B420"/>
    <mergeCell ref="A421:B421"/>
    <mergeCell ref="L425:M425"/>
    <mergeCell ref="L422:M422"/>
    <mergeCell ref="A411:B411"/>
    <mergeCell ref="L411:M411"/>
    <mergeCell ref="A412:B412"/>
    <mergeCell ref="L412:M412"/>
    <mergeCell ref="A413:B413"/>
    <mergeCell ref="L413:M413"/>
    <mergeCell ref="A331:H331"/>
    <mergeCell ref="A269:H269"/>
    <mergeCell ref="G271:H276"/>
    <mergeCell ref="A278:H278"/>
    <mergeCell ref="G280:H285"/>
    <mergeCell ref="A232:H232"/>
    <mergeCell ref="A234:H234"/>
    <mergeCell ref="A236:H236"/>
    <mergeCell ref="A301:B301"/>
    <mergeCell ref="A328:B328"/>
    <mergeCell ref="G318:H329"/>
    <mergeCell ref="G305:H316"/>
    <mergeCell ref="C301:F301"/>
    <mergeCell ref="G292:H303"/>
    <mergeCell ref="G261:H266"/>
    <mergeCell ref="A253:B253"/>
    <mergeCell ref="A257:B257"/>
    <mergeCell ref="C326:F326"/>
    <mergeCell ref="C327:F327"/>
    <mergeCell ref="A250:B250"/>
    <mergeCell ref="A246:B246"/>
    <mergeCell ref="A238:H238"/>
    <mergeCell ref="A239:H239"/>
    <mergeCell ref="A243:B243"/>
    <mergeCell ref="B524:H524"/>
    <mergeCell ref="A54:B55"/>
    <mergeCell ref="C54:E54"/>
    <mergeCell ref="G54:H54"/>
    <mergeCell ref="C55:H55"/>
    <mergeCell ref="C50:E50"/>
    <mergeCell ref="G50:H50"/>
    <mergeCell ref="C51:H51"/>
    <mergeCell ref="C511:F511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484:B484"/>
    <mergeCell ref="A487:B487"/>
    <mergeCell ref="A488:B488"/>
    <mergeCell ref="A489:B489"/>
    <mergeCell ref="A490:B490"/>
    <mergeCell ref="A491:B491"/>
    <mergeCell ref="A492:B492"/>
    <mergeCell ref="A465:B465"/>
    <mergeCell ref="A466:B466"/>
    <mergeCell ref="C483:F483"/>
    <mergeCell ref="A477:B477"/>
    <mergeCell ref="A478:B478"/>
    <mergeCell ref="A479:B479"/>
    <mergeCell ref="A480:B480"/>
    <mergeCell ref="A481:B481"/>
    <mergeCell ref="A482:B482"/>
    <mergeCell ref="A483:B483"/>
    <mergeCell ref="A448:B448"/>
    <mergeCell ref="A449:B449"/>
    <mergeCell ref="A450:B450"/>
    <mergeCell ref="A452:B452"/>
    <mergeCell ref="A389:B389"/>
    <mergeCell ref="A390:B390"/>
    <mergeCell ref="A391:B391"/>
    <mergeCell ref="A392:B392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6:H346"/>
    <mergeCell ref="A388:H388"/>
    <mergeCell ref="A378:B378"/>
    <mergeCell ref="A380:B380"/>
    <mergeCell ref="A407:B407"/>
    <mergeCell ref="A438:H438"/>
    <mergeCell ref="A439:B439"/>
    <mergeCell ref="L450:M450"/>
    <mergeCell ref="L399:M399"/>
    <mergeCell ref="L400:M400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428:H428"/>
    <mergeCell ref="A401:H401"/>
    <mergeCell ref="A402:B402"/>
    <mergeCell ref="A409:B40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L463:M463"/>
    <mergeCell ref="L459:M459"/>
    <mergeCell ref="L460:M460"/>
    <mergeCell ref="A458:H458"/>
    <mergeCell ref="A429:H429"/>
    <mergeCell ref="L430:M430"/>
    <mergeCell ref="A400:B400"/>
    <mergeCell ref="A422:B422"/>
    <mergeCell ref="A423:B423"/>
    <mergeCell ref="A424:B424"/>
    <mergeCell ref="A425:B425"/>
    <mergeCell ref="A426:B426"/>
    <mergeCell ref="A430:B430"/>
    <mergeCell ref="A414:H414"/>
    <mergeCell ref="L415:M415"/>
    <mergeCell ref="L416:M416"/>
    <mergeCell ref="L417:M417"/>
    <mergeCell ref="L437:M437"/>
    <mergeCell ref="L434:M434"/>
    <mergeCell ref="L435:M435"/>
    <mergeCell ref="L436:M436"/>
    <mergeCell ref="L431:M431"/>
    <mergeCell ref="L432:M432"/>
    <mergeCell ref="L433:M433"/>
    <mergeCell ref="L483:M483"/>
    <mergeCell ref="L484:M484"/>
    <mergeCell ref="A431:B431"/>
    <mergeCell ref="A432:B432"/>
    <mergeCell ref="L512:M512"/>
    <mergeCell ref="L418:M418"/>
    <mergeCell ref="L419:M419"/>
    <mergeCell ref="L420:M420"/>
    <mergeCell ref="L509:M509"/>
    <mergeCell ref="L510:M510"/>
    <mergeCell ref="L511:M511"/>
    <mergeCell ref="L506:M506"/>
    <mergeCell ref="L426:M426"/>
    <mergeCell ref="A427:H427"/>
    <mergeCell ref="A447:H447"/>
    <mergeCell ref="L448:M448"/>
    <mergeCell ref="L449:M449"/>
    <mergeCell ref="L464:M464"/>
    <mergeCell ref="L465:M465"/>
    <mergeCell ref="L466:M466"/>
    <mergeCell ref="L461:M461"/>
    <mergeCell ref="L462:M462"/>
    <mergeCell ref="L487:M487"/>
    <mergeCell ref="L488:M488"/>
    <mergeCell ref="L489:M489"/>
    <mergeCell ref="A499:B499"/>
    <mergeCell ref="L499:M499"/>
    <mergeCell ref="A500:B500"/>
    <mergeCell ref="L500:M500"/>
    <mergeCell ref="A501:B501"/>
    <mergeCell ref="L501:M501"/>
    <mergeCell ref="G496:H503"/>
    <mergeCell ref="G487:H494"/>
    <mergeCell ref="A497:B497"/>
    <mergeCell ref="L497:M497"/>
    <mergeCell ref="A498:B498"/>
    <mergeCell ref="L498:M498"/>
    <mergeCell ref="L507:M507"/>
    <mergeCell ref="L508:M508"/>
    <mergeCell ref="L493:M493"/>
    <mergeCell ref="L494:M494"/>
    <mergeCell ref="A504:H504"/>
    <mergeCell ref="L505:M505"/>
    <mergeCell ref="L490:M490"/>
    <mergeCell ref="L491:M491"/>
    <mergeCell ref="L492:M492"/>
    <mergeCell ref="A502:B502"/>
    <mergeCell ref="L502:M502"/>
    <mergeCell ref="A503:B503"/>
    <mergeCell ref="L503:M503"/>
    <mergeCell ref="G505:H512"/>
    <mergeCell ref="L389:M389"/>
    <mergeCell ref="L390:M390"/>
    <mergeCell ref="L391:M391"/>
    <mergeCell ref="L392:M392"/>
    <mergeCell ref="L393:M393"/>
    <mergeCell ref="L482:M482"/>
    <mergeCell ref="A202:B202"/>
    <mergeCell ref="C202:D202"/>
    <mergeCell ref="E202:F202"/>
    <mergeCell ref="G202:H202"/>
    <mergeCell ref="L421:M421"/>
    <mergeCell ref="L423:M423"/>
    <mergeCell ref="L424:M424"/>
    <mergeCell ref="L394:M394"/>
    <mergeCell ref="L395:M395"/>
    <mergeCell ref="L396:M396"/>
    <mergeCell ref="L397:M397"/>
    <mergeCell ref="L398:M398"/>
    <mergeCell ref="L479:M479"/>
    <mergeCell ref="L480:M480"/>
    <mergeCell ref="L481:M481"/>
    <mergeCell ref="A476:H476"/>
    <mergeCell ref="L477:M477"/>
    <mergeCell ref="L478:M478"/>
    <mergeCell ref="L451:M451"/>
    <mergeCell ref="L452:M452"/>
    <mergeCell ref="L453:M453"/>
    <mergeCell ref="L454:M454"/>
    <mergeCell ref="A456:H456"/>
    <mergeCell ref="A457:H457"/>
    <mergeCell ref="L455:M455"/>
    <mergeCell ref="A454:B454"/>
    <mergeCell ref="A455:B455"/>
    <mergeCell ref="C451:F451"/>
    <mergeCell ref="B521:H521"/>
    <mergeCell ref="A45:B45"/>
    <mergeCell ref="C45:H45"/>
    <mergeCell ref="B519:H519"/>
    <mergeCell ref="A108:B108"/>
    <mergeCell ref="A109:B109"/>
    <mergeCell ref="G94:H103"/>
    <mergeCell ref="A95:B95"/>
    <mergeCell ref="A96:B96"/>
    <mergeCell ref="A97:B97"/>
    <mergeCell ref="F176:H176"/>
    <mergeCell ref="A176:E176"/>
    <mergeCell ref="D206:D207"/>
    <mergeCell ref="A178:E178"/>
    <mergeCell ref="A233:B233"/>
    <mergeCell ref="A235:B235"/>
    <mergeCell ref="A385:H385"/>
    <mergeCell ref="A399:B399"/>
    <mergeCell ref="A334:B334"/>
    <mergeCell ref="A333:H333"/>
    <mergeCell ref="G334:H345"/>
    <mergeCell ref="A329:B329"/>
    <mergeCell ref="A386:H386"/>
    <mergeCell ref="A387:H387"/>
    <mergeCell ref="F178:H178"/>
    <mergeCell ref="A107:B107"/>
    <mergeCell ref="A191:B191"/>
    <mergeCell ref="A185:E185"/>
    <mergeCell ref="G203:H203"/>
    <mergeCell ref="C191:D191"/>
    <mergeCell ref="E191:F191"/>
    <mergeCell ref="G191:H191"/>
    <mergeCell ref="A194:B194"/>
    <mergeCell ref="C194:D194"/>
    <mergeCell ref="E194:F194"/>
    <mergeCell ref="G194:H194"/>
    <mergeCell ref="A197:B197"/>
    <mergeCell ref="C197:D197"/>
    <mergeCell ref="E197:F197"/>
    <mergeCell ref="G197:H197"/>
    <mergeCell ref="C196:D196"/>
    <mergeCell ref="G196:H196"/>
    <mergeCell ref="A203:B203"/>
    <mergeCell ref="E203:F203"/>
    <mergeCell ref="C203:D203"/>
    <mergeCell ref="A201:B201"/>
    <mergeCell ref="C201:D201"/>
    <mergeCell ref="E201:F201"/>
    <mergeCell ref="B520:H520"/>
    <mergeCell ref="B516:H516"/>
    <mergeCell ref="B514:H514"/>
    <mergeCell ref="B515:H515"/>
    <mergeCell ref="B517:H517"/>
    <mergeCell ref="B518:H518"/>
    <mergeCell ref="A286:H286"/>
    <mergeCell ref="A287:A288"/>
    <mergeCell ref="A214:B214"/>
    <mergeCell ref="A221:B221"/>
    <mergeCell ref="A332:H332"/>
    <mergeCell ref="B287:B288"/>
    <mergeCell ref="A317:H317"/>
    <mergeCell ref="A459:B459"/>
    <mergeCell ref="A460:B460"/>
    <mergeCell ref="A453:B453"/>
    <mergeCell ref="A451:B451"/>
    <mergeCell ref="A393:B393"/>
    <mergeCell ref="A394:B394"/>
    <mergeCell ref="A395:B395"/>
    <mergeCell ref="A396:B396"/>
    <mergeCell ref="A397:B397"/>
    <mergeCell ref="A398:B398"/>
    <mergeCell ref="A353:B353"/>
    <mergeCell ref="A180:E180"/>
    <mergeCell ref="F180:H180"/>
    <mergeCell ref="A181:E181"/>
    <mergeCell ref="A183:E183"/>
    <mergeCell ref="F177:H177"/>
    <mergeCell ref="A182:E182"/>
    <mergeCell ref="A110:B110"/>
    <mergeCell ref="A111:B111"/>
    <mergeCell ref="A112:B112"/>
    <mergeCell ref="A114:B114"/>
    <mergeCell ref="A115:B115"/>
    <mergeCell ref="A177:E177"/>
    <mergeCell ref="A174:E174"/>
    <mergeCell ref="A179:E179"/>
    <mergeCell ref="A145:B145"/>
    <mergeCell ref="A146:B146"/>
    <mergeCell ref="A148:B148"/>
    <mergeCell ref="A149:B149"/>
    <mergeCell ref="A150:B150"/>
    <mergeCell ref="A151:B151"/>
    <mergeCell ref="A152:B152"/>
    <mergeCell ref="A136:B136"/>
    <mergeCell ref="G136:H145"/>
    <mergeCell ref="A137:B137"/>
    <mergeCell ref="A184:E184"/>
    <mergeCell ref="C190:D190"/>
    <mergeCell ref="E190:F190"/>
    <mergeCell ref="L215:M215"/>
    <mergeCell ref="L216:M216"/>
    <mergeCell ref="L217:M217"/>
    <mergeCell ref="L218:M218"/>
    <mergeCell ref="L219:M219"/>
    <mergeCell ref="L220:M220"/>
    <mergeCell ref="L211:M211"/>
    <mergeCell ref="A198:B198"/>
    <mergeCell ref="A199:B199"/>
    <mergeCell ref="C199:D199"/>
    <mergeCell ref="C192:D192"/>
    <mergeCell ref="E192:F192"/>
    <mergeCell ref="G192:H192"/>
    <mergeCell ref="A193:B193"/>
    <mergeCell ref="C193:D193"/>
    <mergeCell ref="E193:F193"/>
    <mergeCell ref="G193:H193"/>
    <mergeCell ref="F184:H184"/>
    <mergeCell ref="G201:H201"/>
    <mergeCell ref="G211:H228"/>
    <mergeCell ref="A205:H205"/>
    <mergeCell ref="G189:H189"/>
    <mergeCell ref="L265:M265"/>
    <mergeCell ref="L235:M235"/>
    <mergeCell ref="G235:H235"/>
    <mergeCell ref="L263:M263"/>
    <mergeCell ref="A260:H260"/>
    <mergeCell ref="A261:B261"/>
    <mergeCell ref="L261:M261"/>
    <mergeCell ref="A262:B262"/>
    <mergeCell ref="L262:M262"/>
    <mergeCell ref="L237:M237"/>
    <mergeCell ref="L264:M264"/>
    <mergeCell ref="L233:M233"/>
    <mergeCell ref="G233:H233"/>
    <mergeCell ref="L221:M221"/>
    <mergeCell ref="L227:M227"/>
    <mergeCell ref="L222:M222"/>
    <mergeCell ref="L223:M223"/>
    <mergeCell ref="A224:B224"/>
    <mergeCell ref="L224:M224"/>
    <mergeCell ref="A251:B251"/>
    <mergeCell ref="L251:M251"/>
    <mergeCell ref="A252:B252"/>
    <mergeCell ref="L252:M252"/>
    <mergeCell ref="A37:H37"/>
    <mergeCell ref="C33:E33"/>
    <mergeCell ref="A36:B36"/>
    <mergeCell ref="C36:H36"/>
    <mergeCell ref="C35:H35"/>
    <mergeCell ref="A87:B87"/>
    <mergeCell ref="F181:H181"/>
    <mergeCell ref="A175:E175"/>
    <mergeCell ref="A231:H231"/>
    <mergeCell ref="E206:E207"/>
    <mergeCell ref="G206:H207"/>
    <mergeCell ref="A94:B94"/>
    <mergeCell ref="E94:F103"/>
    <mergeCell ref="A101:B101"/>
    <mergeCell ref="A102:B102"/>
    <mergeCell ref="A103:B103"/>
    <mergeCell ref="A106:B106"/>
    <mergeCell ref="F174:H174"/>
    <mergeCell ref="F179:H179"/>
    <mergeCell ref="A230:H230"/>
    <mergeCell ref="G199:H199"/>
    <mergeCell ref="A200:B200"/>
    <mergeCell ref="F182:H182"/>
    <mergeCell ref="F185:H185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2:B32"/>
    <mergeCell ref="C32:E32"/>
    <mergeCell ref="A15:B15"/>
    <mergeCell ref="C15:D15"/>
    <mergeCell ref="E15:F15"/>
    <mergeCell ref="G15:H15"/>
    <mergeCell ref="A10:D10"/>
    <mergeCell ref="E10:H10"/>
    <mergeCell ref="A22:D22"/>
    <mergeCell ref="E22:H22"/>
    <mergeCell ref="A26:D26"/>
    <mergeCell ref="E26:H26"/>
    <mergeCell ref="A23:D23"/>
    <mergeCell ref="A24:D24"/>
    <mergeCell ref="E24:H24"/>
    <mergeCell ref="A16:B16"/>
    <mergeCell ref="C16:D16"/>
    <mergeCell ref="E16:F16"/>
    <mergeCell ref="G16:H16"/>
    <mergeCell ref="A17:B17"/>
    <mergeCell ref="C17:D17"/>
    <mergeCell ref="E17:F17"/>
    <mergeCell ref="A19:D20"/>
    <mergeCell ref="E19:H20"/>
    <mergeCell ref="A14:B14"/>
    <mergeCell ref="A11:D1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1:H11"/>
    <mergeCell ref="A12:D12"/>
    <mergeCell ref="E12:H12"/>
    <mergeCell ref="A13:B13"/>
    <mergeCell ref="C13:H13"/>
    <mergeCell ref="C14:H14"/>
    <mergeCell ref="A531:H531"/>
    <mergeCell ref="E196:F196"/>
    <mergeCell ref="E189:F189"/>
    <mergeCell ref="A204:H204"/>
    <mergeCell ref="A189:B189"/>
    <mergeCell ref="C189:D189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69:H69"/>
    <mergeCell ref="D72:H72"/>
    <mergeCell ref="A75:C75"/>
    <mergeCell ref="D75:H75"/>
    <mergeCell ref="A73:C73"/>
    <mergeCell ref="D73:H73"/>
    <mergeCell ref="A74:C74"/>
    <mergeCell ref="D74:H74"/>
    <mergeCell ref="F183:H183"/>
    <mergeCell ref="D70:H70"/>
    <mergeCell ref="A86:B86"/>
    <mergeCell ref="A79:B79"/>
    <mergeCell ref="A82:B82"/>
    <mergeCell ref="A78:B78"/>
    <mergeCell ref="A76:B76"/>
    <mergeCell ref="A80:B80"/>
    <mergeCell ref="G79:H79"/>
    <mergeCell ref="G80:H89"/>
    <mergeCell ref="A88:B88"/>
    <mergeCell ref="A89:B89"/>
    <mergeCell ref="A135:B135"/>
    <mergeCell ref="E135:F135"/>
    <mergeCell ref="G135:H135"/>
    <mergeCell ref="A159:B159"/>
    <mergeCell ref="A154:B154"/>
    <mergeCell ref="A155:B155"/>
    <mergeCell ref="A156:B156"/>
    <mergeCell ref="G17:H17"/>
    <mergeCell ref="A18:B18"/>
    <mergeCell ref="C18:D18"/>
    <mergeCell ref="E18:F18"/>
    <mergeCell ref="G18:H18"/>
    <mergeCell ref="E23:H23"/>
    <mergeCell ref="A25:D25"/>
    <mergeCell ref="E25:H25"/>
    <mergeCell ref="A21:D21"/>
    <mergeCell ref="E21:H21"/>
    <mergeCell ref="A27:D27"/>
    <mergeCell ref="E27:H27"/>
    <mergeCell ref="A28:D28"/>
    <mergeCell ref="E28:H28"/>
    <mergeCell ref="A38:D38"/>
    <mergeCell ref="E38:H38"/>
    <mergeCell ref="A69:C69"/>
    <mergeCell ref="A70:C70"/>
    <mergeCell ref="A83:B83"/>
    <mergeCell ref="E79:F79"/>
    <mergeCell ref="A72:C72"/>
    <mergeCell ref="E80:F89"/>
    <mergeCell ref="G46:H46"/>
    <mergeCell ref="G48:H48"/>
    <mergeCell ref="C48:E48"/>
    <mergeCell ref="C47:E47"/>
    <mergeCell ref="A47:B47"/>
    <mergeCell ref="A60:C60"/>
    <mergeCell ref="A61:C61"/>
    <mergeCell ref="D61:H61"/>
    <mergeCell ref="G58:H58"/>
    <mergeCell ref="G47:H47"/>
    <mergeCell ref="A48:B49"/>
    <mergeCell ref="A50:B51"/>
    <mergeCell ref="A538:H541"/>
    <mergeCell ref="A537:B537"/>
    <mergeCell ref="E537:F537"/>
    <mergeCell ref="C537:D537"/>
    <mergeCell ref="G537:H537"/>
    <mergeCell ref="A188:H188"/>
    <mergeCell ref="A186:E186"/>
    <mergeCell ref="F186:H186"/>
    <mergeCell ref="A187:E187"/>
    <mergeCell ref="F187:H187"/>
    <mergeCell ref="A291:H291"/>
    <mergeCell ref="A190:B190"/>
    <mergeCell ref="A533:H533"/>
    <mergeCell ref="A195:H195"/>
    <mergeCell ref="A536:H536"/>
    <mergeCell ref="A534:H534"/>
    <mergeCell ref="A513:H513"/>
    <mergeCell ref="C206:C207"/>
    <mergeCell ref="A530:H530"/>
    <mergeCell ref="A237:B237"/>
    <mergeCell ref="G237:H237"/>
    <mergeCell ref="B206:B207"/>
    <mergeCell ref="A206:A207"/>
    <mergeCell ref="C287:C288"/>
    <mergeCell ref="B522:H522"/>
    <mergeCell ref="B523:H523"/>
    <mergeCell ref="G49:H49"/>
    <mergeCell ref="A215:B215"/>
    <mergeCell ref="A216:B216"/>
    <mergeCell ref="A217:B217"/>
    <mergeCell ref="A222:B222"/>
    <mergeCell ref="A223:B223"/>
    <mergeCell ref="A211:B211"/>
    <mergeCell ref="A212:B212"/>
    <mergeCell ref="A318:B318"/>
    <mergeCell ref="A319:B319"/>
    <mergeCell ref="A300:B300"/>
    <mergeCell ref="D65:H65"/>
    <mergeCell ref="C104:H104"/>
    <mergeCell ref="C106:H106"/>
    <mergeCell ref="E107:F107"/>
    <mergeCell ref="G107:H107"/>
    <mergeCell ref="D60:H60"/>
    <mergeCell ref="D63:H63"/>
    <mergeCell ref="D64:H64"/>
    <mergeCell ref="A58:B58"/>
    <mergeCell ref="C58:E58"/>
    <mergeCell ref="A59:H59"/>
    <mergeCell ref="A52:B53"/>
    <mergeCell ref="D62:H62"/>
    <mergeCell ref="A62:C62"/>
    <mergeCell ref="C52:E52"/>
    <mergeCell ref="G52:H52"/>
    <mergeCell ref="C53:H53"/>
    <mergeCell ref="E39:H39"/>
    <mergeCell ref="A39:D39"/>
    <mergeCell ref="A535:H535"/>
    <mergeCell ref="A532:H532"/>
    <mergeCell ref="A196:B196"/>
    <mergeCell ref="D287:D288"/>
    <mergeCell ref="E287:E288"/>
    <mergeCell ref="G287:H288"/>
    <mergeCell ref="A98:B98"/>
    <mergeCell ref="A99:B99"/>
    <mergeCell ref="A100:B100"/>
    <mergeCell ref="A90:B90"/>
    <mergeCell ref="C90:H90"/>
    <mergeCell ref="A113:B113"/>
    <mergeCell ref="A85:B85"/>
    <mergeCell ref="F175:H175"/>
    <mergeCell ref="G190:H190"/>
    <mergeCell ref="A116:B116"/>
    <mergeCell ref="A46:B46"/>
    <mergeCell ref="C46:E46"/>
    <mergeCell ref="C49:E49"/>
    <mergeCell ref="A218:B218"/>
    <mergeCell ref="A219:B219"/>
    <mergeCell ref="A220:B220"/>
    <mergeCell ref="L212:M212"/>
    <mergeCell ref="A213:B213"/>
    <mergeCell ref="L213:M213"/>
    <mergeCell ref="L214:M214"/>
    <mergeCell ref="A209:H209"/>
    <mergeCell ref="A210:H210"/>
    <mergeCell ref="E108:F117"/>
    <mergeCell ref="G108:H117"/>
    <mergeCell ref="A117:B117"/>
    <mergeCell ref="C76:H76"/>
    <mergeCell ref="A84:B84"/>
    <mergeCell ref="A71:C71"/>
    <mergeCell ref="D71:H71"/>
    <mergeCell ref="C78:H78"/>
    <mergeCell ref="A81:B81"/>
    <mergeCell ref="A92:B92"/>
    <mergeCell ref="C92:H92"/>
    <mergeCell ref="A93:B93"/>
    <mergeCell ref="L266:M266"/>
    <mergeCell ref="A225:B225"/>
    <mergeCell ref="L225:M225"/>
    <mergeCell ref="A226:B226"/>
    <mergeCell ref="L226:M226"/>
    <mergeCell ref="A284:B284"/>
    <mergeCell ref="A228:B228"/>
    <mergeCell ref="L228:M228"/>
    <mergeCell ref="L276:M276"/>
    <mergeCell ref="A268:H268"/>
    <mergeCell ref="A277:H277"/>
    <mergeCell ref="A279:H279"/>
    <mergeCell ref="A280:B280"/>
    <mergeCell ref="A271:B271"/>
    <mergeCell ref="L271:M271"/>
    <mergeCell ref="A227:B227"/>
    <mergeCell ref="A264:B264"/>
    <mergeCell ref="A265:B265"/>
    <mergeCell ref="L282:M282"/>
    <mergeCell ref="A272:B272"/>
    <mergeCell ref="L272:M272"/>
    <mergeCell ref="A267:H267"/>
    <mergeCell ref="L275:M275"/>
    <mergeCell ref="A270:H270"/>
    <mergeCell ref="L280:M280"/>
    <mergeCell ref="A273:B273"/>
    <mergeCell ref="L273:M273"/>
    <mergeCell ref="A274:B274"/>
    <mergeCell ref="L274:M274"/>
    <mergeCell ref="L281:M281"/>
    <mergeCell ref="A282:B282"/>
    <mergeCell ref="L317:M317"/>
    <mergeCell ref="A315:B315"/>
    <mergeCell ref="A316:B316"/>
    <mergeCell ref="A292:B292"/>
    <mergeCell ref="A293:B293"/>
    <mergeCell ref="A294:B294"/>
    <mergeCell ref="A295:B295"/>
    <mergeCell ref="A296:B296"/>
    <mergeCell ref="A297:B297"/>
    <mergeCell ref="A298:B298"/>
    <mergeCell ref="A305:B305"/>
    <mergeCell ref="A290:H290"/>
    <mergeCell ref="L291:M291"/>
    <mergeCell ref="A304:H304"/>
    <mergeCell ref="L304:M304"/>
    <mergeCell ref="A303:B303"/>
    <mergeCell ref="A299:B299"/>
    <mergeCell ref="L347:M347"/>
    <mergeCell ref="L348:M348"/>
    <mergeCell ref="L344:M344"/>
    <mergeCell ref="L345:M345"/>
    <mergeCell ref="L352:M352"/>
    <mergeCell ref="L349:M349"/>
    <mergeCell ref="L350:M350"/>
    <mergeCell ref="L351:M351"/>
    <mergeCell ref="A344:B344"/>
    <mergeCell ref="A345:B345"/>
    <mergeCell ref="A347:B347"/>
    <mergeCell ref="A348:B348"/>
    <mergeCell ref="A349:B349"/>
    <mergeCell ref="A350:B350"/>
    <mergeCell ref="A351:B351"/>
    <mergeCell ref="A352:B352"/>
    <mergeCell ref="G347:H358"/>
    <mergeCell ref="A354:B354"/>
    <mergeCell ref="A355:B355"/>
    <mergeCell ref="A356:B356"/>
    <mergeCell ref="C356:F356"/>
    <mergeCell ref="L343:M343"/>
    <mergeCell ref="A302:B302"/>
    <mergeCell ref="A281:B281"/>
    <mergeCell ref="L355:M355"/>
    <mergeCell ref="L356:M356"/>
    <mergeCell ref="L353:M353"/>
    <mergeCell ref="L354:M354"/>
    <mergeCell ref="D66:H66"/>
    <mergeCell ref="L338:M338"/>
    <mergeCell ref="L339:M339"/>
    <mergeCell ref="L340:M340"/>
    <mergeCell ref="L341:M341"/>
    <mergeCell ref="C146:H146"/>
    <mergeCell ref="C148:H148"/>
    <mergeCell ref="E149:F149"/>
    <mergeCell ref="G149:H149"/>
    <mergeCell ref="E150:F159"/>
    <mergeCell ref="G150:H159"/>
    <mergeCell ref="L334:M334"/>
    <mergeCell ref="L335:M335"/>
    <mergeCell ref="L336:M336"/>
    <mergeCell ref="L337:M337"/>
    <mergeCell ref="E136:F145"/>
    <mergeCell ref="A104:B104"/>
    <mergeCell ref="D68:H68"/>
    <mergeCell ref="A63:C68"/>
    <mergeCell ref="E93:F93"/>
    <mergeCell ref="G93:H93"/>
    <mergeCell ref="D67:H67"/>
    <mergeCell ref="A132:B132"/>
    <mergeCell ref="A160:B160"/>
    <mergeCell ref="C160:H160"/>
    <mergeCell ref="A162:B162"/>
    <mergeCell ref="C162:H162"/>
    <mergeCell ref="A118:B118"/>
    <mergeCell ref="C118:H118"/>
    <mergeCell ref="A120:B120"/>
    <mergeCell ref="C120:H120"/>
    <mergeCell ref="A121:B121"/>
    <mergeCell ref="E121:F121"/>
    <mergeCell ref="G121:H121"/>
    <mergeCell ref="A122:B122"/>
    <mergeCell ref="E122:F131"/>
    <mergeCell ref="G122:H131"/>
    <mergeCell ref="A123:B123"/>
    <mergeCell ref="A124:B124"/>
    <mergeCell ref="A125:B125"/>
    <mergeCell ref="A126:B126"/>
    <mergeCell ref="L342:M342"/>
    <mergeCell ref="A289:H289"/>
    <mergeCell ref="A229:H229"/>
    <mergeCell ref="A258:H258"/>
    <mergeCell ref="A259:H259"/>
    <mergeCell ref="L284:M284"/>
    <mergeCell ref="A285:B285"/>
    <mergeCell ref="L285:M285"/>
    <mergeCell ref="A192:B192"/>
    <mergeCell ref="A283:B283"/>
    <mergeCell ref="A266:B266"/>
    <mergeCell ref="A263:B263"/>
    <mergeCell ref="A208:H208"/>
    <mergeCell ref="E199:F199"/>
    <mergeCell ref="C198:D198"/>
    <mergeCell ref="E198:F198"/>
    <mergeCell ref="G198:H198"/>
    <mergeCell ref="C200:D200"/>
    <mergeCell ref="E200:F200"/>
    <mergeCell ref="L283:M283"/>
    <mergeCell ref="A276:B276"/>
    <mergeCell ref="G200:H200"/>
    <mergeCell ref="A330:H330"/>
    <mergeCell ref="A275:B275"/>
    <mergeCell ref="A158:B158"/>
    <mergeCell ref="A138:B138"/>
    <mergeCell ref="A139:B139"/>
    <mergeCell ref="A140:B140"/>
    <mergeCell ref="A141:B141"/>
    <mergeCell ref="A142:B142"/>
    <mergeCell ref="A143:B143"/>
    <mergeCell ref="A144:B144"/>
    <mergeCell ref="A153:B153"/>
    <mergeCell ref="A127:B127"/>
    <mergeCell ref="A128:B128"/>
    <mergeCell ref="A129:B129"/>
    <mergeCell ref="A130:B130"/>
    <mergeCell ref="A131:B131"/>
    <mergeCell ref="A163:B163"/>
    <mergeCell ref="E163:F163"/>
    <mergeCell ref="G163:H163"/>
    <mergeCell ref="A164:B164"/>
    <mergeCell ref="E164:F173"/>
    <mergeCell ref="G164:H173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C132:H132"/>
    <mergeCell ref="A134:B134"/>
    <mergeCell ref="C134:H134"/>
    <mergeCell ref="A157:B157"/>
    <mergeCell ref="A249:B249"/>
    <mergeCell ref="L249:M249"/>
    <mergeCell ref="B528:H528"/>
    <mergeCell ref="L257:M257"/>
    <mergeCell ref="G240:H257"/>
    <mergeCell ref="L253:M253"/>
    <mergeCell ref="A254:B254"/>
    <mergeCell ref="L254:M254"/>
    <mergeCell ref="A255:B255"/>
    <mergeCell ref="L255:M255"/>
    <mergeCell ref="A256:B256"/>
    <mergeCell ref="L256:M256"/>
    <mergeCell ref="A240:B240"/>
    <mergeCell ref="L240:M240"/>
    <mergeCell ref="A241:B241"/>
    <mergeCell ref="L241:M241"/>
    <mergeCell ref="A242:B242"/>
    <mergeCell ref="L242:M242"/>
    <mergeCell ref="L250:M250"/>
    <mergeCell ref="B525:H525"/>
    <mergeCell ref="B526:H526"/>
    <mergeCell ref="B527:H527"/>
    <mergeCell ref="L245:M245"/>
    <mergeCell ref="L243:M243"/>
    <mergeCell ref="A244:B244"/>
    <mergeCell ref="L244:M244"/>
    <mergeCell ref="A245:B245"/>
    <mergeCell ref="L246:M246"/>
    <mergeCell ref="A247:B247"/>
    <mergeCell ref="L247:M247"/>
    <mergeCell ref="A248:B248"/>
    <mergeCell ref="L248:M248"/>
  </mergeCells>
  <hyperlinks>
    <hyperlink ref="C36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1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03" max="16383" man="1"/>
    <brk id="541" max="16383" man="1"/>
    <brk id="588" max="16383" man="1"/>
    <brk id="63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81640625" defaultRowHeight="14.5" x14ac:dyDescent="0.35"/>
  <cols>
    <col min="1" max="1" width="8.81640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81640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16" t="s">
        <v>105</v>
      </c>
      <c r="C3" s="216"/>
      <c r="D3" s="216"/>
      <c r="E3" s="216"/>
      <c r="F3" s="216"/>
      <c r="G3" s="216"/>
      <c r="H3" s="216"/>
    </row>
    <row r="4" spans="1:9" x14ac:dyDescent="0.35">
      <c r="A4" s="2"/>
      <c r="B4" s="3" t="s">
        <v>106</v>
      </c>
      <c r="C4" s="3" t="s">
        <v>107</v>
      </c>
      <c r="D4" s="3" t="s">
        <v>65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2025-09-28T07:44:22Z</cp:lastPrinted>
  <dcterms:created xsi:type="dcterms:W3CDTF">2019-07-16T09:29:46Z</dcterms:created>
  <dcterms:modified xsi:type="dcterms:W3CDTF">2025-09-28T07:46:14Z</dcterms:modified>
</cp:coreProperties>
</file>