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Update\22675 - Windson Heights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3" i="1" l="1"/>
  <c r="K144" i="1"/>
  <c r="K145" i="1"/>
  <c r="K142" i="1"/>
  <c r="N143" i="1" l="1"/>
  <c r="N144" i="1"/>
  <c r="N142" i="1"/>
  <c r="N145" i="1"/>
  <c r="L143" i="1"/>
  <c r="L144" i="1"/>
  <c r="L145" i="1"/>
  <c r="L142" i="1"/>
  <c r="C96" i="1" l="1"/>
  <c r="G100" i="1"/>
  <c r="E100" i="1"/>
  <c r="C100" i="1"/>
  <c r="G96" i="1"/>
  <c r="G95" i="1"/>
  <c r="E96" i="1"/>
  <c r="E95" i="1"/>
  <c r="C95" i="1"/>
  <c r="E137" i="1"/>
  <c r="E136" i="1"/>
  <c r="E135" i="1"/>
  <c r="E134" i="1"/>
  <c r="E133" i="1"/>
  <c r="E132" i="1"/>
  <c r="E131" i="1"/>
  <c r="E130" i="1"/>
  <c r="E129" i="1"/>
  <c r="E127" i="1"/>
  <c r="E126" i="1"/>
  <c r="E125" i="1"/>
  <c r="E124" i="1"/>
  <c r="E123" i="1"/>
  <c r="E122" i="1"/>
  <c r="E121" i="1"/>
  <c r="E120" i="1"/>
  <c r="D137" i="1"/>
  <c r="D136" i="1"/>
  <c r="D135" i="1"/>
  <c r="D134" i="1"/>
  <c r="D133" i="1"/>
  <c r="D132" i="1"/>
  <c r="D131" i="1"/>
  <c r="D130" i="1"/>
  <c r="D129" i="1"/>
  <c r="E109" i="1"/>
  <c r="D109" i="1"/>
  <c r="D127" i="1"/>
  <c r="D126" i="1"/>
  <c r="D125" i="1"/>
  <c r="D124" i="1"/>
  <c r="D123" i="1"/>
  <c r="D122" i="1"/>
  <c r="D121" i="1"/>
  <c r="D120" i="1"/>
  <c r="E117" i="1"/>
  <c r="E116" i="1"/>
  <c r="E115" i="1"/>
  <c r="E114" i="1"/>
  <c r="E113" i="1"/>
  <c r="E112" i="1"/>
  <c r="E111" i="1"/>
  <c r="E110" i="1"/>
  <c r="D149" i="1" l="1"/>
  <c r="I149" i="1"/>
  <c r="D143" i="1"/>
  <c r="I143" i="1"/>
  <c r="D142" i="1"/>
  <c r="J142" i="1" l="1"/>
  <c r="I142" i="1"/>
  <c r="D153" i="1" l="1"/>
  <c r="A153" i="1"/>
  <c r="D148" i="1"/>
  <c r="D147" i="1"/>
  <c r="F136" i="1"/>
  <c r="D145" i="1"/>
  <c r="D144" i="1"/>
  <c r="F137" i="1"/>
  <c r="F135" i="1"/>
  <c r="A135" i="1"/>
  <c r="A136" i="1" s="1"/>
  <c r="A137" i="1" s="1"/>
  <c r="I129" i="1"/>
  <c r="I125" i="1"/>
  <c r="I127" i="1"/>
  <c r="F126" i="1"/>
  <c r="F125" i="1"/>
  <c r="F127" i="1"/>
  <c r="I115" i="1"/>
  <c r="I111" i="1"/>
  <c r="D117" i="1"/>
  <c r="D116" i="1"/>
  <c r="D115" i="1"/>
  <c r="D114" i="1"/>
  <c r="D113" i="1"/>
  <c r="D112" i="1"/>
  <c r="D111" i="1"/>
  <c r="D110" i="1"/>
  <c r="C101" i="1" l="1"/>
  <c r="E101" i="1"/>
  <c r="E97" i="1" l="1"/>
  <c r="E102" i="1" s="1"/>
  <c r="C97" i="1"/>
  <c r="C102" i="1" s="1"/>
  <c r="G11" i="5"/>
  <c r="F11" i="5"/>
  <c r="G10" i="5"/>
  <c r="F10" i="5"/>
  <c r="G9" i="5"/>
  <c r="F9" i="5"/>
  <c r="G8" i="5"/>
  <c r="F8" i="5"/>
  <c r="G7" i="5"/>
  <c r="F7" i="5"/>
  <c r="G6" i="5"/>
  <c r="F6" i="5"/>
  <c r="G5" i="5"/>
  <c r="G12" i="5" s="1"/>
  <c r="F5" i="5"/>
  <c r="D180" i="1"/>
  <c r="B159" i="1"/>
  <c r="B158" i="1"/>
  <c r="A154" i="1"/>
  <c r="A155" i="1" s="1"/>
  <c r="F153" i="1"/>
  <c r="G152" i="1"/>
  <c r="F152" i="1"/>
  <c r="F149" i="1"/>
  <c r="J149" i="1" s="1"/>
  <c r="F148" i="1"/>
  <c r="A148" i="1"/>
  <c r="A149" i="1" s="1"/>
  <c r="A150" i="1" s="1"/>
  <c r="G147" i="1"/>
  <c r="F147" i="1"/>
  <c r="J147" i="1" s="1"/>
  <c r="F145" i="1"/>
  <c r="J145" i="1" s="1"/>
  <c r="F144" i="1"/>
  <c r="F143" i="1"/>
  <c r="A143" i="1"/>
  <c r="A144" i="1" s="1"/>
  <c r="A145" i="1" s="1"/>
  <c r="G142" i="1"/>
  <c r="F142" i="1"/>
  <c r="F134" i="1"/>
  <c r="F133" i="1"/>
  <c r="F132" i="1"/>
  <c r="F131" i="1"/>
  <c r="F130" i="1"/>
  <c r="A130" i="1"/>
  <c r="A131" i="1" s="1"/>
  <c r="A132" i="1" s="1"/>
  <c r="A133" i="1" s="1"/>
  <c r="A134" i="1" s="1"/>
  <c r="J129" i="1"/>
  <c r="K129" i="1"/>
  <c r="G129" i="1"/>
  <c r="F129" i="1"/>
  <c r="F124" i="1"/>
  <c r="F123" i="1"/>
  <c r="F122" i="1"/>
  <c r="F121" i="1"/>
  <c r="F120" i="1"/>
  <c r="G119" i="1"/>
  <c r="F117" i="1"/>
  <c r="F116" i="1"/>
  <c r="F115" i="1"/>
  <c r="F114" i="1"/>
  <c r="I113" i="1"/>
  <c r="F113" i="1"/>
  <c r="F112" i="1"/>
  <c r="F111" i="1"/>
  <c r="K110" i="1"/>
  <c r="F110" i="1"/>
  <c r="A110" i="1"/>
  <c r="A111" i="1" s="1"/>
  <c r="A112" i="1" s="1"/>
  <c r="A113" i="1" s="1"/>
  <c r="A114" i="1" s="1"/>
  <c r="A115" i="1" s="1"/>
  <c r="A116" i="1" s="1"/>
  <c r="A117" i="1" s="1"/>
  <c r="I109" i="1"/>
  <c r="G109" i="1"/>
  <c r="F109" i="1"/>
  <c r="F92" i="1"/>
  <c r="C65" i="1"/>
  <c r="B66" i="1" s="1"/>
  <c r="D59" i="1"/>
  <c r="D54" i="1"/>
  <c r="G49" i="1"/>
  <c r="G50" i="1" s="1"/>
  <c r="C49" i="1"/>
  <c r="E42" i="1"/>
  <c r="E43" i="1" s="1"/>
  <c r="E29" i="1"/>
  <c r="E26" i="1"/>
  <c r="E24" i="1"/>
  <c r="C14" i="1"/>
  <c r="E7" i="1"/>
  <c r="E3" i="1"/>
  <c r="H66" i="1"/>
  <c r="J148" i="1" l="1"/>
  <c r="G101" i="1"/>
  <c r="J70" i="1"/>
  <c r="C69" i="1" s="1"/>
  <c r="D69" i="1" s="1"/>
  <c r="J68" i="1"/>
  <c r="J65" i="1"/>
  <c r="J67" i="1" s="1"/>
  <c r="D78" i="1"/>
  <c r="D77" i="1"/>
  <c r="D76" i="1"/>
  <c r="D75" i="1"/>
  <c r="D74" i="1"/>
  <c r="D73" i="1"/>
  <c r="D72" i="1"/>
  <c r="D71" i="1"/>
  <c r="J69" i="1"/>
  <c r="J71" i="1"/>
  <c r="J72" i="1" s="1"/>
  <c r="J77" i="1" s="1"/>
  <c r="J78" i="1" s="1"/>
  <c r="C70" i="1" s="1"/>
  <c r="J73" i="1"/>
  <c r="J74" i="1"/>
  <c r="J75" i="1"/>
  <c r="J76" i="1"/>
  <c r="G97" i="1" l="1"/>
  <c r="G102" i="1" s="1"/>
  <c r="E69" i="1"/>
  <c r="D70" i="1"/>
  <c r="I66" i="1" s="1"/>
  <c r="G69" i="1"/>
  <c r="D63" i="1" s="1"/>
  <c r="J66" i="1"/>
  <c r="I67" i="1" l="1"/>
  <c r="I65" i="1" s="1"/>
  <c r="C67" i="1" s="1"/>
  <c r="D64" i="1"/>
</calcChain>
</file>

<file path=xl/sharedStrings.xml><?xml version="1.0" encoding="utf-8"?>
<sst xmlns="http://schemas.openxmlformats.org/spreadsheetml/2006/main" count="308" uniqueCount="233">
  <si>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</si>
  <si>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</si>
  <si>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</si>
  <si>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</si>
  <si>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</si>
  <si>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</si>
  <si>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</si>
  <si>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</si>
  <si>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</si>
  <si>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</si>
  <si>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</si>
  <si>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</si>
  <si>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</si>
  <si>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</si>
  <si>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</si>
  <si>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</si>
  <si>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</si>
  <si>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</si>
  <si>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</si>
  <si>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</si>
  <si>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</si>
  <si>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</si>
  <si>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</si>
  <si>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</si>
  <si>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</si>
  <si>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</si>
  <si>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</si>
  <si>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</si>
  <si>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</si>
  <si>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</si>
  <si>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</si>
  <si>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</si>
  <si>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</si>
  <si>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</si>
  <si>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</si>
  <si>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</si>
  <si>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</si>
  <si>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</si>
  <si>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</si>
  <si>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</si>
  <si>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</si>
  <si>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</si>
  <si>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</si>
  <si>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</si>
  <si>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</si>
  <si>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</si>
  <si>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</si>
  <si>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</si>
  <si>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</si>
  <si>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</si>
  <si>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</si>
  <si>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</si>
  <si>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</si>
  <si>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</si>
  <si>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</si>
  <si>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</si>
  <si>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</si>
  <si>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</si>
  <si>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</si>
  <si>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</si>
  <si>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</si>
  <si>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</si>
  <si>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</si>
  <si>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</si>
  <si>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</si>
  <si>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</si>
  <si>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</si>
  <si>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</si>
  <si>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</si>
  <si>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</si>
  <si>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</si>
  <si>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</si>
  <si>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</si>
  <si>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</si>
  <si>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</si>
  <si>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</si>
  <si>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</si>
  <si>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</si>
  <si>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</si>
  <si>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</si>
  <si>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</si>
  <si>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</si>
  <si>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</si>
  <si>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</si>
  <si>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</si>
  <si>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</si>
  <si>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</si>
  <si>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</si>
  <si>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</si>
  <si>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</si>
  <si>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</si>
  <si>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</si>
  <si>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</si>
  <si>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</si>
  <si>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</si>
  <si>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</si>
  <si>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</si>
  <si>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</si>
  <si>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</si>
  <si>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</si>
  <si>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</si>
  <si>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</si>
  <si>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</si>
  <si>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</si>
  <si>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</si>
  <si>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</si>
  <si>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</si>
  <si>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</si>
  <si>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</si>
  <si>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</si>
  <si>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</si>
  <si>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</si>
  <si>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</si>
  <si>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</si>
  <si>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</si>
  <si>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</si>
  <si>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</si>
  <si>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</si>
  <si>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</si>
  <si>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</si>
  <si>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</si>
  <si>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</si>
  <si>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</si>
  <si>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</si>
  <si>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</si>
  <si>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</si>
  <si>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</si>
  <si>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</si>
  <si>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</si>
  <si>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</si>
  <si>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</si>
  <si>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</si>
  <si>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</si>
  <si>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</si>
  <si>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</si>
  <si>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</si>
  <si>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</si>
  <si>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</si>
  <si>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</si>
  <si>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</si>
  <si>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</si>
  <si>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</si>
  <si>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</si>
  <si>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</si>
  <si>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</si>
  <si>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</si>
  <si>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</si>
  <si>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</si>
  <si>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</si>
  <si>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</si>
  <si>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</si>
  <si>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</si>
  <si>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</si>
  <si>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</si>
  <si>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</si>
  <si>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</si>
  <si>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</si>
  <si>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</si>
  <si>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</si>
  <si>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</si>
  <si>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</si>
  <si>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</si>
  <si>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</si>
  <si>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</si>
  <si>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</si>
  <si>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</si>
  <si>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</si>
  <si>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</si>
  <si>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</si>
  <si>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</si>
  <si>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</si>
  <si>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</si>
  <si>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</si>
  <si>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</si>
  <si>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</si>
  <si>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Ovla Builders &amp; Developers Pvt Ltd</t>
  </si>
  <si>
    <t>Windson Heights</t>
  </si>
  <si>
    <t>Survey No</t>
  </si>
  <si>
    <t>Balkum Pada</t>
  </si>
  <si>
    <t>Thane</t>
  </si>
  <si>
    <t xml:space="preserve">Hotel Raj Residency
</t>
  </si>
  <si>
    <t>Regan Residency</t>
  </si>
  <si>
    <t>Thane Municipal Corporation</t>
  </si>
  <si>
    <t>P51700003576</t>
  </si>
  <si>
    <t>Balkum</t>
  </si>
  <si>
    <t>Bhiwandi -Wada Road</t>
  </si>
  <si>
    <t>TMC pipeline/Pipeline Road</t>
  </si>
  <si>
    <t>Shop</t>
  </si>
  <si>
    <t>Building No.1</t>
  </si>
  <si>
    <t>Shop Duplex With 1st Floor</t>
  </si>
  <si>
    <t>Office</t>
  </si>
  <si>
    <t>Shop Duplex With Ground Floor</t>
  </si>
  <si>
    <t>2BHK</t>
  </si>
  <si>
    <t>1BHK</t>
  </si>
  <si>
    <t>Refuge Area</t>
  </si>
  <si>
    <t>Society Office &amp; Drivres Room</t>
  </si>
  <si>
    <t>Commercial Area Details : Building No.1</t>
  </si>
  <si>
    <t>Flats</t>
  </si>
  <si>
    <t>Residential Area Details : Building No.1</t>
  </si>
  <si>
    <t>Building No.1 = G + 1st to 28th Floor</t>
  </si>
  <si>
    <t>Gymnasium, Yoga &amp; Pilates, Garden With Barbeque &amp; Mini bar, Jacuzzi and Stargazing etc.</t>
  </si>
  <si>
    <t>Ajay Songare</t>
  </si>
  <si>
    <t>Approved Plans, CC,Sale Plans, Cost Sheet</t>
  </si>
  <si>
    <t>https://goo.gl/maps/tghfP6mmVgWuuqBJ8</t>
  </si>
  <si>
    <t>199, H.No. 1A &amp; 1B, S.No.224, H.No. 1, 2, 3A, 3B,4A/1, 4A/2, 4B/1, 4B/2, 5A, 5B, 6A, 6B, S.No. 225, H.No. 4</t>
  </si>
  <si>
    <t>Thane (West)</t>
  </si>
  <si>
    <t>Corpus Funds</t>
  </si>
  <si>
    <t>As per RERA - 31/12/2028</t>
  </si>
  <si>
    <t>Sachin 9833414159/9022151216</t>
  </si>
  <si>
    <t>Pipeline</t>
  </si>
  <si>
    <t>Other Plot</t>
  </si>
  <si>
    <t>60 M W DP Road</t>
  </si>
  <si>
    <t>Building No.1 = G + 1st to 27th Floor</t>
  </si>
  <si>
    <t>1st Floor For Commercial</t>
  </si>
  <si>
    <t>Ground Floor For Commercial &amp; Entrance Foyer</t>
  </si>
  <si>
    <t>2nd &amp; 3rd Floor For Commercial</t>
  </si>
  <si>
    <t xml:space="preserve">Office </t>
  </si>
  <si>
    <t>4th to 6th, 8th to 11th, 13th to 16th, 18th to 21st &amp; 23rd to 26th Floor For Residential</t>
  </si>
  <si>
    <t>7th, 12th, 17th &amp; 22nd Floor (Part Refuge Area)</t>
  </si>
  <si>
    <t>27th Floor For Residential, Society Office, Drivres Room &amp; Amenity (Part Refuge Area)</t>
  </si>
  <si>
    <t>Creche/Fitness Center</t>
  </si>
  <si>
    <t>Attached Otla /E.P area</t>
  </si>
  <si>
    <t>We considered Gross carpet area = Net carpet + Enclose balcony + E.P Area + Otla.</t>
  </si>
  <si>
    <t>Flats - 89, Shops - 09, Offices - 26</t>
  </si>
  <si>
    <t>TMCB/RB/2023/APL/00104</t>
  </si>
  <si>
    <t>Shruti Tathare</t>
  </si>
  <si>
    <t>4.5 KM from Thane Railway Station</t>
  </si>
  <si>
    <t>9700 to 10000</t>
  </si>
  <si>
    <t>on 26/09/2025</t>
  </si>
  <si>
    <t>Construction work has incresed as compare to last visited date 27/10/2023 but at the time of visit no labour or no active work found on site.
Construction work is in process at the time of Visit. (Slow Speed)</t>
  </si>
  <si>
    <t>19.2203786,72.9869733</t>
  </si>
  <si>
    <t>Other charges/ Rate has been revised as per market inquiry (on 26/09/2025).</t>
  </si>
  <si>
    <t>We have updated approved plan &amp; CC on 26/09/2025.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</si>
</sst>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9" xfId="1" applyFont="1" applyFill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35" xfId="1" applyFont="1" applyBorder="1" applyAlignment="1" applyProtection="1">
      <alignment horizontal="left" vertical="top" wrapText="1"/>
      <protection locked="0"/>
    </xf>
    <xf numFmtId="0" fontId="12" fillId="0" borderId="36" xfId="1" applyFont="1" applyBorder="1" applyAlignment="1" applyProtection="1">
      <alignment horizontal="left" vertical="top" wrapText="1"/>
      <protection locked="0"/>
    </xf>
    <xf numFmtId="0" fontId="12" fillId="0" borderId="37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35" xfId="1" applyFont="1" applyBorder="1" applyAlignment="1" applyProtection="1">
      <alignment horizontal="left" vertical="top" wrapText="1"/>
      <protection locked="0"/>
    </xf>
    <xf numFmtId="0" fontId="6" fillId="0" borderId="36" xfId="1" applyFont="1" applyBorder="1" applyAlignment="1" applyProtection="1">
      <alignment horizontal="left" vertical="top" wrapText="1"/>
      <protection locked="0"/>
    </xf>
    <xf numFmtId="0" fontId="6" fillId="0" borderId="3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left" vertical="top" wrapText="1"/>
      <protection locked="0"/>
    </xf>
    <xf numFmtId="1" fontId="6" fillId="0" borderId="9" xfId="1" applyNumberFormat="1" applyFont="1" applyBorder="1" applyAlignment="1" applyProtection="1">
      <alignment horizontal="left"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png"/><Relationship Id="rId5" Type="http://schemas.openxmlformats.org/officeDocument/2006/relationships/image" Target="../media/image4.jpe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672351</xdr:colOff>
      <xdr:row>224</xdr:row>
      <xdr:rowOff>176371</xdr:rowOff>
    </xdr:from>
    <xdr:to>
      <xdr:col>7</xdr:col>
      <xdr:colOff>215058</xdr:colOff>
      <xdr:row>259</xdr:row>
      <xdr:rowOff>78441</xdr:rowOff>
    </xdr:to>
    <xdr:grpSp>
      <xdr:nvGrpSpPr>
        <xdr:cNvPr id="6" name="Group 5"/>
        <xdr:cNvGrpSpPr/>
      </xdr:nvGrpSpPr>
      <xdr:grpSpPr>
        <a:xfrm>
          <a:off x="672351" y="46763146"/>
          <a:ext cx="5238657" cy="6902945"/>
          <a:chOff x="605117" y="46512695"/>
          <a:chExt cx="5246501" cy="6961776"/>
        </a:xfrm>
      </xdr:grpSpPr>
      <xdr:pic>
        <xdr:nvPicPr>
          <xdr:cNvPr id="11" name="Picture 10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 flipH="1" flipV="1">
            <a:off x="1639095" y="49261948"/>
            <a:ext cx="3178545" cy="5246501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5022" y="46512695"/>
            <a:ext cx="4355163" cy="3652619"/>
          </a:xfrm>
          <a:prstGeom prst="rect">
            <a:avLst/>
          </a:prstGeom>
          <a:ln w="19050">
            <a:solidFill>
              <a:schemeClr val="tx1"/>
            </a:solidFill>
          </a:ln>
        </xdr:spPr>
      </xdr:pic>
      <xdr:sp macro="" textlink="">
        <xdr:nvSpPr>
          <xdr:cNvPr id="4" name="Rectangle 3"/>
          <xdr:cNvSpPr/>
        </xdr:nvSpPr>
        <xdr:spPr>
          <a:xfrm rot="20023490">
            <a:off x="2673309" y="47301646"/>
            <a:ext cx="1233520" cy="443005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351504</xdr:colOff>
      <xdr:row>51</xdr:row>
      <xdr:rowOff>209549</xdr:rowOff>
    </xdr:from>
    <xdr:to>
      <xdr:col>10</xdr:col>
      <xdr:colOff>628048</xdr:colOff>
      <xdr:row>57</xdr:row>
      <xdr:rowOff>47439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76129" y="12506324"/>
          <a:ext cx="3419794" cy="1047565"/>
        </a:xfrm>
        <a:prstGeom prst="rect">
          <a:avLst/>
        </a:prstGeom>
      </xdr:spPr>
    </xdr:pic>
    <xdr:clientData/>
  </xdr:twoCellAnchor>
  <xdr:twoCellAnchor>
    <xdr:from>
      <xdr:col>0</xdr:col>
      <xdr:colOff>257174</xdr:colOff>
      <xdr:row>180</xdr:row>
      <xdr:rowOff>123822</xdr:rowOff>
    </xdr:from>
    <xdr:to>
      <xdr:col>7</xdr:col>
      <xdr:colOff>637439</xdr:colOff>
      <xdr:row>214</xdr:row>
      <xdr:rowOff>134698</xdr:rowOff>
    </xdr:to>
    <xdr:grpSp>
      <xdr:nvGrpSpPr>
        <xdr:cNvPr id="5" name="Group 4"/>
        <xdr:cNvGrpSpPr/>
      </xdr:nvGrpSpPr>
      <xdr:grpSpPr>
        <a:xfrm>
          <a:off x="257174" y="39119172"/>
          <a:ext cx="6076215" cy="6802201"/>
          <a:chOff x="257174" y="38471474"/>
          <a:chExt cx="6076215" cy="6801477"/>
        </a:xfrm>
      </xdr:grpSpPr>
      <xdr:pic>
        <xdr:nvPicPr>
          <xdr:cNvPr id="14" name="Picture 13" descr="https://vsjcllp.vsjadon.com/upload/insp-24907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32166" y="42557700"/>
            <a:ext cx="2030749" cy="27104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907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7174" y="38471474"/>
            <a:ext cx="2990115" cy="39909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907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4413" y="42562462"/>
            <a:ext cx="3610639" cy="27104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907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3274" y="38471474"/>
            <a:ext cx="2990115" cy="39909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458560</xdr:colOff>
      <xdr:row>268</xdr:row>
      <xdr:rowOff>133350</xdr:rowOff>
    </xdr:from>
    <xdr:to>
      <xdr:col>7</xdr:col>
      <xdr:colOff>344260</xdr:colOff>
      <xdr:row>306</xdr:row>
      <xdr:rowOff>190500</xdr:rowOff>
    </xdr:to>
    <xdr:grpSp>
      <xdr:nvGrpSpPr>
        <xdr:cNvPr id="9" name="Group 8"/>
        <xdr:cNvGrpSpPr/>
      </xdr:nvGrpSpPr>
      <xdr:grpSpPr>
        <a:xfrm>
          <a:off x="458560" y="55521225"/>
          <a:ext cx="5581650" cy="7658100"/>
          <a:chOff x="458560" y="55827386"/>
          <a:chExt cx="5559879" cy="7813221"/>
        </a:xfrm>
      </xdr:grpSpPr>
      <xdr:grpSp>
        <xdr:nvGrpSpPr>
          <xdr:cNvPr id="8" name="Group 7"/>
          <xdr:cNvGrpSpPr/>
        </xdr:nvGrpSpPr>
        <xdr:grpSpPr>
          <a:xfrm>
            <a:off x="458560" y="59608810"/>
            <a:ext cx="5559879" cy="4031797"/>
            <a:chOff x="404132" y="59567989"/>
            <a:chExt cx="5559879" cy="4031797"/>
          </a:xfrm>
        </xdr:grpSpPr>
        <xdr:pic>
          <xdr:nvPicPr>
            <xdr:cNvPr id="25" name="Picture 2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/>
            <a:srcRect l="245" t="-315" r="-245" b="6874"/>
            <a:stretch/>
          </xdr:blipFill>
          <xdr:spPr>
            <a:xfrm>
              <a:off x="404132" y="59567989"/>
              <a:ext cx="5559879" cy="403179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7" name="Rectangle 16"/>
            <xdr:cNvSpPr/>
          </xdr:nvSpPr>
          <xdr:spPr>
            <a:xfrm rot="20381191">
              <a:off x="2425568" y="61089515"/>
              <a:ext cx="1584558" cy="572157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702129" y="55827386"/>
            <a:ext cx="5147295" cy="3683453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419100</xdr:colOff>
      <xdr:row>90</xdr:row>
      <xdr:rowOff>153467</xdr:rowOff>
    </xdr:from>
    <xdr:to>
      <xdr:col>10</xdr:col>
      <xdr:colOff>838200</xdr:colOff>
      <xdr:row>98</xdr:row>
      <xdr:rowOff>37845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05775" y="19460642"/>
          <a:ext cx="2400300" cy="148457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98</xdr:row>
      <xdr:rowOff>168210</xdr:rowOff>
    </xdr:from>
    <xdr:to>
      <xdr:col>11</xdr:col>
      <xdr:colOff>409575</xdr:colOff>
      <xdr:row>107</xdr:row>
      <xdr:rowOff>142520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24775" y="21075585"/>
          <a:ext cx="3305175" cy="2193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3</xdr:col>
      <xdr:colOff>217562</xdr:colOff>
      <xdr:row>26</xdr:row>
      <xdr:rowOff>54000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7" y="2678206"/>
          <a:ext cx="4162031" cy="23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728382</xdr:colOff>
      <xdr:row>14</xdr:row>
      <xdr:rowOff>6808</xdr:rowOff>
    </xdr:from>
    <xdr:to>
      <xdr:col>8</xdr:col>
      <xdr:colOff>4648</xdr:colOff>
      <xdr:row>26</xdr:row>
      <xdr:rowOff>60808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5558" y="2685014"/>
          <a:ext cx="4162031" cy="23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123264</xdr:colOff>
      <xdr:row>28</xdr:row>
      <xdr:rowOff>0</xdr:rowOff>
    </xdr:from>
    <xdr:to>
      <xdr:col>6</xdr:col>
      <xdr:colOff>153276</xdr:colOff>
      <xdr:row>50</xdr:row>
      <xdr:rowOff>28048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5970" y="5345206"/>
          <a:ext cx="6428571" cy="4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ghfP6mmVgWuuqBJ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68"/>
  <sheetViews>
    <sheetView tabSelected="1" view="pageBreakPreview" topLeftCell="A84" zoomScaleNormal="100" zoomScaleSheetLayoutView="100" workbookViewId="0">
      <selection activeCell="L97" sqref="L9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29.7109375" style="21" customWidth="1"/>
    <col min="11" max="11" width="14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52" t="s">
        <v>169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8" x14ac:dyDescent="0.25">
      <c r="A3" s="101" t="s">
        <v>1</v>
      </c>
      <c r="B3" s="101"/>
      <c r="C3" s="101"/>
      <c r="D3" s="101"/>
      <c r="E3" s="101" t="str">
        <f ca="1">TEXT(TODAY(),"DD/MM/YYYY")</f>
        <v>26/09/2025</v>
      </c>
      <c r="F3" s="101"/>
      <c r="G3" s="101"/>
      <c r="H3" s="101"/>
    </row>
    <row r="4" spans="1:8" ht="15" customHeight="1" x14ac:dyDescent="0.25">
      <c r="A4" s="101" t="s">
        <v>2</v>
      </c>
      <c r="B4" s="101"/>
      <c r="C4" s="101"/>
      <c r="D4" s="101"/>
      <c r="E4" s="101" t="s">
        <v>174</v>
      </c>
      <c r="F4" s="101"/>
      <c r="G4" s="101"/>
      <c r="H4" s="101"/>
    </row>
    <row r="5" spans="1:8" x14ac:dyDescent="0.25">
      <c r="A5" s="100" t="s">
        <v>3</v>
      </c>
      <c r="B5" s="100"/>
      <c r="C5" s="100"/>
      <c r="D5" s="100"/>
      <c r="E5" s="154">
        <v>45925</v>
      </c>
      <c r="F5" s="101"/>
      <c r="G5" s="101"/>
      <c r="H5" s="101"/>
    </row>
    <row r="6" spans="1:8" ht="16.5" customHeight="1" x14ac:dyDescent="0.25">
      <c r="A6" s="101" t="s">
        <v>4</v>
      </c>
      <c r="B6" s="101"/>
      <c r="C6" s="101"/>
      <c r="D6" s="101"/>
      <c r="E6" s="101" t="s">
        <v>175</v>
      </c>
      <c r="F6" s="101"/>
      <c r="G6" s="101"/>
      <c r="H6" s="101"/>
    </row>
    <row r="7" spans="1:8" ht="15" customHeight="1" x14ac:dyDescent="0.25">
      <c r="A7" s="101" t="s">
        <v>5</v>
      </c>
      <c r="B7" s="101"/>
      <c r="C7" s="101"/>
      <c r="D7" s="101"/>
      <c r="E7" s="101" t="str">
        <f>E6</f>
        <v>Ovla Builders &amp; Developers Pvt Ltd</v>
      </c>
      <c r="F7" s="101"/>
      <c r="G7" s="101"/>
      <c r="H7" s="101"/>
    </row>
    <row r="8" spans="1:8" x14ac:dyDescent="0.25">
      <c r="A8" s="101" t="s">
        <v>6</v>
      </c>
      <c r="B8" s="101"/>
      <c r="C8" s="101"/>
      <c r="D8" s="101"/>
      <c r="E8" s="153" t="s">
        <v>176</v>
      </c>
      <c r="F8" s="153"/>
      <c r="G8" s="153"/>
      <c r="H8" s="153"/>
    </row>
    <row r="9" spans="1:8" x14ac:dyDescent="0.25">
      <c r="A9" s="101" t="s">
        <v>172</v>
      </c>
      <c r="B9" s="101"/>
      <c r="C9" s="101"/>
      <c r="D9" s="101"/>
      <c r="E9" s="101" t="s">
        <v>208</v>
      </c>
      <c r="F9" s="101"/>
      <c r="G9" s="101"/>
      <c r="H9" s="101"/>
    </row>
    <row r="10" spans="1:8" x14ac:dyDescent="0.25">
      <c r="A10" s="100" t="s">
        <v>173</v>
      </c>
      <c r="B10" s="100"/>
      <c r="C10" s="100"/>
      <c r="D10" s="100"/>
      <c r="E10" s="101" t="s">
        <v>30</v>
      </c>
      <c r="F10" s="101"/>
      <c r="G10" s="101"/>
      <c r="H10" s="101"/>
    </row>
    <row r="11" spans="1:8" x14ac:dyDescent="0.25">
      <c r="A11" s="101" t="s">
        <v>7</v>
      </c>
      <c r="B11" s="101"/>
      <c r="C11" s="101"/>
      <c r="D11" s="101"/>
      <c r="E11" s="101" t="s">
        <v>188</v>
      </c>
      <c r="F11" s="101"/>
      <c r="G11" s="101"/>
      <c r="H11" s="101"/>
    </row>
    <row r="12" spans="1:8" x14ac:dyDescent="0.25">
      <c r="A12" s="78" t="s">
        <v>8</v>
      </c>
      <c r="B12" s="78"/>
      <c r="C12" s="78"/>
      <c r="D12" s="78"/>
      <c r="E12" s="151" t="s">
        <v>202</v>
      </c>
      <c r="F12" s="151"/>
      <c r="G12" s="151"/>
      <c r="H12" s="151"/>
    </row>
    <row r="13" spans="1:8" x14ac:dyDescent="0.25">
      <c r="A13" s="78" t="s">
        <v>9</v>
      </c>
      <c r="B13" s="78"/>
      <c r="C13" s="78"/>
      <c r="D13" s="78"/>
      <c r="E13" s="155" t="s">
        <v>183</v>
      </c>
      <c r="F13" s="156"/>
      <c r="G13" s="156"/>
      <c r="H13" s="156"/>
    </row>
    <row r="14" spans="1:8" ht="64.5" customHeight="1" x14ac:dyDescent="0.25">
      <c r="A14" s="98" t="s">
        <v>10</v>
      </c>
      <c r="B14" s="98"/>
      <c r="C14" s="9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Windson Heights, Survey No.199, H.No. 1A &amp; 1B, S.No.224, H.No. 1, 2, 3A, 3B,4A/1, 4A/2, 4B/1, 4B/2, 5A, 5B, 6A, 6B, S.No. 225, H.No. 4, near Regan Residency, Bhiwandi -Wada Road, Balkum Pada, Balkum, Thane (West), Thane, Thane - 400607.</v>
      </c>
      <c r="D14" s="98"/>
      <c r="E14" s="98"/>
      <c r="F14" s="98"/>
      <c r="G14" s="98"/>
      <c r="H14" s="98"/>
    </row>
    <row r="15" spans="1:8" ht="33" customHeight="1" x14ac:dyDescent="0.25">
      <c r="A15" s="155" t="s">
        <v>177</v>
      </c>
      <c r="B15" s="155"/>
      <c r="C15" s="155" t="s">
        <v>204</v>
      </c>
      <c r="D15" s="155"/>
      <c r="E15" s="155"/>
      <c r="F15" s="155"/>
      <c r="G15" s="155"/>
      <c r="H15" s="155"/>
    </row>
    <row r="16" spans="1:8" ht="15.75" customHeight="1" x14ac:dyDescent="0.25">
      <c r="A16" s="151" t="s">
        <v>167</v>
      </c>
      <c r="B16" s="151"/>
      <c r="C16" s="151" t="s">
        <v>178</v>
      </c>
      <c r="D16" s="151"/>
      <c r="E16" s="151"/>
      <c r="F16" s="151"/>
      <c r="G16" s="151"/>
      <c r="H16" s="151"/>
    </row>
    <row r="17" spans="1:8" ht="15.75" customHeight="1" x14ac:dyDescent="0.25">
      <c r="A17" s="98" t="s">
        <v>11</v>
      </c>
      <c r="B17" s="98"/>
      <c r="C17" s="101" t="s">
        <v>185</v>
      </c>
      <c r="D17" s="101"/>
      <c r="E17" s="98" t="s">
        <v>74</v>
      </c>
      <c r="F17" s="98"/>
      <c r="G17" s="151" t="s">
        <v>184</v>
      </c>
      <c r="H17" s="151"/>
    </row>
    <row r="18" spans="1:8" x14ac:dyDescent="0.25">
      <c r="A18" s="78" t="s">
        <v>13</v>
      </c>
      <c r="B18" s="78"/>
      <c r="C18" s="151" t="s">
        <v>205</v>
      </c>
      <c r="D18" s="151"/>
      <c r="E18" s="98" t="s">
        <v>12</v>
      </c>
      <c r="F18" s="98"/>
      <c r="G18" s="157" t="s">
        <v>179</v>
      </c>
      <c r="H18" s="157"/>
    </row>
    <row r="19" spans="1:8" x14ac:dyDescent="0.25">
      <c r="A19" s="78" t="s">
        <v>75</v>
      </c>
      <c r="B19" s="78"/>
      <c r="C19" s="151" t="s">
        <v>179</v>
      </c>
      <c r="D19" s="151"/>
      <c r="E19" s="98" t="s">
        <v>14</v>
      </c>
      <c r="F19" s="98"/>
      <c r="G19" s="151">
        <v>400607</v>
      </c>
      <c r="H19" s="151"/>
    </row>
    <row r="20" spans="1:8" ht="32.25" customHeight="1" x14ac:dyDescent="0.25">
      <c r="A20" s="78" t="s">
        <v>125</v>
      </c>
      <c r="B20" s="78"/>
      <c r="C20" s="151" t="s">
        <v>181</v>
      </c>
      <c r="D20" s="151"/>
      <c r="E20" s="98" t="s">
        <v>15</v>
      </c>
      <c r="F20" s="98"/>
      <c r="G20" s="151" t="s">
        <v>226</v>
      </c>
      <c r="H20" s="151"/>
    </row>
    <row r="21" spans="1:8" ht="15" customHeight="1" x14ac:dyDescent="0.25">
      <c r="A21" s="98" t="s">
        <v>77</v>
      </c>
      <c r="B21" s="98"/>
      <c r="C21" s="98"/>
      <c r="D21" s="98"/>
      <c r="E21" s="101" t="s">
        <v>16</v>
      </c>
      <c r="F21" s="101"/>
      <c r="G21" s="101"/>
      <c r="H21" s="101"/>
    </row>
    <row r="22" spans="1:8" ht="18.75" customHeight="1" x14ac:dyDescent="0.25">
      <c r="A22" s="98"/>
      <c r="B22" s="98"/>
      <c r="C22" s="98"/>
      <c r="D22" s="98"/>
      <c r="E22" s="101"/>
      <c r="F22" s="101"/>
      <c r="G22" s="101"/>
      <c r="H22" s="101"/>
    </row>
    <row r="23" spans="1:8" ht="15" customHeight="1" x14ac:dyDescent="0.25">
      <c r="A23" s="98" t="s">
        <v>17</v>
      </c>
      <c r="B23" s="98"/>
      <c r="C23" s="98"/>
      <c r="D23" s="98"/>
      <c r="E23" s="151" t="s">
        <v>18</v>
      </c>
      <c r="F23" s="151"/>
      <c r="G23" s="151"/>
      <c r="H23" s="151"/>
    </row>
    <row r="24" spans="1:8" ht="15" customHeight="1" x14ac:dyDescent="0.25">
      <c r="A24" s="78" t="s">
        <v>19</v>
      </c>
      <c r="B24" s="78"/>
      <c r="C24" s="78"/>
      <c r="D24" s="78"/>
      <c r="E24" s="151" t="str">
        <f>IF(AND(G18="Mumbai"),"Upper Class","Middle Class")</f>
        <v>Middle Class</v>
      </c>
      <c r="F24" s="151"/>
      <c r="G24" s="151"/>
      <c r="H24" s="151"/>
    </row>
    <row r="25" spans="1:8" x14ac:dyDescent="0.25">
      <c r="A25" s="78" t="s">
        <v>20</v>
      </c>
      <c r="B25" s="78"/>
      <c r="C25" s="78"/>
      <c r="D25" s="78"/>
      <c r="E25" s="151" t="s">
        <v>21</v>
      </c>
      <c r="F25" s="151"/>
      <c r="G25" s="151"/>
      <c r="H25" s="151"/>
    </row>
    <row r="26" spans="1:8" ht="15.75" customHeight="1" x14ac:dyDescent="0.25">
      <c r="A26" s="78" t="s">
        <v>22</v>
      </c>
      <c r="B26" s="78"/>
      <c r="C26" s="78"/>
      <c r="D26" s="78"/>
      <c r="E26" s="151" t="str">
        <f>IF(AND(G18="Mumbai"),"Developed","Developing")</f>
        <v>Developing</v>
      </c>
      <c r="F26" s="151"/>
      <c r="G26" s="151"/>
      <c r="H26" s="151"/>
    </row>
    <row r="27" spans="1:8" x14ac:dyDescent="0.25">
      <c r="A27" s="78" t="s">
        <v>23</v>
      </c>
      <c r="B27" s="78"/>
      <c r="C27" s="78"/>
      <c r="D27" s="78"/>
      <c r="E27" s="151" t="s">
        <v>24</v>
      </c>
      <c r="F27" s="151"/>
      <c r="G27" s="151"/>
      <c r="H27" s="151"/>
    </row>
    <row r="28" spans="1:8" ht="15.75" customHeight="1" x14ac:dyDescent="0.25">
      <c r="A28" s="78" t="s">
        <v>82</v>
      </c>
      <c r="B28" s="78"/>
      <c r="C28" s="78"/>
      <c r="D28" s="78"/>
      <c r="E28" s="151" t="s">
        <v>83</v>
      </c>
      <c r="F28" s="151"/>
      <c r="G28" s="151"/>
      <c r="H28" s="151"/>
    </row>
    <row r="29" spans="1:8" ht="15" customHeight="1" x14ac:dyDescent="0.25">
      <c r="A29" s="78" t="s">
        <v>33</v>
      </c>
      <c r="B29" s="78"/>
      <c r="C29" s="78"/>
      <c r="D29" s="78"/>
      <c r="E29" s="15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51"/>
      <c r="G29" s="151"/>
      <c r="H29" s="151"/>
    </row>
    <row r="30" spans="1:8" ht="15.75" customHeight="1" x14ac:dyDescent="0.25">
      <c r="A30" s="78" t="s">
        <v>94</v>
      </c>
      <c r="B30" s="78"/>
      <c r="C30" s="78"/>
      <c r="D30" s="78"/>
      <c r="E30" s="151" t="s">
        <v>34</v>
      </c>
      <c r="F30" s="151"/>
      <c r="G30" s="151"/>
      <c r="H30" s="151"/>
    </row>
    <row r="31" spans="1:8" s="22" customFormat="1" x14ac:dyDescent="0.25">
      <c r="A31" s="163" t="s">
        <v>95</v>
      </c>
      <c r="B31" s="163"/>
      <c r="C31" s="160" t="s">
        <v>29</v>
      </c>
      <c r="D31" s="160"/>
      <c r="E31" s="160"/>
      <c r="F31" s="160" t="s">
        <v>31</v>
      </c>
      <c r="G31" s="160"/>
      <c r="H31" s="160"/>
    </row>
    <row r="32" spans="1:8" s="22" customFormat="1" x14ac:dyDescent="0.25">
      <c r="A32" s="162" t="s">
        <v>25</v>
      </c>
      <c r="B32" s="162" t="s">
        <v>30</v>
      </c>
      <c r="C32" s="161" t="s">
        <v>210</v>
      </c>
      <c r="D32" s="161"/>
      <c r="E32" s="161"/>
      <c r="F32" s="170" t="s">
        <v>180</v>
      </c>
      <c r="G32" s="161"/>
      <c r="H32" s="161"/>
    </row>
    <row r="33" spans="1:8" x14ac:dyDescent="0.25">
      <c r="A33" s="162" t="s">
        <v>26</v>
      </c>
      <c r="B33" s="162" t="s">
        <v>30</v>
      </c>
      <c r="C33" s="161" t="s">
        <v>210</v>
      </c>
      <c r="D33" s="161"/>
      <c r="E33" s="161"/>
      <c r="F33" s="161" t="s">
        <v>181</v>
      </c>
      <c r="G33" s="161"/>
      <c r="H33" s="161"/>
    </row>
    <row r="34" spans="1:8" s="22" customFormat="1" x14ac:dyDescent="0.25">
      <c r="A34" s="162" t="s">
        <v>28</v>
      </c>
      <c r="B34" s="162" t="s">
        <v>30</v>
      </c>
      <c r="C34" s="161" t="s">
        <v>209</v>
      </c>
      <c r="D34" s="161"/>
      <c r="E34" s="161"/>
      <c r="F34" s="161" t="s">
        <v>186</v>
      </c>
      <c r="G34" s="161"/>
      <c r="H34" s="161"/>
    </row>
    <row r="35" spans="1:8" x14ac:dyDescent="0.25">
      <c r="A35" s="162" t="s">
        <v>27</v>
      </c>
      <c r="B35" s="162" t="s">
        <v>30</v>
      </c>
      <c r="C35" s="161" t="s">
        <v>211</v>
      </c>
      <c r="D35" s="161"/>
      <c r="E35" s="161"/>
      <c r="F35" s="161" t="s">
        <v>185</v>
      </c>
      <c r="G35" s="161"/>
      <c r="H35" s="161"/>
    </row>
    <row r="36" spans="1:8" x14ac:dyDescent="0.25">
      <c r="A36" s="78" t="s">
        <v>32</v>
      </c>
      <c r="B36" s="78"/>
      <c r="C36" s="78"/>
      <c r="D36" s="78"/>
      <c r="E36" s="78"/>
      <c r="F36" s="78"/>
      <c r="G36" s="78"/>
      <c r="H36" s="78"/>
    </row>
    <row r="37" spans="1:8" ht="15.75" customHeight="1" x14ac:dyDescent="0.25">
      <c r="A37" s="78" t="s">
        <v>170</v>
      </c>
      <c r="B37" s="78"/>
      <c r="C37" s="145" t="s">
        <v>230</v>
      </c>
      <c r="D37" s="145"/>
      <c r="E37" s="145"/>
      <c r="F37" s="145"/>
      <c r="G37" s="145"/>
      <c r="H37" s="145"/>
    </row>
    <row r="38" spans="1:8" x14ac:dyDescent="0.25">
      <c r="A38" s="78" t="s">
        <v>166</v>
      </c>
      <c r="B38" s="78"/>
      <c r="C38" s="190" t="s">
        <v>203</v>
      </c>
      <c r="D38" s="151"/>
      <c r="E38" s="151"/>
      <c r="F38" s="151"/>
      <c r="G38" s="151"/>
      <c r="H38" s="151"/>
    </row>
    <row r="39" spans="1:8" x14ac:dyDescent="0.25">
      <c r="A39" s="145" t="s">
        <v>35</v>
      </c>
      <c r="B39" s="145"/>
      <c r="C39" s="145"/>
      <c r="D39" s="145"/>
      <c r="E39" s="145"/>
      <c r="F39" s="145"/>
      <c r="G39" s="145"/>
      <c r="H39" s="145"/>
    </row>
    <row r="40" spans="1:8" x14ac:dyDescent="0.25">
      <c r="A40" s="78" t="s">
        <v>36</v>
      </c>
      <c r="B40" s="78"/>
      <c r="C40" s="78"/>
      <c r="D40" s="78"/>
      <c r="E40" s="169">
        <v>2093.73</v>
      </c>
      <c r="F40" s="169"/>
      <c r="G40" s="169"/>
      <c r="H40" s="169"/>
    </row>
    <row r="41" spans="1:8" x14ac:dyDescent="0.25">
      <c r="A41" s="78" t="s">
        <v>37</v>
      </c>
      <c r="B41" s="78"/>
      <c r="C41" s="78"/>
      <c r="D41" s="78"/>
      <c r="E41" s="108">
        <v>1.1000000000000001</v>
      </c>
      <c r="F41" s="108"/>
      <c r="G41" s="108"/>
      <c r="H41" s="108"/>
    </row>
    <row r="42" spans="1:8" x14ac:dyDescent="0.25">
      <c r="A42" s="78" t="s">
        <v>38</v>
      </c>
      <c r="B42" s="78"/>
      <c r="C42" s="78"/>
      <c r="D42" s="78"/>
      <c r="E42" s="108">
        <f>E44/E40-E41</f>
        <v>3.1012962511880704</v>
      </c>
      <c r="F42" s="108"/>
      <c r="G42" s="108"/>
      <c r="H42" s="108"/>
    </row>
    <row r="43" spans="1:8" x14ac:dyDescent="0.25">
      <c r="A43" s="78" t="s">
        <v>39</v>
      </c>
      <c r="B43" s="78"/>
      <c r="C43" s="78"/>
      <c r="D43" s="78"/>
      <c r="E43" s="108">
        <f>E41+E42</f>
        <v>4.2012962511880705</v>
      </c>
      <c r="F43" s="108"/>
      <c r="G43" s="108"/>
      <c r="H43" s="108"/>
    </row>
    <row r="44" spans="1:8" x14ac:dyDescent="0.25">
      <c r="A44" s="78" t="s">
        <v>93</v>
      </c>
      <c r="B44" s="78"/>
      <c r="C44" s="78"/>
      <c r="D44" s="78"/>
      <c r="E44" s="177">
        <v>8796.3799999999992</v>
      </c>
      <c r="F44" s="177"/>
      <c r="G44" s="177"/>
      <c r="H44" s="177"/>
    </row>
    <row r="45" spans="1:8" x14ac:dyDescent="0.25">
      <c r="A45" s="101" t="s">
        <v>40</v>
      </c>
      <c r="B45" s="101"/>
      <c r="C45" s="101"/>
      <c r="D45" s="101"/>
      <c r="E45" s="101" t="s">
        <v>124</v>
      </c>
      <c r="F45" s="101"/>
      <c r="G45" s="101"/>
      <c r="H45" s="101"/>
    </row>
    <row r="46" spans="1:8" x14ac:dyDescent="0.25">
      <c r="A46" s="145" t="s">
        <v>41</v>
      </c>
      <c r="B46" s="145"/>
      <c r="C46" s="145"/>
      <c r="D46" s="145"/>
      <c r="E46" s="145"/>
      <c r="F46" s="145"/>
      <c r="G46" s="145"/>
      <c r="H46" s="145"/>
    </row>
    <row r="47" spans="1:8" ht="33.75" customHeight="1" x14ac:dyDescent="0.25">
      <c r="A47" s="109" t="s">
        <v>154</v>
      </c>
      <c r="B47" s="110"/>
      <c r="C47" s="166" t="s">
        <v>182</v>
      </c>
      <c r="D47" s="167"/>
      <c r="E47" s="167"/>
      <c r="F47" s="167"/>
      <c r="G47" s="167"/>
      <c r="H47" s="168"/>
    </row>
    <row r="48" spans="1:8" x14ac:dyDescent="0.25">
      <c r="A48" s="109" t="s">
        <v>42</v>
      </c>
      <c r="B48" s="110"/>
      <c r="C48" s="109" t="s">
        <v>224</v>
      </c>
      <c r="D48" s="111"/>
      <c r="E48" s="110"/>
      <c r="F48" s="18" t="s">
        <v>43</v>
      </c>
      <c r="G48" s="112">
        <v>45412</v>
      </c>
      <c r="H48" s="110"/>
    </row>
    <row r="49" spans="1:14" x14ac:dyDescent="0.25">
      <c r="A49" s="109" t="s">
        <v>44</v>
      </c>
      <c r="B49" s="110"/>
      <c r="C49" s="109" t="str">
        <f>C48</f>
        <v>TMCB/RB/2023/APL/00104</v>
      </c>
      <c r="D49" s="111"/>
      <c r="E49" s="110"/>
      <c r="F49" s="18" t="s">
        <v>43</v>
      </c>
      <c r="G49" s="112">
        <f>G48</f>
        <v>45412</v>
      </c>
      <c r="H49" s="110"/>
    </row>
    <row r="50" spans="1:14" s="23" customFormat="1" x14ac:dyDescent="0.25">
      <c r="A50" s="193" t="s">
        <v>158</v>
      </c>
      <c r="B50" s="194"/>
      <c r="C50" s="109" t="s">
        <v>224</v>
      </c>
      <c r="D50" s="111"/>
      <c r="E50" s="110"/>
      <c r="F50" s="18" t="s">
        <v>43</v>
      </c>
      <c r="G50" s="112">
        <f>G49</f>
        <v>45412</v>
      </c>
      <c r="H50" s="110"/>
    </row>
    <row r="51" spans="1:14" s="23" customFormat="1" x14ac:dyDescent="0.25">
      <c r="A51" s="90"/>
      <c r="B51" s="92"/>
      <c r="C51" s="109" t="s">
        <v>212</v>
      </c>
      <c r="D51" s="111"/>
      <c r="E51" s="111"/>
      <c r="F51" s="111"/>
      <c r="G51" s="111"/>
      <c r="H51" s="110"/>
    </row>
    <row r="52" spans="1:14" x14ac:dyDescent="0.25">
      <c r="A52" s="118" t="s">
        <v>45</v>
      </c>
      <c r="B52" s="119"/>
      <c r="C52" s="118" t="s">
        <v>106</v>
      </c>
      <c r="D52" s="120"/>
      <c r="E52" s="119"/>
      <c r="F52" s="46" t="s">
        <v>43</v>
      </c>
      <c r="G52" s="164" t="s">
        <v>30</v>
      </c>
      <c r="H52" s="165"/>
    </row>
    <row r="53" spans="1:14" x14ac:dyDescent="0.25">
      <c r="A53" s="79" t="s">
        <v>47</v>
      </c>
      <c r="B53" s="79"/>
      <c r="C53" s="79"/>
      <c r="D53" s="79"/>
      <c r="E53" s="79"/>
      <c r="F53" s="79"/>
      <c r="G53" s="79"/>
      <c r="H53" s="79"/>
    </row>
    <row r="54" spans="1:14" x14ac:dyDescent="0.25">
      <c r="A54" s="98" t="s">
        <v>92</v>
      </c>
      <c r="B54" s="98"/>
      <c r="C54" s="98"/>
      <c r="D54" s="78">
        <f>E44</f>
        <v>8796.3799999999992</v>
      </c>
      <c r="E54" s="78"/>
      <c r="F54" s="78"/>
      <c r="G54" s="78"/>
      <c r="H54" s="78"/>
    </row>
    <row r="55" spans="1:14" x14ac:dyDescent="0.25">
      <c r="A55" s="99" t="s">
        <v>48</v>
      </c>
      <c r="B55" s="100"/>
      <c r="C55" s="100"/>
      <c r="D55" s="101" t="s">
        <v>223</v>
      </c>
      <c r="E55" s="101"/>
      <c r="F55" s="101"/>
      <c r="G55" s="101"/>
      <c r="H55" s="101"/>
      <c r="I55" s="24"/>
    </row>
    <row r="56" spans="1:14" x14ac:dyDescent="0.25">
      <c r="A56" s="113" t="s">
        <v>49</v>
      </c>
      <c r="B56" s="114"/>
      <c r="C56" s="192"/>
      <c r="D56" s="158" t="s">
        <v>212</v>
      </c>
      <c r="E56" s="159"/>
      <c r="F56" s="159"/>
      <c r="G56" s="159"/>
      <c r="H56" s="159"/>
    </row>
    <row r="57" spans="1:14" x14ac:dyDescent="0.25">
      <c r="A57" s="113" t="s">
        <v>90</v>
      </c>
      <c r="B57" s="114"/>
      <c r="C57" s="114"/>
      <c r="D57" s="115" t="s">
        <v>199</v>
      </c>
      <c r="E57" s="116"/>
      <c r="F57" s="116"/>
      <c r="G57" s="116"/>
      <c r="H57" s="117"/>
    </row>
    <row r="58" spans="1:14" ht="15.75" customHeight="1" x14ac:dyDescent="0.25">
      <c r="A58" s="93" t="s">
        <v>46</v>
      </c>
      <c r="B58" s="94"/>
      <c r="C58" s="95"/>
      <c r="D58" s="90" t="s">
        <v>207</v>
      </c>
      <c r="E58" s="91"/>
      <c r="F58" s="91"/>
      <c r="G58" s="91"/>
      <c r="H58" s="92"/>
      <c r="J58" s="25"/>
      <c r="K58" s="24"/>
      <c r="N58" s="24"/>
    </row>
    <row r="59" spans="1:14" ht="15.75" customHeight="1" x14ac:dyDescent="0.25">
      <c r="A59" s="93" t="s">
        <v>88</v>
      </c>
      <c r="B59" s="94"/>
      <c r="C59" s="95"/>
      <c r="D59" s="206" t="str">
        <f>(IF(G52="NA","60 Years After Completion",IF(G52&lt;&gt;"NA",""&amp;60-ROUNDDOWN((E3-G52)/360,0)&amp;" Years"," ")))</f>
        <v>60 Years After Completion</v>
      </c>
      <c r="E59" s="207"/>
      <c r="F59" s="207"/>
      <c r="G59" s="207"/>
      <c r="H59" s="208"/>
      <c r="N59" s="24"/>
    </row>
    <row r="60" spans="1:14" ht="15.75" customHeight="1" x14ac:dyDescent="0.25">
      <c r="A60" s="93" t="s">
        <v>89</v>
      </c>
      <c r="B60" s="94"/>
      <c r="C60" s="95"/>
      <c r="D60" s="109" t="s">
        <v>24</v>
      </c>
      <c r="E60" s="111"/>
      <c r="F60" s="111"/>
      <c r="G60" s="111"/>
      <c r="H60" s="110"/>
      <c r="J60" s="26"/>
      <c r="K60" s="26"/>
    </row>
    <row r="61" spans="1:14" ht="32.25" customHeight="1" x14ac:dyDescent="0.25">
      <c r="A61" s="93" t="s">
        <v>76</v>
      </c>
      <c r="B61" s="94"/>
      <c r="C61" s="95"/>
      <c r="D61" s="174" t="s">
        <v>200</v>
      </c>
      <c r="E61" s="175"/>
      <c r="F61" s="175"/>
      <c r="G61" s="175"/>
      <c r="H61" s="176"/>
    </row>
    <row r="62" spans="1:14" ht="15.75" customHeight="1" x14ac:dyDescent="0.25">
      <c r="A62" s="93" t="s">
        <v>151</v>
      </c>
      <c r="B62" s="94"/>
      <c r="C62" s="95"/>
      <c r="D62" s="109" t="s">
        <v>30</v>
      </c>
      <c r="E62" s="111"/>
      <c r="F62" s="111"/>
      <c r="G62" s="111"/>
      <c r="H62" s="110"/>
      <c r="I62" s="27"/>
      <c r="J62" s="27"/>
      <c r="K62" s="27"/>
      <c r="L62" s="27"/>
      <c r="M62" s="27"/>
      <c r="N62" s="27"/>
    </row>
    <row r="63" spans="1:14" ht="15.75" customHeight="1" x14ac:dyDescent="0.25">
      <c r="A63" s="93" t="s">
        <v>87</v>
      </c>
      <c r="B63" s="94"/>
      <c r="C63" s="95"/>
      <c r="D63" s="174" t="str">
        <f ca="1">(IF(G69&gt;95%,"Nothing",IF(G69&gt;0%,"Cement, Aggregate, Steel, etc",IF(G69=0%,"Work not yet Started"))))</f>
        <v>Cement, Aggregate, Steel, etc</v>
      </c>
      <c r="E63" s="175"/>
      <c r="F63" s="175"/>
      <c r="G63" s="175"/>
      <c r="H63" s="176"/>
      <c r="J63" s="26"/>
    </row>
    <row r="64" spans="1:14" ht="33.75" customHeight="1" thickBot="1" x14ac:dyDescent="0.3">
      <c r="A64" s="171" t="s">
        <v>119</v>
      </c>
      <c r="B64" s="172"/>
      <c r="C64" s="173"/>
      <c r="D64" s="121" t="str">
        <f ca="1">(IF(D63="Nothing","Yes",IF(D63="Cement, Aggregate, Steel, etc","Under Construction",IF(D63="Work not yet Started","Work not yet Started"))))</f>
        <v>Under Construction</v>
      </c>
      <c r="E64" s="122"/>
      <c r="F64" s="122"/>
      <c r="G64" s="122"/>
      <c r="H64" s="123"/>
    </row>
    <row r="65" spans="1:10" ht="15.75" customHeight="1" x14ac:dyDescent="0.25">
      <c r="A65" s="196" t="s">
        <v>143</v>
      </c>
      <c r="B65" s="197"/>
      <c r="C65" s="201" t="str">
        <f>D57</f>
        <v>Building No.1 = G + 1st to 28th Floor</v>
      </c>
      <c r="D65" s="202"/>
      <c r="E65" s="202"/>
      <c r="F65" s="202"/>
      <c r="G65" s="202"/>
      <c r="H65" s="203"/>
      <c r="I65" s="50" t="str">
        <f ca="1">IF(D78=100%,"All work Completed. Possession granted to the Building.",IF(D77=100%,"All work Completed, Waiting for OC",I66&amp;""&amp;I67&amp;""&amp;J66&amp;""&amp;J65&amp;" "&amp;J67))</f>
        <v>Excavation, Plinth Completed, RCC upto 7 Slab, Brickwork upto 3 Floor Completed</v>
      </c>
      <c r="J65" s="5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7 Slab, Brickwork upto 3 Floor</v>
      </c>
    </row>
    <row r="66" spans="1:10" x14ac:dyDescent="0.25">
      <c r="A66" s="16" t="s">
        <v>145</v>
      </c>
      <c r="B66" s="54">
        <f>IF(AND(ISNUMBER(SEARCH("1B",C65))),1,IF(AND(ISNUMBER(SEARCH("2B",C65))),2,IF(AND(ISNUMBER(SEARCH("3B",C65))),3,IF(AND(ISNUMBER(SEARCH("4B",C65))),4,IF(ISNUMBER(SEARCH("5B",C65)),5,0)))))</f>
        <v>0</v>
      </c>
      <c r="C66" s="48" t="s">
        <v>73</v>
      </c>
      <c r="D66" s="48">
        <v>1</v>
      </c>
      <c r="E66" s="48" t="s">
        <v>72</v>
      </c>
      <c r="F66" s="57">
        <v>0</v>
      </c>
      <c r="G66" s="49" t="s">
        <v>81</v>
      </c>
      <c r="H66" s="17">
        <f ca="1">--TRIM(RIGHT(SUBSTITUTE(LEFT(C65,_xlfn.AGGREGATE(16,6,FIND({0,1,2,3,4,5,6,7,8,9},C65,ROW(INDIRECT("1:"&amp;LEN(C65)))),1))," ",REPT(" ",LEN(C65))),LEN(C65)))</f>
        <v>28</v>
      </c>
      <c r="I66" s="5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25">
      <c r="A67" s="195" t="s">
        <v>91</v>
      </c>
      <c r="B67" s="153"/>
      <c r="C67" s="96" t="str">
        <f ca="1">I65</f>
        <v>Excavation, Plinth Completed, RCC upto 7 Slab, Brickwork upto 3 Floor Completed</v>
      </c>
      <c r="D67" s="96"/>
      <c r="E67" s="96"/>
      <c r="F67" s="96"/>
      <c r="G67" s="96"/>
      <c r="H67" s="97"/>
      <c r="I67" s="52" t="str">
        <f ca="1">IF(I66&lt;&gt;""," Completed","")</f>
        <v xml:space="preserve"> Completed</v>
      </c>
      <c r="J67" s="53" t="str">
        <f ca="1">IF(J65&lt;&gt;"","Completed","")</f>
        <v>Completed</v>
      </c>
    </row>
    <row r="68" spans="1:10" ht="15.75" customHeight="1" x14ac:dyDescent="0.25">
      <c r="A68" s="76" t="s">
        <v>50</v>
      </c>
      <c r="B68" s="77"/>
      <c r="C68" s="44" t="s">
        <v>142</v>
      </c>
      <c r="D68" s="44" t="s">
        <v>84</v>
      </c>
      <c r="E68" s="77" t="s">
        <v>86</v>
      </c>
      <c r="F68" s="77"/>
      <c r="G68" s="77" t="s">
        <v>85</v>
      </c>
      <c r="H68" s="198"/>
      <c r="I68" s="14" t="s">
        <v>144</v>
      </c>
      <c r="J68" s="28">
        <f ca="1">H66*25%</f>
        <v>7</v>
      </c>
    </row>
    <row r="69" spans="1:10" x14ac:dyDescent="0.25">
      <c r="A69" s="76" t="s">
        <v>131</v>
      </c>
      <c r="B69" s="77"/>
      <c r="C69" s="44">
        <f ca="1">J70</f>
        <v>28</v>
      </c>
      <c r="D69" s="19">
        <f ca="1">((100/H66)*C69)/100</f>
        <v>1</v>
      </c>
      <c r="E69" s="179">
        <f ca="1">(((C70/H66*10)+(40/(D66+F66+H66)*C71)+(7.5/(H66)*C72)+(7.5/(H66)*C73)+(10/H66*C74)+(10/H66*C75)+(5/H66*C76)+(5/H66*C77)+(5/H66*C78))/100)</f>
        <v>0.2045874384236453</v>
      </c>
      <c r="F69" s="180"/>
      <c r="G69" s="179">
        <f ca="1">((((C69/H66)*20)+((C70/H66)*25)+(30/(H66+F66+D66)*C71)+(5/H66*C72)+(5/H66*C73)+(5/H66*C74)+(5/H66*C75)+(0/H66*C76)+(0/H66*C77)+(5/H66*C78))/100)</f>
        <v>0.5277709359605911</v>
      </c>
      <c r="H69" s="185"/>
      <c r="I69" s="14" t="s">
        <v>101</v>
      </c>
      <c r="J69" s="29">
        <f ca="1">H66*50%</f>
        <v>14</v>
      </c>
    </row>
    <row r="70" spans="1:10" x14ac:dyDescent="0.25">
      <c r="A70" s="76" t="s">
        <v>51</v>
      </c>
      <c r="B70" s="77"/>
      <c r="C70" s="44">
        <f ca="1">J78</f>
        <v>28</v>
      </c>
      <c r="D70" s="19">
        <f ca="1">((100/H66)*C70)/100</f>
        <v>1</v>
      </c>
      <c r="E70" s="181"/>
      <c r="F70" s="182"/>
      <c r="G70" s="181"/>
      <c r="H70" s="186"/>
      <c r="I70" s="14" t="s">
        <v>102</v>
      </c>
      <c r="J70" s="29">
        <f ca="1">H66</f>
        <v>28</v>
      </c>
    </row>
    <row r="71" spans="1:10" ht="15.75" customHeight="1" x14ac:dyDescent="0.25">
      <c r="A71" s="76" t="s">
        <v>132</v>
      </c>
      <c r="B71" s="77"/>
      <c r="C71" s="44">
        <v>7</v>
      </c>
      <c r="D71" s="19">
        <f ca="1">((100/(D66+F66+H66))*C71)/100</f>
        <v>0.24137931034482757</v>
      </c>
      <c r="E71" s="181"/>
      <c r="F71" s="182"/>
      <c r="G71" s="181"/>
      <c r="H71" s="186"/>
      <c r="I71" s="14" t="s">
        <v>103</v>
      </c>
      <c r="J71" s="30">
        <f ca="1">(IF(B66&gt;1,(H66/(B66+2)),H66/4))</f>
        <v>7</v>
      </c>
    </row>
    <row r="72" spans="1:10" ht="15.75" customHeight="1" x14ac:dyDescent="0.25">
      <c r="A72" s="76" t="s">
        <v>139</v>
      </c>
      <c r="B72" s="77" t="s">
        <v>133</v>
      </c>
      <c r="C72" s="44">
        <v>3</v>
      </c>
      <c r="D72" s="19">
        <f ca="1">((100/H66)*C72)/100</f>
        <v>0.10714285714285715</v>
      </c>
      <c r="E72" s="181"/>
      <c r="F72" s="182"/>
      <c r="G72" s="181"/>
      <c r="H72" s="186"/>
      <c r="I72" s="14" t="s">
        <v>104</v>
      </c>
      <c r="J72" s="30">
        <f ca="1">(IF(B66&gt;1,(H66/(B66+2)+J71),H66/4+J71))</f>
        <v>14</v>
      </c>
    </row>
    <row r="73" spans="1:10" ht="15.75" customHeight="1" x14ac:dyDescent="0.25">
      <c r="A73" s="76" t="s">
        <v>140</v>
      </c>
      <c r="B73" s="77" t="s">
        <v>133</v>
      </c>
      <c r="C73" s="44">
        <v>0</v>
      </c>
      <c r="D73" s="19">
        <f ca="1">((100/H66)*C73)/100</f>
        <v>0</v>
      </c>
      <c r="E73" s="181"/>
      <c r="F73" s="182"/>
      <c r="G73" s="181"/>
      <c r="H73" s="186"/>
      <c r="I73" s="14" t="s">
        <v>149</v>
      </c>
      <c r="J73" s="30">
        <f>(IF(B66&gt;1,(H66/(B66+2)+J72),0))</f>
        <v>0</v>
      </c>
    </row>
    <row r="74" spans="1:10" ht="15" customHeight="1" x14ac:dyDescent="0.25">
      <c r="A74" s="76" t="s">
        <v>138</v>
      </c>
      <c r="B74" s="77" t="s">
        <v>135</v>
      </c>
      <c r="C74" s="44">
        <v>0</v>
      </c>
      <c r="D74" s="19">
        <f ca="1">((100/(H66))*C74)/100</f>
        <v>0</v>
      </c>
      <c r="E74" s="181"/>
      <c r="F74" s="182"/>
      <c r="G74" s="181"/>
      <c r="H74" s="186"/>
      <c r="I74" s="14" t="s">
        <v>146</v>
      </c>
      <c r="J74" s="30">
        <f>(IF(B66&gt;2,(H66/(B66+2)+J73),0))</f>
        <v>0</v>
      </c>
    </row>
    <row r="75" spans="1:10" ht="15.75" customHeight="1" x14ac:dyDescent="0.25">
      <c r="A75" s="76" t="s">
        <v>134</v>
      </c>
      <c r="B75" s="77" t="s">
        <v>134</v>
      </c>
      <c r="C75" s="44">
        <v>0</v>
      </c>
      <c r="D75" s="19">
        <f ca="1">((100/H66)*C75)/100</f>
        <v>0</v>
      </c>
      <c r="E75" s="181"/>
      <c r="F75" s="182"/>
      <c r="G75" s="181"/>
      <c r="H75" s="186"/>
      <c r="I75" s="14" t="s">
        <v>147</v>
      </c>
      <c r="J75" s="31">
        <f>(IF(B66&gt;3,(H66/(B66+2)+J74),0))</f>
        <v>0</v>
      </c>
    </row>
    <row r="76" spans="1:10" ht="15.75" customHeight="1" x14ac:dyDescent="0.25">
      <c r="A76" s="76" t="s">
        <v>141</v>
      </c>
      <c r="B76" s="77"/>
      <c r="C76" s="44">
        <v>0</v>
      </c>
      <c r="D76" s="19">
        <f ca="1">((100/H66)*C76)/100</f>
        <v>0</v>
      </c>
      <c r="E76" s="181"/>
      <c r="F76" s="182"/>
      <c r="G76" s="181"/>
      <c r="H76" s="186"/>
      <c r="I76" s="14" t="s">
        <v>148</v>
      </c>
      <c r="J76" s="30">
        <f>(IF(B66&gt;4,(H66/(B66+2)+J75),0))</f>
        <v>0</v>
      </c>
    </row>
    <row r="77" spans="1:10" ht="15.75" customHeight="1" x14ac:dyDescent="0.25">
      <c r="A77" s="76" t="s">
        <v>136</v>
      </c>
      <c r="B77" s="77" t="s">
        <v>136</v>
      </c>
      <c r="C77" s="44">
        <v>0</v>
      </c>
      <c r="D77" s="19">
        <f ca="1">((100/(H66))*C77)/100</f>
        <v>0</v>
      </c>
      <c r="E77" s="181"/>
      <c r="F77" s="182"/>
      <c r="G77" s="181"/>
      <c r="H77" s="186"/>
      <c r="I77" s="14" t="s">
        <v>150</v>
      </c>
      <c r="J77" s="30">
        <f ca="1">(IF(B66=1,(H66/(B66+3)+J72),IF(B66=0,(H66/4+J72),IF(B66&gt;1,0))))</f>
        <v>21</v>
      </c>
    </row>
    <row r="78" spans="1:10" ht="16.5" thickBot="1" x14ac:dyDescent="0.3">
      <c r="A78" s="188" t="s">
        <v>137</v>
      </c>
      <c r="B78" s="189"/>
      <c r="C78" s="45">
        <v>0</v>
      </c>
      <c r="D78" s="20">
        <f ca="1">((100/(H66))*C78)/100</f>
        <v>0</v>
      </c>
      <c r="E78" s="183"/>
      <c r="F78" s="184"/>
      <c r="G78" s="183"/>
      <c r="H78" s="187"/>
      <c r="I78" s="15" t="s">
        <v>105</v>
      </c>
      <c r="J78" s="32">
        <f ca="1">(IF(B66&gt;1.5,(H66/(B66+2)+J72+MAX(0,J73-J72)+MAX(0,J74-J73)+MAX(0,J75-J74)+MAX(0,J76-J75)+MAX(0,J77-J76)),IF(B66=1,(H66/(B66+3)+J77),IF(B66=0,H66/4+J77))))</f>
        <v>28</v>
      </c>
    </row>
    <row r="79" spans="1:10" x14ac:dyDescent="0.25">
      <c r="A79" s="191" t="s">
        <v>159</v>
      </c>
      <c r="B79" s="191"/>
      <c r="C79" s="191"/>
      <c r="D79" s="191"/>
      <c r="E79" s="191"/>
      <c r="F79" s="89" t="s">
        <v>164</v>
      </c>
      <c r="G79" s="89"/>
      <c r="H79" s="89"/>
    </row>
    <row r="80" spans="1:10" x14ac:dyDescent="0.25">
      <c r="A80" s="78" t="s">
        <v>162</v>
      </c>
      <c r="B80" s="78"/>
      <c r="C80" s="78"/>
      <c r="D80" s="78"/>
      <c r="E80" s="78"/>
      <c r="F80" s="86">
        <v>10000</v>
      </c>
      <c r="G80" s="86"/>
      <c r="H80" s="86"/>
      <c r="I80" s="21" t="s">
        <v>227</v>
      </c>
      <c r="J80" s="21" t="s">
        <v>228</v>
      </c>
    </row>
    <row r="81" spans="1:8" x14ac:dyDescent="0.25">
      <c r="A81" s="78" t="s">
        <v>161</v>
      </c>
      <c r="B81" s="78"/>
      <c r="C81" s="78"/>
      <c r="D81" s="78"/>
      <c r="E81" s="78"/>
      <c r="F81" s="86">
        <v>20000</v>
      </c>
      <c r="G81" s="86"/>
      <c r="H81" s="86"/>
    </row>
    <row r="82" spans="1:8" x14ac:dyDescent="0.25">
      <c r="A82" s="78" t="s">
        <v>163</v>
      </c>
      <c r="B82" s="78"/>
      <c r="C82" s="78"/>
      <c r="D82" s="78"/>
      <c r="E82" s="78"/>
      <c r="F82" s="86">
        <v>18000</v>
      </c>
      <c r="G82" s="86"/>
      <c r="H82" s="86"/>
    </row>
    <row r="83" spans="1:8" s="33" customFormat="1" hidden="1" x14ac:dyDescent="0.25">
      <c r="A83" s="78" t="s">
        <v>160</v>
      </c>
      <c r="B83" s="78"/>
      <c r="C83" s="78"/>
      <c r="D83" s="78"/>
      <c r="E83" s="78"/>
      <c r="F83" s="86"/>
      <c r="G83" s="86"/>
      <c r="H83" s="86"/>
    </row>
    <row r="84" spans="1:8" s="33" customFormat="1" x14ac:dyDescent="0.25">
      <c r="A84" s="78" t="s">
        <v>96</v>
      </c>
      <c r="B84" s="78"/>
      <c r="C84" s="78"/>
      <c r="D84" s="78"/>
      <c r="E84" s="78"/>
      <c r="F84" s="86">
        <v>400000</v>
      </c>
      <c r="G84" s="86"/>
      <c r="H84" s="86"/>
    </row>
    <row r="85" spans="1:8" s="33" customFormat="1" hidden="1" x14ac:dyDescent="0.25">
      <c r="A85" s="78" t="s">
        <v>97</v>
      </c>
      <c r="B85" s="78"/>
      <c r="C85" s="78"/>
      <c r="D85" s="78"/>
      <c r="E85" s="78"/>
      <c r="F85" s="86"/>
      <c r="G85" s="86"/>
      <c r="H85" s="86"/>
    </row>
    <row r="86" spans="1:8" s="33" customFormat="1" hidden="1" x14ac:dyDescent="0.25">
      <c r="A86" s="78" t="s">
        <v>165</v>
      </c>
      <c r="B86" s="78"/>
      <c r="C86" s="78"/>
      <c r="D86" s="78"/>
      <c r="E86" s="78"/>
      <c r="F86" s="86"/>
      <c r="G86" s="86"/>
      <c r="H86" s="86"/>
    </row>
    <row r="87" spans="1:8" s="33" customFormat="1" hidden="1" x14ac:dyDescent="0.25">
      <c r="A87" s="78" t="s">
        <v>98</v>
      </c>
      <c r="B87" s="78"/>
      <c r="C87" s="78"/>
      <c r="D87" s="78"/>
      <c r="E87" s="78"/>
      <c r="F87" s="86"/>
      <c r="G87" s="86"/>
      <c r="H87" s="86"/>
    </row>
    <row r="88" spans="1:8" s="33" customFormat="1" x14ac:dyDescent="0.25">
      <c r="A88" s="78" t="s">
        <v>206</v>
      </c>
      <c r="B88" s="78"/>
      <c r="C88" s="78"/>
      <c r="D88" s="78"/>
      <c r="E88" s="78"/>
      <c r="F88" s="86">
        <v>142200</v>
      </c>
      <c r="G88" s="86"/>
      <c r="H88" s="86"/>
    </row>
    <row r="89" spans="1:8" s="33" customFormat="1" x14ac:dyDescent="0.25">
      <c r="A89" s="78" t="s">
        <v>99</v>
      </c>
      <c r="B89" s="78"/>
      <c r="C89" s="78"/>
      <c r="D89" s="78"/>
      <c r="E89" s="78"/>
      <c r="F89" s="86">
        <v>13500</v>
      </c>
      <c r="G89" s="86"/>
      <c r="H89" s="86"/>
    </row>
    <row r="90" spans="1:8" s="33" customFormat="1" x14ac:dyDescent="0.25">
      <c r="A90" s="78" t="s">
        <v>100</v>
      </c>
      <c r="B90" s="78"/>
      <c r="C90" s="78"/>
      <c r="D90" s="78"/>
      <c r="E90" s="78"/>
      <c r="F90" s="86">
        <v>137000</v>
      </c>
      <c r="G90" s="86"/>
      <c r="H90" s="86"/>
    </row>
    <row r="91" spans="1:8" x14ac:dyDescent="0.25">
      <c r="A91" s="78" t="s">
        <v>52</v>
      </c>
      <c r="B91" s="78"/>
      <c r="C91" s="78"/>
      <c r="D91" s="78"/>
      <c r="E91" s="78"/>
      <c r="F91" s="86">
        <v>500000</v>
      </c>
      <c r="G91" s="86"/>
      <c r="H91" s="86"/>
    </row>
    <row r="92" spans="1:8" s="34" customFormat="1" x14ac:dyDescent="0.25">
      <c r="A92" s="145" t="s">
        <v>53</v>
      </c>
      <c r="B92" s="145"/>
      <c r="C92" s="145"/>
      <c r="D92" s="145"/>
      <c r="E92" s="145"/>
      <c r="F92" s="86">
        <f>F80*0.8</f>
        <v>8000</v>
      </c>
      <c r="G92" s="86"/>
      <c r="H92" s="86"/>
    </row>
    <row r="93" spans="1:8" s="35" customFormat="1" ht="15.75" customHeight="1" x14ac:dyDescent="0.25">
      <c r="A93" s="144" t="s">
        <v>196</v>
      </c>
      <c r="B93" s="144"/>
      <c r="C93" s="144"/>
      <c r="D93" s="144"/>
      <c r="E93" s="144"/>
      <c r="F93" s="144"/>
      <c r="G93" s="144"/>
      <c r="H93" s="144"/>
    </row>
    <row r="94" spans="1:8" s="35" customFormat="1" ht="15.75" customHeight="1" x14ac:dyDescent="0.25">
      <c r="A94" s="204" t="s">
        <v>54</v>
      </c>
      <c r="B94" s="204"/>
      <c r="C94" s="149" t="s">
        <v>79</v>
      </c>
      <c r="D94" s="149"/>
      <c r="E94" s="88" t="s">
        <v>55</v>
      </c>
      <c r="F94" s="88"/>
      <c r="G94" s="87" t="s">
        <v>56</v>
      </c>
      <c r="H94" s="87"/>
    </row>
    <row r="95" spans="1:8" s="35" customFormat="1" x14ac:dyDescent="0.25">
      <c r="A95" s="130" t="s">
        <v>187</v>
      </c>
      <c r="B95" s="130"/>
      <c r="C95" s="178">
        <f>COUNT(D109:D117)</f>
        <v>9</v>
      </c>
      <c r="D95" s="205"/>
      <c r="E95" s="131">
        <f>SUM(D109:D117)</f>
        <v>3474.0594719999999</v>
      </c>
      <c r="F95" s="132"/>
      <c r="G95" s="131">
        <f>SUM(F109:F117)</f>
        <v>6145.1662544999999</v>
      </c>
      <c r="H95" s="132"/>
    </row>
    <row r="96" spans="1:8" s="35" customFormat="1" x14ac:dyDescent="0.25">
      <c r="A96" s="130" t="s">
        <v>190</v>
      </c>
      <c r="B96" s="130"/>
      <c r="C96" s="178">
        <f>COUNT(D120:D127)+COUNT(D129:D137)*2</f>
        <v>26</v>
      </c>
      <c r="D96" s="178"/>
      <c r="E96" s="131">
        <f>SUM(D120:D127)+SUM(D129:D137)*2</f>
        <v>6073.5869999999995</v>
      </c>
      <c r="F96" s="132"/>
      <c r="G96" s="131">
        <f>SUM(F120:F127)+SUM(F129:F137)*2</f>
        <v>10668.127743000001</v>
      </c>
      <c r="H96" s="132"/>
    </row>
    <row r="97" spans="1:14" s="35" customFormat="1" x14ac:dyDescent="0.25">
      <c r="A97" s="144" t="s">
        <v>153</v>
      </c>
      <c r="B97" s="144"/>
      <c r="C97" s="200">
        <f>SUM(C95:C96)</f>
        <v>35</v>
      </c>
      <c r="D97" s="149"/>
      <c r="E97" s="200">
        <f t="shared" ref="E97" si="0">SUM(E95:E96)</f>
        <v>9547.6464720000004</v>
      </c>
      <c r="F97" s="149"/>
      <c r="G97" s="200">
        <f t="shared" ref="G97" si="1">SUM(G95:G96)</f>
        <v>16813.293997500001</v>
      </c>
      <c r="H97" s="149"/>
    </row>
    <row r="98" spans="1:14" s="35" customFormat="1" x14ac:dyDescent="0.25">
      <c r="A98" s="144" t="s">
        <v>198</v>
      </c>
      <c r="B98" s="144"/>
      <c r="C98" s="144"/>
      <c r="D98" s="144"/>
      <c r="E98" s="144"/>
      <c r="F98" s="144"/>
      <c r="G98" s="144"/>
      <c r="H98" s="144"/>
    </row>
    <row r="99" spans="1:14" s="35" customFormat="1" ht="15.75" customHeight="1" x14ac:dyDescent="0.25">
      <c r="A99" s="87" t="s">
        <v>54</v>
      </c>
      <c r="B99" s="87"/>
      <c r="C99" s="149" t="s">
        <v>79</v>
      </c>
      <c r="D99" s="149"/>
      <c r="E99" s="88" t="s">
        <v>55</v>
      </c>
      <c r="F99" s="88"/>
      <c r="G99" s="87" t="s">
        <v>56</v>
      </c>
      <c r="H99" s="87"/>
    </row>
    <row r="100" spans="1:14" s="35" customFormat="1" x14ac:dyDescent="0.25">
      <c r="A100" s="130" t="s">
        <v>197</v>
      </c>
      <c r="B100" s="130"/>
      <c r="C100" s="178">
        <f>COUNT(D142:D145)*19+COUNT(D147:D149)*4+COUNT(D153)</f>
        <v>89</v>
      </c>
      <c r="D100" s="178"/>
      <c r="E100" s="131">
        <f>SUM(D142:D145)*19+SUM(D147:D149)*4+SUM(D153)</f>
        <v>47790.303209999998</v>
      </c>
      <c r="F100" s="131"/>
      <c r="G100" s="131">
        <f>SUM(F142:F145)*19+SUM(F147:F149)*4+SUM(F153)</f>
        <v>74074.969975499989</v>
      </c>
      <c r="H100" s="131"/>
    </row>
    <row r="101" spans="1:14" s="35" customFormat="1" ht="16.5" thickBot="1" x14ac:dyDescent="0.3">
      <c r="A101" s="199" t="s">
        <v>153</v>
      </c>
      <c r="B101" s="199"/>
      <c r="C101" s="147">
        <f>SUM(C100)</f>
        <v>89</v>
      </c>
      <c r="D101" s="148"/>
      <c r="E101" s="147">
        <f t="shared" ref="E101" si="2">SUM(E100)</f>
        <v>47790.303209999998</v>
      </c>
      <c r="F101" s="148"/>
      <c r="G101" s="147">
        <f t="shared" ref="G101" si="3">SUM(G100)</f>
        <v>74074.969975499989</v>
      </c>
      <c r="H101" s="148"/>
    </row>
    <row r="102" spans="1:14" s="35" customFormat="1" ht="16.5" thickBot="1" x14ac:dyDescent="0.3">
      <c r="A102" s="133" t="s">
        <v>171</v>
      </c>
      <c r="B102" s="134"/>
      <c r="C102" s="135">
        <f>C97+C101</f>
        <v>124</v>
      </c>
      <c r="D102" s="136"/>
      <c r="E102" s="137">
        <f>E97+E101</f>
        <v>57337.949681999999</v>
      </c>
      <c r="F102" s="137"/>
      <c r="G102" s="138">
        <f>G97+G101</f>
        <v>90888.263972999994</v>
      </c>
      <c r="H102" s="139"/>
    </row>
    <row r="103" spans="1:14" s="34" customFormat="1" x14ac:dyDescent="0.25">
      <c r="A103" s="89" t="s">
        <v>57</v>
      </c>
      <c r="B103" s="89"/>
      <c r="C103" s="89"/>
      <c r="D103" s="89"/>
      <c r="E103" s="89"/>
      <c r="F103" s="89"/>
      <c r="G103" s="89"/>
      <c r="H103" s="89"/>
    </row>
    <row r="104" spans="1:14" x14ac:dyDescent="0.25">
      <c r="A104" s="150" t="s">
        <v>58</v>
      </c>
      <c r="B104" s="150"/>
      <c r="C104" s="150"/>
      <c r="D104" s="150"/>
      <c r="E104" s="150"/>
      <c r="F104" s="150"/>
      <c r="G104" s="150"/>
      <c r="H104" s="150"/>
    </row>
    <row r="105" spans="1:14" ht="47.25" customHeight="1" x14ac:dyDescent="0.25">
      <c r="A105" s="102" t="s">
        <v>121</v>
      </c>
      <c r="B105" s="102" t="s">
        <v>120</v>
      </c>
      <c r="C105" s="102" t="s">
        <v>59</v>
      </c>
      <c r="D105" s="102" t="s">
        <v>60</v>
      </c>
      <c r="E105" s="124" t="s">
        <v>221</v>
      </c>
      <c r="F105" s="43" t="s">
        <v>152</v>
      </c>
      <c r="G105" s="126" t="s">
        <v>62</v>
      </c>
      <c r="H105" s="127"/>
    </row>
    <row r="106" spans="1:14" s="37" customFormat="1" x14ac:dyDescent="0.25">
      <c r="A106" s="103"/>
      <c r="B106" s="103"/>
      <c r="C106" s="103"/>
      <c r="D106" s="103"/>
      <c r="E106" s="125"/>
      <c r="F106" s="13">
        <v>0.55000000000000004</v>
      </c>
      <c r="G106" s="128"/>
      <c r="H106" s="129"/>
    </row>
    <row r="107" spans="1:14" s="56" customFormat="1" x14ac:dyDescent="0.25">
      <c r="A107" s="104" t="s">
        <v>188</v>
      </c>
      <c r="B107" s="105"/>
      <c r="C107" s="105"/>
      <c r="D107" s="105"/>
      <c r="E107" s="105"/>
      <c r="F107" s="105"/>
      <c r="G107" s="105"/>
      <c r="H107" s="106"/>
      <c r="J107" s="36"/>
    </row>
    <row r="108" spans="1:14" s="37" customFormat="1" x14ac:dyDescent="0.25">
      <c r="A108" s="104" t="s">
        <v>214</v>
      </c>
      <c r="B108" s="105"/>
      <c r="C108" s="105"/>
      <c r="D108" s="105"/>
      <c r="E108" s="105"/>
      <c r="F108" s="105"/>
      <c r="G108" s="105"/>
      <c r="H108" s="106"/>
      <c r="J108" s="36"/>
    </row>
    <row r="109" spans="1:14" s="37" customFormat="1" ht="48" customHeight="1" x14ac:dyDescent="0.25">
      <c r="A109" s="73">
        <v>1</v>
      </c>
      <c r="B109" s="75"/>
      <c r="C109" s="42" t="s">
        <v>189</v>
      </c>
      <c r="D109" s="58">
        <f>(14.77*7.5+3.35*0.49+11.6*7.5+3.35*0.49+3*3)*(10.764)</f>
        <v>2261.064312</v>
      </c>
      <c r="E109" s="42">
        <f>(0.9*14.77+0.75*14.77)*(10.764)</f>
        <v>262.32406199999997</v>
      </c>
      <c r="F109" s="42">
        <f t="shared" ref="F109:F117" si="4">(D109+E109)*(($F$106)+1)</f>
        <v>3911.2519797000004</v>
      </c>
      <c r="G109" s="67" t="str">
        <f>A108</f>
        <v>Ground Floor For Commercial &amp; Entrance Foyer</v>
      </c>
      <c r="H109" s="68"/>
      <c r="I109" s="36">
        <f>(14.85*7.63+3.35*0.49)+(14.85*7.63+3.35*0.49)</f>
        <v>229.89399999999998</v>
      </c>
      <c r="L109" s="66"/>
      <c r="M109" s="66"/>
      <c r="N109" s="36"/>
    </row>
    <row r="110" spans="1:14" s="37" customFormat="1" ht="15.75" customHeight="1" x14ac:dyDescent="0.25">
      <c r="A110" s="73">
        <f>A109+1</f>
        <v>2</v>
      </c>
      <c r="B110" s="75"/>
      <c r="C110" s="55" t="s">
        <v>187</v>
      </c>
      <c r="D110" s="58">
        <f>(14.52)*(10.764)</f>
        <v>156.29327999999998</v>
      </c>
      <c r="E110" s="58">
        <f>(0.9*3.06)*(10.764)</f>
        <v>29.644055999999999</v>
      </c>
      <c r="F110" s="42">
        <f t="shared" si="4"/>
        <v>288.20287079999997</v>
      </c>
      <c r="G110" s="69"/>
      <c r="H110" s="70"/>
      <c r="I110" s="64"/>
      <c r="K110" s="37">
        <f>2*(14.85*7.63)+2*(3.35*0.49)</f>
        <v>229.89399999999998</v>
      </c>
      <c r="L110" s="66"/>
      <c r="M110" s="66"/>
      <c r="N110" s="36"/>
    </row>
    <row r="111" spans="1:14" s="37" customFormat="1" ht="15.75" customHeight="1" x14ac:dyDescent="0.25">
      <c r="A111" s="73">
        <f t="shared" ref="A111:A116" si="5">A110+1</f>
        <v>3</v>
      </c>
      <c r="B111" s="75"/>
      <c r="C111" s="55" t="s">
        <v>187</v>
      </c>
      <c r="D111" s="58">
        <f>(13.06)*(10.764)</f>
        <v>140.57784000000001</v>
      </c>
      <c r="E111" s="58">
        <f>(0.9*2.75)*(10.764)</f>
        <v>26.640899999999998</v>
      </c>
      <c r="F111" s="42">
        <f t="shared" si="4"/>
        <v>259.18904700000002</v>
      </c>
      <c r="G111" s="69"/>
      <c r="H111" s="70"/>
      <c r="I111" s="36">
        <f>2.75*4.75</f>
        <v>13.0625</v>
      </c>
      <c r="L111" s="66"/>
      <c r="M111" s="66"/>
      <c r="N111" s="36"/>
    </row>
    <row r="112" spans="1:14" s="37" customFormat="1" ht="15.75" customHeight="1" x14ac:dyDescent="0.25">
      <c r="A112" s="73">
        <f t="shared" si="5"/>
        <v>4</v>
      </c>
      <c r="B112" s="75"/>
      <c r="C112" s="55" t="s">
        <v>187</v>
      </c>
      <c r="D112" s="58">
        <f>(14.01)*(10.764)</f>
        <v>150.80364</v>
      </c>
      <c r="E112" s="58">
        <f>(0.9*2.95)*(10.764)</f>
        <v>28.578420000000001</v>
      </c>
      <c r="F112" s="42">
        <f t="shared" si="4"/>
        <v>278.042193</v>
      </c>
      <c r="G112" s="69"/>
      <c r="H112" s="70"/>
      <c r="I112" s="36"/>
      <c r="L112" s="66"/>
      <c r="M112" s="66"/>
      <c r="N112" s="36"/>
    </row>
    <row r="113" spans="1:14" s="56" customFormat="1" x14ac:dyDescent="0.25">
      <c r="A113" s="73">
        <f t="shared" si="5"/>
        <v>5</v>
      </c>
      <c r="B113" s="75"/>
      <c r="C113" s="55" t="s">
        <v>187</v>
      </c>
      <c r="D113" s="58">
        <f>(13.77)*(10.764)</f>
        <v>148.22027999999997</v>
      </c>
      <c r="E113" s="58">
        <f>(0.9*2.9)*(10.764)</f>
        <v>28.094039999999996</v>
      </c>
      <c r="F113" s="55">
        <f t="shared" si="4"/>
        <v>273.28719599999999</v>
      </c>
      <c r="G113" s="69"/>
      <c r="H113" s="70"/>
      <c r="I113" s="58">
        <f>10.764</f>
        <v>10.763999999999999</v>
      </c>
      <c r="L113" s="66"/>
      <c r="M113" s="66"/>
      <c r="N113" s="36"/>
    </row>
    <row r="114" spans="1:14" s="56" customFormat="1" x14ac:dyDescent="0.25">
      <c r="A114" s="73">
        <f t="shared" si="5"/>
        <v>6</v>
      </c>
      <c r="B114" s="75"/>
      <c r="C114" s="55" t="s">
        <v>187</v>
      </c>
      <c r="D114" s="58">
        <f>(13.06)*(10.764)</f>
        <v>140.57784000000001</v>
      </c>
      <c r="E114" s="58">
        <f>(0.9*2.75)*(10.764)</f>
        <v>26.640899999999998</v>
      </c>
      <c r="F114" s="55">
        <f t="shared" si="4"/>
        <v>259.18904700000002</v>
      </c>
      <c r="G114" s="69"/>
      <c r="H114" s="70"/>
      <c r="I114" s="36"/>
      <c r="L114" s="66"/>
      <c r="M114" s="66"/>
      <c r="N114" s="36"/>
    </row>
    <row r="115" spans="1:14" s="56" customFormat="1" x14ac:dyDescent="0.25">
      <c r="A115" s="73">
        <f t="shared" si="5"/>
        <v>7</v>
      </c>
      <c r="B115" s="75"/>
      <c r="C115" s="55" t="s">
        <v>187</v>
      </c>
      <c r="D115" s="58">
        <f>(14.48)*(10.764)</f>
        <v>155.86272</v>
      </c>
      <c r="E115" s="58">
        <f>(0.9*3.05)*(10.764)</f>
        <v>29.547180000000001</v>
      </c>
      <c r="F115" s="55">
        <f t="shared" si="4"/>
        <v>287.38534499999997</v>
      </c>
      <c r="G115" s="69"/>
      <c r="H115" s="70"/>
      <c r="I115" s="36">
        <f>3.05*4.75</f>
        <v>14.487499999999999</v>
      </c>
      <c r="L115" s="66"/>
      <c r="M115" s="66"/>
      <c r="N115" s="36"/>
    </row>
    <row r="116" spans="1:14" s="56" customFormat="1" x14ac:dyDescent="0.25">
      <c r="A116" s="73">
        <f t="shared" si="5"/>
        <v>8</v>
      </c>
      <c r="B116" s="75"/>
      <c r="C116" s="55" t="s">
        <v>187</v>
      </c>
      <c r="D116" s="58">
        <f>(15.91)*(10.764)</f>
        <v>171.25523999999999</v>
      </c>
      <c r="E116" s="58">
        <f>(0.9*3.35)*(10.764)</f>
        <v>32.45346</v>
      </c>
      <c r="F116" s="55">
        <f t="shared" si="4"/>
        <v>315.74848500000002</v>
      </c>
      <c r="G116" s="69"/>
      <c r="H116" s="70"/>
      <c r="I116" s="36"/>
      <c r="L116" s="66"/>
      <c r="M116" s="66"/>
      <c r="N116" s="36"/>
    </row>
    <row r="117" spans="1:14" s="56" customFormat="1" x14ac:dyDescent="0.25">
      <c r="A117" s="73">
        <f>A116+1</f>
        <v>9</v>
      </c>
      <c r="B117" s="75"/>
      <c r="C117" s="55" t="s">
        <v>187</v>
      </c>
      <c r="D117" s="58">
        <f>(13.88)*(10.764)</f>
        <v>149.40432000000001</v>
      </c>
      <c r="E117" s="58">
        <f>(0.9*2.75)*(10.764)</f>
        <v>26.640899999999998</v>
      </c>
      <c r="F117" s="55">
        <f t="shared" si="4"/>
        <v>272.870091</v>
      </c>
      <c r="G117" s="71"/>
      <c r="H117" s="72"/>
      <c r="I117" s="36"/>
      <c r="L117" s="66"/>
      <c r="M117" s="66"/>
      <c r="N117" s="36"/>
    </row>
    <row r="118" spans="1:14" s="56" customFormat="1" x14ac:dyDescent="0.25">
      <c r="A118" s="209" t="s">
        <v>213</v>
      </c>
      <c r="B118" s="210"/>
      <c r="C118" s="210"/>
      <c r="D118" s="210"/>
      <c r="E118" s="210"/>
      <c r="F118" s="210"/>
      <c r="G118" s="210"/>
      <c r="H118" s="211"/>
      <c r="J118" s="36"/>
    </row>
    <row r="119" spans="1:14" s="56" customFormat="1" ht="15.75" customHeight="1" x14ac:dyDescent="0.25">
      <c r="A119" s="73">
        <v>1</v>
      </c>
      <c r="B119" s="75"/>
      <c r="C119" s="73" t="s">
        <v>191</v>
      </c>
      <c r="D119" s="74"/>
      <c r="E119" s="74"/>
      <c r="F119" s="75"/>
      <c r="G119" s="67" t="str">
        <f>A118</f>
        <v>1st Floor For Commercial</v>
      </c>
      <c r="H119" s="68"/>
      <c r="I119" s="36"/>
      <c r="L119" s="66"/>
      <c r="M119" s="66"/>
      <c r="N119" s="36"/>
    </row>
    <row r="120" spans="1:14" s="56" customFormat="1" ht="15.75" customHeight="1" x14ac:dyDescent="0.25">
      <c r="A120" s="73">
        <v>2</v>
      </c>
      <c r="B120" s="75"/>
      <c r="C120" s="55" t="s">
        <v>190</v>
      </c>
      <c r="D120" s="58">
        <f>(14.52)*(10.764)</f>
        <v>156.29327999999998</v>
      </c>
      <c r="E120" s="58">
        <f>(0.75*3.06)*(10.764)</f>
        <v>24.703379999999999</v>
      </c>
      <c r="F120" s="55">
        <f t="shared" ref="F120:F127" si="6">(D120+E120)*(($F$106)+1)</f>
        <v>280.54482300000001</v>
      </c>
      <c r="G120" s="69"/>
      <c r="H120" s="70"/>
      <c r="I120" s="36"/>
      <c r="L120" s="66"/>
      <c r="M120" s="66"/>
      <c r="N120" s="36"/>
    </row>
    <row r="121" spans="1:14" s="56" customFormat="1" ht="15.75" customHeight="1" x14ac:dyDescent="0.25">
      <c r="A121" s="73">
        <v>3</v>
      </c>
      <c r="B121" s="75"/>
      <c r="C121" s="55" t="s">
        <v>190</v>
      </c>
      <c r="D121" s="58">
        <f>(13.06)*(10.764)</f>
        <v>140.57784000000001</v>
      </c>
      <c r="E121" s="58">
        <f>(0.75*2.75)*(10.764)</f>
        <v>22.200749999999999</v>
      </c>
      <c r="F121" s="55">
        <f t="shared" si="6"/>
        <v>252.30681450000003</v>
      </c>
      <c r="G121" s="69"/>
      <c r="H121" s="70"/>
      <c r="I121" s="36"/>
      <c r="L121" s="66"/>
      <c r="M121" s="66"/>
      <c r="N121" s="36"/>
    </row>
    <row r="122" spans="1:14" s="56" customFormat="1" ht="15.75" customHeight="1" x14ac:dyDescent="0.25">
      <c r="A122" s="73">
        <v>4</v>
      </c>
      <c r="B122" s="75"/>
      <c r="C122" s="55" t="s">
        <v>190</v>
      </c>
      <c r="D122" s="58">
        <f>(14.01)*(10.764)</f>
        <v>150.80364</v>
      </c>
      <c r="E122" s="58">
        <f>(0.75*2.95)*(10.764)</f>
        <v>23.815350000000002</v>
      </c>
      <c r="F122" s="55">
        <f t="shared" si="6"/>
        <v>270.65943449999997</v>
      </c>
      <c r="G122" s="69"/>
      <c r="H122" s="70"/>
      <c r="I122" s="36"/>
      <c r="L122" s="66"/>
      <c r="M122" s="66"/>
      <c r="N122" s="36"/>
    </row>
    <row r="123" spans="1:14" s="56" customFormat="1" x14ac:dyDescent="0.25">
      <c r="A123" s="73">
        <v>5</v>
      </c>
      <c r="B123" s="75"/>
      <c r="C123" s="55" t="s">
        <v>190</v>
      </c>
      <c r="D123" s="58">
        <f>(13.77)*(10.764)</f>
        <v>148.22027999999997</v>
      </c>
      <c r="E123" s="58">
        <f>(0.75*2.9)*(10.764)</f>
        <v>23.411699999999996</v>
      </c>
      <c r="F123" s="55">
        <f t="shared" si="6"/>
        <v>266.02956899999998</v>
      </c>
      <c r="G123" s="69"/>
      <c r="H123" s="70"/>
      <c r="I123" s="36"/>
      <c r="L123" s="66"/>
      <c r="M123" s="66"/>
      <c r="N123" s="36"/>
    </row>
    <row r="124" spans="1:14" s="56" customFormat="1" x14ac:dyDescent="0.25">
      <c r="A124" s="73">
        <v>6</v>
      </c>
      <c r="B124" s="75"/>
      <c r="C124" s="55" t="s">
        <v>190</v>
      </c>
      <c r="D124" s="58">
        <f>(13.06)*(10.764)</f>
        <v>140.57784000000001</v>
      </c>
      <c r="E124" s="58">
        <f>(0.75*2.75)*(10.764)</f>
        <v>22.200749999999999</v>
      </c>
      <c r="F124" s="55">
        <f t="shared" si="6"/>
        <v>252.30681450000003</v>
      </c>
      <c r="G124" s="69"/>
      <c r="H124" s="70"/>
      <c r="I124" s="36"/>
      <c r="L124" s="66"/>
      <c r="M124" s="66"/>
      <c r="N124" s="36"/>
    </row>
    <row r="125" spans="1:14" s="60" customFormat="1" ht="15.75" customHeight="1" x14ac:dyDescent="0.25">
      <c r="A125" s="73">
        <v>7</v>
      </c>
      <c r="B125" s="75"/>
      <c r="C125" s="59" t="s">
        <v>190</v>
      </c>
      <c r="D125" s="58">
        <f>(14.48)*(10.764)</f>
        <v>155.86272</v>
      </c>
      <c r="E125" s="58">
        <f>(0.75*3.05)*(10.764)</f>
        <v>24.622649999999993</v>
      </c>
      <c r="F125" s="59">
        <f t="shared" si="6"/>
        <v>279.75232349999999</v>
      </c>
      <c r="G125" s="69"/>
      <c r="H125" s="70"/>
      <c r="I125" s="36">
        <f>3.05*4.75</f>
        <v>14.487499999999999</v>
      </c>
      <c r="L125" s="66"/>
      <c r="M125" s="66"/>
      <c r="N125" s="36"/>
    </row>
    <row r="126" spans="1:14" s="60" customFormat="1" x14ac:dyDescent="0.25">
      <c r="A126" s="73">
        <v>8</v>
      </c>
      <c r="B126" s="75"/>
      <c r="C126" s="59" t="s">
        <v>190</v>
      </c>
      <c r="D126" s="58">
        <f>(15.91)*(10.764)</f>
        <v>171.25523999999999</v>
      </c>
      <c r="E126" s="58">
        <f>(0.75*3.35)*(10.764)</f>
        <v>27.044550000000001</v>
      </c>
      <c r="F126" s="59">
        <f t="shared" si="6"/>
        <v>307.36467449999998</v>
      </c>
      <c r="G126" s="69"/>
      <c r="H126" s="70"/>
      <c r="I126" s="36"/>
      <c r="L126" s="66"/>
      <c r="M126" s="66"/>
      <c r="N126" s="36"/>
    </row>
    <row r="127" spans="1:14" s="60" customFormat="1" x14ac:dyDescent="0.25">
      <c r="A127" s="73">
        <v>9</v>
      </c>
      <c r="B127" s="75"/>
      <c r="C127" s="59" t="s">
        <v>190</v>
      </c>
      <c r="D127" s="58">
        <f>(13.06)*(10.764)</f>
        <v>140.57784000000001</v>
      </c>
      <c r="E127" s="58">
        <f>(0.75*2.75)*(10.764)</f>
        <v>22.200749999999999</v>
      </c>
      <c r="F127" s="59">
        <f t="shared" si="6"/>
        <v>252.30681450000003</v>
      </c>
      <c r="G127" s="71"/>
      <c r="H127" s="72"/>
      <c r="I127" s="36">
        <f>2.75*4.75</f>
        <v>13.0625</v>
      </c>
      <c r="L127" s="66"/>
      <c r="M127" s="66"/>
      <c r="N127" s="36"/>
    </row>
    <row r="128" spans="1:14" s="56" customFormat="1" x14ac:dyDescent="0.25">
      <c r="A128" s="209" t="s">
        <v>215</v>
      </c>
      <c r="B128" s="210"/>
      <c r="C128" s="210"/>
      <c r="D128" s="210"/>
      <c r="E128" s="210"/>
      <c r="F128" s="210"/>
      <c r="G128" s="210"/>
      <c r="H128" s="211"/>
      <c r="J128" s="36"/>
    </row>
    <row r="129" spans="1:14" s="56" customFormat="1" ht="15.75" customHeight="1" x14ac:dyDescent="0.25">
      <c r="A129" s="73">
        <v>1</v>
      </c>
      <c r="B129" s="75"/>
      <c r="C129" s="55" t="s">
        <v>216</v>
      </c>
      <c r="D129" s="58">
        <f>((114.32))*(10.764)</f>
        <v>1230.5404799999999</v>
      </c>
      <c r="E129" s="58">
        <f>(0.75*14.77)*(10.764)</f>
        <v>119.23821</v>
      </c>
      <c r="F129" s="55">
        <f t="shared" ref="F129:F134" si="7">(D129+E129)*(($F$106)+1)</f>
        <v>2092.1569694999998</v>
      </c>
      <c r="G129" s="67" t="str">
        <f>A128</f>
        <v>2nd &amp; 3rd Floor For Commercial</v>
      </c>
      <c r="H129" s="68"/>
      <c r="I129" s="36">
        <f>14.77*7.6+3.35*0.49</f>
        <v>113.89349999999999</v>
      </c>
      <c r="J129" s="56">
        <f>4.5*3</f>
        <v>13.5</v>
      </c>
      <c r="K129" s="36">
        <f>I129-J129</f>
        <v>100.39349999999999</v>
      </c>
      <c r="L129" s="66"/>
      <c r="M129" s="66"/>
      <c r="N129" s="36"/>
    </row>
    <row r="130" spans="1:14" s="56" customFormat="1" ht="15.75" customHeight="1" x14ac:dyDescent="0.25">
      <c r="A130" s="73">
        <f t="shared" ref="A130:A137" si="8">A129+1</f>
        <v>2</v>
      </c>
      <c r="B130" s="75"/>
      <c r="C130" s="55" t="s">
        <v>190</v>
      </c>
      <c r="D130" s="58">
        <f>(14.52)*(10.764)</f>
        <v>156.29327999999998</v>
      </c>
      <c r="E130" s="58">
        <f>(0.75*3.06)*(10.764)</f>
        <v>24.703379999999999</v>
      </c>
      <c r="F130" s="55">
        <f t="shared" si="7"/>
        <v>280.54482300000001</v>
      </c>
      <c r="G130" s="69"/>
      <c r="H130" s="70"/>
      <c r="I130" s="36"/>
      <c r="L130" s="66"/>
      <c r="M130" s="66"/>
      <c r="N130" s="36"/>
    </row>
    <row r="131" spans="1:14" s="56" customFormat="1" ht="15.75" customHeight="1" x14ac:dyDescent="0.25">
      <c r="A131" s="73">
        <f t="shared" si="8"/>
        <v>3</v>
      </c>
      <c r="B131" s="75"/>
      <c r="C131" s="55" t="s">
        <v>190</v>
      </c>
      <c r="D131" s="58">
        <f>(13.06)*(10.764)</f>
        <v>140.57784000000001</v>
      </c>
      <c r="E131" s="58">
        <f>(0.75*2.75)*(10.764)</f>
        <v>22.200749999999999</v>
      </c>
      <c r="F131" s="55">
        <f t="shared" si="7"/>
        <v>252.30681450000003</v>
      </c>
      <c r="G131" s="69"/>
      <c r="H131" s="70"/>
      <c r="I131" s="36"/>
      <c r="L131" s="66"/>
      <c r="M131" s="66"/>
      <c r="N131" s="36"/>
    </row>
    <row r="132" spans="1:14" s="56" customFormat="1" ht="15.75" customHeight="1" x14ac:dyDescent="0.25">
      <c r="A132" s="73">
        <f t="shared" si="8"/>
        <v>4</v>
      </c>
      <c r="B132" s="75"/>
      <c r="C132" s="55" t="s">
        <v>190</v>
      </c>
      <c r="D132" s="58">
        <f>(14.01)*(10.764)</f>
        <v>150.80364</v>
      </c>
      <c r="E132" s="58">
        <f>(0.75*2.95)*(10.764)</f>
        <v>23.815350000000002</v>
      </c>
      <c r="F132" s="55">
        <f t="shared" si="7"/>
        <v>270.65943449999997</v>
      </c>
      <c r="G132" s="69"/>
      <c r="H132" s="70"/>
      <c r="I132" s="36"/>
      <c r="L132" s="66"/>
      <c r="M132" s="66"/>
      <c r="N132" s="36"/>
    </row>
    <row r="133" spans="1:14" s="56" customFormat="1" x14ac:dyDescent="0.25">
      <c r="A133" s="73">
        <f t="shared" si="8"/>
        <v>5</v>
      </c>
      <c r="B133" s="75"/>
      <c r="C133" s="55" t="s">
        <v>190</v>
      </c>
      <c r="D133" s="58">
        <f>(13.77)*(10.764)</f>
        <v>148.22027999999997</v>
      </c>
      <c r="E133" s="58">
        <f>(0.75*2.9)*(10.764)</f>
        <v>23.411699999999996</v>
      </c>
      <c r="F133" s="55">
        <f t="shared" si="7"/>
        <v>266.02956899999998</v>
      </c>
      <c r="G133" s="69"/>
      <c r="H133" s="70"/>
      <c r="I133" s="36"/>
      <c r="L133" s="66"/>
      <c r="M133" s="66"/>
      <c r="N133" s="36"/>
    </row>
    <row r="134" spans="1:14" s="56" customFormat="1" x14ac:dyDescent="0.25">
      <c r="A134" s="73">
        <f t="shared" si="8"/>
        <v>6</v>
      </c>
      <c r="B134" s="75"/>
      <c r="C134" s="55" t="s">
        <v>190</v>
      </c>
      <c r="D134" s="58">
        <f>(13.06)*(10.764)</f>
        <v>140.57784000000001</v>
      </c>
      <c r="E134" s="58">
        <f>(0.75*2.75)*(10.764)</f>
        <v>22.200749999999999</v>
      </c>
      <c r="F134" s="55">
        <f t="shared" si="7"/>
        <v>252.30681450000003</v>
      </c>
      <c r="G134" s="69"/>
      <c r="H134" s="70"/>
      <c r="I134" s="36"/>
      <c r="L134" s="66"/>
      <c r="M134" s="66"/>
      <c r="N134" s="36"/>
    </row>
    <row r="135" spans="1:14" s="60" customFormat="1" ht="15.75" customHeight="1" x14ac:dyDescent="0.25">
      <c r="A135" s="73">
        <f t="shared" si="8"/>
        <v>7</v>
      </c>
      <c r="B135" s="75"/>
      <c r="C135" s="59" t="s">
        <v>190</v>
      </c>
      <c r="D135" s="58">
        <f>(14.48)*(10.764)</f>
        <v>155.86272</v>
      </c>
      <c r="E135" s="58">
        <f>(0.75*3.05)*(10.764)</f>
        <v>24.622649999999993</v>
      </c>
      <c r="F135" s="59">
        <f t="shared" ref="F135:F137" si="9">(D135+E135)*(($F$106)+1)</f>
        <v>279.75232349999999</v>
      </c>
      <c r="G135" s="69"/>
      <c r="H135" s="70"/>
      <c r="I135" s="36"/>
      <c r="L135" s="66"/>
      <c r="M135" s="66"/>
      <c r="N135" s="36"/>
    </row>
    <row r="136" spans="1:14" s="60" customFormat="1" x14ac:dyDescent="0.25">
      <c r="A136" s="73">
        <f t="shared" si="8"/>
        <v>8</v>
      </c>
      <c r="B136" s="75"/>
      <c r="C136" s="59" t="s">
        <v>190</v>
      </c>
      <c r="D136" s="58">
        <f>(15.91)*(10.764)</f>
        <v>171.25523999999999</v>
      </c>
      <c r="E136" s="58">
        <f>(0.75*3.35)*(10.764)</f>
        <v>27.044550000000001</v>
      </c>
      <c r="F136" s="59">
        <f t="shared" si="9"/>
        <v>307.36467449999998</v>
      </c>
      <c r="G136" s="69"/>
      <c r="H136" s="70"/>
      <c r="I136" s="36"/>
      <c r="L136" s="66"/>
      <c r="M136" s="66"/>
      <c r="N136" s="36"/>
    </row>
    <row r="137" spans="1:14" s="60" customFormat="1" x14ac:dyDescent="0.25">
      <c r="A137" s="73">
        <f t="shared" si="8"/>
        <v>9</v>
      </c>
      <c r="B137" s="75"/>
      <c r="C137" s="59" t="s">
        <v>190</v>
      </c>
      <c r="D137" s="58">
        <f>(13.06)*(10.764)</f>
        <v>140.57784000000001</v>
      </c>
      <c r="E137" s="58">
        <f>(0.75*2.75)*(10.764)</f>
        <v>22.200749999999999</v>
      </c>
      <c r="F137" s="59">
        <f t="shared" si="9"/>
        <v>252.30681450000003</v>
      </c>
      <c r="G137" s="71"/>
      <c r="H137" s="72"/>
      <c r="I137" s="36"/>
      <c r="L137" s="66"/>
      <c r="M137" s="66"/>
      <c r="N137" s="36"/>
    </row>
    <row r="138" spans="1:14" s="37" customFormat="1" x14ac:dyDescent="0.25">
      <c r="A138" s="73"/>
      <c r="B138" s="74"/>
      <c r="C138" s="74"/>
      <c r="D138" s="74"/>
      <c r="E138" s="74"/>
      <c r="F138" s="74"/>
      <c r="G138" s="74"/>
      <c r="H138" s="75"/>
      <c r="I138" s="36"/>
      <c r="N138" s="36"/>
    </row>
    <row r="139" spans="1:14" ht="47.25" customHeight="1" x14ac:dyDescent="0.25">
      <c r="A139" s="126" t="s">
        <v>122</v>
      </c>
      <c r="B139" s="126" t="s">
        <v>123</v>
      </c>
      <c r="C139" s="102" t="s">
        <v>59</v>
      </c>
      <c r="D139" s="102" t="s">
        <v>60</v>
      </c>
      <c r="E139" s="124" t="s">
        <v>61</v>
      </c>
      <c r="F139" s="43" t="s">
        <v>152</v>
      </c>
      <c r="G139" s="126" t="s">
        <v>62</v>
      </c>
      <c r="H139" s="127"/>
      <c r="I139" s="36"/>
    </row>
    <row r="140" spans="1:14" s="37" customFormat="1" x14ac:dyDescent="0.25">
      <c r="A140" s="128"/>
      <c r="B140" s="128"/>
      <c r="C140" s="103"/>
      <c r="D140" s="103"/>
      <c r="E140" s="125"/>
      <c r="F140" s="13">
        <v>0.55000000000000004</v>
      </c>
      <c r="G140" s="128"/>
      <c r="H140" s="129"/>
      <c r="I140" s="36"/>
    </row>
    <row r="141" spans="1:14" s="37" customFormat="1" x14ac:dyDescent="0.25">
      <c r="A141" s="104" t="s">
        <v>217</v>
      </c>
      <c r="B141" s="105"/>
      <c r="C141" s="105"/>
      <c r="D141" s="105"/>
      <c r="E141" s="105"/>
      <c r="F141" s="105"/>
      <c r="G141" s="105"/>
      <c r="H141" s="106"/>
      <c r="J141" s="36"/>
    </row>
    <row r="142" spans="1:14" s="37" customFormat="1" ht="15.75" customHeight="1" x14ac:dyDescent="0.25">
      <c r="A142" s="73">
        <v>1</v>
      </c>
      <c r="B142" s="75"/>
      <c r="C142" s="42" t="s">
        <v>192</v>
      </c>
      <c r="D142" s="58">
        <f>(57.59+8.12+0.75*(3.07+1.4))*(10.764)</f>
        <v>743.38875000000007</v>
      </c>
      <c r="E142" s="65">
        <v>0</v>
      </c>
      <c r="F142" s="42">
        <f>D142*(($F$140)+1)+(IF(E142&lt;101,E142,IF(E142&lt;201,E142/2,IF(E142&lt;=301,E142/3,E142/4))))</f>
        <v>1152.2525625000001</v>
      </c>
      <c r="G142" s="67" t="str">
        <f>A141</f>
        <v>4th to 6th, 8th to 11th, 13th to 16th, 18th to 21st &amp; 23rd to 26th Floor For Residential</v>
      </c>
      <c r="H142" s="68"/>
      <c r="I142" s="63">
        <f>3.29*5.75+3.29*2.07+3*2.47+3.07*4.52+2.27*1.23+2.4*1.23+1*1.1+0.9*3.2</f>
        <v>56.738299999999995</v>
      </c>
      <c r="J142" s="36">
        <f>0.85*(3.29+3+3.07)</f>
        <v>7.9559999999999995</v>
      </c>
      <c r="K142" s="61">
        <f>10000*F142</f>
        <v>11522525.625</v>
      </c>
      <c r="L142" s="66">
        <f>679200</f>
        <v>679200</v>
      </c>
      <c r="M142" s="66"/>
      <c r="N142" s="36">
        <f>K142+L142</f>
        <v>12201725.625</v>
      </c>
    </row>
    <row r="143" spans="1:14" s="37" customFormat="1" ht="15.75" customHeight="1" x14ac:dyDescent="0.25">
      <c r="A143" s="73">
        <f>A142+1</f>
        <v>2</v>
      </c>
      <c r="B143" s="75"/>
      <c r="C143" s="55" t="s">
        <v>193</v>
      </c>
      <c r="D143" s="58">
        <f>(36.83+7.69)*(10.764)</f>
        <v>479.21327999999994</v>
      </c>
      <c r="E143" s="42">
        <v>0</v>
      </c>
      <c r="F143" s="42">
        <f>D143*(($F$140)+1)+(IF(E143&lt;101,E143,IF(E143&lt;201,E143/2,IF(E143&lt;=301,E143/3,E143/4))))</f>
        <v>742.78058399999998</v>
      </c>
      <c r="G143" s="69"/>
      <c r="H143" s="70"/>
      <c r="I143" s="63">
        <f>3.06*5.5+2.75*3.22+2.95*3.22+1.85*0.6+2.15*1.23+1.54*2.13</f>
        <v>42.218700000000005</v>
      </c>
      <c r="K143" s="61">
        <f t="shared" ref="K143:K145" si="10">10000*F143</f>
        <v>7427805.8399999999</v>
      </c>
      <c r="L143" s="66">
        <f t="shared" ref="L143:L145" si="11">679200</f>
        <v>679200</v>
      </c>
      <c r="M143" s="66"/>
      <c r="N143" s="36">
        <f t="shared" ref="N143:N145" si="12">K143+L143</f>
        <v>8107005.8399999999</v>
      </c>
    </row>
    <row r="144" spans="1:14" s="37" customFormat="1" ht="15.75" customHeight="1" x14ac:dyDescent="0.25">
      <c r="A144" s="73">
        <f>A143+1</f>
        <v>3</v>
      </c>
      <c r="B144" s="75"/>
      <c r="C144" s="55" t="s">
        <v>193</v>
      </c>
      <c r="D144" s="58">
        <f>(36.54+7.65)*(10.764)</f>
        <v>475.66115999999994</v>
      </c>
      <c r="E144" s="42">
        <v>0</v>
      </c>
      <c r="F144" s="42">
        <f>D144*(($F$140)+1)+(IF(E144&lt;101,E144,IF(E144&lt;201,E144/2,IF(E144&lt;=301,E144/3,E144/4))))</f>
        <v>737.27479799999992</v>
      </c>
      <c r="G144" s="69"/>
      <c r="H144" s="70"/>
      <c r="I144" s="36"/>
      <c r="K144" s="61">
        <f t="shared" si="10"/>
        <v>7372747.9799999995</v>
      </c>
      <c r="L144" s="66">
        <f t="shared" si="11"/>
        <v>679200</v>
      </c>
      <c r="M144" s="66"/>
      <c r="N144" s="36">
        <f t="shared" si="12"/>
        <v>8051947.9799999995</v>
      </c>
    </row>
    <row r="145" spans="1:14" s="37" customFormat="1" ht="15.75" customHeight="1" x14ac:dyDescent="0.25">
      <c r="A145" s="73">
        <f>A144+1</f>
        <v>4</v>
      </c>
      <c r="B145" s="75"/>
      <c r="C145" s="55" t="s">
        <v>193</v>
      </c>
      <c r="D145" s="58">
        <f>(30.14+7.99)*(10.764)</f>
        <v>410.43132000000003</v>
      </c>
      <c r="E145" s="42">
        <v>0</v>
      </c>
      <c r="F145" s="42">
        <f>D145*(($F$140)+1)+(IF(E145&lt;101,E145,IF(E145&lt;201,E145/2,IF(E145&lt;=301,E145/3,E145/4))))</f>
        <v>636.16854600000011</v>
      </c>
      <c r="G145" s="71"/>
      <c r="H145" s="72"/>
      <c r="I145" s="36"/>
      <c r="J145" s="37">
        <f>6200000/F145</f>
        <v>9745.8449321070311</v>
      </c>
      <c r="K145" s="61">
        <f t="shared" si="10"/>
        <v>6361685.4600000009</v>
      </c>
      <c r="L145" s="66">
        <f t="shared" si="11"/>
        <v>679200</v>
      </c>
      <c r="M145" s="66"/>
      <c r="N145" s="36">
        <f t="shared" si="12"/>
        <v>7040885.4600000009</v>
      </c>
    </row>
    <row r="146" spans="1:14" s="37" customFormat="1" x14ac:dyDescent="0.25">
      <c r="A146" s="146" t="s">
        <v>218</v>
      </c>
      <c r="B146" s="146"/>
      <c r="C146" s="146"/>
      <c r="D146" s="146"/>
      <c r="E146" s="146"/>
      <c r="F146" s="146"/>
      <c r="G146" s="146"/>
      <c r="H146" s="146"/>
      <c r="I146" s="36"/>
      <c r="L146" s="66"/>
      <c r="M146" s="66"/>
    </row>
    <row r="147" spans="1:14" s="37" customFormat="1" ht="15.75" customHeight="1" x14ac:dyDescent="0.25">
      <c r="A147" s="142">
        <v>1</v>
      </c>
      <c r="B147" s="142"/>
      <c r="C147" s="55" t="s">
        <v>192</v>
      </c>
      <c r="D147" s="58">
        <f>(57.59+8.12)*(10.764)</f>
        <v>707.30244000000005</v>
      </c>
      <c r="E147" s="42">
        <v>0</v>
      </c>
      <c r="F147" s="42">
        <f>D147*(($F$140)+1)+(IF(E147&lt;101,E147,IF(E147&lt;201,E147/2,IF(E147&lt;=301,E147/3,E147/4))))</f>
        <v>1096.3187820000001</v>
      </c>
      <c r="G147" s="67" t="str">
        <f>A146</f>
        <v>7th, 12th, 17th &amp; 22nd Floor (Part Refuge Area)</v>
      </c>
      <c r="H147" s="68"/>
      <c r="I147" s="36"/>
      <c r="J147" s="37">
        <f>9608560/F147</f>
        <v>8764.3851019967296</v>
      </c>
      <c r="N147" s="36"/>
    </row>
    <row r="148" spans="1:14" s="37" customFormat="1" ht="15.75" customHeight="1" x14ac:dyDescent="0.25">
      <c r="A148" s="142">
        <f>A147+1</f>
        <v>2</v>
      </c>
      <c r="B148" s="142"/>
      <c r="C148" s="55" t="s">
        <v>193</v>
      </c>
      <c r="D148" s="58">
        <f>(36.83+7.69)*(10.764)</f>
        <v>479.21327999999994</v>
      </c>
      <c r="E148" s="42">
        <v>0</v>
      </c>
      <c r="F148" s="42">
        <f>D148*(($F$140)+1)+(IF(E148&lt;101,E148,IF(E148&lt;201,E148/2,IF(E148&lt;=301,E148/3,E148/4))))</f>
        <v>742.78058399999998</v>
      </c>
      <c r="G148" s="69"/>
      <c r="H148" s="70"/>
      <c r="I148" s="36"/>
      <c r="J148" s="37">
        <f>7900000/F148</f>
        <v>10635.711501042682</v>
      </c>
      <c r="N148" s="36"/>
    </row>
    <row r="149" spans="1:14" s="37" customFormat="1" ht="15.75" customHeight="1" x14ac:dyDescent="0.25">
      <c r="A149" s="142">
        <f>A148+1</f>
        <v>3</v>
      </c>
      <c r="B149" s="142"/>
      <c r="C149" s="55" t="s">
        <v>192</v>
      </c>
      <c r="D149" s="58">
        <f>(47.44+10.62)*(10.764)</f>
        <v>624.95783999999992</v>
      </c>
      <c r="E149" s="42">
        <v>0</v>
      </c>
      <c r="F149" s="42">
        <f>D149*(($F$140)+1)+(IF(E149&lt;101,E149,IF(E149&lt;201,E149/2,IF(E149&lt;=301,E149/3,E149/4))))</f>
        <v>968.68465199999991</v>
      </c>
      <c r="G149" s="69"/>
      <c r="H149" s="70"/>
      <c r="I149" s="36">
        <f>3.05*5.5+2.75*3.22+2.9*3.22+1.85*0.6+2.15*1.23+1.5*2.13+3.35*3.22+1.38*2.21</f>
        <v>55.754300000000001</v>
      </c>
      <c r="J149" s="37">
        <f>9235200/F149</f>
        <v>9533.7527862473053</v>
      </c>
      <c r="N149" s="36"/>
    </row>
    <row r="150" spans="1:14" s="37" customFormat="1" ht="15.75" customHeight="1" x14ac:dyDescent="0.25">
      <c r="A150" s="142">
        <f>A149+1</f>
        <v>4</v>
      </c>
      <c r="B150" s="142"/>
      <c r="C150" s="73" t="s">
        <v>194</v>
      </c>
      <c r="D150" s="74"/>
      <c r="E150" s="74"/>
      <c r="F150" s="75"/>
      <c r="G150" s="71"/>
      <c r="H150" s="72"/>
      <c r="I150" s="36"/>
      <c r="N150" s="36"/>
    </row>
    <row r="151" spans="1:14" s="37" customFormat="1" ht="15.75" customHeight="1" x14ac:dyDescent="0.25">
      <c r="A151" s="104" t="s">
        <v>219</v>
      </c>
      <c r="B151" s="105"/>
      <c r="C151" s="105"/>
      <c r="D151" s="105"/>
      <c r="E151" s="105"/>
      <c r="F151" s="105"/>
      <c r="G151" s="105"/>
      <c r="H151" s="106"/>
      <c r="I151" s="36"/>
    </row>
    <row r="152" spans="1:14" s="37" customFormat="1" x14ac:dyDescent="0.25">
      <c r="A152" s="73">
        <v>1</v>
      </c>
      <c r="B152" s="75"/>
      <c r="C152" s="73" t="s">
        <v>195</v>
      </c>
      <c r="D152" s="74"/>
      <c r="E152" s="74">
        <v>0</v>
      </c>
      <c r="F152" s="75">
        <f>D152*(($F$140)+1)+(IF(E152&lt;101,E152,IF(E152&lt;201,E152/2,IF(E152&lt;=301,E152/3,E152/4))))</f>
        <v>0</v>
      </c>
      <c r="G152" s="67" t="str">
        <f>A151</f>
        <v>27th Floor For Residential, Society Office, Drivres Room &amp; Amenity (Part Refuge Area)</v>
      </c>
      <c r="H152" s="68"/>
      <c r="I152" s="36"/>
    </row>
    <row r="153" spans="1:14" s="37" customFormat="1" x14ac:dyDescent="0.25">
      <c r="A153" s="73">
        <f>A152+1</f>
        <v>2</v>
      </c>
      <c r="B153" s="75"/>
      <c r="C153" s="55" t="s">
        <v>193</v>
      </c>
      <c r="D153" s="58">
        <f>(36.83+7.69)*(10.764)</f>
        <v>479.21327999999994</v>
      </c>
      <c r="E153" s="42">
        <v>0</v>
      </c>
      <c r="F153" s="42">
        <f>D153*(($F$140)+1)+(IF(E153&lt;101,E153,IF(E153&lt;201,E153/2,IF(E153&lt;=301,E153/3,E153/4))))</f>
        <v>742.78058399999998</v>
      </c>
      <c r="G153" s="69"/>
      <c r="H153" s="70"/>
      <c r="I153" s="36"/>
    </row>
    <row r="154" spans="1:14" s="37" customFormat="1" ht="15.75" customHeight="1" x14ac:dyDescent="0.25">
      <c r="A154" s="73">
        <f>A153+1</f>
        <v>3</v>
      </c>
      <c r="B154" s="75"/>
      <c r="C154" s="73" t="s">
        <v>220</v>
      </c>
      <c r="D154" s="74"/>
      <c r="E154" s="74"/>
      <c r="F154" s="75"/>
      <c r="G154" s="69"/>
      <c r="H154" s="70"/>
      <c r="I154" s="36"/>
    </row>
    <row r="155" spans="1:14" s="37" customFormat="1" ht="15.75" customHeight="1" x14ac:dyDescent="0.25">
      <c r="A155" s="73">
        <f>A154+1</f>
        <v>4</v>
      </c>
      <c r="B155" s="75"/>
      <c r="C155" s="73" t="s">
        <v>194</v>
      </c>
      <c r="D155" s="74"/>
      <c r="E155" s="74"/>
      <c r="F155" s="75"/>
      <c r="G155" s="69"/>
      <c r="H155" s="70"/>
      <c r="I155" s="36"/>
    </row>
    <row r="156" spans="1:14" s="35" customFormat="1" x14ac:dyDescent="0.25">
      <c r="A156" s="107" t="s">
        <v>70</v>
      </c>
      <c r="B156" s="107"/>
      <c r="C156" s="107"/>
      <c r="D156" s="107"/>
      <c r="E156" s="107"/>
      <c r="F156" s="107"/>
      <c r="G156" s="107"/>
      <c r="H156" s="107"/>
    </row>
    <row r="157" spans="1:14" s="35" customFormat="1" ht="32.25" customHeight="1" x14ac:dyDescent="0.25">
      <c r="A157" s="47" t="s">
        <v>156</v>
      </c>
      <c r="B157" s="83" t="s">
        <v>229</v>
      </c>
      <c r="C157" s="84"/>
      <c r="D157" s="84"/>
      <c r="E157" s="84"/>
      <c r="F157" s="84"/>
      <c r="G157" s="84"/>
      <c r="H157" s="85"/>
    </row>
    <row r="158" spans="1:14" s="35" customFormat="1" x14ac:dyDescent="0.25">
      <c r="A158" s="47" t="s">
        <v>156</v>
      </c>
      <c r="B158" s="83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158" s="84"/>
      <c r="D158" s="84"/>
      <c r="E158" s="84"/>
      <c r="F158" s="84"/>
      <c r="G158" s="84"/>
      <c r="H158" s="85"/>
    </row>
    <row r="159" spans="1:14" s="35" customFormat="1" x14ac:dyDescent="0.25">
      <c r="A159" s="47" t="s">
        <v>156</v>
      </c>
      <c r="B159" s="83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9" s="84"/>
      <c r="D159" s="84"/>
      <c r="E159" s="84"/>
      <c r="F159" s="84"/>
      <c r="G159" s="84"/>
      <c r="H159" s="85"/>
    </row>
    <row r="160" spans="1:14" s="35" customFormat="1" x14ac:dyDescent="0.25">
      <c r="A160" s="47" t="s">
        <v>156</v>
      </c>
      <c r="B160" s="80" t="s">
        <v>126</v>
      </c>
      <c r="C160" s="81"/>
      <c r="D160" s="81"/>
      <c r="E160" s="81"/>
      <c r="F160" s="81"/>
      <c r="G160" s="81"/>
      <c r="H160" s="82"/>
    </row>
    <row r="161" spans="1:8" s="35" customFormat="1" x14ac:dyDescent="0.25">
      <c r="A161" s="47" t="s">
        <v>156</v>
      </c>
      <c r="B161" s="80" t="s">
        <v>222</v>
      </c>
      <c r="C161" s="81"/>
      <c r="D161" s="81"/>
      <c r="E161" s="81"/>
      <c r="F161" s="81"/>
      <c r="G161" s="81"/>
      <c r="H161" s="82"/>
    </row>
    <row r="162" spans="1:8" s="35" customFormat="1" x14ac:dyDescent="0.25">
      <c r="A162" s="47" t="s">
        <v>156</v>
      </c>
      <c r="B162" s="80" t="s">
        <v>155</v>
      </c>
      <c r="C162" s="81"/>
      <c r="D162" s="81"/>
      <c r="E162" s="81"/>
      <c r="F162" s="81"/>
      <c r="G162" s="81"/>
      <c r="H162" s="82"/>
    </row>
    <row r="163" spans="1:8" s="35" customFormat="1" x14ac:dyDescent="0.25">
      <c r="A163" s="47" t="s">
        <v>156</v>
      </c>
      <c r="B163" s="80" t="s">
        <v>127</v>
      </c>
      <c r="C163" s="81"/>
      <c r="D163" s="81"/>
      <c r="E163" s="81"/>
      <c r="F163" s="81"/>
      <c r="G163" s="81"/>
      <c r="H163" s="82"/>
    </row>
    <row r="164" spans="1:8" s="35" customFormat="1" ht="34.5" customHeight="1" x14ac:dyDescent="0.25">
      <c r="A164" s="47" t="s">
        <v>156</v>
      </c>
      <c r="B164" s="80" t="s">
        <v>157</v>
      </c>
      <c r="C164" s="81"/>
      <c r="D164" s="81"/>
      <c r="E164" s="81"/>
      <c r="F164" s="81"/>
      <c r="G164" s="81"/>
      <c r="H164" s="82"/>
    </row>
    <row r="165" spans="1:8" s="35" customFormat="1" x14ac:dyDescent="0.25">
      <c r="A165" s="62" t="s">
        <v>156</v>
      </c>
      <c r="B165" s="80" t="s">
        <v>128</v>
      </c>
      <c r="C165" s="81"/>
      <c r="D165" s="81"/>
      <c r="E165" s="81"/>
      <c r="F165" s="81"/>
      <c r="G165" s="81"/>
      <c r="H165" s="82"/>
    </row>
    <row r="166" spans="1:8" s="35" customFormat="1" x14ac:dyDescent="0.25">
      <c r="A166" s="62" t="s">
        <v>156</v>
      </c>
      <c r="B166" s="80" t="s">
        <v>232</v>
      </c>
      <c r="C166" s="81"/>
      <c r="D166" s="81"/>
      <c r="E166" s="81"/>
      <c r="F166" s="81"/>
      <c r="G166" s="81"/>
      <c r="H166" s="82"/>
    </row>
    <row r="167" spans="1:8" s="35" customFormat="1" ht="16.5" customHeight="1" x14ac:dyDescent="0.25">
      <c r="A167" s="213" t="s">
        <v>156</v>
      </c>
      <c r="B167" s="214" t="s">
        <v>231</v>
      </c>
      <c r="C167" s="215"/>
      <c r="D167" s="215"/>
      <c r="E167" s="215"/>
      <c r="F167" s="215"/>
      <c r="G167" s="215"/>
      <c r="H167" s="216"/>
    </row>
    <row r="168" spans="1:8" x14ac:dyDescent="0.25">
      <c r="A168" s="79" t="s">
        <v>63</v>
      </c>
      <c r="B168" s="79"/>
      <c r="C168" s="79"/>
      <c r="D168" s="79"/>
      <c r="E168" s="79"/>
      <c r="F168" s="79"/>
      <c r="G168" s="79"/>
      <c r="H168" s="79"/>
    </row>
    <row r="169" spans="1:8" x14ac:dyDescent="0.25">
      <c r="A169" s="78" t="s">
        <v>64</v>
      </c>
      <c r="B169" s="78"/>
      <c r="C169" s="78"/>
      <c r="D169" s="78"/>
      <c r="E169" s="78"/>
      <c r="F169" s="78"/>
      <c r="G169" s="78"/>
      <c r="H169" s="78"/>
    </row>
    <row r="170" spans="1:8" ht="15.75" customHeight="1" x14ac:dyDescent="0.25">
      <c r="A170" s="143" t="s">
        <v>65</v>
      </c>
      <c r="B170" s="143"/>
      <c r="C170" s="143"/>
      <c r="D170" s="143"/>
      <c r="E170" s="143"/>
      <c r="F170" s="143"/>
      <c r="G170" s="143"/>
      <c r="H170" s="143"/>
    </row>
    <row r="171" spans="1:8" x14ac:dyDescent="0.25">
      <c r="A171" s="78" t="s">
        <v>66</v>
      </c>
      <c r="B171" s="78"/>
      <c r="C171" s="78"/>
      <c r="D171" s="78"/>
      <c r="E171" s="78"/>
      <c r="F171" s="78"/>
      <c r="G171" s="78"/>
      <c r="H171" s="78"/>
    </row>
    <row r="172" spans="1:8" x14ac:dyDescent="0.25">
      <c r="A172" s="78" t="s">
        <v>67</v>
      </c>
      <c r="B172" s="78"/>
      <c r="C172" s="78"/>
      <c r="D172" s="78"/>
      <c r="E172" s="78"/>
      <c r="F172" s="78"/>
      <c r="G172" s="78"/>
      <c r="H172" s="78"/>
    </row>
    <row r="173" spans="1:8" x14ac:dyDescent="0.25">
      <c r="A173" s="78" t="s">
        <v>129</v>
      </c>
      <c r="B173" s="78"/>
      <c r="C173" s="78"/>
      <c r="D173" s="78"/>
      <c r="E173" s="78"/>
      <c r="F173" s="78"/>
      <c r="G173" s="78"/>
      <c r="H173" s="78"/>
    </row>
    <row r="174" spans="1:8" x14ac:dyDescent="0.25">
      <c r="A174" s="98" t="s">
        <v>130</v>
      </c>
      <c r="B174" s="98"/>
      <c r="C174" s="98"/>
      <c r="D174" s="98"/>
      <c r="E174" s="98"/>
      <c r="F174" s="98"/>
      <c r="G174" s="98"/>
      <c r="H174" s="98"/>
    </row>
    <row r="175" spans="1:8" x14ac:dyDescent="0.25">
      <c r="A175" s="141" t="s">
        <v>78</v>
      </c>
      <c r="B175" s="141"/>
      <c r="C175" s="141" t="s">
        <v>201</v>
      </c>
      <c r="D175" s="141"/>
      <c r="E175" s="141" t="s">
        <v>107</v>
      </c>
      <c r="F175" s="141"/>
      <c r="G175" s="141" t="s">
        <v>225</v>
      </c>
      <c r="H175" s="141"/>
    </row>
    <row r="176" spans="1:8" x14ac:dyDescent="0.25">
      <c r="A176" s="140" t="s">
        <v>80</v>
      </c>
      <c r="B176" s="140"/>
      <c r="C176" s="140"/>
      <c r="D176" s="140"/>
      <c r="E176" s="140"/>
      <c r="F176" s="140"/>
      <c r="G176" s="140"/>
      <c r="H176" s="140"/>
    </row>
    <row r="177" spans="1:8" x14ac:dyDescent="0.25">
      <c r="A177" s="140"/>
      <c r="B177" s="140"/>
      <c r="C177" s="140"/>
      <c r="D177" s="140"/>
      <c r="E177" s="140"/>
      <c r="F177" s="140"/>
      <c r="G177" s="140"/>
      <c r="H177" s="140"/>
    </row>
    <row r="178" spans="1:8" x14ac:dyDescent="0.25">
      <c r="A178" s="140"/>
      <c r="B178" s="140"/>
      <c r="C178" s="140"/>
      <c r="D178" s="140"/>
      <c r="E178" s="140"/>
      <c r="F178" s="140"/>
      <c r="G178" s="140"/>
      <c r="H178" s="140"/>
    </row>
    <row r="179" spans="1:8" x14ac:dyDescent="0.25">
      <c r="A179" s="140"/>
      <c r="B179" s="140"/>
      <c r="C179" s="140"/>
      <c r="D179" s="140"/>
      <c r="E179" s="140"/>
      <c r="F179" s="140"/>
      <c r="G179" s="140"/>
      <c r="H179" s="140"/>
    </row>
    <row r="180" spans="1:8" x14ac:dyDescent="0.25">
      <c r="A180" s="38" t="s">
        <v>68</v>
      </c>
      <c r="B180" s="39"/>
      <c r="C180" s="39"/>
      <c r="D180" s="38" t="str">
        <f>E8</f>
        <v>Windson Heights</v>
      </c>
      <c r="F180" s="39"/>
      <c r="G180" s="39"/>
      <c r="H180" s="39"/>
    </row>
    <row r="181" spans="1:8" x14ac:dyDescent="0.25">
      <c r="A181" s="39"/>
      <c r="B181" s="39"/>
      <c r="C181" s="39"/>
      <c r="D181" s="39"/>
      <c r="E181" s="39"/>
      <c r="F181" s="39"/>
      <c r="G181" s="39"/>
      <c r="H181" s="39"/>
    </row>
    <row r="182" spans="1:8" x14ac:dyDescent="0.25">
      <c r="A182" s="39"/>
      <c r="B182" s="39"/>
      <c r="C182" s="39"/>
      <c r="D182" s="39"/>
      <c r="E182" s="39"/>
      <c r="F182" s="39"/>
      <c r="G182" s="39"/>
      <c r="H182" s="39"/>
    </row>
    <row r="183" spans="1:8" ht="15" customHeight="1" x14ac:dyDescent="0.25"/>
    <row r="184" spans="1:8" x14ac:dyDescent="0.25">
      <c r="D184"/>
    </row>
    <row r="188" spans="1:8" x14ac:dyDescent="0.25">
      <c r="E188"/>
    </row>
    <row r="200" spans="1:8" x14ac:dyDescent="0.25">
      <c r="A200" s="21"/>
      <c r="E200"/>
      <c r="F200"/>
      <c r="G200" s="21"/>
      <c r="H200" s="21"/>
    </row>
    <row r="210" spans="1:8" x14ac:dyDescent="0.25">
      <c r="A210" s="21"/>
      <c r="B210"/>
      <c r="G210" s="21"/>
      <c r="H210" s="21"/>
    </row>
    <row r="212" spans="1:8" x14ac:dyDescent="0.25">
      <c r="D212"/>
      <c r="E212" s="21"/>
      <c r="F212" s="21"/>
      <c r="G212" s="21"/>
      <c r="H212" s="21"/>
    </row>
    <row r="218" spans="1:8" hidden="1" x14ac:dyDescent="0.25">
      <c r="E218" s="21"/>
      <c r="F218" s="21"/>
      <c r="G218" s="21"/>
      <c r="H218" s="21"/>
    </row>
    <row r="219" spans="1:8" hidden="1" x14ac:dyDescent="0.25">
      <c r="E219" s="21"/>
      <c r="F219" s="21"/>
      <c r="G219" s="21"/>
      <c r="H219" s="21"/>
    </row>
    <row r="220" spans="1:8" hidden="1" x14ac:dyDescent="0.25">
      <c r="E220" s="21"/>
      <c r="F220" s="21"/>
      <c r="G220" s="21"/>
      <c r="H220" s="21"/>
    </row>
    <row r="221" spans="1:8" hidden="1" x14ac:dyDescent="0.25">
      <c r="E221" s="21"/>
      <c r="F221" s="21"/>
      <c r="G221" s="21"/>
      <c r="H221" s="21"/>
    </row>
    <row r="222" spans="1:8" hidden="1" x14ac:dyDescent="0.25">
      <c r="E222" s="21"/>
      <c r="F222" s="21"/>
      <c r="G222" s="21"/>
      <c r="H222" s="21"/>
    </row>
    <row r="223" spans="1:8" hidden="1" x14ac:dyDescent="0.25">
      <c r="E223" s="21"/>
      <c r="F223" s="21"/>
      <c r="G223" s="21"/>
      <c r="H223" s="21"/>
    </row>
    <row r="224" spans="1:8" x14ac:dyDescent="0.25">
      <c r="A224" s="41" t="s">
        <v>168</v>
      </c>
      <c r="E224" s="21"/>
      <c r="F224" s="21"/>
      <c r="G224" s="21"/>
      <c r="H224" s="21"/>
    </row>
    <row r="268" spans="1:8" x14ac:dyDescent="0.25">
      <c r="A268" s="41" t="s">
        <v>69</v>
      </c>
      <c r="B268" s="21"/>
      <c r="C268" s="21"/>
      <c r="D268" s="21"/>
      <c r="E268" s="21"/>
      <c r="F268" s="21"/>
      <c r="G268" s="21"/>
      <c r="H268" s="21"/>
    </row>
  </sheetData>
  <mergeCells count="345">
    <mergeCell ref="B166:H166"/>
    <mergeCell ref="B165:H165"/>
    <mergeCell ref="A90:E90"/>
    <mergeCell ref="A60:C60"/>
    <mergeCell ref="D59:H59"/>
    <mergeCell ref="L132:M132"/>
    <mergeCell ref="A133:B133"/>
    <mergeCell ref="L133:M133"/>
    <mergeCell ref="A134:B134"/>
    <mergeCell ref="L134:M134"/>
    <mergeCell ref="L116:M116"/>
    <mergeCell ref="A117:B117"/>
    <mergeCell ref="L130:M130"/>
    <mergeCell ref="A107:H107"/>
    <mergeCell ref="C119:F119"/>
    <mergeCell ref="A128:H128"/>
    <mergeCell ref="A129:B129"/>
    <mergeCell ref="L129:M129"/>
    <mergeCell ref="A130:B130"/>
    <mergeCell ref="A131:B131"/>
    <mergeCell ref="L131:M131"/>
    <mergeCell ref="L113:M113"/>
    <mergeCell ref="A114:B114"/>
    <mergeCell ref="L114:M114"/>
    <mergeCell ref="A118:H118"/>
    <mergeCell ref="C101:D101"/>
    <mergeCell ref="A119:B119"/>
    <mergeCell ref="L117:M117"/>
    <mergeCell ref="L119:M119"/>
    <mergeCell ref="A120:B120"/>
    <mergeCell ref="L120:M120"/>
    <mergeCell ref="A121:B121"/>
    <mergeCell ref="L121:M121"/>
    <mergeCell ref="A122:B122"/>
    <mergeCell ref="L122:M122"/>
    <mergeCell ref="L115:M115"/>
    <mergeCell ref="G109:H117"/>
    <mergeCell ref="A59:C59"/>
    <mergeCell ref="A84:E84"/>
    <mergeCell ref="A101:B101"/>
    <mergeCell ref="E101:F101"/>
    <mergeCell ref="C96:D96"/>
    <mergeCell ref="E96:F96"/>
    <mergeCell ref="G96:H96"/>
    <mergeCell ref="A97:B97"/>
    <mergeCell ref="C97:D97"/>
    <mergeCell ref="E97:F97"/>
    <mergeCell ref="G97:H97"/>
    <mergeCell ref="A61:C61"/>
    <mergeCell ref="D61:H61"/>
    <mergeCell ref="C65:H65"/>
    <mergeCell ref="A73:B73"/>
    <mergeCell ref="D60:H60"/>
    <mergeCell ref="F79:H79"/>
    <mergeCell ref="F80:H80"/>
    <mergeCell ref="F89:H89"/>
    <mergeCell ref="E94:F94"/>
    <mergeCell ref="A94:B94"/>
    <mergeCell ref="C95:D95"/>
    <mergeCell ref="E95:F95"/>
    <mergeCell ref="B139:B140"/>
    <mergeCell ref="A145:B145"/>
    <mergeCell ref="A142:B142"/>
    <mergeCell ref="G142:H145"/>
    <mergeCell ref="L123:M123"/>
    <mergeCell ref="L124:M124"/>
    <mergeCell ref="A38:B38"/>
    <mergeCell ref="C38:H38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A56:C56"/>
    <mergeCell ref="G49:H49"/>
    <mergeCell ref="A50:B51"/>
    <mergeCell ref="A75:B75"/>
    <mergeCell ref="A68:B68"/>
    <mergeCell ref="A71:B71"/>
    <mergeCell ref="A67:B67"/>
    <mergeCell ref="A83:E83"/>
    <mergeCell ref="F87:H87"/>
    <mergeCell ref="C94:D94"/>
    <mergeCell ref="A37:B37"/>
    <mergeCell ref="C37:H37"/>
    <mergeCell ref="A44:D44"/>
    <mergeCell ref="L112:M112"/>
    <mergeCell ref="L111:M111"/>
    <mergeCell ref="L110:M110"/>
    <mergeCell ref="L109:M109"/>
    <mergeCell ref="A76:B76"/>
    <mergeCell ref="C100:D100"/>
    <mergeCell ref="E100:F100"/>
    <mergeCell ref="G100:H100"/>
    <mergeCell ref="F86:H86"/>
    <mergeCell ref="A80:E80"/>
    <mergeCell ref="A108:H108"/>
    <mergeCell ref="E105:E106"/>
    <mergeCell ref="G105:H106"/>
    <mergeCell ref="E69:F78"/>
    <mergeCell ref="G69:H78"/>
    <mergeCell ref="A77:B77"/>
    <mergeCell ref="A78:B78"/>
    <mergeCell ref="A47:B47"/>
    <mergeCell ref="F81:H81"/>
    <mergeCell ref="A81:E81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A63:C63"/>
    <mergeCell ref="D62:H62"/>
    <mergeCell ref="D63:H63"/>
    <mergeCell ref="A42:D42"/>
    <mergeCell ref="E42:H42"/>
    <mergeCell ref="E43:H43"/>
    <mergeCell ref="E44:H44"/>
    <mergeCell ref="E45:H45"/>
    <mergeCell ref="A43:D43"/>
    <mergeCell ref="F35:H35"/>
    <mergeCell ref="A34:B34"/>
    <mergeCell ref="C34:E34"/>
    <mergeCell ref="A65:B65"/>
    <mergeCell ref="A46:H46"/>
    <mergeCell ref="D56:H56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G52:H52"/>
    <mergeCell ref="C51:H51"/>
    <mergeCell ref="C47:H47"/>
    <mergeCell ref="E25:H25"/>
    <mergeCell ref="A27:D27"/>
    <mergeCell ref="E27:H27"/>
    <mergeCell ref="A24:D24"/>
    <mergeCell ref="E24:H24"/>
    <mergeCell ref="A28:D28"/>
    <mergeCell ref="E28:H28"/>
    <mergeCell ref="A25:D25"/>
    <mergeCell ref="A45:D4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05:A106"/>
    <mergeCell ref="C139:C140"/>
    <mergeCell ref="A109:B109"/>
    <mergeCell ref="A110:B11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73:H173"/>
    <mergeCell ref="A170:H170"/>
    <mergeCell ref="A147:B147"/>
    <mergeCell ref="B160:H160"/>
    <mergeCell ref="B161:H161"/>
    <mergeCell ref="A93:H93"/>
    <mergeCell ref="A91:E91"/>
    <mergeCell ref="F91:H91"/>
    <mergeCell ref="A92:E92"/>
    <mergeCell ref="F92:H92"/>
    <mergeCell ref="A146:H146"/>
    <mergeCell ref="A100:B100"/>
    <mergeCell ref="A154:B154"/>
    <mergeCell ref="A95:B95"/>
    <mergeCell ref="A98:H98"/>
    <mergeCell ref="G101:H101"/>
    <mergeCell ref="C99:D99"/>
    <mergeCell ref="A153:B153"/>
    <mergeCell ref="A104:H104"/>
    <mergeCell ref="G99:H99"/>
    <mergeCell ref="A150:B150"/>
    <mergeCell ref="A123:B123"/>
    <mergeCell ref="A124:B124"/>
    <mergeCell ref="B105:B106"/>
    <mergeCell ref="A96:B96"/>
    <mergeCell ref="G95:H95"/>
    <mergeCell ref="A152:B152"/>
    <mergeCell ref="A102:B102"/>
    <mergeCell ref="C102:D102"/>
    <mergeCell ref="E102:F102"/>
    <mergeCell ref="G102:H102"/>
    <mergeCell ref="A111:B111"/>
    <mergeCell ref="A176:H179"/>
    <mergeCell ref="A175:B175"/>
    <mergeCell ref="E175:F175"/>
    <mergeCell ref="C175:D175"/>
    <mergeCell ref="G175:H175"/>
    <mergeCell ref="A171:H171"/>
    <mergeCell ref="A174:H174"/>
    <mergeCell ref="B164:H164"/>
    <mergeCell ref="A148:B148"/>
    <mergeCell ref="A149:B149"/>
    <mergeCell ref="A115:B115"/>
    <mergeCell ref="A113:B113"/>
    <mergeCell ref="C150:F150"/>
    <mergeCell ref="G147:H150"/>
    <mergeCell ref="G152:H155"/>
    <mergeCell ref="C152:F152"/>
    <mergeCell ref="A156:H156"/>
    <mergeCell ref="C105:C106"/>
    <mergeCell ref="A151:H151"/>
    <mergeCell ref="A112:B112"/>
    <mergeCell ref="E41:H41"/>
    <mergeCell ref="A41:D41"/>
    <mergeCell ref="A74:B74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D64:H64"/>
    <mergeCell ref="A99:B99"/>
    <mergeCell ref="D139:D140"/>
    <mergeCell ref="E139:E140"/>
    <mergeCell ref="G139:H140"/>
    <mergeCell ref="D58:H58"/>
    <mergeCell ref="A58:C58"/>
    <mergeCell ref="C67:H67"/>
    <mergeCell ref="A70:B70"/>
    <mergeCell ref="A62:C62"/>
    <mergeCell ref="A53:H53"/>
    <mergeCell ref="A54:C54"/>
    <mergeCell ref="A55:C55"/>
    <mergeCell ref="D55:H55"/>
    <mergeCell ref="A69:B69"/>
    <mergeCell ref="G68:H68"/>
    <mergeCell ref="A72:B72"/>
    <mergeCell ref="E68:F68"/>
    <mergeCell ref="A172:H172"/>
    <mergeCell ref="A168:H168"/>
    <mergeCell ref="A169:H169"/>
    <mergeCell ref="B167:H167"/>
    <mergeCell ref="B163:H163"/>
    <mergeCell ref="B159:H159"/>
    <mergeCell ref="B157:H157"/>
    <mergeCell ref="B158:H158"/>
    <mergeCell ref="F90:H90"/>
    <mergeCell ref="F88:H88"/>
    <mergeCell ref="G94:H94"/>
    <mergeCell ref="A89:E89"/>
    <mergeCell ref="E99:F99"/>
    <mergeCell ref="A103:H103"/>
    <mergeCell ref="A116:B116"/>
    <mergeCell ref="F84:H84"/>
    <mergeCell ref="A125:B125"/>
    <mergeCell ref="A137:B137"/>
    <mergeCell ref="B162:H162"/>
    <mergeCell ref="D105:D106"/>
    <mergeCell ref="A141:H141"/>
    <mergeCell ref="A155:B155"/>
    <mergeCell ref="L137:M137"/>
    <mergeCell ref="G129:H137"/>
    <mergeCell ref="C154:F154"/>
    <mergeCell ref="C155:F155"/>
    <mergeCell ref="L125:M125"/>
    <mergeCell ref="A126:B126"/>
    <mergeCell ref="L126:M126"/>
    <mergeCell ref="A127:B127"/>
    <mergeCell ref="L127:M127"/>
    <mergeCell ref="G119:H127"/>
    <mergeCell ref="A135:B135"/>
    <mergeCell ref="L135:M135"/>
    <mergeCell ref="A136:B136"/>
    <mergeCell ref="L136:M136"/>
    <mergeCell ref="A132:B132"/>
    <mergeCell ref="L145:M145"/>
    <mergeCell ref="L142:M142"/>
    <mergeCell ref="A143:B143"/>
    <mergeCell ref="L143:M143"/>
    <mergeCell ref="A144:B144"/>
    <mergeCell ref="L144:M144"/>
    <mergeCell ref="L146:M146"/>
    <mergeCell ref="A138:H138"/>
    <mergeCell ref="A139:A14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79" max="16383" man="1"/>
    <brk id="223" max="16383" man="1"/>
    <brk id="267" max="16383" man="1"/>
  </rowBreaks>
  <ignoredErrors>
    <ignoredError sqref="E7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E20" sqref="E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2" t="s">
        <v>108</v>
      </c>
      <c r="C3" s="212"/>
      <c r="D3" s="212"/>
      <c r="E3" s="212"/>
      <c r="F3" s="212"/>
      <c r="G3" s="212"/>
      <c r="H3" s="212"/>
    </row>
    <row r="4" spans="1:9" x14ac:dyDescent="0.25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2025-09-26T06:08:52Z</cp:lastPrinted>
  <dcterms:created xsi:type="dcterms:W3CDTF">2019-07-16T09:29:46Z</dcterms:created>
  <dcterms:modified xsi:type="dcterms:W3CDTF">2025-09-26T06:14:19Z</dcterms:modified>
</cp:coreProperties>
</file>