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24-09-2025\"/>
    </mc:Choice>
  </mc:AlternateContent>
  <bookViews>
    <workbookView xWindow="0" yWindow="0" windowWidth="19200" windowHeight="6640" tabRatio="725"/>
  </bookViews>
  <sheets>
    <sheet name="Report" sheetId="1" r:id="rId1"/>
    <sheet name="Sheet1" sheetId="7" r:id="rId2"/>
    <sheet name="valuation" sheetId="5" r:id="rId3"/>
    <sheet name="Research" sheetId="4" r:id="rId4"/>
    <sheet name="Remarks" sheetId="6" r:id="rId5"/>
  </sheets>
  <definedNames>
    <definedName name="_xlnm.Print_Area" localSheetId="0">Report!$A$1:$H$300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7" i="1" l="1"/>
  <c r="L145" i="1"/>
  <c r="M145" i="1" s="1"/>
  <c r="L146" i="1"/>
  <c r="M146" i="1" s="1"/>
  <c r="L147" i="1"/>
  <c r="M147" i="1" s="1"/>
  <c r="L148" i="1"/>
  <c r="M148" i="1" s="1"/>
  <c r="L149" i="1"/>
  <c r="M149" i="1" s="1"/>
  <c r="L150" i="1"/>
  <c r="M150" i="1" s="1"/>
  <c r="L151" i="1"/>
  <c r="M151" i="1" s="1"/>
  <c r="L144" i="1"/>
  <c r="M144" i="1" s="1"/>
  <c r="I105" i="1"/>
  <c r="A145" i="1"/>
  <c r="A146" i="1" s="1"/>
  <c r="A147" i="1" s="1"/>
  <c r="A148" i="1" s="1"/>
  <c r="A149" i="1" s="1"/>
  <c r="A150" i="1" s="1"/>
  <c r="A151" i="1" s="1"/>
  <c r="A136" i="1"/>
  <c r="A137" i="1" s="1"/>
  <c r="A138" i="1" s="1"/>
  <c r="A139" i="1" s="1"/>
  <c r="A140" i="1" s="1"/>
  <c r="A141" i="1" s="1"/>
  <c r="A142" i="1" s="1"/>
  <c r="E151" i="1"/>
  <c r="E150" i="1"/>
  <c r="E149" i="1"/>
  <c r="E148" i="1"/>
  <c r="E147" i="1"/>
  <c r="E146" i="1"/>
  <c r="E145" i="1"/>
  <c r="E144" i="1"/>
  <c r="E142" i="1"/>
  <c r="E141" i="1"/>
  <c r="E140" i="1"/>
  <c r="E139" i="1"/>
  <c r="E135" i="1"/>
  <c r="E131" i="1"/>
  <c r="E130" i="1"/>
  <c r="E129" i="1"/>
  <c r="L135" i="1"/>
  <c r="L129" i="1"/>
  <c r="I129" i="1"/>
  <c r="I135" i="1"/>
  <c r="I126" i="1"/>
  <c r="J133" i="1"/>
  <c r="I132" i="1"/>
  <c r="J132" i="1"/>
  <c r="D135" i="1"/>
  <c r="I130" i="1"/>
  <c r="J148" i="1" l="1"/>
  <c r="J145" i="1"/>
  <c r="J91" i="1"/>
  <c r="I91" i="1" s="1"/>
  <c r="G101" i="1"/>
  <c r="G102" i="1" s="1"/>
  <c r="D151" i="1"/>
  <c r="D150" i="1"/>
  <c r="F150" i="1" s="1"/>
  <c r="D149" i="1"/>
  <c r="F149" i="1" s="1"/>
  <c r="D148" i="1"/>
  <c r="D147" i="1"/>
  <c r="F147" i="1" s="1"/>
  <c r="D146" i="1"/>
  <c r="D145" i="1"/>
  <c r="D144" i="1"/>
  <c r="F144" i="1" s="1"/>
  <c r="G128" i="1"/>
  <c r="G127" i="1"/>
  <c r="G126" i="1"/>
  <c r="D142" i="1"/>
  <c r="D141" i="1"/>
  <c r="D140" i="1"/>
  <c r="D139" i="1"/>
  <c r="E138" i="1"/>
  <c r="D138" i="1"/>
  <c r="E137" i="1"/>
  <c r="D137" i="1"/>
  <c r="E136" i="1"/>
  <c r="D136" i="1"/>
  <c r="D131" i="1"/>
  <c r="D130" i="1"/>
  <c r="D129" i="1"/>
  <c r="F129" i="1" s="1"/>
  <c r="J129" i="1" s="1"/>
  <c r="E128" i="1"/>
  <c r="D128" i="1"/>
  <c r="E127" i="1"/>
  <c r="D127" i="1"/>
  <c r="E126" i="1"/>
  <c r="D126" i="1"/>
  <c r="E121" i="1"/>
  <c r="D121" i="1"/>
  <c r="E120" i="1"/>
  <c r="D120" i="1"/>
  <c r="E119" i="1"/>
  <c r="D119" i="1"/>
  <c r="E118" i="1"/>
  <c r="D118" i="1"/>
  <c r="E117" i="1"/>
  <c r="D117" i="1"/>
  <c r="E116" i="1"/>
  <c r="D116" i="1"/>
  <c r="E115" i="1"/>
  <c r="D115" i="1"/>
  <c r="E114" i="1"/>
  <c r="D114" i="1"/>
  <c r="E113" i="1"/>
  <c r="D113" i="1"/>
  <c r="F139" i="1"/>
  <c r="J139" i="1" s="1"/>
  <c r="A127" i="1"/>
  <c r="A128" i="1" s="1"/>
  <c r="A129" i="1" s="1"/>
  <c r="A130" i="1" s="1"/>
  <c r="A131" i="1" s="1"/>
  <c r="A132" i="1" s="1"/>
  <c r="A133" i="1" s="1"/>
  <c r="I113" i="1"/>
  <c r="F117" i="1" l="1"/>
  <c r="J117" i="1" s="1"/>
  <c r="F126" i="1"/>
  <c r="J126" i="1" s="1"/>
  <c r="J87" i="1"/>
  <c r="I87" i="1" s="1"/>
  <c r="F136" i="1"/>
  <c r="J136" i="1" s="1"/>
  <c r="G105" i="1"/>
  <c r="G106" i="1" s="1"/>
  <c r="F151" i="1"/>
  <c r="F142" i="1"/>
  <c r="J142" i="1" s="1"/>
  <c r="F118" i="1"/>
  <c r="J118" i="1" s="1"/>
  <c r="F135" i="1"/>
  <c r="F141" i="1"/>
  <c r="J141" i="1" s="1"/>
  <c r="F130" i="1"/>
  <c r="J130" i="1" s="1"/>
  <c r="F131" i="1"/>
  <c r="J131" i="1" s="1"/>
  <c r="F148" i="1"/>
  <c r="F146" i="1"/>
  <c r="F145" i="1"/>
  <c r="F140" i="1"/>
  <c r="J140" i="1" s="1"/>
  <c r="F138" i="1"/>
  <c r="J138" i="1" s="1"/>
  <c r="F137" i="1"/>
  <c r="J137" i="1" s="1"/>
  <c r="F128" i="1"/>
  <c r="J128" i="1" s="1"/>
  <c r="F127" i="1"/>
  <c r="J127" i="1" s="1"/>
  <c r="F121" i="1"/>
  <c r="J121" i="1" s="1"/>
  <c r="F120" i="1"/>
  <c r="J120" i="1" s="1"/>
  <c r="F119" i="1"/>
  <c r="J119" i="1" s="1"/>
  <c r="C15" i="1"/>
  <c r="C105" i="1" l="1"/>
  <c r="C106" i="1" s="1"/>
  <c r="E105" i="1"/>
  <c r="E106" i="1" s="1"/>
  <c r="J135" i="1"/>
  <c r="F114" i="1"/>
  <c r="F115" i="1"/>
  <c r="J115" i="1" s="1"/>
  <c r="F116" i="1"/>
  <c r="J116" i="1" s="1"/>
  <c r="F113" i="1"/>
  <c r="J113" i="1" s="1"/>
  <c r="E101" i="1" l="1"/>
  <c r="E102" i="1" s="1"/>
  <c r="J114" i="1"/>
  <c r="C101" i="1"/>
  <c r="C102" i="1" s="1"/>
  <c r="B154" i="1"/>
  <c r="G57" i="1" l="1"/>
  <c r="C57" i="1"/>
  <c r="G55" i="1"/>
  <c r="C55" i="1"/>
  <c r="S32" i="1" l="1"/>
  <c r="F11" i="5" l="1"/>
  <c r="G11" i="5" s="1"/>
  <c r="F10" i="5"/>
  <c r="G10" i="5" s="1"/>
  <c r="F9" i="5"/>
  <c r="G9" i="5" s="1"/>
  <c r="F8" i="5"/>
  <c r="G8" i="5" s="1"/>
  <c r="F7" i="5"/>
  <c r="G7" i="5" s="1"/>
  <c r="F6" i="5"/>
  <c r="G6" i="5" s="1"/>
  <c r="F5" i="5"/>
  <c r="G5" i="5" s="1"/>
  <c r="G12" i="5" s="1"/>
  <c r="D174" i="1"/>
  <c r="B155" i="1"/>
  <c r="A114" i="1"/>
  <c r="A115" i="1" s="1"/>
  <c r="A116" i="1" s="1"/>
  <c r="A117" i="1" s="1"/>
  <c r="A118" i="1" s="1"/>
  <c r="A119" i="1" s="1"/>
  <c r="A120" i="1" s="1"/>
  <c r="A121" i="1" s="1"/>
  <c r="G107" i="1"/>
  <c r="E107" i="1"/>
  <c r="C107" i="1"/>
  <c r="F98" i="1"/>
  <c r="C72" i="1"/>
  <c r="D66" i="1"/>
  <c r="D61" i="1"/>
  <c r="G50" i="1"/>
  <c r="G51" i="1" s="1"/>
  <c r="C50" i="1"/>
  <c r="E43" i="1"/>
  <c r="E44" i="1" s="1"/>
  <c r="E30" i="1"/>
  <c r="E27" i="1"/>
  <c r="E25" i="1"/>
  <c r="I14" i="1"/>
  <c r="E8" i="1"/>
  <c r="E3" i="1"/>
  <c r="H73" i="1"/>
  <c r="J72" i="1" l="1"/>
  <c r="J74" i="1" s="1"/>
  <c r="J75" i="1"/>
  <c r="J76" i="1"/>
  <c r="J77" i="1"/>
  <c r="C76" i="1" s="1"/>
  <c r="D80" i="1"/>
  <c r="D82" i="1"/>
  <c r="D81" i="1"/>
  <c r="D85" i="1"/>
  <c r="D79" i="1"/>
  <c r="D84" i="1"/>
  <c r="D78" i="1"/>
  <c r="D83" i="1"/>
  <c r="B73" i="1"/>
  <c r="J78" i="1" s="1"/>
  <c r="D76" i="1" l="1"/>
  <c r="J82" i="1"/>
  <c r="J80" i="1"/>
  <c r="J81" i="1"/>
  <c r="J79" i="1"/>
  <c r="J84" i="1" s="1"/>
  <c r="J83" i="1"/>
  <c r="J85" i="1" l="1"/>
  <c r="C77" i="1" s="1"/>
  <c r="J73" i="1" s="1"/>
  <c r="E76" i="1" l="1"/>
  <c r="G76" i="1"/>
  <c r="D70" i="1" s="1"/>
  <c r="F71" i="1" s="1"/>
  <c r="D77" i="1"/>
  <c r="I73" i="1" s="1"/>
  <c r="I74" i="1" s="1"/>
  <c r="I72" i="1" s="1"/>
  <c r="C74" i="1" s="1"/>
  <c r="D71"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C54" authorId="1" shapeId="0">
      <text>
        <r>
          <rPr>
            <b/>
            <sz val="9"/>
            <color indexed="81"/>
            <rFont val="Tahoma"/>
            <family val="2"/>
          </rPr>
          <t>SACHIN:</t>
        </r>
        <r>
          <rPr>
            <sz val="9"/>
            <color indexed="81"/>
            <rFont val="Tahoma"/>
            <family val="2"/>
          </rPr>
          <t xml:space="preserve">
Floor with height</t>
        </r>
      </text>
    </comment>
    <comment ref="C56" authorId="1" shapeId="0">
      <text>
        <r>
          <rPr>
            <b/>
            <sz val="9"/>
            <color indexed="81"/>
            <rFont val="Tahoma"/>
            <family val="2"/>
          </rPr>
          <t>SACHIN:</t>
        </r>
        <r>
          <rPr>
            <sz val="9"/>
            <color indexed="81"/>
            <rFont val="Tahoma"/>
            <family val="2"/>
          </rPr>
          <t xml:space="preserve">
Survey Nos.</t>
        </r>
      </text>
    </comment>
    <comment ref="C58" authorId="1" shapeId="0">
      <text>
        <r>
          <rPr>
            <b/>
            <sz val="9"/>
            <color indexed="81"/>
            <rFont val="Tahoma"/>
            <family val="2"/>
          </rPr>
          <t>SACHIN:</t>
        </r>
        <r>
          <rPr>
            <sz val="9"/>
            <color indexed="81"/>
            <rFont val="Tahoma"/>
            <family val="2"/>
          </rPr>
          <t xml:space="preserve">
Height from AMSL</t>
        </r>
      </text>
    </comment>
    <comment ref="D61"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<sst xmlns="http://schemas.openxmlformats.org/spreadsheetml/2006/main" count="542" uniqueCount="345">
  <si>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</si>
  <si>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</si>
  <si>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</si>
  <si>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</si>
  <si>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</si>
  <si>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</si>
  <si>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</si>
  <si>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</si>
  <si>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</si>
  <si>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</si>
  <si>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</si>
  <si>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</si>
  <si>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</si>
  <si>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</si>
  <si>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</si>
  <si>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</si>
  <si>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</si>
  <si>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</si>
  <si>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</si>
  <si>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</si>
  <si>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</si>
  <si>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</si>
  <si>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</si>
  <si>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</si>
  <si>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</si>
  <si>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</si>
  <si>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</si>
  <si>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</si>
  <si>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</si>
  <si>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</si>
  <si>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</si>
  <si>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</si>
  <si>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</si>
  <si>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</si>
  <si>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</si>
  <si>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</si>
  <si>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</si>
  <si>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</si>
  <si>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</si>
  <si>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</si>
  <si>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</si>
  <si>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</si>
  <si>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</si>
  <si>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</si>
  <si>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</si>
  <si>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</si>
  <si>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</si>
  <si>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</si>
  <si>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</si>
  <si>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</si>
  <si>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</si>
  <si>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</si>
  <si>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</si>
  <si>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</si>
  <si>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</si>
  <si>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</si>
  <si>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</si>
  <si>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</si>
  <si>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</si>
  <si>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</si>
  <si>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</si>
  <si>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</si>
  <si>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</si>
  <si>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</si>
  <si>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</si>
  <si>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</si>
  <si>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</si>
  <si>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</si>
  <si>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</si>
  <si>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</si>
  <si>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</si>
  <si>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</si>
  <si>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</si>
  <si>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</si>
  <si>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</si>
  <si>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</si>
  <si>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</si>
  <si>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</si>
  <si>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</si>
  <si>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</si>
  <si>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</si>
  <si>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</si>
  <si>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</si>
  <si>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</si>
  <si>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</si>
  <si>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</si>
  <si>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</si>
  <si>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</si>
  <si>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</si>
  <si>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</si>
  <si>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</si>
  <si>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</si>
  <si>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</si>
  <si>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</si>
  <si>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</si>
  <si>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</si>
  <si>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</si>
  <si>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</si>
  <si>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</si>
  <si>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</si>
  <si>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</si>
  <si>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</si>
  <si>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</si>
  <si>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</si>
  <si>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</si>
  <si>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</si>
  <si>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</si>
  <si>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</si>
  <si>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</si>
  <si>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</si>
  <si>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</si>
  <si>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</si>
  <si>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</si>
  <si>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</si>
  <si>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</si>
  <si>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</si>
  <si>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</si>
  <si>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</si>
  <si>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</si>
  <si>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</si>
  <si>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</si>
  <si>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</si>
  <si>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</si>
  <si>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</si>
  <si>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</si>
  <si>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</si>
  <si>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</si>
  <si>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</si>
  <si>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</si>
  <si>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</si>
  <si>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</si>
  <si>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</si>
  <si>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</si>
  <si>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</si>
  <si>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</si>
  <si>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</si>
  <si>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</si>
  <si>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</si>
  <si>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</si>
  <si>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</si>
  <si>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</si>
  <si>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</si>
  <si>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</si>
  <si>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</si>
  <si>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</si>
  <si>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</si>
  <si>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</si>
  <si>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</si>
  <si>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</si>
  <si>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</si>
  <si>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</si>
  <si>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</si>
  <si>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</si>
  <si>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</si>
  <si>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</si>
  <si>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</si>
  <si>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</si>
  <si>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</si>
  <si>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</si>
  <si>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</si>
  <si>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</si>
  <si>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</si>
  <si>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</si>
  <si>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</si>
  <si>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</si>
  <si>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</si>
  <si>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</si>
  <si>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</si>
  <si>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</si>
  <si>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</si>
  <si>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</si>
  <si>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</si>
  <si>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</si>
  <si>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</si>
  <si>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</si>
  <si>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</si>
  <si>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</si>
  <si>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</si>
  <si>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</si>
  <si>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</si>
  <si>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</si>
  <si>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</si>
  <si>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</si>
  <si>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</si>
  <si>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</si>
  <si>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</si>
  <si>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</si>
  <si>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</si>
  <si>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</si>
  <si>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</si>
  <si>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</si>
  <si>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</si>
  <si>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</si>
  <si>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</si>
  <si>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</si>
  <si>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</si>
  <si>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</si>
  <si>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</si>
  <si>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</si>
  <si>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</si>
  <si>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</si>
  <si>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</si>
  <si>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</si>
  <si>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</si>
  <si>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</si>
  <si>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</si>
  <si>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</si>
  <si>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</si>
  <si>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</si>
  <si>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</si>
  <si>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</si>
  <si>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</si>
  <si>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</si>
  <si>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</si>
  <si>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</si>
  <si>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</si>
  <si>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</si>
  <si>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</si>
  <si>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</si>
  <si>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</si>
  <si>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</si>
  <si>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</si>
  <si>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</si>
  <si>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</si>
  <si>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</si>
  <si>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</si>
  <si>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</si>
  <si>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</si>
  <si>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</si>
  <si>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</si>
  <si>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</si>
  <si>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</si>
  <si>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</si>
  <si>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</si>
  <si>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</si>
  <si>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</si>
  <si>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</si>
  <si>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</si>
  <si>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</si>
  <si>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</si>
  <si>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</si>
  <si>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</si>
  <si>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</si>
  <si>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</si>
  <si>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</si>
  <si>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</si>
  <si>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</si>
  <si>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</si>
  <si>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</si>
  <si>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</si>
  <si>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</si>
  <si>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</si>
  <si>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</si>
  <si>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</si>
  <si>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</si>
  <si>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</si>
  <si>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</si>
  <si>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</si>
  <si>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</si>
  <si>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</si>
  <si>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</si>
  <si>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</si>
  <si>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</si>
  <si>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</si>
  <si>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</si>
  <si>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</si>
  <si>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</si>
  <si>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</si>
  <si>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</si>
  <si>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</si>
  <si>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</si>
  <si>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</si>
  <si>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</si>
  <si>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</si>
  <si>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</si>
  <si>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</si>
  <si>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</si>
  <si>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</si>
  <si>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</si>
  <si>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</si>
  <si>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</si>
  <si>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</si>
  <si>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</si>
  <si>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</si>
  <si>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</si>
  <si>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</si>
  <si>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</si>
  <si>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</si>
  <si>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</si>
  <si>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</si>
  <si>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</si>
  <si>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Envision Infra</t>
  </si>
  <si>
    <t>Sarangi</t>
  </si>
  <si>
    <t>P52000050719</t>
  </si>
  <si>
    <t>1104/3, Plot No.2</t>
  </si>
  <si>
    <t>Chinchavali Shekin</t>
  </si>
  <si>
    <t>Khopoli</t>
  </si>
  <si>
    <t>https://maps.app.goo.gl/41RvJjHzm5Z4iude7</t>
  </si>
  <si>
    <t>18.8077307,73.3328193</t>
  </si>
  <si>
    <t>Shri Ram Nagar</t>
  </si>
  <si>
    <t>D.P.Road</t>
  </si>
  <si>
    <t>3 KM from Khopoli Railway Station</t>
  </si>
  <si>
    <t>Swara Building</t>
  </si>
  <si>
    <t>Open Plot</t>
  </si>
  <si>
    <t>18.0 M. Wide Road</t>
  </si>
  <si>
    <t>Other Plot</t>
  </si>
  <si>
    <t>CTS No.1101</t>
  </si>
  <si>
    <t>9.0 M. Wide Internal Road</t>
  </si>
  <si>
    <t>Khopoli Municipal Council</t>
  </si>
  <si>
    <t>KMC/TP/457</t>
  </si>
  <si>
    <t>KMC/T.P./BP/457</t>
  </si>
  <si>
    <t>Gr/Stilt + 1st to 12th Floor</t>
  </si>
  <si>
    <t>As per RERA - 31/03/2027</t>
  </si>
  <si>
    <t>Ground Floor for Commercial &amp; Parking</t>
  </si>
  <si>
    <t>Shop</t>
  </si>
  <si>
    <t>Attached Otla area</t>
  </si>
  <si>
    <t>1st Floor for Residential, Society Office &amp; Amenities</t>
  </si>
  <si>
    <t>2BHK</t>
  </si>
  <si>
    <t>1BHK</t>
  </si>
  <si>
    <t>2nd to 7th, 9th, 11th &amp; 12th Floor</t>
  </si>
  <si>
    <t>8th &amp; 10th Floor (Part Refuge Area)</t>
  </si>
  <si>
    <t>Balcony Area</t>
  </si>
  <si>
    <r>
      <t xml:space="preserve">Flat No.
</t>
    </r>
    <r>
      <rPr>
        <b/>
        <sz val="11"/>
        <rFont val="Times New Roman"/>
        <family val="1"/>
      </rPr>
      <t>(Approved Plan)</t>
    </r>
  </si>
  <si>
    <r>
      <t xml:space="preserve">Shop No.
</t>
    </r>
    <r>
      <rPr>
        <b/>
        <sz val="11"/>
        <rFont val="Times New Roman"/>
        <family val="1"/>
      </rPr>
      <t>(Approved Plan)</t>
    </r>
  </si>
  <si>
    <t>Flats</t>
  </si>
  <si>
    <t>Flats - 94, Shops - 9</t>
  </si>
  <si>
    <t>Kids Play Area, Jogging Track, Health Center, Security Access, Garden Area</t>
  </si>
  <si>
    <r>
      <t xml:space="preserve">Proposed Amenities :                                                                                                                                                                                                                         </t>
    </r>
    <r>
      <rPr>
        <b/>
        <sz val="12"/>
        <rFont val="Times New Roman"/>
        <family val="1"/>
      </rPr>
      <t xml:space="preserve">                                               </t>
    </r>
  </si>
  <si>
    <t>Online</t>
  </si>
  <si>
    <t>Builder Saleable area</t>
  </si>
  <si>
    <t>Cost Sheet</t>
  </si>
  <si>
    <t>Visitor</t>
  </si>
  <si>
    <t>MIS</t>
  </si>
  <si>
    <t>Approved Plans, CC, Builder Saleable Area, Cost Sheet</t>
  </si>
  <si>
    <t>D.P. Road/Swara Building</t>
  </si>
  <si>
    <t>VM Residency</t>
  </si>
  <si>
    <t>Society Office/ Childrens Play Area</t>
  </si>
  <si>
    <t>-</t>
  </si>
  <si>
    <t>We considered Gross carpet area = Net carpet + Balcony + Chajja Area.</t>
  </si>
  <si>
    <t>Society Maintenance Charges</t>
  </si>
  <si>
    <t>Mr. Patil : 7769950252</t>
  </si>
  <si>
    <t>Prashant Kadam 9967556956</t>
  </si>
  <si>
    <t>Nitesh Patil</t>
  </si>
  <si>
    <t>Pooja Kawale</t>
  </si>
  <si>
    <t>Construction work is in process at the time of Visit (Labour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</si>
</sst>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 numFmtId="169" formatCode="0.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19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7"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6" xfId="1" applyFont="1" applyBorder="1"/>
    <xf numFmtId="0" fontId="15" fillId="0" borderId="6" xfId="0" applyFont="1" applyBorder="1" applyProtection="1">
      <protection hidden="1"/>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0" fontId="22" fillId="0" borderId="18" xfId="0" applyFont="1" applyBorder="1"/>
    <xf numFmtId="0" fontId="22" fillId="0" borderId="3" xfId="0" applyFont="1" applyBorder="1"/>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0" fillId="0" borderId="1" xfId="1" applyFont="1" applyBorder="1" applyAlignment="1" applyProtection="1">
      <alignment vertical="top" wrapText="1"/>
      <protection locked="0"/>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1" fontId="11" fillId="0" borderId="2" xfId="1" applyNumberFormat="1" applyFont="1" applyBorder="1" applyAlignment="1" applyProtection="1">
      <alignment horizontal="center" vertical="top" wrapText="1"/>
      <protection locked="0"/>
    </xf>
    <xf numFmtId="9" fontId="11" fillId="0" borderId="10"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3" fillId="0" borderId="0" xfId="1" applyFont="1" applyAlignment="1">
      <alignment horizontal="center" vertical="center"/>
    </xf>
    <xf numFmtId="0" fontId="29" fillId="0" borderId="0" xfId="1" applyFont="1" applyAlignment="1">
      <alignment horizontal="center" vertical="center"/>
    </xf>
    <xf numFmtId="0" fontId="13" fillId="0" borderId="0" xfId="2" applyFont="1" applyAlignment="1">
      <alignment horizontal="center" vertical="center"/>
    </xf>
    <xf numFmtId="164" fontId="6" fillId="0" borderId="0" xfId="1" applyNumberFormat="1" applyFont="1" applyAlignment="1">
      <alignment horizontal="center" vertical="center"/>
    </xf>
    <xf numFmtId="0" fontId="6" fillId="0" borderId="1" xfId="1" applyFont="1" applyBorder="1" applyAlignment="1">
      <alignment horizontal="center" vertical="center"/>
    </xf>
    <xf numFmtId="1" fontId="29" fillId="0" borderId="0" xfId="1" applyNumberFormat="1" applyFont="1" applyAlignment="1">
      <alignment horizontal="center" vertical="center"/>
    </xf>
    <xf numFmtId="1" fontId="13" fillId="0" borderId="0" xfId="1" applyNumberFormat="1" applyFont="1" applyAlignment="1">
      <alignment horizontal="center" vertical="center"/>
    </xf>
    <xf numFmtId="2" fontId="6" fillId="0" borderId="0" xfId="1" applyNumberFormat="1" applyFont="1" applyAlignment="1">
      <alignment horizontal="center" vertical="center"/>
    </xf>
    <xf numFmtId="168" fontId="6" fillId="0" borderId="0" xfId="1" applyNumberFormat="1" applyFont="1" applyAlignment="1">
      <alignment horizontal="center" vertical="center"/>
    </xf>
    <xf numFmtId="169" fontId="6" fillId="0" borderId="0" xfId="1" applyNumberFormat="1" applyFont="1" applyAlignment="1">
      <alignment horizontal="center" vertical="center"/>
    </xf>
    <xf numFmtId="0" fontId="21" fillId="2" borderId="9" xfId="0" applyFont="1" applyFill="1" applyBorder="1"/>
    <xf numFmtId="0" fontId="22" fillId="0" borderId="5" xfId="0" applyFont="1" applyBorder="1"/>
    <xf numFmtId="1" fontId="11" fillId="0" borderId="1" xfId="1" applyNumberFormat="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0" fillId="0" borderId="1" xfId="1" applyFont="1" applyBorder="1" applyAlignment="1" applyProtection="1">
      <alignment horizontal="center" vertical="top"/>
      <protection locked="0"/>
    </xf>
    <xf numFmtId="0" fontId="5" fillId="0" borderId="1" xfId="1" applyFont="1" applyBorder="1" applyAlignment="1" applyProtection="1">
      <alignment horizontal="left" vertical="top"/>
      <protection locked="0"/>
    </xf>
    <xf numFmtId="0" fontId="23"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 fontId="11" fillId="0" borderId="2" xfId="1" applyNumberFormat="1" applyFont="1" applyBorder="1" applyAlignment="1" applyProtection="1">
      <alignment horizontal="center" vertical="top" wrapText="1"/>
      <protection locked="0"/>
    </xf>
    <xf numFmtId="1" fontId="11" fillId="0" borderId="10"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11" fillId="0" borderId="10" xfId="1" applyFont="1" applyBorder="1" applyAlignment="1" applyProtection="1">
      <alignment horizontal="center" vertical="top"/>
      <protection locked="0"/>
    </xf>
    <xf numFmtId="0" fontId="5" fillId="0" borderId="1" xfId="1" applyFont="1" applyBorder="1" applyAlignment="1" applyProtection="1">
      <alignment horizontal="left" vertical="top" wrapText="1"/>
      <protection locked="0"/>
    </xf>
    <xf numFmtId="16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6" fillId="0" borderId="1" xfId="1" applyFont="1" applyBorder="1" applyAlignment="1" applyProtection="1">
      <alignment horizontal="center" vertical="top" wrapText="1"/>
      <protection locked="0"/>
    </xf>
    <xf numFmtId="0" fontId="10" fillId="0" borderId="4"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5" fillId="0" borderId="4" xfId="1" applyFont="1" applyBorder="1" applyAlignment="1" applyProtection="1">
      <alignment vertical="top" wrapText="1"/>
      <protection locked="0"/>
    </xf>
    <xf numFmtId="0" fontId="5" fillId="0" borderId="15" xfId="1" applyFont="1" applyBorder="1" applyAlignment="1" applyProtection="1">
      <alignment vertical="top" wrapText="1"/>
      <protection locked="0"/>
    </xf>
    <xf numFmtId="0" fontId="5" fillId="0" borderId="5" xfId="1" applyFont="1" applyBorder="1" applyAlignment="1" applyProtection="1">
      <alignment vertical="top" wrapText="1"/>
      <protection locked="0"/>
    </xf>
    <xf numFmtId="0" fontId="11" fillId="0" borderId="4" xfId="1" applyFont="1" applyBorder="1" applyAlignment="1" applyProtection="1">
      <alignment horizontal="left" vertical="top"/>
      <protection locked="0"/>
    </xf>
    <xf numFmtId="0" fontId="11" fillId="0" borderId="15" xfId="1" applyFont="1" applyBorder="1" applyAlignment="1" applyProtection="1">
      <alignment horizontal="left" vertical="top"/>
      <protection locked="0"/>
    </xf>
    <xf numFmtId="0" fontId="11" fillId="0" borderId="5" xfId="1" applyFont="1" applyBorder="1" applyAlignment="1" applyProtection="1">
      <alignment horizontal="left" vertical="top"/>
      <protection locked="0"/>
    </xf>
    <xf numFmtId="1" fontId="10" fillId="0" borderId="1" xfId="1"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1" fontId="5" fillId="0" borderId="1" xfId="1" applyNumberFormat="1" applyFont="1" applyBorder="1" applyAlignment="1" applyProtection="1">
      <alignment horizontal="center" vertical="center" wrapText="1"/>
      <protection locked="0"/>
    </xf>
    <xf numFmtId="0" fontId="7" fillId="0" borderId="10" xfId="1" applyFont="1" applyBorder="1" applyAlignment="1" applyProtection="1">
      <alignment horizontal="left" vertical="top"/>
      <protection locked="0"/>
    </xf>
    <xf numFmtId="1" fontId="28" fillId="0" borderId="2" xfId="1" applyNumberFormat="1" applyFont="1" applyBorder="1" applyAlignment="1" applyProtection="1">
      <alignment horizontal="center" vertical="top" wrapText="1"/>
      <protection locked="0"/>
    </xf>
    <xf numFmtId="1" fontId="28" fillId="0" borderId="10" xfId="1" applyNumberFormat="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6" fillId="0" borderId="0" xfId="1" applyFont="1" applyAlignment="1">
      <alignment horizontal="center" vertical="center"/>
    </xf>
    <xf numFmtId="1" fontId="11" fillId="0" borderId="1" xfId="1" applyNumberFormat="1" applyFont="1" applyBorder="1" applyAlignment="1" applyProtection="1">
      <alignment horizontal="center" vertical="center" wrapText="1"/>
      <protection locked="0"/>
    </xf>
    <xf numFmtId="0" fontId="10" fillId="0" borderId="2" xfId="1" applyFont="1" applyBorder="1" applyAlignment="1" applyProtection="1">
      <alignment horizontal="left" vertical="top" wrapText="1"/>
      <protection locked="0"/>
    </xf>
    <xf numFmtId="0" fontId="10" fillId="0" borderId="2" xfId="1" applyFont="1" applyBorder="1" applyAlignment="1" applyProtection="1">
      <alignment horizontal="left" vertical="top"/>
      <protection locked="0"/>
    </xf>
    <xf numFmtId="0" fontId="10" fillId="0" borderId="11" xfId="1" applyFont="1" applyBorder="1" applyAlignment="1" applyProtection="1">
      <alignment horizontal="left" vertical="top" wrapText="1"/>
      <protection locked="0"/>
    </xf>
    <xf numFmtId="0" fontId="10" fillId="0" borderId="16"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9" fontId="10" fillId="0" borderId="1" xfId="8" applyFont="1" applyFill="1" applyBorder="1" applyAlignment="1" applyProtection="1">
      <alignment horizontal="center" vertical="center" wrapText="1"/>
      <protection locked="0"/>
    </xf>
    <xf numFmtId="0" fontId="10" fillId="0" borderId="1" xfId="1" applyFont="1" applyBorder="1" applyAlignment="1" applyProtection="1">
      <alignment horizontal="center"/>
      <protection locked="0"/>
    </xf>
    <xf numFmtId="0" fontId="10" fillId="0" borderId="1" xfId="1" applyFont="1" applyBorder="1" applyAlignment="1" applyProtection="1">
      <alignment horizontal="center" vertical="top"/>
      <protection locked="0"/>
    </xf>
    <xf numFmtId="2" fontId="10" fillId="0" borderId="1" xfId="1" applyNumberFormat="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10" fillId="0" borderId="1" xfId="1" applyNumberFormat="1" applyFont="1" applyBorder="1" applyAlignment="1" applyProtection="1">
      <alignment horizontal="left" vertical="top"/>
      <protection locked="0"/>
    </xf>
    <xf numFmtId="0" fontId="5" fillId="0" borderId="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14" fontId="10" fillId="0" borderId="4" xfId="1" applyNumberFormat="1" applyFont="1" applyBorder="1" applyAlignment="1" applyProtection="1">
      <alignment horizontal="left" vertical="top" wrapText="1"/>
      <protection locked="0"/>
    </xf>
    <xf numFmtId="14" fontId="10" fillId="0" borderId="5" xfId="1" applyNumberFormat="1" applyFont="1" applyBorder="1" applyAlignment="1" applyProtection="1">
      <alignment horizontal="left" vertical="top" wrapText="1"/>
      <protection locked="0"/>
    </xf>
    <xf numFmtId="0" fontId="10" fillId="0" borderId="4" xfId="1" applyFont="1" applyBorder="1" applyAlignment="1" applyProtection="1">
      <alignment horizontal="center" vertical="top"/>
      <protection locked="0"/>
    </xf>
    <xf numFmtId="0" fontId="10" fillId="0" borderId="15"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11" fillId="0" borderId="15"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27"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10"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vertical="top" wrapText="1"/>
      <protection locked="0"/>
    </xf>
    <xf numFmtId="1" fontId="11" fillId="0" borderId="1" xfId="0" applyNumberFormat="1" applyFont="1" applyBorder="1" applyAlignment="1" applyProtection="1">
      <alignment vertical="top" wrapText="1"/>
      <protection locked="0"/>
    </xf>
    <xf numFmtId="1" fontId="7" fillId="0" borderId="2" xfId="0" applyNumberFormat="1"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1" fontId="7" fillId="0" borderId="2"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1" fontId="28" fillId="0" borderId="1" xfId="1" applyNumberFormat="1" applyFont="1" applyBorder="1" applyAlignment="1" applyProtection="1">
      <alignment horizontal="center" vertical="top" wrapText="1"/>
      <protection locked="0"/>
    </xf>
    <xf numFmtId="1" fontId="7" fillId="0" borderId="20" xfId="0" applyNumberFormat="1" applyFont="1" applyBorder="1" applyAlignment="1" applyProtection="1">
      <alignment horizontal="center" vertical="top" wrapText="1"/>
      <protection locked="0"/>
    </xf>
    <xf numFmtId="1" fontId="7" fillId="0" borderId="2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left" vertical="top" wrapText="1"/>
      <protection locked="0"/>
    </xf>
    <xf numFmtId="1" fontId="7" fillId="0" borderId="4" xfId="1" applyNumberFormat="1" applyFont="1" applyBorder="1" applyAlignment="1" applyProtection="1">
      <alignment horizontal="center" vertical="center" wrapText="1"/>
      <protection locked="0"/>
    </xf>
    <xf numFmtId="1" fontId="7" fillId="0" borderId="15" xfId="1" applyNumberFormat="1" applyFont="1" applyBorder="1" applyAlignment="1" applyProtection="1">
      <alignment horizontal="center" vertical="center" wrapText="1"/>
      <protection locked="0"/>
    </xf>
    <xf numFmtId="1" fontId="7" fillId="0" borderId="5"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9"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 fontId="7" fillId="0" borderId="19" xfId="0" applyNumberFormat="1" applyFont="1" applyBorder="1" applyAlignment="1" applyProtection="1">
      <alignment horizontal="center" vertical="center" wrapText="1"/>
      <protection locked="0"/>
    </xf>
    <xf numFmtId="1" fontId="7" fillId="0" borderId="20" xfId="0" applyNumberFormat="1" applyFont="1" applyBorder="1" applyAlignment="1" applyProtection="1">
      <alignment horizontal="center" vertical="center" wrapText="1"/>
      <protection locked="0"/>
    </xf>
    <xf numFmtId="0" fontId="9" fillId="0" borderId="20" xfId="0" applyFont="1" applyBorder="1" applyAlignment="1" applyProtection="1">
      <alignment horizontal="center" vertical="center"/>
      <protection locked="0"/>
    </xf>
    <xf numFmtId="14" fontId="5" fillId="0" borderId="4" xfId="1" applyNumberFormat="1" applyFont="1" applyBorder="1" applyAlignment="1" applyProtection="1">
      <alignment horizontal="left" vertical="top" wrapText="1"/>
      <protection locked="0"/>
    </xf>
    <xf numFmtId="14" fontId="5" fillId="0" borderId="5" xfId="1"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4" xfId="1" applyFont="1" applyBorder="1" applyAlignment="1" applyProtection="1">
      <alignment horizontal="left" vertical="top"/>
      <protection locked="0"/>
    </xf>
    <xf numFmtId="0" fontId="7" fillId="0" borderId="5" xfId="1" applyFont="1" applyBorder="1" applyAlignment="1" applyProtection="1">
      <alignment horizontal="left" vertical="top"/>
      <protection locked="0"/>
    </xf>
    <xf numFmtId="0" fontId="13" fillId="0" borderId="11"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1" fontId="9" fillId="0" borderId="20" xfId="0" applyNumberFormat="1" applyFont="1" applyBorder="1" applyAlignment="1" applyProtection="1">
      <alignment horizontal="center" vertical="top" wrapText="1"/>
      <protection locked="0"/>
    </xf>
    <xf numFmtId="0" fontId="7" fillId="0" borderId="10" xfId="1" applyFont="1" applyBorder="1" applyAlignment="1" applyProtection="1">
      <alignment horizontal="center" vertical="top"/>
      <protection locked="0"/>
    </xf>
    <xf numFmtId="0" fontId="6" fillId="0" borderId="17" xfId="1" applyFont="1" applyBorder="1" applyAlignment="1">
      <alignment horizontal="center"/>
    </xf>
    <xf numFmtId="0" fontId="6" fillId="0" borderId="0" xfId="1" applyFont="1" applyAlignment="1">
      <alignment horizontal="center"/>
    </xf>
    <xf numFmtId="0" fontId="7" fillId="0" borderId="4" xfId="1"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1" fontId="5" fillId="0" borderId="11"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5" fillId="0" borderId="12" xfId="1" applyNumberFormat="1" applyFont="1" applyBorder="1" applyAlignment="1" applyProtection="1">
      <alignment horizontal="center" vertical="center" wrapText="1"/>
      <protection locked="0"/>
    </xf>
    <xf numFmtId="1" fontId="5" fillId="0" borderId="13" xfId="1" applyNumberFormat="1" applyFont="1" applyBorder="1" applyAlignment="1" applyProtection="1">
      <alignment horizontal="center" vertical="center" wrapText="1"/>
      <protection locked="0"/>
    </xf>
    <xf numFmtId="1" fontId="5" fillId="0" borderId="22" xfId="1" applyNumberFormat="1" applyFont="1" applyBorder="1" applyAlignment="1" applyProtection="1">
      <alignment horizontal="center" vertical="center" wrapText="1"/>
      <protection locked="0"/>
    </xf>
    <xf numFmtId="1" fontId="5" fillId="0" borderId="14" xfId="1" applyNumberFormat="1" applyFont="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2.png"/><Relationship Id="rId18" Type="http://schemas.openxmlformats.org/officeDocument/2006/relationships/image" Target="../media/image17.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1.png"/><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9.png"/><Relationship Id="rId19" Type="http://schemas.openxmlformats.org/officeDocument/2006/relationships/image" Target="../media/image18.png"/><Relationship Id="rId4" Type="http://schemas.openxmlformats.org/officeDocument/2006/relationships/image" Target="../media/image4.png"/><Relationship Id="rId9" Type="http://schemas.openxmlformats.org/officeDocument/2006/relationships/image" Target="../media/image8.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492603</xdr:colOff>
      <xdr:row>281</xdr:row>
      <xdr:rowOff>42797</xdr:rowOff>
    </xdr:from>
    <xdr:to>
      <xdr:col>6</xdr:col>
      <xdr:colOff>53009</xdr:colOff>
      <xdr:row>299</xdr:row>
      <xdr:rowOff>32928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274481" y="55443510"/>
          <a:ext cx="3781224" cy="3568218"/>
        </a:xfrm>
        <a:prstGeom prst="rect">
          <a:avLst/>
        </a:prstGeom>
        <a:ln>
          <a:solidFill>
            <a:schemeClr val="tx1"/>
          </a:solidFill>
        </a:ln>
      </xdr:spPr>
    </xdr:pic>
    <xdr:clientData/>
  </xdr:twoCellAnchor>
  <xdr:twoCellAnchor editAs="oneCell">
    <xdr:from>
      <xdr:col>1</xdr:col>
      <xdr:colOff>298450</xdr:colOff>
      <xdr:row>259</xdr:row>
      <xdr:rowOff>139700</xdr:rowOff>
    </xdr:from>
    <xdr:to>
      <xdr:col>6</xdr:col>
      <xdr:colOff>433887</xdr:colOff>
      <xdr:row>280</xdr:row>
      <xdr:rowOff>51756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098550" y="64357250"/>
          <a:ext cx="4421687" cy="4045906"/>
        </a:xfrm>
        <a:prstGeom prst="rect">
          <a:avLst/>
        </a:prstGeom>
        <a:ln>
          <a:solidFill>
            <a:schemeClr val="tx1"/>
          </a:solidFill>
        </a:ln>
      </xdr:spPr>
    </xdr:pic>
    <xdr:clientData/>
  </xdr:twoCellAnchor>
  <xdr:twoCellAnchor>
    <xdr:from>
      <xdr:col>3</xdr:col>
      <xdr:colOff>200502</xdr:colOff>
      <xdr:row>289</xdr:row>
      <xdr:rowOff>19050</xdr:rowOff>
    </xdr:from>
    <xdr:to>
      <xdr:col>4</xdr:col>
      <xdr:colOff>292100</xdr:colOff>
      <xdr:row>295</xdr:row>
      <xdr:rowOff>12699</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2727802" y="70142100"/>
          <a:ext cx="1050448" cy="1174749"/>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2</xdr:col>
      <xdr:colOff>346292</xdr:colOff>
      <xdr:row>236</xdr:row>
      <xdr:rowOff>113953</xdr:rowOff>
    </xdr:from>
    <xdr:to>
      <xdr:col>5</xdr:col>
      <xdr:colOff>447544</xdr:colOff>
      <xdr:row>252</xdr:row>
      <xdr:rowOff>45756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984592" y="59410253"/>
          <a:ext cx="2768252" cy="3081403"/>
        </a:xfrm>
        <a:prstGeom prst="rect">
          <a:avLst/>
        </a:prstGeom>
        <a:ln>
          <a:solidFill>
            <a:schemeClr val="tx1"/>
          </a:solidFill>
        </a:ln>
      </xdr:spPr>
    </xdr:pic>
    <xdr:clientData/>
  </xdr:twoCellAnchor>
  <xdr:twoCellAnchor editAs="oneCell">
    <xdr:from>
      <xdr:col>2</xdr:col>
      <xdr:colOff>133350</xdr:colOff>
      <xdr:row>217</xdr:row>
      <xdr:rowOff>171450</xdr:rowOff>
    </xdr:from>
    <xdr:to>
      <xdr:col>5</xdr:col>
      <xdr:colOff>660487</xdr:colOff>
      <xdr:row>235</xdr:row>
      <xdr:rowOff>85334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771650" y="55727600"/>
          <a:ext cx="3194137" cy="3457184"/>
        </a:xfrm>
        <a:prstGeom prst="rect">
          <a:avLst/>
        </a:prstGeom>
        <a:ln>
          <a:solidFill>
            <a:schemeClr val="tx1"/>
          </a:solidFill>
        </a:ln>
      </xdr:spPr>
    </xdr:pic>
    <xdr:clientData/>
  </xdr:twoCellAnchor>
  <xdr:twoCellAnchor editAs="oneCell">
    <xdr:from>
      <xdr:col>11</xdr:col>
      <xdr:colOff>104775</xdr:colOff>
      <xdr:row>108</xdr:row>
      <xdr:rowOff>123825</xdr:rowOff>
    </xdr:from>
    <xdr:to>
      <xdr:col>16</xdr:col>
      <xdr:colOff>79723</xdr:colOff>
      <xdr:row>126</xdr:row>
      <xdr:rowOff>139976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9048750" y="21031200"/>
          <a:ext cx="4118323" cy="4016651"/>
        </a:xfrm>
        <a:prstGeom prst="rect">
          <a:avLst/>
        </a:prstGeom>
        <a:ln>
          <a:solidFill>
            <a:schemeClr val="tx1"/>
          </a:solidFill>
        </a:ln>
      </xdr:spPr>
    </xdr:pic>
    <xdr:clientData/>
  </xdr:twoCellAnchor>
  <xdr:twoCellAnchor>
    <xdr:from>
      <xdr:col>0</xdr:col>
      <xdr:colOff>47839</xdr:colOff>
      <xdr:row>174</xdr:row>
      <xdr:rowOff>82550</xdr:rowOff>
    </xdr:from>
    <xdr:to>
      <xdr:col>7</xdr:col>
      <xdr:colOff>699144</xdr:colOff>
      <xdr:row>214</xdr:row>
      <xdr:rowOff>60685</xdr:rowOff>
    </xdr:to>
    <xdr:grpSp>
      <xdr:nvGrpSpPr>
        <xdr:cNvPr id="7" name="Group 6"/>
        <xdr:cNvGrpSpPr/>
      </xdr:nvGrpSpPr>
      <xdr:grpSpPr>
        <a:xfrm>
          <a:off x="47839" y="34404300"/>
          <a:ext cx="6525055" cy="7845785"/>
          <a:chOff x="47839" y="34404300"/>
          <a:chExt cx="6525055" cy="7845785"/>
        </a:xfrm>
      </xdr:grpSpPr>
      <xdr:pic>
        <xdr:nvPicPr>
          <xdr:cNvPr id="19" name="Picture 1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482590" y="40623082"/>
            <a:ext cx="1090304" cy="1620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67245" y="34405107"/>
            <a:ext cx="2022188" cy="270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204840" y="34405107"/>
            <a:ext cx="2022188" cy="270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10"/>
          <a:stretch>
            <a:fillRect/>
          </a:stretch>
        </xdr:blipFill>
        <xdr:spPr>
          <a:xfrm>
            <a:off x="4342435" y="34404300"/>
            <a:ext cx="2229815" cy="2688783"/>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153337" y="40623082"/>
            <a:ext cx="1213313" cy="162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7839" y="37216233"/>
            <a:ext cx="2157001" cy="162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290800" y="37216233"/>
            <a:ext cx="2157001" cy="162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542893" y="37216233"/>
            <a:ext cx="1991257" cy="162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95250" y="38923159"/>
            <a:ext cx="2061751" cy="162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007397" y="40623082"/>
            <a:ext cx="2043903" cy="162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76200" y="40630085"/>
            <a:ext cx="1831761" cy="162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542892" y="38923159"/>
            <a:ext cx="1991257" cy="162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290799" y="38923159"/>
            <a:ext cx="2157001" cy="16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41RvJjHzm5Z4iude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59"/>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5" customWidth="1"/>
    <col min="2" max="2" width="12" style="35" customWidth="1"/>
    <col min="3" max="3" width="12.81640625" style="35" customWidth="1"/>
    <col min="4" max="4" width="13.81640625" style="35" customWidth="1"/>
    <col min="5" max="5" width="11.81640625" style="35" customWidth="1"/>
    <col min="6" max="6" width="11.1796875" style="35" customWidth="1"/>
    <col min="7" max="8" width="11" style="35"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81640625" style="16" customWidth="1"/>
    <col min="17" max="18" width="9.1796875" style="16"/>
    <col min="19" max="19" width="10.81640625" style="16" bestFit="1" customWidth="1"/>
    <col min="20" max="20" width="10.81640625" style="16" customWidth="1"/>
    <col min="21" max="247" width="9.1796875" style="16"/>
    <col min="248" max="248" width="8.81640625" style="16" customWidth="1"/>
    <col min="249" max="249" width="9.81640625" style="16" customWidth="1"/>
    <col min="250" max="250" width="14.453125" style="16" customWidth="1"/>
    <col min="251" max="251" width="7.179687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81640625" style="16" customWidth="1"/>
    <col min="505" max="505" width="9.81640625" style="16" customWidth="1"/>
    <col min="506" max="506" width="14.453125" style="16" customWidth="1"/>
    <col min="507" max="507" width="7.179687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81640625" style="16" customWidth="1"/>
    <col min="761" max="761" width="9.81640625" style="16" customWidth="1"/>
    <col min="762" max="762" width="14.453125" style="16" customWidth="1"/>
    <col min="763" max="763" width="7.179687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81640625" style="16" customWidth="1"/>
    <col min="1017" max="1017" width="9.81640625" style="16" customWidth="1"/>
    <col min="1018" max="1018" width="14.453125" style="16" customWidth="1"/>
    <col min="1019" max="1019" width="7.179687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81640625" style="16" customWidth="1"/>
    <col min="1273" max="1273" width="9.81640625" style="16" customWidth="1"/>
    <col min="1274" max="1274" width="14.453125" style="16" customWidth="1"/>
    <col min="1275" max="1275" width="7.179687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81640625" style="16" customWidth="1"/>
    <col min="1529" max="1529" width="9.81640625" style="16" customWidth="1"/>
    <col min="1530" max="1530" width="14.453125" style="16" customWidth="1"/>
    <col min="1531" max="1531" width="7.179687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81640625" style="16" customWidth="1"/>
    <col min="1785" max="1785" width="9.81640625" style="16" customWidth="1"/>
    <col min="1786" max="1786" width="14.453125" style="16" customWidth="1"/>
    <col min="1787" max="1787" width="7.179687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81640625" style="16" customWidth="1"/>
    <col min="2041" max="2041" width="9.81640625" style="16" customWidth="1"/>
    <col min="2042" max="2042" width="14.453125" style="16" customWidth="1"/>
    <col min="2043" max="2043" width="7.179687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81640625" style="16" customWidth="1"/>
    <col min="2297" max="2297" width="9.81640625" style="16" customWidth="1"/>
    <col min="2298" max="2298" width="14.453125" style="16" customWidth="1"/>
    <col min="2299" max="2299" width="7.179687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81640625" style="16" customWidth="1"/>
    <col min="2553" max="2553" width="9.81640625" style="16" customWidth="1"/>
    <col min="2554" max="2554" width="14.453125" style="16" customWidth="1"/>
    <col min="2555" max="2555" width="7.179687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81640625" style="16" customWidth="1"/>
    <col min="2809" max="2809" width="9.81640625" style="16" customWidth="1"/>
    <col min="2810" max="2810" width="14.453125" style="16" customWidth="1"/>
    <col min="2811" max="2811" width="7.179687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81640625" style="16" customWidth="1"/>
    <col min="3065" max="3065" width="9.81640625" style="16" customWidth="1"/>
    <col min="3066" max="3066" width="14.453125" style="16" customWidth="1"/>
    <col min="3067" max="3067" width="7.179687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81640625" style="16" customWidth="1"/>
    <col min="3321" max="3321" width="9.81640625" style="16" customWidth="1"/>
    <col min="3322" max="3322" width="14.453125" style="16" customWidth="1"/>
    <col min="3323" max="3323" width="7.179687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81640625" style="16" customWidth="1"/>
    <col min="3577" max="3577" width="9.81640625" style="16" customWidth="1"/>
    <col min="3578" max="3578" width="14.453125" style="16" customWidth="1"/>
    <col min="3579" max="3579" width="7.179687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81640625" style="16" customWidth="1"/>
    <col min="3833" max="3833" width="9.81640625" style="16" customWidth="1"/>
    <col min="3834" max="3834" width="14.453125" style="16" customWidth="1"/>
    <col min="3835" max="3835" width="7.179687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81640625" style="16" customWidth="1"/>
    <col min="4089" max="4089" width="9.81640625" style="16" customWidth="1"/>
    <col min="4090" max="4090" width="14.453125" style="16" customWidth="1"/>
    <col min="4091" max="4091" width="7.179687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81640625" style="16" customWidth="1"/>
    <col min="4345" max="4345" width="9.81640625" style="16" customWidth="1"/>
    <col min="4346" max="4346" width="14.453125" style="16" customWidth="1"/>
    <col min="4347" max="4347" width="7.179687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81640625" style="16" customWidth="1"/>
    <col min="4601" max="4601" width="9.81640625" style="16" customWidth="1"/>
    <col min="4602" max="4602" width="14.453125" style="16" customWidth="1"/>
    <col min="4603" max="4603" width="7.179687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81640625" style="16" customWidth="1"/>
    <col min="4857" max="4857" width="9.81640625" style="16" customWidth="1"/>
    <col min="4858" max="4858" width="14.453125" style="16" customWidth="1"/>
    <col min="4859" max="4859" width="7.179687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81640625" style="16" customWidth="1"/>
    <col min="5113" max="5113" width="9.81640625" style="16" customWidth="1"/>
    <col min="5114" max="5114" width="14.453125" style="16" customWidth="1"/>
    <col min="5115" max="5115" width="7.179687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81640625" style="16" customWidth="1"/>
    <col min="5369" max="5369" width="9.81640625" style="16" customWidth="1"/>
    <col min="5370" max="5370" width="14.453125" style="16" customWidth="1"/>
    <col min="5371" max="5371" width="7.179687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81640625" style="16" customWidth="1"/>
    <col min="5625" max="5625" width="9.81640625" style="16" customWidth="1"/>
    <col min="5626" max="5626" width="14.453125" style="16" customWidth="1"/>
    <col min="5627" max="5627" width="7.179687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81640625" style="16" customWidth="1"/>
    <col min="5881" max="5881" width="9.81640625" style="16" customWidth="1"/>
    <col min="5882" max="5882" width="14.453125" style="16" customWidth="1"/>
    <col min="5883" max="5883" width="7.179687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81640625" style="16" customWidth="1"/>
    <col min="6137" max="6137" width="9.81640625" style="16" customWidth="1"/>
    <col min="6138" max="6138" width="14.453125" style="16" customWidth="1"/>
    <col min="6139" max="6139" width="7.179687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81640625" style="16" customWidth="1"/>
    <col min="6393" max="6393" width="9.81640625" style="16" customWidth="1"/>
    <col min="6394" max="6394" width="14.453125" style="16" customWidth="1"/>
    <col min="6395" max="6395" width="7.179687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81640625" style="16" customWidth="1"/>
    <col min="6649" max="6649" width="9.81640625" style="16" customWidth="1"/>
    <col min="6650" max="6650" width="14.453125" style="16" customWidth="1"/>
    <col min="6651" max="6651" width="7.179687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81640625" style="16" customWidth="1"/>
    <col min="6905" max="6905" width="9.81640625" style="16" customWidth="1"/>
    <col min="6906" max="6906" width="14.453125" style="16" customWidth="1"/>
    <col min="6907" max="6907" width="7.179687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81640625" style="16" customWidth="1"/>
    <col min="7161" max="7161" width="9.81640625" style="16" customWidth="1"/>
    <col min="7162" max="7162" width="14.453125" style="16" customWidth="1"/>
    <col min="7163" max="7163" width="7.179687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81640625" style="16" customWidth="1"/>
    <col min="7417" max="7417" width="9.81640625" style="16" customWidth="1"/>
    <col min="7418" max="7418" width="14.453125" style="16" customWidth="1"/>
    <col min="7419" max="7419" width="7.179687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81640625" style="16" customWidth="1"/>
    <col min="7673" max="7673" width="9.81640625" style="16" customWidth="1"/>
    <col min="7674" max="7674" width="14.453125" style="16" customWidth="1"/>
    <col min="7675" max="7675" width="7.179687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81640625" style="16" customWidth="1"/>
    <col min="7929" max="7929" width="9.81640625" style="16" customWidth="1"/>
    <col min="7930" max="7930" width="14.453125" style="16" customWidth="1"/>
    <col min="7931" max="7931" width="7.179687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81640625" style="16" customWidth="1"/>
    <col min="8185" max="8185" width="9.81640625" style="16" customWidth="1"/>
    <col min="8186" max="8186" width="14.453125" style="16" customWidth="1"/>
    <col min="8187" max="8187" width="7.179687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81640625" style="16" customWidth="1"/>
    <col min="8441" max="8441" width="9.81640625" style="16" customWidth="1"/>
    <col min="8442" max="8442" width="14.453125" style="16" customWidth="1"/>
    <col min="8443" max="8443" width="7.179687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81640625" style="16" customWidth="1"/>
    <col min="8697" max="8697" width="9.81640625" style="16" customWidth="1"/>
    <col min="8698" max="8698" width="14.453125" style="16" customWidth="1"/>
    <col min="8699" max="8699" width="7.179687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81640625" style="16" customWidth="1"/>
    <col min="8953" max="8953" width="9.81640625" style="16" customWidth="1"/>
    <col min="8954" max="8954" width="14.453125" style="16" customWidth="1"/>
    <col min="8955" max="8955" width="7.179687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81640625" style="16" customWidth="1"/>
    <col min="9209" max="9209" width="9.81640625" style="16" customWidth="1"/>
    <col min="9210" max="9210" width="14.453125" style="16" customWidth="1"/>
    <col min="9211" max="9211" width="7.179687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81640625" style="16" customWidth="1"/>
    <col min="9465" max="9465" width="9.81640625" style="16" customWidth="1"/>
    <col min="9466" max="9466" width="14.453125" style="16" customWidth="1"/>
    <col min="9467" max="9467" width="7.179687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81640625" style="16" customWidth="1"/>
    <col min="9721" max="9721" width="9.81640625" style="16" customWidth="1"/>
    <col min="9722" max="9722" width="14.453125" style="16" customWidth="1"/>
    <col min="9723" max="9723" width="7.179687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81640625" style="16" customWidth="1"/>
    <col min="9977" max="9977" width="9.81640625" style="16" customWidth="1"/>
    <col min="9978" max="9978" width="14.453125" style="16" customWidth="1"/>
    <col min="9979" max="9979" width="7.179687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81640625" style="16" customWidth="1"/>
    <col min="10233" max="10233" width="9.81640625" style="16" customWidth="1"/>
    <col min="10234" max="10234" width="14.453125" style="16" customWidth="1"/>
    <col min="10235" max="10235" width="7.179687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81640625" style="16" customWidth="1"/>
    <col min="10489" max="10489" width="9.81640625" style="16" customWidth="1"/>
    <col min="10490" max="10490" width="14.453125" style="16" customWidth="1"/>
    <col min="10491" max="10491" width="7.179687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81640625" style="16" customWidth="1"/>
    <col min="10745" max="10745" width="9.81640625" style="16" customWidth="1"/>
    <col min="10746" max="10746" width="14.453125" style="16" customWidth="1"/>
    <col min="10747" max="10747" width="7.179687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81640625" style="16" customWidth="1"/>
    <col min="11001" max="11001" width="9.81640625" style="16" customWidth="1"/>
    <col min="11002" max="11002" width="14.453125" style="16" customWidth="1"/>
    <col min="11003" max="11003" width="7.179687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81640625" style="16" customWidth="1"/>
    <col min="11257" max="11257" width="9.81640625" style="16" customWidth="1"/>
    <col min="11258" max="11258" width="14.453125" style="16" customWidth="1"/>
    <col min="11259" max="11259" width="7.179687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81640625" style="16" customWidth="1"/>
    <col min="11513" max="11513" width="9.81640625" style="16" customWidth="1"/>
    <col min="11514" max="11514" width="14.453125" style="16" customWidth="1"/>
    <col min="11515" max="11515" width="7.179687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81640625" style="16" customWidth="1"/>
    <col min="11769" max="11769" width="9.81640625" style="16" customWidth="1"/>
    <col min="11770" max="11770" width="14.453125" style="16" customWidth="1"/>
    <col min="11771" max="11771" width="7.179687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81640625" style="16" customWidth="1"/>
    <col min="12025" max="12025" width="9.81640625" style="16" customWidth="1"/>
    <col min="12026" max="12026" width="14.453125" style="16" customWidth="1"/>
    <col min="12027" max="12027" width="7.179687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81640625" style="16" customWidth="1"/>
    <col min="12281" max="12281" width="9.81640625" style="16" customWidth="1"/>
    <col min="12282" max="12282" width="14.453125" style="16" customWidth="1"/>
    <col min="12283" max="12283" width="7.179687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81640625" style="16" customWidth="1"/>
    <col min="12537" max="12537" width="9.81640625" style="16" customWidth="1"/>
    <col min="12538" max="12538" width="14.453125" style="16" customWidth="1"/>
    <col min="12539" max="12539" width="7.179687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81640625" style="16" customWidth="1"/>
    <col min="12793" max="12793" width="9.81640625" style="16" customWidth="1"/>
    <col min="12794" max="12794" width="14.453125" style="16" customWidth="1"/>
    <col min="12795" max="12795" width="7.179687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81640625" style="16" customWidth="1"/>
    <col min="13049" max="13049" width="9.81640625" style="16" customWidth="1"/>
    <col min="13050" max="13050" width="14.453125" style="16" customWidth="1"/>
    <col min="13051" max="13051" width="7.179687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81640625" style="16" customWidth="1"/>
    <col min="13305" max="13305" width="9.81640625" style="16" customWidth="1"/>
    <col min="13306" max="13306" width="14.453125" style="16" customWidth="1"/>
    <col min="13307" max="13307" width="7.179687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81640625" style="16" customWidth="1"/>
    <col min="13561" max="13561" width="9.81640625" style="16" customWidth="1"/>
    <col min="13562" max="13562" width="14.453125" style="16" customWidth="1"/>
    <col min="13563" max="13563" width="7.179687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81640625" style="16" customWidth="1"/>
    <col min="13817" max="13817" width="9.81640625" style="16" customWidth="1"/>
    <col min="13818" max="13818" width="14.453125" style="16" customWidth="1"/>
    <col min="13819" max="13819" width="7.179687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81640625" style="16" customWidth="1"/>
    <col min="14073" max="14073" width="9.81640625" style="16" customWidth="1"/>
    <col min="14074" max="14074" width="14.453125" style="16" customWidth="1"/>
    <col min="14075" max="14075" width="7.179687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81640625" style="16" customWidth="1"/>
    <col min="14329" max="14329" width="9.81640625" style="16" customWidth="1"/>
    <col min="14330" max="14330" width="14.453125" style="16" customWidth="1"/>
    <col min="14331" max="14331" width="7.179687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81640625" style="16" customWidth="1"/>
    <col min="14585" max="14585" width="9.81640625" style="16" customWidth="1"/>
    <col min="14586" max="14586" width="14.453125" style="16" customWidth="1"/>
    <col min="14587" max="14587" width="7.179687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81640625" style="16" customWidth="1"/>
    <col min="14841" max="14841" width="9.81640625" style="16" customWidth="1"/>
    <col min="14842" max="14842" width="14.453125" style="16" customWidth="1"/>
    <col min="14843" max="14843" width="7.179687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81640625" style="16" customWidth="1"/>
    <col min="15097" max="15097" width="9.81640625" style="16" customWidth="1"/>
    <col min="15098" max="15098" width="14.453125" style="16" customWidth="1"/>
    <col min="15099" max="15099" width="7.179687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81640625" style="16" customWidth="1"/>
    <col min="15353" max="15353" width="9.81640625" style="16" customWidth="1"/>
    <col min="15354" max="15354" width="14.453125" style="16" customWidth="1"/>
    <col min="15355" max="15355" width="7.179687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81640625" style="16" customWidth="1"/>
    <col min="15609" max="15609" width="9.81640625" style="16" customWidth="1"/>
    <col min="15610" max="15610" width="14.453125" style="16" customWidth="1"/>
    <col min="15611" max="15611" width="7.179687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81640625" style="16" customWidth="1"/>
    <col min="15865" max="15865" width="9.81640625" style="16" customWidth="1"/>
    <col min="15866" max="15866" width="14.453125" style="16" customWidth="1"/>
    <col min="15867" max="15867" width="7.179687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81640625" style="16" customWidth="1"/>
    <col min="16121" max="16121" width="9.81640625" style="16" customWidth="1"/>
    <col min="16122" max="16122" width="14.453125" style="16" customWidth="1"/>
    <col min="16123" max="16123" width="7.179687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34" t="s">
        <v>158</v>
      </c>
      <c r="B1" s="134"/>
      <c r="C1" s="134"/>
      <c r="D1" s="134"/>
      <c r="E1" s="134"/>
      <c r="F1" s="134"/>
      <c r="G1" s="134"/>
      <c r="H1" s="134"/>
    </row>
    <row r="2" spans="1:26" ht="16.5" customHeight="1" x14ac:dyDescent="0.35">
      <c r="A2" s="135" t="s">
        <v>0</v>
      </c>
      <c r="B2" s="135"/>
      <c r="C2" s="135"/>
      <c r="D2" s="135"/>
      <c r="E2" s="135"/>
      <c r="F2" s="135"/>
      <c r="G2" s="135"/>
      <c r="H2" s="135"/>
    </row>
    <row r="3" spans="1:26" x14ac:dyDescent="0.35">
      <c r="A3" s="85" t="s">
        <v>1</v>
      </c>
      <c r="B3" s="85"/>
      <c r="C3" s="85"/>
      <c r="D3" s="85"/>
      <c r="E3" s="85" t="str">
        <f ca="1">TEXT(TODAY(),"DD/MM/YYYY")</f>
        <v>24/09/2025</v>
      </c>
      <c r="F3" s="85"/>
      <c r="G3" s="85"/>
      <c r="H3" s="85"/>
      <c r="K3" s="43" t="s">
        <v>229</v>
      </c>
      <c r="L3" s="41" t="s">
        <v>227</v>
      </c>
      <c r="M3" s="41" t="s">
        <v>232</v>
      </c>
      <c r="N3" s="41" t="s">
        <v>230</v>
      </c>
      <c r="O3" s="41" t="s">
        <v>231</v>
      </c>
      <c r="P3" s="41" t="s">
        <v>233</v>
      </c>
    </row>
    <row r="4" spans="1:26" ht="15" customHeight="1" x14ac:dyDescent="0.35">
      <c r="A4" s="85" t="s">
        <v>226</v>
      </c>
      <c r="B4" s="85"/>
      <c r="C4" s="85"/>
      <c r="D4" s="85"/>
      <c r="E4" s="85" t="s">
        <v>227</v>
      </c>
      <c r="F4" s="85"/>
      <c r="G4" s="85"/>
      <c r="H4" s="85"/>
      <c r="K4" s="40" t="s">
        <v>228</v>
      </c>
      <c r="L4" s="41" t="s">
        <v>164</v>
      </c>
      <c r="M4" s="41" t="s">
        <v>237</v>
      </c>
      <c r="N4" s="41" t="s">
        <v>239</v>
      </c>
      <c r="O4" s="41" t="s">
        <v>241</v>
      </c>
      <c r="P4" s="41"/>
    </row>
    <row r="5" spans="1:26" ht="15" customHeight="1" x14ac:dyDescent="0.35">
      <c r="A5" s="85" t="s">
        <v>2</v>
      </c>
      <c r="B5" s="85"/>
      <c r="C5" s="85"/>
      <c r="D5" s="85"/>
      <c r="E5" s="85" t="s">
        <v>235</v>
      </c>
      <c r="F5" s="85"/>
      <c r="G5" s="85"/>
      <c r="H5" s="85"/>
      <c r="K5" s="40"/>
      <c r="L5" s="41" t="s">
        <v>234</v>
      </c>
      <c r="M5" s="41" t="s">
        <v>238</v>
      </c>
      <c r="N5" s="41" t="s">
        <v>240</v>
      </c>
      <c r="O5" s="41" t="s">
        <v>242</v>
      </c>
      <c r="P5" s="41"/>
    </row>
    <row r="6" spans="1:26" x14ac:dyDescent="0.35">
      <c r="A6" s="85" t="s">
        <v>3</v>
      </c>
      <c r="B6" s="85"/>
      <c r="C6" s="85"/>
      <c r="D6" s="85"/>
      <c r="E6" s="136">
        <v>45924</v>
      </c>
      <c r="F6" s="85"/>
      <c r="G6" s="85"/>
      <c r="H6" s="85"/>
      <c r="K6" s="40"/>
      <c r="L6" s="41" t="s">
        <v>235</v>
      </c>
      <c r="M6" s="41"/>
      <c r="N6" s="41"/>
      <c r="O6" s="41" t="s">
        <v>243</v>
      </c>
      <c r="P6" s="41"/>
    </row>
    <row r="7" spans="1:26" ht="16.5" customHeight="1" x14ac:dyDescent="0.35">
      <c r="A7" s="85" t="s">
        <v>4</v>
      </c>
      <c r="B7" s="85"/>
      <c r="C7" s="85"/>
      <c r="D7" s="85"/>
      <c r="E7" s="85" t="s">
        <v>291</v>
      </c>
      <c r="F7" s="85"/>
      <c r="G7" s="85"/>
      <c r="H7" s="85"/>
      <c r="K7" s="40"/>
      <c r="L7" s="41" t="s">
        <v>236</v>
      </c>
      <c r="M7" s="41"/>
      <c r="N7" s="41"/>
      <c r="O7" s="41" t="s">
        <v>243</v>
      </c>
      <c r="P7" s="41"/>
    </row>
    <row r="8" spans="1:26" ht="15" customHeight="1" x14ac:dyDescent="0.35">
      <c r="A8" s="85" t="s">
        <v>5</v>
      </c>
      <c r="B8" s="85"/>
      <c r="C8" s="85"/>
      <c r="D8" s="85"/>
      <c r="E8" s="85" t="str">
        <f>E7</f>
        <v>Envision Infra</v>
      </c>
      <c r="F8" s="85"/>
      <c r="G8" s="85"/>
      <c r="H8" s="85"/>
      <c r="K8" s="40"/>
      <c r="L8" s="41"/>
      <c r="M8" s="41"/>
      <c r="N8" s="41"/>
      <c r="O8" s="41" t="s">
        <v>244</v>
      </c>
      <c r="P8" s="41"/>
    </row>
    <row r="9" spans="1:26" x14ac:dyDescent="0.35">
      <c r="A9" s="85" t="s">
        <v>6</v>
      </c>
      <c r="B9" s="85"/>
      <c r="C9" s="85"/>
      <c r="D9" s="85"/>
      <c r="E9" s="104" t="s">
        <v>292</v>
      </c>
      <c r="F9" s="104"/>
      <c r="G9" s="104"/>
      <c r="H9" s="104"/>
      <c r="K9" s="40"/>
      <c r="L9" s="41"/>
      <c r="M9" s="41"/>
      <c r="N9" s="41"/>
      <c r="O9" s="41" t="s">
        <v>245</v>
      </c>
      <c r="P9" s="41"/>
    </row>
    <row r="10" spans="1:26" x14ac:dyDescent="0.35">
      <c r="A10" s="85" t="s">
        <v>161</v>
      </c>
      <c r="B10" s="85"/>
      <c r="C10" s="85"/>
      <c r="D10" s="85"/>
      <c r="E10" s="85" t="s">
        <v>341</v>
      </c>
      <c r="F10" s="85"/>
      <c r="G10" s="85"/>
      <c r="H10" s="85"/>
      <c r="K10" s="40"/>
      <c r="L10" s="41"/>
      <c r="M10" s="41"/>
      <c r="N10" s="41"/>
      <c r="O10" s="41"/>
      <c r="P10" s="41"/>
    </row>
    <row r="11" spans="1:26" x14ac:dyDescent="0.35">
      <c r="A11" s="85" t="s">
        <v>162</v>
      </c>
      <c r="B11" s="85"/>
      <c r="C11" s="85"/>
      <c r="D11" s="85"/>
      <c r="E11" s="85" t="s">
        <v>340</v>
      </c>
      <c r="F11" s="85"/>
      <c r="G11" s="85"/>
      <c r="H11" s="85"/>
      <c r="I11" s="85" t="s">
        <v>340</v>
      </c>
      <c r="J11" s="85"/>
      <c r="K11" s="85"/>
      <c r="L11" s="85"/>
    </row>
    <row r="12" spans="1:26" x14ac:dyDescent="0.35">
      <c r="A12" s="85" t="s">
        <v>7</v>
      </c>
      <c r="B12" s="85"/>
      <c r="C12" s="85"/>
      <c r="D12" s="85"/>
      <c r="E12" s="85" t="s">
        <v>116</v>
      </c>
      <c r="F12" s="85"/>
      <c r="G12" s="85"/>
      <c r="H12" s="85"/>
    </row>
    <row r="13" spans="1:26" ht="32.25" customHeight="1" x14ac:dyDescent="0.35">
      <c r="A13" s="85" t="s">
        <v>272</v>
      </c>
      <c r="B13" s="85"/>
      <c r="C13" s="85"/>
      <c r="D13" s="85"/>
      <c r="E13" s="76" t="s">
        <v>333</v>
      </c>
      <c r="F13" s="76"/>
      <c r="G13" s="76"/>
      <c r="H13" s="76"/>
      <c r="S13" s="41" t="s">
        <v>173</v>
      </c>
      <c r="T13" s="41" t="s">
        <v>180</v>
      </c>
      <c r="U13" s="41" t="s">
        <v>202</v>
      </c>
      <c r="V13" s="41" t="s">
        <v>188</v>
      </c>
      <c r="W13" s="41" t="s">
        <v>206</v>
      </c>
      <c r="X13"/>
      <c r="Y13"/>
      <c r="Z13"/>
    </row>
    <row r="14" spans="1:26" x14ac:dyDescent="0.35">
      <c r="A14" s="85" t="s">
        <v>8</v>
      </c>
      <c r="B14" s="85"/>
      <c r="C14" s="85"/>
      <c r="D14" s="85"/>
      <c r="E14" s="76" t="s">
        <v>293</v>
      </c>
      <c r="F14" s="85"/>
      <c r="G14" s="85"/>
      <c r="H14" s="85"/>
      <c r="I14" s="181" t="e">
        <f ca="1">OFFSET($D$5,1,MATCH(#REF!,$D$5:$H$5,0)-1,15,1)</f>
        <v>#REF!</v>
      </c>
      <c r="J14" s="182"/>
      <c r="K14" s="182"/>
      <c r="L14" s="182"/>
      <c r="M14" s="182"/>
      <c r="N14" s="182"/>
      <c r="O14" s="182"/>
      <c r="P14" s="182"/>
      <c r="S14" s="41" t="s">
        <v>174</v>
      </c>
      <c r="T14" s="41" t="s">
        <v>181</v>
      </c>
      <c r="U14" s="41" t="s">
        <v>203</v>
      </c>
      <c r="V14" s="41" t="s">
        <v>189</v>
      </c>
      <c r="W14" s="41" t="s">
        <v>219</v>
      </c>
      <c r="X14"/>
      <c r="Y14"/>
      <c r="Z14"/>
    </row>
    <row r="15" spans="1:26" ht="33.65" customHeight="1" x14ac:dyDescent="0.35">
      <c r="A15" s="76" t="s">
        <v>9</v>
      </c>
      <c r="B15" s="76"/>
      <c r="C15" s="76" t="str">
        <f>CONCATENATE((IF(OR(E9="",E9="NA"),"",E9)),", ",(IF(OR(A16="",A16="NA"),"",A16)),".",(IF(OR(C16="",C16="NA"),"",C16)),", Opp. ",(IF(OR(C21="",C21="NA"),"",C21)),", ",(IF(OR(C18="",C18="NA"),"",C18)),", ",(IF(OR(C17="",C17="NA"),"",C17)),", ",(IF(OR(G18="",G18="NA"),"",G18)),", ",(IF(OR(C19="",C19="NA"),"",C19)),", ",(IF(OR(C20="",C20="NA"),"",C20)),", ",(IF(OR(G19="",G19="NA"),"",G19))," - ",(IF(OR(G20="",G20="NA"),"",G20)),".")</f>
        <v>Sarangi, CTS No.1104/3, Plot No.2, Opp. Swara Building, D.P.Road, Shri Ram Nagar, Chinchavali Shekin, Khopoli, Khalapur, Raigad - 410203.</v>
      </c>
      <c r="D15" s="76"/>
      <c r="E15" s="76"/>
      <c r="F15" s="76"/>
      <c r="G15" s="76"/>
      <c r="H15" s="76"/>
      <c r="S15" s="41" t="s">
        <v>175</v>
      </c>
      <c r="T15" s="41" t="s">
        <v>183</v>
      </c>
      <c r="U15" s="41" t="s">
        <v>204</v>
      </c>
      <c r="V15" s="41" t="s">
        <v>190</v>
      </c>
      <c r="W15" s="41" t="s">
        <v>207</v>
      </c>
      <c r="X15"/>
      <c r="Y15"/>
      <c r="Z15"/>
    </row>
    <row r="16" spans="1:26" x14ac:dyDescent="0.35">
      <c r="A16" s="76" t="s">
        <v>169</v>
      </c>
      <c r="B16" s="76"/>
      <c r="C16" s="76" t="s">
        <v>294</v>
      </c>
      <c r="D16" s="76"/>
      <c r="E16" s="76"/>
      <c r="F16" s="76"/>
      <c r="G16" s="76"/>
      <c r="H16" s="76"/>
      <c r="S16" s="41" t="s">
        <v>176</v>
      </c>
      <c r="T16" s="41" t="s">
        <v>184</v>
      </c>
      <c r="U16" s="41" t="s">
        <v>165</v>
      </c>
      <c r="V16" s="41" t="s">
        <v>191</v>
      </c>
      <c r="W16" s="41" t="s">
        <v>208</v>
      </c>
      <c r="X16"/>
      <c r="Y16"/>
      <c r="Z16"/>
    </row>
    <row r="17" spans="1:26" ht="15.75" customHeight="1" x14ac:dyDescent="0.35">
      <c r="A17" s="76" t="s">
        <v>156</v>
      </c>
      <c r="B17" s="76"/>
      <c r="C17" s="76" t="s">
        <v>299</v>
      </c>
      <c r="D17" s="76"/>
      <c r="E17" s="76"/>
      <c r="F17" s="76"/>
      <c r="G17" s="76"/>
      <c r="H17" s="76"/>
      <c r="S17" s="41" t="s">
        <v>177</v>
      </c>
      <c r="T17" s="41" t="s">
        <v>182</v>
      </c>
      <c r="U17" s="41"/>
      <c r="V17" s="41" t="s">
        <v>192</v>
      </c>
      <c r="W17" s="41" t="s">
        <v>209</v>
      </c>
      <c r="X17"/>
      <c r="Y17"/>
      <c r="Z17"/>
    </row>
    <row r="18" spans="1:26" ht="15.75" customHeight="1" x14ac:dyDescent="0.35">
      <c r="A18" s="76" t="s">
        <v>10</v>
      </c>
      <c r="B18" s="76"/>
      <c r="C18" s="85" t="s">
        <v>300</v>
      </c>
      <c r="D18" s="85"/>
      <c r="E18" s="76" t="s">
        <v>70</v>
      </c>
      <c r="F18" s="76"/>
      <c r="G18" s="76" t="s">
        <v>295</v>
      </c>
      <c r="H18" s="76"/>
      <c r="S18" s="41" t="s">
        <v>178</v>
      </c>
      <c r="T18" s="41" t="s">
        <v>185</v>
      </c>
      <c r="U18" s="41"/>
      <c r="V18" s="41" t="s">
        <v>193</v>
      </c>
      <c r="W18" s="41" t="s">
        <v>210</v>
      </c>
      <c r="X18"/>
      <c r="Y18"/>
      <c r="Z18"/>
    </row>
    <row r="19" spans="1:26" x14ac:dyDescent="0.35">
      <c r="A19" s="85" t="s">
        <v>12</v>
      </c>
      <c r="B19" s="85"/>
      <c r="C19" s="76" t="s">
        <v>296</v>
      </c>
      <c r="D19" s="76"/>
      <c r="E19" s="76" t="s">
        <v>11</v>
      </c>
      <c r="F19" s="76"/>
      <c r="G19" s="133" t="s">
        <v>187</v>
      </c>
      <c r="H19" s="133"/>
      <c r="S19" s="41" t="s">
        <v>179</v>
      </c>
      <c r="T19" s="41" t="s">
        <v>186</v>
      </c>
      <c r="U19" s="41"/>
      <c r="V19" s="41" t="s">
        <v>194</v>
      </c>
      <c r="W19" s="41" t="s">
        <v>211</v>
      </c>
      <c r="X19"/>
      <c r="Y19"/>
      <c r="Z19"/>
    </row>
    <row r="20" spans="1:26" x14ac:dyDescent="0.35">
      <c r="A20" s="85" t="s">
        <v>71</v>
      </c>
      <c r="B20" s="85"/>
      <c r="C20" s="76" t="s">
        <v>192</v>
      </c>
      <c r="D20" s="76"/>
      <c r="E20" s="76" t="s">
        <v>13</v>
      </c>
      <c r="F20" s="76"/>
      <c r="G20" s="76">
        <v>410203</v>
      </c>
      <c r="H20" s="76"/>
      <c r="S20" s="41"/>
      <c r="T20" s="41"/>
      <c r="U20" s="41"/>
      <c r="V20" s="41" t="s">
        <v>195</v>
      </c>
      <c r="W20" s="41" t="s">
        <v>212</v>
      </c>
      <c r="X20"/>
      <c r="Y20"/>
      <c r="Z20"/>
    </row>
    <row r="21" spans="1:26" ht="32.25" customHeight="1" x14ac:dyDescent="0.35">
      <c r="A21" s="85" t="s">
        <v>117</v>
      </c>
      <c r="B21" s="85"/>
      <c r="C21" s="76" t="s">
        <v>302</v>
      </c>
      <c r="D21" s="76"/>
      <c r="E21" s="76" t="s">
        <v>14</v>
      </c>
      <c r="F21" s="76"/>
      <c r="G21" s="76" t="s">
        <v>301</v>
      </c>
      <c r="H21" s="76"/>
      <c r="S21" s="41"/>
      <c r="T21" s="41"/>
      <c r="U21" s="41"/>
      <c r="V21" s="41" t="s">
        <v>196</v>
      </c>
      <c r="W21" s="41" t="s">
        <v>213</v>
      </c>
      <c r="X21"/>
      <c r="Y21"/>
      <c r="Z21"/>
    </row>
    <row r="22" spans="1:26" ht="15" customHeight="1" x14ac:dyDescent="0.35">
      <c r="A22" s="83" t="s">
        <v>73</v>
      </c>
      <c r="B22" s="83"/>
      <c r="C22" s="83"/>
      <c r="D22" s="83"/>
      <c r="E22" s="85" t="s">
        <v>15</v>
      </c>
      <c r="F22" s="85"/>
      <c r="G22" s="85"/>
      <c r="H22" s="85"/>
      <c r="S22" s="41"/>
      <c r="T22" s="41"/>
      <c r="U22" s="41"/>
      <c r="V22" s="41" t="s">
        <v>197</v>
      </c>
      <c r="W22" s="41" t="s">
        <v>214</v>
      </c>
      <c r="X22"/>
      <c r="Y22"/>
      <c r="Z22"/>
    </row>
    <row r="23" spans="1:26" ht="18.75" customHeight="1" x14ac:dyDescent="0.35">
      <c r="A23" s="83"/>
      <c r="B23" s="83"/>
      <c r="C23" s="83"/>
      <c r="D23" s="83"/>
      <c r="E23" s="85"/>
      <c r="F23" s="85"/>
      <c r="G23" s="85"/>
      <c r="H23" s="85"/>
      <c r="S23" s="41"/>
      <c r="T23" s="41"/>
      <c r="U23" s="41"/>
      <c r="V23" s="41" t="s">
        <v>198</v>
      </c>
      <c r="W23" s="41" t="s">
        <v>215</v>
      </c>
      <c r="X23"/>
      <c r="Y23"/>
      <c r="Z23"/>
    </row>
    <row r="24" spans="1:26" ht="15" customHeight="1" x14ac:dyDescent="0.35">
      <c r="A24" s="83" t="s">
        <v>16</v>
      </c>
      <c r="B24" s="83"/>
      <c r="C24" s="83"/>
      <c r="D24" s="83"/>
      <c r="E24" s="76" t="s">
        <v>17</v>
      </c>
      <c r="F24" s="76"/>
      <c r="G24" s="76"/>
      <c r="H24" s="76"/>
      <c r="S24" s="41"/>
      <c r="T24" s="41"/>
      <c r="U24" s="41"/>
      <c r="V24" s="41" t="s">
        <v>199</v>
      </c>
      <c r="W24" s="41" t="s">
        <v>216</v>
      </c>
      <c r="X24"/>
      <c r="Y24"/>
      <c r="Z24"/>
    </row>
    <row r="25" spans="1:26" ht="15" customHeight="1" x14ac:dyDescent="0.35">
      <c r="A25" s="74" t="s">
        <v>18</v>
      </c>
      <c r="B25" s="74"/>
      <c r="C25" s="74"/>
      <c r="D25" s="74"/>
      <c r="E25" s="76" t="str">
        <f>IF(AND(G19="Mumbai"),"Upper Class","Middle Class")</f>
        <v>Middle Class</v>
      </c>
      <c r="F25" s="76"/>
      <c r="G25" s="76"/>
      <c r="H25" s="76"/>
      <c r="S25" s="41"/>
      <c r="T25" s="41"/>
      <c r="U25" s="41"/>
      <c r="V25" s="41" t="s">
        <v>200</v>
      </c>
      <c r="W25" s="41" t="s">
        <v>217</v>
      </c>
      <c r="X25"/>
      <c r="Y25"/>
      <c r="Z25"/>
    </row>
    <row r="26" spans="1:26" x14ac:dyDescent="0.35">
      <c r="A26" s="74" t="s">
        <v>19</v>
      </c>
      <c r="B26" s="74"/>
      <c r="C26" s="74"/>
      <c r="D26" s="74"/>
      <c r="E26" s="76" t="s">
        <v>20</v>
      </c>
      <c r="F26" s="76"/>
      <c r="G26" s="76"/>
      <c r="H26" s="76"/>
      <c r="S26" s="41"/>
      <c r="T26" s="41"/>
      <c r="U26" s="41"/>
      <c r="V26" s="41" t="s">
        <v>201</v>
      </c>
      <c r="W26" s="41" t="s">
        <v>218</v>
      </c>
      <c r="X26"/>
      <c r="Y26"/>
      <c r="Z26"/>
    </row>
    <row r="27" spans="1:26" ht="15.75" customHeight="1" x14ac:dyDescent="0.35">
      <c r="A27" s="74" t="s">
        <v>21</v>
      </c>
      <c r="B27" s="74"/>
      <c r="C27" s="74"/>
      <c r="D27" s="74"/>
      <c r="E27" s="76" t="str">
        <f>IF(AND(G19="Mumbai"),"Developed","Developing")</f>
        <v>Developing</v>
      </c>
      <c r="F27" s="76"/>
      <c r="G27" s="76"/>
      <c r="H27" s="76"/>
    </row>
    <row r="28" spans="1:26" x14ac:dyDescent="0.35">
      <c r="A28" s="74" t="s">
        <v>22</v>
      </c>
      <c r="B28" s="74"/>
      <c r="C28" s="74"/>
      <c r="D28" s="74"/>
      <c r="E28" s="76" t="s">
        <v>23</v>
      </c>
      <c r="F28" s="76"/>
      <c r="G28" s="76"/>
      <c r="H28" s="76"/>
    </row>
    <row r="29" spans="1:26" ht="15.75" customHeight="1" x14ac:dyDescent="0.35">
      <c r="A29" s="74" t="s">
        <v>78</v>
      </c>
      <c r="B29" s="74"/>
      <c r="C29" s="74"/>
      <c r="D29" s="74"/>
      <c r="E29" s="76" t="s">
        <v>79</v>
      </c>
      <c r="F29" s="76"/>
      <c r="G29" s="76"/>
      <c r="H29" s="76"/>
    </row>
    <row r="30" spans="1:26" ht="15" customHeight="1" x14ac:dyDescent="0.35">
      <c r="A30" s="74" t="s">
        <v>30</v>
      </c>
      <c r="B30" s="74"/>
      <c r="C30" s="74"/>
      <c r="D30" s="74"/>
      <c r="E30" s="76" t="str">
        <f>IF(AND(ISNUMBER(SEARCH("Flat",D62)),ISNUMBER(SEARCH("Shop",D62)),ISNUMBER(SEARCH("Office",D62))),"Residential + Commercial",IF(AND(ISNUMBER(SEARCH("Flat",D62)),ISNUMBER(SEARCH("Shop",D62))),"Residential + Commercial",IF(AND(ISNUMBER(SEARCH("Flat",D62)),ISNUMBER(SEARCH("Office",D62))),"Residential + Commercial",IF(AND(ISNUMBER(SEARCH("Shop",D62)),ISNUMBER(SEARCH("Office",D62))),"Commercial",IF(ISNUMBER(SEARCH("Shop",D62)),"Commercial",IF(ISNUMBER(SEARCH("Office",D62)),"Commercial",IF(ISNUMBER(SEARCH("Flat",D62)),"Residential")))))))</f>
        <v>Residential + Commercial</v>
      </c>
      <c r="F30" s="76"/>
      <c r="G30" s="76"/>
      <c r="H30" s="76"/>
    </row>
    <row r="31" spans="1:26" ht="15.75" customHeight="1" x14ac:dyDescent="0.35">
      <c r="A31" s="74" t="s">
        <v>90</v>
      </c>
      <c r="B31" s="74"/>
      <c r="C31" s="74"/>
      <c r="D31" s="74"/>
      <c r="E31" s="76" t="s">
        <v>31</v>
      </c>
      <c r="F31" s="76"/>
      <c r="G31" s="76"/>
      <c r="H31" s="76"/>
    </row>
    <row r="32" spans="1:26" s="17" customFormat="1" x14ac:dyDescent="0.35">
      <c r="A32" s="132" t="s">
        <v>91</v>
      </c>
      <c r="B32" s="132"/>
      <c r="C32" s="129" t="s">
        <v>166</v>
      </c>
      <c r="D32" s="130"/>
      <c r="E32" s="131"/>
      <c r="F32" s="129" t="s">
        <v>29</v>
      </c>
      <c r="G32" s="130"/>
      <c r="H32" s="131"/>
      <c r="S32" s="17" t="e">
        <f ca="1">OFFSET(#REF!,1,MATCH($G19,#REF!,0)-1,15,1)</f>
        <v>#REF!</v>
      </c>
    </row>
    <row r="33" spans="1:22" s="17" customFormat="1" x14ac:dyDescent="0.35">
      <c r="A33" s="114" t="s">
        <v>24</v>
      </c>
      <c r="B33" s="114" t="s">
        <v>28</v>
      </c>
      <c r="C33" s="126" t="s">
        <v>306</v>
      </c>
      <c r="D33" s="127"/>
      <c r="E33" s="128"/>
      <c r="F33" s="126" t="s">
        <v>303</v>
      </c>
      <c r="G33" s="127"/>
      <c r="H33" s="128"/>
    </row>
    <row r="34" spans="1:22" x14ac:dyDescent="0.35">
      <c r="A34" s="114" t="s">
        <v>25</v>
      </c>
      <c r="B34" s="114" t="s">
        <v>28</v>
      </c>
      <c r="C34" s="126" t="s">
        <v>307</v>
      </c>
      <c r="D34" s="127"/>
      <c r="E34" s="128"/>
      <c r="F34" s="126" t="s">
        <v>303</v>
      </c>
      <c r="G34" s="127"/>
      <c r="H34" s="128"/>
    </row>
    <row r="35" spans="1:22" s="17" customFormat="1" x14ac:dyDescent="0.35">
      <c r="A35" s="114" t="s">
        <v>27</v>
      </c>
      <c r="B35" s="114" t="s">
        <v>28</v>
      </c>
      <c r="C35" s="126" t="s">
        <v>304</v>
      </c>
      <c r="D35" s="127"/>
      <c r="E35" s="128"/>
      <c r="F35" s="126" t="s">
        <v>334</v>
      </c>
      <c r="G35" s="127"/>
      <c r="H35" s="128"/>
    </row>
    <row r="36" spans="1:22" x14ac:dyDescent="0.35">
      <c r="A36" s="114" t="s">
        <v>26</v>
      </c>
      <c r="B36" s="114" t="s">
        <v>28</v>
      </c>
      <c r="C36" s="115" t="s">
        <v>305</v>
      </c>
      <c r="D36" s="115"/>
      <c r="E36" s="115"/>
      <c r="F36" s="115" t="s">
        <v>335</v>
      </c>
      <c r="G36" s="115"/>
      <c r="H36" s="115"/>
    </row>
    <row r="37" spans="1:22" x14ac:dyDescent="0.35">
      <c r="A37" s="74" t="s">
        <v>273</v>
      </c>
      <c r="B37" s="74"/>
      <c r="C37" s="74"/>
      <c r="D37" s="74"/>
      <c r="E37" s="74"/>
      <c r="F37" s="74"/>
      <c r="G37" s="74"/>
      <c r="H37" s="74"/>
    </row>
    <row r="38" spans="1:22" ht="15.75" customHeight="1" x14ac:dyDescent="0.35">
      <c r="A38" s="74" t="s">
        <v>159</v>
      </c>
      <c r="B38" s="74"/>
      <c r="C38" s="105" t="s">
        <v>298</v>
      </c>
      <c r="D38" s="105"/>
      <c r="E38" s="105"/>
      <c r="F38" s="105"/>
      <c r="G38" s="105"/>
      <c r="H38" s="105"/>
    </row>
    <row r="39" spans="1:22" x14ac:dyDescent="0.35">
      <c r="A39" s="74" t="s">
        <v>155</v>
      </c>
      <c r="B39" s="74"/>
      <c r="C39" s="75" t="s">
        <v>297</v>
      </c>
      <c r="D39" s="76"/>
      <c r="E39" s="76"/>
      <c r="F39" s="76"/>
      <c r="G39" s="76"/>
      <c r="H39" s="76"/>
    </row>
    <row r="40" spans="1:22" x14ac:dyDescent="0.35">
      <c r="A40" s="105" t="s">
        <v>32</v>
      </c>
      <c r="B40" s="105"/>
      <c r="C40" s="105"/>
      <c r="D40" s="105"/>
      <c r="E40" s="105"/>
      <c r="F40" s="105"/>
      <c r="G40" s="105"/>
      <c r="H40" s="105"/>
    </row>
    <row r="41" spans="1:22" x14ac:dyDescent="0.35">
      <c r="A41" s="85" t="s">
        <v>33</v>
      </c>
      <c r="B41" s="85"/>
      <c r="C41" s="85"/>
      <c r="D41" s="85"/>
      <c r="E41" s="116">
        <v>1770</v>
      </c>
      <c r="F41" s="116"/>
      <c r="G41" s="116"/>
      <c r="H41" s="116"/>
    </row>
    <row r="42" spans="1:22" x14ac:dyDescent="0.35">
      <c r="A42" s="85" t="s">
        <v>34</v>
      </c>
      <c r="B42" s="85"/>
      <c r="C42" s="85"/>
      <c r="D42" s="85"/>
      <c r="E42" s="84">
        <v>1.1000000000000001</v>
      </c>
      <c r="F42" s="84"/>
      <c r="G42" s="84"/>
      <c r="H42" s="84"/>
    </row>
    <row r="43" spans="1:22" x14ac:dyDescent="0.35">
      <c r="A43" s="85" t="s">
        <v>35</v>
      </c>
      <c r="B43" s="85"/>
      <c r="C43" s="85"/>
      <c r="D43" s="85"/>
      <c r="E43" s="84">
        <f>E45/E41-E42</f>
        <v>2.25944011299435</v>
      </c>
      <c r="F43" s="84"/>
      <c r="G43" s="84"/>
      <c r="H43" s="84"/>
    </row>
    <row r="44" spans="1:22" x14ac:dyDescent="0.35">
      <c r="A44" s="85" t="s">
        <v>36</v>
      </c>
      <c r="B44" s="85"/>
      <c r="C44" s="85"/>
      <c r="D44" s="85"/>
      <c r="E44" s="84">
        <f>E42+E43</f>
        <v>3.3594401129943501</v>
      </c>
      <c r="F44" s="84"/>
      <c r="G44" s="84"/>
      <c r="H44" s="84"/>
    </row>
    <row r="45" spans="1:22" x14ac:dyDescent="0.35">
      <c r="A45" s="85" t="s">
        <v>89</v>
      </c>
      <c r="B45" s="85"/>
      <c r="C45" s="85"/>
      <c r="D45" s="85"/>
      <c r="E45" s="119">
        <v>5946.2089999999998</v>
      </c>
      <c r="F45" s="119"/>
      <c r="G45" s="119"/>
      <c r="H45" s="119"/>
    </row>
    <row r="46" spans="1:22" x14ac:dyDescent="0.35">
      <c r="A46" s="85" t="s">
        <v>37</v>
      </c>
      <c r="B46" s="85"/>
      <c r="C46" s="85"/>
      <c r="D46" s="85"/>
      <c r="E46" s="85" t="s">
        <v>116</v>
      </c>
      <c r="F46" s="85"/>
      <c r="G46" s="85"/>
      <c r="H46" s="85"/>
    </row>
    <row r="47" spans="1:22" x14ac:dyDescent="0.35">
      <c r="A47" s="104" t="s">
        <v>38</v>
      </c>
      <c r="B47" s="104"/>
      <c r="C47" s="104"/>
      <c r="D47" s="104"/>
      <c r="E47" s="104"/>
      <c r="F47" s="104"/>
      <c r="G47" s="104"/>
      <c r="H47" s="104"/>
    </row>
    <row r="48" spans="1:22" ht="33.75" customHeight="1" x14ac:dyDescent="0.35">
      <c r="A48" s="87" t="s">
        <v>145</v>
      </c>
      <c r="B48" s="88"/>
      <c r="C48" s="95" t="s">
        <v>308</v>
      </c>
      <c r="D48" s="96"/>
      <c r="E48" s="96"/>
      <c r="F48" s="96"/>
      <c r="G48" s="96"/>
      <c r="H48" s="97"/>
      <c r="R48" t="s">
        <v>246</v>
      </c>
      <c r="S48" t="s">
        <v>165</v>
      </c>
      <c r="T48" t="s">
        <v>172</v>
      </c>
      <c r="U48" t="s">
        <v>187</v>
      </c>
      <c r="V48" t="s">
        <v>182</v>
      </c>
    </row>
    <row r="49" spans="1:24" ht="15.75" customHeight="1" x14ac:dyDescent="0.35">
      <c r="A49" s="87" t="s">
        <v>39</v>
      </c>
      <c r="B49" s="88"/>
      <c r="C49" s="87" t="s">
        <v>309</v>
      </c>
      <c r="D49" s="123"/>
      <c r="E49" s="88"/>
      <c r="F49" s="47" t="s">
        <v>40</v>
      </c>
      <c r="G49" s="124">
        <v>44685</v>
      </c>
      <c r="H49" s="125"/>
      <c r="R49"/>
      <c r="S49" t="s">
        <v>247</v>
      </c>
      <c r="T49" t="s">
        <v>252</v>
      </c>
      <c r="U49" t="s">
        <v>263</v>
      </c>
      <c r="V49" t="s">
        <v>268</v>
      </c>
    </row>
    <row r="50" spans="1:24" x14ac:dyDescent="0.35">
      <c r="A50" s="87" t="s">
        <v>41</v>
      </c>
      <c r="B50" s="88"/>
      <c r="C50" s="87" t="str">
        <f>C49</f>
        <v>KMC/TP/457</v>
      </c>
      <c r="D50" s="123"/>
      <c r="E50" s="88"/>
      <c r="F50" s="47" t="s">
        <v>40</v>
      </c>
      <c r="G50" s="124">
        <f>G49</f>
        <v>44685</v>
      </c>
      <c r="H50" s="125"/>
      <c r="R50"/>
      <c r="S50" t="s">
        <v>248</v>
      </c>
      <c r="T50" t="s">
        <v>253</v>
      </c>
      <c r="U50" t="s">
        <v>261</v>
      </c>
      <c r="V50" t="s">
        <v>269</v>
      </c>
    </row>
    <row r="51" spans="1:24" s="18" customFormat="1" ht="15.75" customHeight="1" x14ac:dyDescent="0.35">
      <c r="A51" s="175" t="s">
        <v>149</v>
      </c>
      <c r="B51" s="176"/>
      <c r="C51" s="120" t="s">
        <v>310</v>
      </c>
      <c r="D51" s="121"/>
      <c r="E51" s="122"/>
      <c r="F51" s="15" t="s">
        <v>40</v>
      </c>
      <c r="G51" s="166">
        <f>G50</f>
        <v>44685</v>
      </c>
      <c r="H51" s="167"/>
      <c r="R51"/>
      <c r="S51" t="s">
        <v>249</v>
      </c>
      <c r="T51" t="s">
        <v>254</v>
      </c>
      <c r="U51" t="s">
        <v>251</v>
      </c>
      <c r="V51" t="s">
        <v>270</v>
      </c>
    </row>
    <row r="52" spans="1:24" s="18" customFormat="1" x14ac:dyDescent="0.35">
      <c r="A52" s="177"/>
      <c r="B52" s="178"/>
      <c r="C52" s="120" t="s">
        <v>311</v>
      </c>
      <c r="D52" s="121"/>
      <c r="E52" s="121"/>
      <c r="F52" s="121"/>
      <c r="G52" s="121"/>
      <c r="H52" s="122"/>
      <c r="R52"/>
      <c r="S52" t="s">
        <v>250</v>
      </c>
      <c r="T52" t="s">
        <v>257</v>
      </c>
      <c r="U52" t="s">
        <v>264</v>
      </c>
    </row>
    <row r="53" spans="1:24" s="18" customFormat="1" hidden="1" x14ac:dyDescent="0.35">
      <c r="A53" s="171" t="s">
        <v>274</v>
      </c>
      <c r="B53" s="172"/>
      <c r="C53" s="120"/>
      <c r="D53" s="121"/>
      <c r="E53" s="122"/>
      <c r="F53" s="15" t="s">
        <v>40</v>
      </c>
      <c r="G53" s="120"/>
      <c r="H53" s="122"/>
      <c r="R53"/>
      <c r="S53" t="s">
        <v>249</v>
      </c>
      <c r="T53" t="s">
        <v>254</v>
      </c>
      <c r="U53" t="s">
        <v>251</v>
      </c>
      <c r="V53" t="s">
        <v>270</v>
      </c>
    </row>
    <row r="54" spans="1:24" s="18" customFormat="1" ht="32.25" hidden="1" customHeight="1" x14ac:dyDescent="0.35">
      <c r="A54" s="173"/>
      <c r="B54" s="174"/>
      <c r="C54" s="92"/>
      <c r="D54" s="93"/>
      <c r="E54" s="93"/>
      <c r="F54" s="93"/>
      <c r="G54" s="93"/>
      <c r="H54" s="94"/>
      <c r="R54"/>
      <c r="S54" t="s">
        <v>251</v>
      </c>
      <c r="T54" t="s">
        <v>255</v>
      </c>
      <c r="U54" t="s">
        <v>265</v>
      </c>
      <c r="V54" s="16"/>
      <c r="W54" s="16"/>
      <c r="X54" s="16"/>
    </row>
    <row r="55" spans="1:24" s="18" customFormat="1" ht="34.5" hidden="1" customHeight="1" x14ac:dyDescent="0.35">
      <c r="A55" s="171" t="s">
        <v>275</v>
      </c>
      <c r="B55" s="172"/>
      <c r="C55" s="120">
        <f>C54</f>
        <v>0</v>
      </c>
      <c r="D55" s="121"/>
      <c r="E55" s="122"/>
      <c r="F55" s="15" t="s">
        <v>40</v>
      </c>
      <c r="G55" s="120">
        <f>G54</f>
        <v>0</v>
      </c>
      <c r="H55" s="122"/>
      <c r="R55"/>
      <c r="S55" s="16"/>
      <c r="T55" t="s">
        <v>256</v>
      </c>
      <c r="U55" t="s">
        <v>266</v>
      </c>
      <c r="V55" s="16"/>
      <c r="W55" s="16"/>
      <c r="X55" s="16"/>
    </row>
    <row r="56" spans="1:24" s="18" customFormat="1" ht="41.25" hidden="1" customHeight="1" x14ac:dyDescent="0.35">
      <c r="A56" s="173"/>
      <c r="B56" s="174"/>
      <c r="C56" s="120"/>
      <c r="D56" s="121"/>
      <c r="E56" s="121"/>
      <c r="F56" s="121"/>
      <c r="G56" s="121"/>
      <c r="H56" s="122"/>
      <c r="R56"/>
      <c r="S56" s="16"/>
      <c r="T56" t="s">
        <v>258</v>
      </c>
      <c r="U56" t="s">
        <v>267</v>
      </c>
      <c r="V56" s="16"/>
      <c r="W56" s="16"/>
      <c r="X56" s="16"/>
    </row>
    <row r="57" spans="1:24" s="18" customFormat="1" ht="15.75" hidden="1" customHeight="1" x14ac:dyDescent="0.35">
      <c r="A57" s="171" t="s">
        <v>276</v>
      </c>
      <c r="B57" s="172"/>
      <c r="C57" s="120">
        <f>C56</f>
        <v>0</v>
      </c>
      <c r="D57" s="121"/>
      <c r="E57" s="122"/>
      <c r="F57" s="15" t="s">
        <v>40</v>
      </c>
      <c r="G57" s="120">
        <f>G56</f>
        <v>0</v>
      </c>
      <c r="H57" s="122"/>
      <c r="R57"/>
      <c r="S57" s="16"/>
      <c r="T57" t="s">
        <v>259</v>
      </c>
      <c r="U57" s="16" t="s">
        <v>290</v>
      </c>
      <c r="V57" s="16"/>
      <c r="W57" s="16"/>
      <c r="X57" s="16"/>
    </row>
    <row r="58" spans="1:24" s="18" customFormat="1" ht="33.75" hidden="1" customHeight="1" x14ac:dyDescent="0.35">
      <c r="A58" s="173"/>
      <c r="B58" s="174"/>
      <c r="C58" s="120"/>
      <c r="D58" s="121"/>
      <c r="E58" s="121"/>
      <c r="F58" s="121"/>
      <c r="G58" s="121"/>
      <c r="H58" s="122"/>
      <c r="R58"/>
      <c r="S58" s="16"/>
      <c r="T58" t="s">
        <v>260</v>
      </c>
      <c r="U58" s="16"/>
      <c r="V58" s="16"/>
      <c r="W58" s="16"/>
      <c r="X58" s="16"/>
    </row>
    <row r="59" spans="1:24" x14ac:dyDescent="0.35">
      <c r="A59" s="183" t="s">
        <v>42</v>
      </c>
      <c r="B59" s="184"/>
      <c r="C59" s="183" t="s">
        <v>102</v>
      </c>
      <c r="D59" s="185"/>
      <c r="E59" s="184"/>
      <c r="F59" s="37" t="s">
        <v>40</v>
      </c>
      <c r="G59" s="169" t="s">
        <v>28</v>
      </c>
      <c r="H59" s="170"/>
      <c r="R59"/>
      <c r="T59" t="s">
        <v>262</v>
      </c>
    </row>
    <row r="60" spans="1:24" x14ac:dyDescent="0.35">
      <c r="A60" s="141" t="s">
        <v>44</v>
      </c>
      <c r="B60" s="141"/>
      <c r="C60" s="141"/>
      <c r="D60" s="141"/>
      <c r="E60" s="141"/>
      <c r="F60" s="141"/>
      <c r="G60" s="141"/>
      <c r="H60" s="141"/>
      <c r="T60" t="s">
        <v>271</v>
      </c>
    </row>
    <row r="61" spans="1:24" x14ac:dyDescent="0.35">
      <c r="A61" s="76" t="s">
        <v>88</v>
      </c>
      <c r="B61" s="76"/>
      <c r="C61" s="76"/>
      <c r="D61" s="85">
        <f>E45</f>
        <v>5946.2089999999998</v>
      </c>
      <c r="E61" s="85"/>
      <c r="F61" s="85"/>
      <c r="G61" s="85"/>
      <c r="H61" s="85"/>
      <c r="R61"/>
    </row>
    <row r="62" spans="1:24" x14ac:dyDescent="0.35">
      <c r="A62" s="76" t="s">
        <v>45</v>
      </c>
      <c r="B62" s="85"/>
      <c r="C62" s="85"/>
      <c r="D62" s="168" t="s">
        <v>325</v>
      </c>
      <c r="E62" s="168"/>
      <c r="F62" s="168"/>
      <c r="G62" s="168"/>
      <c r="H62" s="168"/>
      <c r="I62" s="19"/>
      <c r="R62"/>
    </row>
    <row r="63" spans="1:24" x14ac:dyDescent="0.35">
      <c r="A63" s="110" t="s">
        <v>46</v>
      </c>
      <c r="B63" s="111"/>
      <c r="C63" s="112"/>
      <c r="D63" s="108" t="s">
        <v>311</v>
      </c>
      <c r="E63" s="109"/>
      <c r="F63" s="109"/>
      <c r="G63" s="109"/>
      <c r="H63" s="109"/>
      <c r="R63"/>
    </row>
    <row r="64" spans="1:24" ht="15.75" customHeight="1" x14ac:dyDescent="0.35">
      <c r="A64" s="110" t="s">
        <v>86</v>
      </c>
      <c r="B64" s="111"/>
      <c r="C64" s="111"/>
      <c r="D64" s="76" t="s">
        <v>311</v>
      </c>
      <c r="E64" s="85"/>
      <c r="F64" s="85"/>
      <c r="G64" s="85"/>
      <c r="H64" s="85"/>
      <c r="R64"/>
    </row>
    <row r="65" spans="1:19" ht="15.75" customHeight="1" x14ac:dyDescent="0.35">
      <c r="A65" s="74" t="s">
        <v>43</v>
      </c>
      <c r="B65" s="74"/>
      <c r="C65" s="74"/>
      <c r="D65" s="117" t="s">
        <v>312</v>
      </c>
      <c r="E65" s="117"/>
      <c r="F65" s="117"/>
      <c r="G65" s="117"/>
      <c r="H65" s="117"/>
      <c r="J65" s="20"/>
      <c r="K65" s="19"/>
      <c r="N65" s="19"/>
      <c r="S65"/>
    </row>
    <row r="66" spans="1:19" ht="15.75" customHeight="1" x14ac:dyDescent="0.35">
      <c r="A66" s="74" t="s">
        <v>84</v>
      </c>
      <c r="B66" s="74"/>
      <c r="C66" s="74"/>
      <c r="D66" s="118" t="str">
        <f>(IF(G59="NA","60 Years After Completion",IF(G59&lt;&gt;"NA",""&amp;60-ROUNDDOWN((E3-G59)/360,0)&amp;" Years"," ")))</f>
        <v>60 Years After Completion</v>
      </c>
      <c r="E66" s="118"/>
      <c r="F66" s="118"/>
      <c r="G66" s="118"/>
      <c r="H66" s="118"/>
      <c r="N66" s="19"/>
      <c r="S66"/>
    </row>
    <row r="67" spans="1:19" ht="15.75" customHeight="1" x14ac:dyDescent="0.35">
      <c r="A67" s="74" t="s">
        <v>85</v>
      </c>
      <c r="B67" s="74"/>
      <c r="C67" s="74"/>
      <c r="D67" s="83" t="s">
        <v>23</v>
      </c>
      <c r="E67" s="83"/>
      <c r="F67" s="83"/>
      <c r="G67" s="83"/>
      <c r="H67" s="83"/>
      <c r="J67" s="21"/>
      <c r="K67" s="21"/>
      <c r="S67"/>
    </row>
    <row r="68" spans="1:19" ht="32.5" customHeight="1" x14ac:dyDescent="0.35">
      <c r="A68" s="85" t="s">
        <v>327</v>
      </c>
      <c r="B68" s="85"/>
      <c r="C68" s="85"/>
      <c r="D68" s="76" t="s">
        <v>326</v>
      </c>
      <c r="E68" s="83"/>
      <c r="F68" s="83"/>
      <c r="G68" s="83"/>
      <c r="H68" s="83"/>
      <c r="S68"/>
    </row>
    <row r="69" spans="1:19" x14ac:dyDescent="0.35">
      <c r="A69" s="83" t="s">
        <v>143</v>
      </c>
      <c r="B69" s="83"/>
      <c r="C69" s="83"/>
      <c r="D69" s="83" t="s">
        <v>28</v>
      </c>
      <c r="E69" s="83"/>
      <c r="F69" s="83"/>
      <c r="G69" s="83"/>
      <c r="H69" s="83"/>
      <c r="I69" s="22"/>
      <c r="J69" s="22"/>
      <c r="K69" s="22"/>
      <c r="L69" s="22"/>
      <c r="M69" s="22"/>
      <c r="N69" s="22"/>
    </row>
    <row r="70" spans="1:19" ht="15.75" customHeight="1" x14ac:dyDescent="0.35">
      <c r="A70" s="74" t="s">
        <v>83</v>
      </c>
      <c r="B70" s="74"/>
      <c r="C70" s="74"/>
      <c r="D70" s="76" t="str">
        <f ca="1">(IF(G76&gt;95%,"Nothing",IF(G76&gt;0%,"Cement, Aggregate, Steel, etc",IF(G76=0%,"Work not yet Started"))))</f>
        <v>Cement, Aggregate, Steel, etc</v>
      </c>
      <c r="E70" s="76"/>
      <c r="F70" s="76"/>
      <c r="G70" s="76"/>
      <c r="H70" s="76"/>
      <c r="J70" s="21"/>
      <c r="S70"/>
    </row>
    <row r="71" spans="1:19" ht="33.75" customHeight="1" thickBot="1" x14ac:dyDescent="0.4">
      <c r="A71" s="83" t="s">
        <v>115</v>
      </c>
      <c r="B71" s="83"/>
      <c r="C71" s="83"/>
      <c r="D71" s="76" t="str">
        <f ca="1">(IF(D70="Nothing","Yes",IF(D70="Cement, Aggregate, Steel, etc","Under Construction",IF(D70="Work not yet Started","Work not yet Started"))))</f>
        <v>Under Construction</v>
      </c>
      <c r="E71" s="76"/>
      <c r="F71" s="76" t="str">
        <f ca="1">(IF(D70="Nothing","Yes",IF(D70="Cement, Aggregate, Steel, etc","Under Construction",IF(D70="Work not yet Started","Work not yet Started"))))</f>
        <v>Under Construction</v>
      </c>
      <c r="G71" s="76"/>
      <c r="H71" s="76"/>
      <c r="S71"/>
    </row>
    <row r="72" spans="1:19" ht="15.75" customHeight="1" x14ac:dyDescent="0.35">
      <c r="A72" s="90" t="s">
        <v>135</v>
      </c>
      <c r="B72" s="90"/>
      <c r="C72" s="91" t="str">
        <f>D64</f>
        <v>Gr/Stilt + 1st to 12th Floor</v>
      </c>
      <c r="D72" s="91"/>
      <c r="E72" s="91"/>
      <c r="F72" s="91"/>
      <c r="G72" s="91"/>
      <c r="H72" s="91"/>
      <c r="I72" s="64" t="str">
        <f ca="1">IF(D85=100%,"All work Completed. Possession granted to the Building.",IF(D84=100%,"All work Completed, Waiting for OC",I73&amp;""&amp;I74&amp;""&amp;J73&amp;""&amp;J72&amp;" "&amp;J74))</f>
        <v>Excavation, Plinth, RCC Slab Completed, Brickwork upto 9 Floor, Internal Plaster upto 6 Floor, External Plaster upto 2 Floor Completed</v>
      </c>
      <c r="J72" s="38" t="str">
        <f ca="1">(IF(C78=(D73+F73+H73),"",IF(C78&gt;0,", RCC upto "&amp;C78&amp;" Slab","")))&amp;(IF(C79=H73,"",IF(C79&gt;0,", Brickwork upto "&amp;C79&amp;" Floor","")))&amp;(IF(C80=H73,"",IF(C80&gt;0,", Internal Plaster upto "&amp;C80&amp;" Floor","")))&amp;(IF(C81=H73,"",IF(C81&gt;0,", External Plaster upto "&amp;C81&amp;" Floor","")))&amp;(IF(C82=H73,"",IF(C82&gt;0,", Flooring upto "&amp;C82&amp;" Floor","")))&amp;(IF(C83=H73,"",IF(C83&gt;0,", Painting upto "&amp;C83&amp;" Floor","")))&amp;(IF(C84=H73,"",IF(C84&gt;0,", Finishing upto "&amp;C84&amp;" Floor","")))&amp;(IF(C85=H73,"",IF(C85&gt;0,", Possession upto "&amp;C85&amp;" Floor","")))</f>
        <v>, Brickwork upto 9 Floor, Internal Plaster upto 6 Floor, External Plaster upto 2 Floor</v>
      </c>
      <c r="S72"/>
    </row>
    <row r="73" spans="1:19" x14ac:dyDescent="0.35">
      <c r="A73" s="73" t="s">
        <v>137</v>
      </c>
      <c r="B73" s="73">
        <f>IF(AND(ISNUMBER(SEARCH("1B",C72))),1,IF(AND(ISNUMBER(SEARCH("2B",C72))),2,IF(AND(ISNUMBER(SEARCH("3B",C72))),3,IF(AND(ISNUMBER(SEARCH("4B",C72))),4,IF(ISNUMBER(SEARCH("5B",C72)),5,0)))))</f>
        <v>0</v>
      </c>
      <c r="C73" s="73" t="s">
        <v>69</v>
      </c>
      <c r="D73" s="73">
        <v>1</v>
      </c>
      <c r="E73" s="73" t="s">
        <v>68</v>
      </c>
      <c r="F73" s="73">
        <v>0</v>
      </c>
      <c r="G73" s="73" t="s">
        <v>77</v>
      </c>
      <c r="H73" s="73">
        <f ca="1">--TRIM(RIGHT(SUBSTITUTE(LEFT(C72,_xlfn.AGGREGATE(16,6,FIND({0,1,2,3,4,5,6,7,8,9},C72,ROW(INDIRECT("1:"&amp;LEN(C72)))),1))," ",REPT(" ",LEN(C72))),LEN(C72)))</f>
        <v>12</v>
      </c>
      <c r="I73" s="65" t="str">
        <f ca="1">IF(D76=100%,"Excavation","")&amp;IF(D77=100%,", Plinth","")&amp;IF(D78=100%,", RCC Slab","")&amp;IF(D79=100%,", Brickwork","")&amp;IF(D80=100%,", Internal Plaster","")&amp;IF(D81=100%,", External Plaster","")&amp;IF(D82=100%,", Flooring","")&amp;IF(D83=100%,", Painting","")&amp;IF(D84=100%,", Building common Amenities","")</f>
        <v>Excavation, Plinth, RCC Slab</v>
      </c>
      <c r="J73" s="39" t="str">
        <f ca="1">(IF(C76=0,"Work not yet Started.",IF(D76=25%,"Piling work in process",IF(D76=50%,"Excavation work in process",IF(D76=100%,"","0")))))&amp;(IF(C77=0%,"",IF(C77=J78,", Footing work is process",IF(C77=J79,", Footing work Completed",IF(C77=J80,", 1st Basement Completed",IF(C77=J81,", 1st &amp; 2nd Basement Completed",IF(C77=J82,", 1st to 3rd Basement Completed",IF(C77=J83,", 1st to 4th Basement Completed",IF(C77=J84,", Plinth work is process",IF(C77=J85,"","0"))))))))))</f>
        <v/>
      </c>
      <c r="S73"/>
    </row>
    <row r="74" spans="1:19" ht="34.4" customHeight="1" x14ac:dyDescent="0.35">
      <c r="A74" s="104" t="s">
        <v>87</v>
      </c>
      <c r="B74" s="104"/>
      <c r="C74" s="91" t="str">
        <f ca="1">I72</f>
        <v>Excavation, Plinth, RCC Slab Completed, Brickwork upto 9 Floor, Internal Plaster upto 6 Floor, External Plaster upto 2 Floor Completed</v>
      </c>
      <c r="D74" s="91"/>
      <c r="E74" s="91"/>
      <c r="F74" s="91"/>
      <c r="G74" s="91"/>
      <c r="H74" s="91"/>
      <c r="I74" s="65" t="str">
        <f ca="1">IF(I73&lt;&gt;""," Completed","")</f>
        <v xml:space="preserve"> Completed</v>
      </c>
      <c r="J74" s="39" t="str">
        <f ca="1">IF(J72&lt;&gt;"","Completed","")</f>
        <v>Completed</v>
      </c>
      <c r="S74"/>
    </row>
    <row r="75" spans="1:19" ht="15.75" customHeight="1" x14ac:dyDescent="0.35">
      <c r="A75" s="86" t="s">
        <v>47</v>
      </c>
      <c r="B75" s="86"/>
      <c r="C75" s="72" t="s">
        <v>134</v>
      </c>
      <c r="D75" s="72" t="s">
        <v>80</v>
      </c>
      <c r="E75" s="89" t="s">
        <v>82</v>
      </c>
      <c r="F75" s="89"/>
      <c r="G75" s="89" t="s">
        <v>81</v>
      </c>
      <c r="H75" s="89"/>
      <c r="I75" s="13" t="s">
        <v>136</v>
      </c>
      <c r="J75" s="23">
        <f ca="1">H73*25%</f>
        <v>3</v>
      </c>
      <c r="S75"/>
    </row>
    <row r="76" spans="1:19" x14ac:dyDescent="0.35">
      <c r="A76" s="86" t="s">
        <v>123</v>
      </c>
      <c r="B76" s="86"/>
      <c r="C76" s="71">
        <f ca="1">J77</f>
        <v>12</v>
      </c>
      <c r="D76" s="48">
        <f ca="1">((100/H73)*C76)/100</f>
        <v>1</v>
      </c>
      <c r="E76" s="113">
        <f ca="1">(((C77/H73*10)+(40/(D73+F73+H73)*C78)+(7.5/(H73)*C79)+(7.5/(H73)*C80)+(10/H73*C81)+(10/H73*C82)+(5/H73*C83)+(5/H73*C84)+(5/H73*C85))/100)</f>
        <v>0.61041666666666661</v>
      </c>
      <c r="F76" s="113"/>
      <c r="G76" s="113">
        <f ca="1">((((C76/H73)*20)+((C77/H73)*25)+(30/(H73+F73+D73)*C78)+(5/H73*C79)+(5/H73*C80)+(5/H73*C81)+(5/H73*C82)+(0/H73*C83)+(0/H73*C84)+(5/H73*C85))/100)</f>
        <v>0.8208333333333333</v>
      </c>
      <c r="H76" s="113"/>
      <c r="I76" s="13" t="s">
        <v>97</v>
      </c>
      <c r="J76" s="24">
        <f ca="1">H73*50%</f>
        <v>6</v>
      </c>
    </row>
    <row r="77" spans="1:19" x14ac:dyDescent="0.35">
      <c r="A77" s="86" t="s">
        <v>48</v>
      </c>
      <c r="B77" s="86"/>
      <c r="C77" s="49">
        <f ca="1">J85</f>
        <v>12</v>
      </c>
      <c r="D77" s="48">
        <f ca="1">((100/H73)*C77)/100</f>
        <v>1</v>
      </c>
      <c r="E77" s="113"/>
      <c r="F77" s="113"/>
      <c r="G77" s="113"/>
      <c r="H77" s="113"/>
      <c r="I77" s="13" t="s">
        <v>98</v>
      </c>
      <c r="J77" s="24">
        <f ca="1">H73</f>
        <v>12</v>
      </c>
      <c r="S77"/>
    </row>
    <row r="78" spans="1:19" ht="15.75" customHeight="1" x14ac:dyDescent="0.35">
      <c r="A78" s="86" t="s">
        <v>124</v>
      </c>
      <c r="B78" s="86"/>
      <c r="C78" s="71">
        <v>13</v>
      </c>
      <c r="D78" s="48">
        <f ca="1">((100/(D73+F73+H73))*C78)/100</f>
        <v>1</v>
      </c>
      <c r="E78" s="113"/>
      <c r="F78" s="113"/>
      <c r="G78" s="113"/>
      <c r="H78" s="113"/>
      <c r="I78" s="13" t="s">
        <v>99</v>
      </c>
      <c r="J78" s="25">
        <f ca="1">(IF(B73&gt;1,(H73/(B73+2)),H73/4))</f>
        <v>3</v>
      </c>
      <c r="S78"/>
    </row>
    <row r="79" spans="1:19" ht="15.75" customHeight="1" x14ac:dyDescent="0.35">
      <c r="A79" s="86" t="s">
        <v>131</v>
      </c>
      <c r="B79" s="86" t="s">
        <v>125</v>
      </c>
      <c r="C79" s="71">
        <v>9</v>
      </c>
      <c r="D79" s="48">
        <f ca="1">((100/H73)*C79)/100</f>
        <v>0.75</v>
      </c>
      <c r="E79" s="113"/>
      <c r="F79" s="113"/>
      <c r="G79" s="113"/>
      <c r="H79" s="113"/>
      <c r="I79" s="13" t="s">
        <v>100</v>
      </c>
      <c r="J79" s="25">
        <f ca="1">(IF(B73&gt;1,(H73/(B73+2)+J78),H73/4+J78))</f>
        <v>6</v>
      </c>
    </row>
    <row r="80" spans="1:19" ht="15.75" customHeight="1" x14ac:dyDescent="0.35">
      <c r="A80" s="86" t="s">
        <v>132</v>
      </c>
      <c r="B80" s="86" t="s">
        <v>125</v>
      </c>
      <c r="C80" s="71">
        <v>6</v>
      </c>
      <c r="D80" s="48">
        <f ca="1">((100/H73)*C80)/100</f>
        <v>0.5</v>
      </c>
      <c r="E80" s="113"/>
      <c r="F80" s="113"/>
      <c r="G80" s="113"/>
      <c r="H80" s="113"/>
      <c r="I80" s="13" t="s">
        <v>141</v>
      </c>
      <c r="J80" s="25">
        <f>(IF(B73&gt;1,(H73/(B73+2)+J79),0))</f>
        <v>0</v>
      </c>
    </row>
    <row r="81" spans="1:22" ht="15" customHeight="1" x14ac:dyDescent="0.35">
      <c r="A81" s="86" t="s">
        <v>130</v>
      </c>
      <c r="B81" s="86" t="s">
        <v>127</v>
      </c>
      <c r="C81" s="71">
        <v>2</v>
      </c>
      <c r="D81" s="48">
        <f ca="1">((100/(H73))*C81)/100</f>
        <v>0.16666666666666669</v>
      </c>
      <c r="E81" s="113"/>
      <c r="F81" s="113"/>
      <c r="G81" s="113"/>
      <c r="H81" s="113"/>
      <c r="I81" s="13" t="s">
        <v>138</v>
      </c>
      <c r="J81" s="25">
        <f>(IF(B73&gt;2,(H73/(B73+2)+J80),0))</f>
        <v>0</v>
      </c>
    </row>
    <row r="82" spans="1:22" ht="15.75" customHeight="1" x14ac:dyDescent="0.35">
      <c r="A82" s="86" t="s">
        <v>126</v>
      </c>
      <c r="B82" s="86" t="s">
        <v>126</v>
      </c>
      <c r="C82" s="71">
        <v>0</v>
      </c>
      <c r="D82" s="48">
        <f ca="1">((100/H73)*C82)/100</f>
        <v>0</v>
      </c>
      <c r="E82" s="113"/>
      <c r="F82" s="113"/>
      <c r="G82" s="113"/>
      <c r="H82" s="113"/>
      <c r="I82" s="13" t="s">
        <v>139</v>
      </c>
      <c r="J82" s="26">
        <f>(IF(B73&gt;3,(H73/(B73+2)+J81),0))</f>
        <v>0</v>
      </c>
    </row>
    <row r="83" spans="1:22" ht="15.75" customHeight="1" x14ac:dyDescent="0.35">
      <c r="A83" s="86" t="s">
        <v>133</v>
      </c>
      <c r="B83" s="86"/>
      <c r="C83" s="71">
        <v>0</v>
      </c>
      <c r="D83" s="48">
        <f ca="1">((100/H73)*C83)/100</f>
        <v>0</v>
      </c>
      <c r="E83" s="113"/>
      <c r="F83" s="113"/>
      <c r="G83" s="113"/>
      <c r="H83" s="113"/>
      <c r="I83" s="13" t="s">
        <v>140</v>
      </c>
      <c r="J83" s="25">
        <f>(IF(B73&gt;4,(H73/(B73+2)+J82),0))</f>
        <v>0</v>
      </c>
    </row>
    <row r="84" spans="1:22" ht="15.75" customHeight="1" x14ac:dyDescent="0.35">
      <c r="A84" s="86" t="s">
        <v>128</v>
      </c>
      <c r="B84" s="86" t="s">
        <v>128</v>
      </c>
      <c r="C84" s="71">
        <v>0</v>
      </c>
      <c r="D84" s="48">
        <f ca="1">((100/(H73))*C84)/100</f>
        <v>0</v>
      </c>
      <c r="E84" s="113"/>
      <c r="F84" s="113"/>
      <c r="G84" s="113"/>
      <c r="H84" s="113"/>
      <c r="I84" s="13" t="s">
        <v>142</v>
      </c>
      <c r="J84" s="25">
        <f ca="1">(IF(B73=1,(H73/(B73+3)+J79),IF(B73=0,(H73/4+J79),IF(B73&gt;1,0))))</f>
        <v>9</v>
      </c>
    </row>
    <row r="85" spans="1:22" ht="16" thickBot="1" x14ac:dyDescent="0.4">
      <c r="A85" s="86" t="s">
        <v>129</v>
      </c>
      <c r="B85" s="86"/>
      <c r="C85" s="71">
        <v>0</v>
      </c>
      <c r="D85" s="48">
        <f ca="1">((100/(H73))*C85)/100</f>
        <v>0</v>
      </c>
      <c r="E85" s="113"/>
      <c r="F85" s="113"/>
      <c r="G85" s="113"/>
      <c r="H85" s="113"/>
      <c r="I85" s="14" t="s">
        <v>101</v>
      </c>
      <c r="J85" s="27">
        <f ca="1">(IF(B73&gt;1.5,(H73/(B73+2)+J79+MAX(0,J80-J79)+MAX(0,J81-J80)+MAX(0,J82-J81)+MAX(0,J83-J82)+MAX(0,J84-J83)),IF(B73=1,(H73/(B73+3)+J84),IF(B73=0,H73/4+J84))))</f>
        <v>12</v>
      </c>
    </row>
    <row r="86" spans="1:22" x14ac:dyDescent="0.35">
      <c r="A86" s="101" t="s">
        <v>150</v>
      </c>
      <c r="B86" s="101"/>
      <c r="C86" s="101"/>
      <c r="D86" s="101"/>
      <c r="E86" s="101"/>
      <c r="F86" s="180" t="s">
        <v>154</v>
      </c>
      <c r="G86" s="180"/>
      <c r="H86" s="180"/>
      <c r="I86" s="54"/>
      <c r="J86" s="54" t="s">
        <v>328</v>
      </c>
      <c r="K86" s="54" t="s">
        <v>330</v>
      </c>
      <c r="L86" s="54" t="s">
        <v>331</v>
      </c>
      <c r="M86" s="54" t="s">
        <v>332</v>
      </c>
      <c r="N86" s="54"/>
      <c r="R86" t="s">
        <v>246</v>
      </c>
      <c r="S86" t="s">
        <v>165</v>
      </c>
      <c r="T86" t="s">
        <v>172</v>
      </c>
      <c r="U86" t="s">
        <v>187</v>
      </c>
      <c r="V86" t="s">
        <v>182</v>
      </c>
    </row>
    <row r="87" spans="1:22" x14ac:dyDescent="0.35">
      <c r="A87" s="74" t="s">
        <v>152</v>
      </c>
      <c r="B87" s="74"/>
      <c r="C87" s="74"/>
      <c r="D87" s="74"/>
      <c r="E87" s="74"/>
      <c r="F87" s="99">
        <v>3400</v>
      </c>
      <c r="G87" s="99"/>
      <c r="H87" s="99"/>
      <c r="I87" s="60">
        <f>AVERAGE(J87:M87)</f>
        <v>3687.9051620648261</v>
      </c>
      <c r="J87" s="60">
        <f>AVERAGE(J145,J148)</f>
        <v>4051.6206482593034</v>
      </c>
      <c r="K87" s="54">
        <v>3400</v>
      </c>
      <c r="L87" s="54">
        <v>3800</v>
      </c>
      <c r="M87" s="54">
        <v>3500</v>
      </c>
      <c r="N87" s="54"/>
      <c r="R87"/>
      <c r="S87">
        <v>800000</v>
      </c>
      <c r="T87">
        <v>300000</v>
      </c>
      <c r="U87">
        <v>100000</v>
      </c>
      <c r="V87">
        <v>100000</v>
      </c>
    </row>
    <row r="88" spans="1:22" x14ac:dyDescent="0.35">
      <c r="A88" s="74" t="s">
        <v>151</v>
      </c>
      <c r="B88" s="74"/>
      <c r="C88" s="74"/>
      <c r="D88" s="74"/>
      <c r="E88" s="74"/>
      <c r="F88" s="99">
        <v>7000</v>
      </c>
      <c r="G88" s="99"/>
      <c r="H88" s="99"/>
      <c r="I88" s="54"/>
      <c r="J88" s="54"/>
      <c r="K88" s="54">
        <v>8000</v>
      </c>
      <c r="L88" s="54"/>
      <c r="M88" s="54">
        <v>7000</v>
      </c>
      <c r="N88" s="54"/>
      <c r="R88"/>
      <c r="S88">
        <v>900000</v>
      </c>
      <c r="T88">
        <v>350000</v>
      </c>
      <c r="U88">
        <v>150000</v>
      </c>
      <c r="V88">
        <v>150000</v>
      </c>
    </row>
    <row r="89" spans="1:22" hidden="1" x14ac:dyDescent="0.35">
      <c r="A89" s="74" t="s">
        <v>153</v>
      </c>
      <c r="B89" s="74"/>
      <c r="C89" s="74"/>
      <c r="D89" s="74"/>
      <c r="E89" s="74"/>
      <c r="F89" s="99"/>
      <c r="G89" s="99"/>
      <c r="H89" s="99"/>
      <c r="I89" s="54"/>
      <c r="J89" s="54"/>
      <c r="K89" s="54"/>
      <c r="L89" s="54"/>
      <c r="M89" s="54"/>
      <c r="N89" s="54"/>
      <c r="R89"/>
      <c r="S89">
        <v>1000000</v>
      </c>
      <c r="T89">
        <v>400000</v>
      </c>
      <c r="U89">
        <v>200000</v>
      </c>
      <c r="V89">
        <v>200000</v>
      </c>
    </row>
    <row r="90" spans="1:22" s="28" customFormat="1" hidden="1" x14ac:dyDescent="0.35">
      <c r="A90" s="74" t="s">
        <v>168</v>
      </c>
      <c r="B90" s="74"/>
      <c r="C90" s="74"/>
      <c r="D90" s="74"/>
      <c r="E90" s="74"/>
      <c r="F90" s="99"/>
      <c r="G90" s="99"/>
      <c r="H90" s="99"/>
      <c r="I90" s="55"/>
      <c r="J90" s="55"/>
      <c r="K90" s="55"/>
      <c r="L90" s="55"/>
      <c r="M90" s="55"/>
      <c r="N90" s="55"/>
      <c r="R90"/>
      <c r="S90">
        <v>1100000</v>
      </c>
      <c r="T90">
        <v>500000</v>
      </c>
      <c r="U90">
        <v>250000</v>
      </c>
      <c r="V90" s="18">
        <v>250000</v>
      </c>
    </row>
    <row r="91" spans="1:22" s="28" customFormat="1" x14ac:dyDescent="0.35">
      <c r="A91" s="74" t="s">
        <v>92</v>
      </c>
      <c r="B91" s="74"/>
      <c r="C91" s="74"/>
      <c r="D91" s="74"/>
      <c r="E91" s="74"/>
      <c r="F91" s="99">
        <v>150000</v>
      </c>
      <c r="G91" s="99"/>
      <c r="H91" s="99"/>
      <c r="I91" s="59">
        <f>200*J91</f>
        <v>156181.81818181818</v>
      </c>
      <c r="J91" s="59">
        <f>AVERAGE(H126:H131,H135:H142,H144:H151)</f>
        <v>780.90909090909088</v>
      </c>
      <c r="K91" s="55">
        <v>157000</v>
      </c>
      <c r="L91" s="55"/>
      <c r="M91" s="55"/>
      <c r="N91" s="55"/>
      <c r="R91"/>
      <c r="S91">
        <v>1200000</v>
      </c>
      <c r="T91">
        <v>600000</v>
      </c>
      <c r="U91">
        <v>300000</v>
      </c>
      <c r="V91">
        <v>300000</v>
      </c>
    </row>
    <row r="92" spans="1:22" s="28" customFormat="1" hidden="1" x14ac:dyDescent="0.35">
      <c r="A92" s="74" t="s">
        <v>93</v>
      </c>
      <c r="B92" s="74"/>
      <c r="C92" s="74"/>
      <c r="D92" s="74"/>
      <c r="E92" s="74"/>
      <c r="F92" s="99"/>
      <c r="G92" s="99"/>
      <c r="H92" s="99"/>
      <c r="I92" s="55"/>
      <c r="J92" s="55"/>
      <c r="K92" s="55"/>
      <c r="L92" s="55"/>
      <c r="M92" s="55"/>
      <c r="N92" s="55"/>
      <c r="R92"/>
      <c r="S92">
        <v>1300000</v>
      </c>
      <c r="T92">
        <v>700000</v>
      </c>
      <c r="U92">
        <v>350000</v>
      </c>
      <c r="V92" s="18">
        <v>400000</v>
      </c>
    </row>
    <row r="93" spans="1:22" s="28" customFormat="1" hidden="1" x14ac:dyDescent="0.35">
      <c r="A93" s="74" t="s">
        <v>94</v>
      </c>
      <c r="B93" s="74"/>
      <c r="C93" s="74"/>
      <c r="D93" s="74"/>
      <c r="E93" s="74"/>
      <c r="F93" s="99"/>
      <c r="G93" s="99"/>
      <c r="H93" s="99"/>
      <c r="I93" s="55"/>
      <c r="J93" s="55"/>
      <c r="K93" s="55"/>
      <c r="L93" s="55"/>
      <c r="M93" s="55"/>
      <c r="N93" s="55"/>
      <c r="R93"/>
      <c r="S93">
        <v>1400000</v>
      </c>
      <c r="T93">
        <v>800000</v>
      </c>
      <c r="U93">
        <v>400000</v>
      </c>
      <c r="V93"/>
    </row>
    <row r="94" spans="1:22" s="28" customFormat="1" hidden="1" x14ac:dyDescent="0.35">
      <c r="A94" s="74" t="s">
        <v>95</v>
      </c>
      <c r="B94" s="74"/>
      <c r="C94" s="74"/>
      <c r="D94" s="74"/>
      <c r="E94" s="74"/>
      <c r="F94" s="99"/>
      <c r="G94" s="99"/>
      <c r="H94" s="99"/>
      <c r="I94" s="55"/>
      <c r="J94" s="55"/>
      <c r="K94" s="55"/>
      <c r="L94" s="55"/>
      <c r="M94" s="55"/>
      <c r="N94" s="55"/>
      <c r="R94"/>
      <c r="S94">
        <v>1500000</v>
      </c>
      <c r="T94">
        <v>900000</v>
      </c>
      <c r="U94">
        <v>500000</v>
      </c>
      <c r="V94" s="18"/>
    </row>
    <row r="95" spans="1:22" s="28" customFormat="1" x14ac:dyDescent="0.35">
      <c r="A95" s="74" t="s">
        <v>339</v>
      </c>
      <c r="B95" s="74"/>
      <c r="C95" s="74"/>
      <c r="D95" s="74"/>
      <c r="E95" s="74"/>
      <c r="F95" s="99">
        <v>10000</v>
      </c>
      <c r="G95" s="99"/>
      <c r="H95" s="99"/>
      <c r="I95" s="55"/>
      <c r="J95" s="55"/>
      <c r="K95" s="55"/>
      <c r="L95" s="55"/>
      <c r="M95" s="55"/>
      <c r="N95" s="55"/>
      <c r="R95"/>
      <c r="S95">
        <v>1600000</v>
      </c>
      <c r="T95">
        <v>1000000</v>
      </c>
      <c r="U95">
        <v>600000</v>
      </c>
      <c r="V95"/>
    </row>
    <row r="96" spans="1:22" s="28" customFormat="1" hidden="1" x14ac:dyDescent="0.35">
      <c r="A96" s="74" t="s">
        <v>96</v>
      </c>
      <c r="B96" s="74"/>
      <c r="C96" s="74"/>
      <c r="D96" s="74"/>
      <c r="E96" s="74"/>
      <c r="F96" s="99"/>
      <c r="G96" s="99"/>
      <c r="H96" s="99"/>
      <c r="I96" s="55"/>
      <c r="J96" s="55"/>
      <c r="K96" s="55"/>
      <c r="L96" s="55"/>
      <c r="M96" s="55"/>
      <c r="N96" s="55"/>
      <c r="R96"/>
      <c r="S96">
        <v>1700000</v>
      </c>
      <c r="T96"/>
      <c r="U96"/>
      <c r="V96" s="18"/>
    </row>
    <row r="97" spans="1:22" x14ac:dyDescent="0.35">
      <c r="A97" s="74" t="s">
        <v>49</v>
      </c>
      <c r="B97" s="74"/>
      <c r="C97" s="74"/>
      <c r="D97" s="74"/>
      <c r="E97" s="74"/>
      <c r="F97" s="99">
        <v>100000</v>
      </c>
      <c r="G97" s="99"/>
      <c r="H97" s="99"/>
      <c r="I97" s="54"/>
      <c r="J97" s="54">
        <f>680*200</f>
        <v>136000</v>
      </c>
      <c r="K97" s="54"/>
      <c r="L97" s="54"/>
      <c r="M97" s="54"/>
      <c r="N97" s="54"/>
      <c r="R97"/>
      <c r="S97">
        <v>1800000</v>
      </c>
      <c r="T97"/>
      <c r="U97"/>
    </row>
    <row r="98" spans="1:22" s="29" customFormat="1" x14ac:dyDescent="0.35">
      <c r="A98" s="105" t="s">
        <v>50</v>
      </c>
      <c r="B98" s="105"/>
      <c r="C98" s="105"/>
      <c r="D98" s="105"/>
      <c r="E98" s="105"/>
      <c r="F98" s="99">
        <f>F87*0.8</f>
        <v>2720</v>
      </c>
      <c r="G98" s="99"/>
      <c r="H98" s="99"/>
      <c r="I98" s="56"/>
      <c r="J98" s="56"/>
      <c r="K98" s="56"/>
      <c r="L98" s="56"/>
      <c r="M98" s="56"/>
      <c r="N98" s="56"/>
      <c r="R98" s="16"/>
      <c r="S98" s="16"/>
      <c r="T98"/>
      <c r="U98"/>
      <c r="V98" s="16"/>
    </row>
    <row r="99" spans="1:22" s="30" customFormat="1" ht="15.75" customHeight="1" x14ac:dyDescent="0.35">
      <c r="A99" s="139" t="s">
        <v>72</v>
      </c>
      <c r="B99" s="139"/>
      <c r="C99" s="139"/>
      <c r="D99" s="139"/>
      <c r="E99" s="139"/>
      <c r="F99" s="139"/>
      <c r="G99" s="139"/>
      <c r="H99" s="139"/>
      <c r="R99"/>
      <c r="S99" s="16"/>
      <c r="T99"/>
      <c r="U99"/>
      <c r="V99" s="16"/>
    </row>
    <row r="100" spans="1:22" s="30" customFormat="1" ht="15.75" customHeight="1" x14ac:dyDescent="0.35">
      <c r="A100" s="142" t="s">
        <v>51</v>
      </c>
      <c r="B100" s="142"/>
      <c r="C100" s="151" t="s">
        <v>75</v>
      </c>
      <c r="D100" s="151"/>
      <c r="E100" s="81" t="s">
        <v>52</v>
      </c>
      <c r="F100" s="81"/>
      <c r="G100" s="142" t="s">
        <v>53</v>
      </c>
      <c r="H100" s="142"/>
      <c r="R100"/>
      <c r="S100" s="16"/>
      <c r="T100"/>
      <c r="U100" s="16"/>
      <c r="V100" s="16"/>
    </row>
    <row r="101" spans="1:22" s="30" customFormat="1" x14ac:dyDescent="0.35">
      <c r="A101" s="140" t="s">
        <v>314</v>
      </c>
      <c r="B101" s="140"/>
      <c r="C101" s="79">
        <f>COUNT(F113:F121)</f>
        <v>9</v>
      </c>
      <c r="D101" s="80"/>
      <c r="E101" s="79">
        <f>SUM(F113:F121)</f>
        <v>2425.6674000000003</v>
      </c>
      <c r="F101" s="80"/>
      <c r="G101" s="79">
        <f>SUM(H113:H121)</f>
        <v>4240</v>
      </c>
      <c r="H101" s="80"/>
      <c r="R101"/>
      <c r="S101" s="16"/>
      <c r="T101"/>
      <c r="U101" s="16"/>
      <c r="V101" s="16"/>
    </row>
    <row r="102" spans="1:22" s="30" customFormat="1" x14ac:dyDescent="0.35">
      <c r="A102" s="139" t="s">
        <v>144</v>
      </c>
      <c r="B102" s="139"/>
      <c r="C102" s="150">
        <f>SUM(C101)</f>
        <v>9</v>
      </c>
      <c r="D102" s="151"/>
      <c r="E102" s="152">
        <f>SUM(E101)</f>
        <v>2425.6674000000003</v>
      </c>
      <c r="F102" s="81"/>
      <c r="G102" s="142">
        <f>SUM(G101)</f>
        <v>4240</v>
      </c>
      <c r="H102" s="142"/>
      <c r="R102"/>
      <c r="S102" s="16"/>
      <c r="T102"/>
      <c r="U102" s="16"/>
      <c r="V102" s="16"/>
    </row>
    <row r="103" spans="1:22" s="30" customFormat="1" x14ac:dyDescent="0.35">
      <c r="A103" s="139" t="s">
        <v>67</v>
      </c>
      <c r="B103" s="139"/>
      <c r="C103" s="139"/>
      <c r="D103" s="139"/>
      <c r="E103" s="139"/>
      <c r="F103" s="139"/>
      <c r="G103" s="139"/>
      <c r="H103" s="139"/>
      <c r="T103"/>
    </row>
    <row r="104" spans="1:22" s="30" customFormat="1" ht="15.75" customHeight="1" x14ac:dyDescent="0.35">
      <c r="A104" s="142" t="s">
        <v>51</v>
      </c>
      <c r="B104" s="142"/>
      <c r="C104" s="151" t="s">
        <v>75</v>
      </c>
      <c r="D104" s="151"/>
      <c r="E104" s="81" t="s">
        <v>52</v>
      </c>
      <c r="F104" s="81"/>
      <c r="G104" s="142" t="s">
        <v>53</v>
      </c>
      <c r="H104" s="142"/>
      <c r="T104"/>
    </row>
    <row r="105" spans="1:22" s="30" customFormat="1" x14ac:dyDescent="0.35">
      <c r="A105" s="140" t="s">
        <v>324</v>
      </c>
      <c r="B105" s="140"/>
      <c r="C105" s="79">
        <f>COUNT(F126:F131)+COUNT(F135:F142)*9+COUNT(F144:F151)*2</f>
        <v>94</v>
      </c>
      <c r="D105" s="79"/>
      <c r="E105" s="79">
        <f>SUM(F126:F131)+SUM(F135:F142)*9+SUM(F144:F151)*2</f>
        <v>46121.581817999984</v>
      </c>
      <c r="F105" s="79"/>
      <c r="G105" s="79">
        <f>SUM(H126:H131)+SUM(H135:H142)*9+SUM(H144:H151)*2</f>
        <v>71810</v>
      </c>
      <c r="H105" s="79"/>
      <c r="I105" s="30">
        <f>8*12-2</f>
        <v>94</v>
      </c>
      <c r="T105"/>
    </row>
    <row r="106" spans="1:22" s="30" customFormat="1" ht="16" thickBot="1" x14ac:dyDescent="0.4">
      <c r="A106" s="146" t="s">
        <v>144</v>
      </c>
      <c r="B106" s="146"/>
      <c r="C106" s="161">
        <f>SUM(C105)</f>
        <v>94</v>
      </c>
      <c r="D106" s="162"/>
      <c r="E106" s="147">
        <f>SUM(E105)</f>
        <v>46121.581817999984</v>
      </c>
      <c r="F106" s="148"/>
      <c r="G106" s="149">
        <f>SUM(G105)</f>
        <v>71810</v>
      </c>
      <c r="H106" s="149"/>
    </row>
    <row r="107" spans="1:22" s="30" customFormat="1" ht="16" thickBot="1" x14ac:dyDescent="0.4">
      <c r="A107" s="163" t="s">
        <v>160</v>
      </c>
      <c r="B107" s="164"/>
      <c r="C107" s="165">
        <f>C102+C106</f>
        <v>103</v>
      </c>
      <c r="D107" s="165"/>
      <c r="E107" s="179">
        <f>E102+E106</f>
        <v>48547.249217999983</v>
      </c>
      <c r="F107" s="179"/>
      <c r="G107" s="154">
        <f>G102+G106</f>
        <v>76050</v>
      </c>
      <c r="H107" s="155"/>
    </row>
    <row r="108" spans="1:22" s="29" customFormat="1" x14ac:dyDescent="0.35">
      <c r="A108" s="82" t="s">
        <v>54</v>
      </c>
      <c r="B108" s="82"/>
      <c r="C108" s="82"/>
      <c r="D108" s="82"/>
      <c r="E108" s="82"/>
      <c r="F108" s="82"/>
      <c r="G108" s="82"/>
      <c r="H108" s="82"/>
      <c r="T108" s="30"/>
    </row>
    <row r="109" spans="1:22" x14ac:dyDescent="0.35">
      <c r="A109" s="135" t="s">
        <v>167</v>
      </c>
      <c r="B109" s="135"/>
      <c r="C109" s="135"/>
      <c r="D109" s="135"/>
      <c r="E109" s="135"/>
      <c r="F109" s="135"/>
      <c r="G109" s="135"/>
      <c r="H109" s="135"/>
      <c r="T109" s="30"/>
    </row>
    <row r="110" spans="1:22" ht="47.25" customHeight="1" x14ac:dyDescent="0.35">
      <c r="A110" s="77" t="s">
        <v>323</v>
      </c>
      <c r="B110" s="77" t="s">
        <v>170</v>
      </c>
      <c r="C110" s="77" t="s">
        <v>55</v>
      </c>
      <c r="D110" s="77" t="s">
        <v>225</v>
      </c>
      <c r="E110" s="102" t="s">
        <v>315</v>
      </c>
      <c r="F110" s="77" t="s">
        <v>56</v>
      </c>
      <c r="G110" s="102" t="s">
        <v>57</v>
      </c>
      <c r="H110" s="50" t="s">
        <v>329</v>
      </c>
      <c r="T110" s="30"/>
    </row>
    <row r="111" spans="1:22" s="32" customFormat="1" hidden="1" x14ac:dyDescent="0.35">
      <c r="A111" s="78"/>
      <c r="B111" s="78"/>
      <c r="C111" s="78"/>
      <c r="D111" s="78"/>
      <c r="E111" s="103"/>
      <c r="F111" s="78"/>
      <c r="G111" s="103"/>
      <c r="H111" s="51">
        <v>0.6</v>
      </c>
      <c r="T111" s="29"/>
    </row>
    <row r="112" spans="1:22" s="32" customFormat="1" x14ac:dyDescent="0.35">
      <c r="A112" s="107" t="s">
        <v>313</v>
      </c>
      <c r="B112" s="107"/>
      <c r="C112" s="107"/>
      <c r="D112" s="107"/>
      <c r="E112" s="107"/>
      <c r="F112" s="107"/>
      <c r="G112" s="107"/>
      <c r="H112" s="107"/>
      <c r="J112" s="53">
        <v>10.763999999999999</v>
      </c>
      <c r="T112" s="16"/>
    </row>
    <row r="113" spans="1:20" s="32" customFormat="1" ht="15.75" customHeight="1" x14ac:dyDescent="0.35">
      <c r="A113" s="98">
        <v>1</v>
      </c>
      <c r="B113" s="98"/>
      <c r="C113" s="69" t="s">
        <v>314</v>
      </c>
      <c r="D113" s="53">
        <f>(25.12)*10.764</f>
        <v>270.39168000000001</v>
      </c>
      <c r="E113" s="53">
        <f>(1.2*3.2)*10.764</f>
        <v>41.333759999999998</v>
      </c>
      <c r="F113" s="69">
        <f>D113+(IF(E113&lt;201,E113,IF(E113&lt;301,E113/2,E113/3)))</f>
        <v>311.72543999999999</v>
      </c>
      <c r="G113" s="69">
        <v>0</v>
      </c>
      <c r="H113" s="58">
        <v>545</v>
      </c>
      <c r="I113" s="31">
        <f>3.2*7.85</f>
        <v>25.12</v>
      </c>
      <c r="J113" s="62">
        <f>K113/F113</f>
        <v>1.7483334051914403</v>
      </c>
      <c r="K113" s="58">
        <v>545</v>
      </c>
      <c r="L113" s="106"/>
      <c r="M113" s="106"/>
      <c r="N113" s="31"/>
      <c r="T113" s="16"/>
    </row>
    <row r="114" spans="1:20" s="32" customFormat="1" ht="15.75" customHeight="1" x14ac:dyDescent="0.35">
      <c r="A114" s="98">
        <f t="shared" ref="A114:A121" si="0">A113+1</f>
        <v>2</v>
      </c>
      <c r="B114" s="98"/>
      <c r="C114" s="69" t="s">
        <v>314</v>
      </c>
      <c r="D114" s="53">
        <f>(21.195)*10.764</f>
        <v>228.14297999999999</v>
      </c>
      <c r="E114" s="53">
        <f>(1.2*2.7)*10.764</f>
        <v>34.875360000000001</v>
      </c>
      <c r="F114" s="69">
        <f t="shared" ref="F114:F116" si="1">D114+(IF(E114&lt;201,E114,IF(E114&lt;301,E114/2,E114/3)))</f>
        <v>263.01833999999997</v>
      </c>
      <c r="G114" s="69">
        <v>0</v>
      </c>
      <c r="H114" s="58">
        <v>460</v>
      </c>
      <c r="I114" s="31"/>
      <c r="J114" s="62">
        <f t="shared" ref="J114:J121" si="2">K114/F114</f>
        <v>1.7489274702288824</v>
      </c>
      <c r="K114" s="58">
        <v>460</v>
      </c>
      <c r="L114" s="106"/>
      <c r="M114" s="106"/>
      <c r="N114" s="31"/>
    </row>
    <row r="115" spans="1:20" s="32" customFormat="1" ht="15.75" customHeight="1" x14ac:dyDescent="0.35">
      <c r="A115" s="98">
        <f t="shared" si="0"/>
        <v>3</v>
      </c>
      <c r="B115" s="98"/>
      <c r="C115" s="69" t="s">
        <v>314</v>
      </c>
      <c r="D115" s="53">
        <f>(23.55)*10.764</f>
        <v>253.4922</v>
      </c>
      <c r="E115" s="53">
        <f>(1.2*3)*10.764</f>
        <v>38.750399999999992</v>
      </c>
      <c r="F115" s="69">
        <f t="shared" si="1"/>
        <v>292.24259999999998</v>
      </c>
      <c r="G115" s="69">
        <v>0</v>
      </c>
      <c r="H115" s="58">
        <v>510</v>
      </c>
      <c r="I115" s="31"/>
      <c r="J115" s="62">
        <f t="shared" si="2"/>
        <v>1.7451254539892542</v>
      </c>
      <c r="K115" s="58">
        <v>510</v>
      </c>
      <c r="L115" s="106"/>
      <c r="M115" s="106"/>
      <c r="N115" s="31"/>
    </row>
    <row r="116" spans="1:20" s="32" customFormat="1" ht="15.75" customHeight="1" x14ac:dyDescent="0.35">
      <c r="A116" s="100">
        <f t="shared" si="0"/>
        <v>4</v>
      </c>
      <c r="B116" s="100"/>
      <c r="C116" s="68" t="s">
        <v>314</v>
      </c>
      <c r="D116" s="53">
        <f>(19.35)*10.764</f>
        <v>208.2834</v>
      </c>
      <c r="E116" s="53">
        <f>(1.2*3)*10.764</f>
        <v>38.750399999999992</v>
      </c>
      <c r="F116" s="68">
        <f t="shared" si="1"/>
        <v>247.03379999999999</v>
      </c>
      <c r="G116" s="68">
        <v>0</v>
      </c>
      <c r="H116" s="58">
        <v>420</v>
      </c>
      <c r="I116" s="31"/>
      <c r="J116" s="62">
        <f t="shared" si="2"/>
        <v>1.7001722031560054</v>
      </c>
      <c r="K116" s="58">
        <v>420</v>
      </c>
      <c r="L116" s="106"/>
      <c r="M116" s="106"/>
      <c r="N116" s="31"/>
    </row>
    <row r="117" spans="1:20" s="32" customFormat="1" ht="15.75" customHeight="1" x14ac:dyDescent="0.35">
      <c r="A117" s="100">
        <f t="shared" si="0"/>
        <v>5</v>
      </c>
      <c r="B117" s="100"/>
      <c r="C117" s="68" t="s">
        <v>314</v>
      </c>
      <c r="D117" s="53">
        <f>(15.48)*10.764</f>
        <v>166.62672000000001</v>
      </c>
      <c r="E117" s="53">
        <f>(1.2*2.4)*10.764</f>
        <v>31.000319999999999</v>
      </c>
      <c r="F117" s="68">
        <f t="shared" ref="F117:F119" si="3">D117+(IF(E117&lt;201,E117,IF(E117&lt;301,E117/2,E117/3)))</f>
        <v>197.62703999999999</v>
      </c>
      <c r="G117" s="68">
        <v>0</v>
      </c>
      <c r="H117" s="58">
        <v>335</v>
      </c>
      <c r="I117" s="31"/>
      <c r="J117" s="62">
        <f t="shared" si="2"/>
        <v>1.6951121668370888</v>
      </c>
      <c r="K117" s="58">
        <v>335</v>
      </c>
      <c r="L117" s="106"/>
      <c r="M117" s="106"/>
      <c r="N117" s="31"/>
    </row>
    <row r="118" spans="1:20" s="32" customFormat="1" ht="15.75" customHeight="1" x14ac:dyDescent="0.35">
      <c r="A118" s="100">
        <f t="shared" si="0"/>
        <v>6</v>
      </c>
      <c r="B118" s="100"/>
      <c r="C118" s="68" t="s">
        <v>314</v>
      </c>
      <c r="D118" s="53">
        <f>(19.35)*10.764</f>
        <v>208.2834</v>
      </c>
      <c r="E118" s="53">
        <f>(1.2*3)*10.764</f>
        <v>38.750399999999992</v>
      </c>
      <c r="F118" s="68">
        <f t="shared" si="3"/>
        <v>247.03379999999999</v>
      </c>
      <c r="G118" s="68">
        <v>0</v>
      </c>
      <c r="H118" s="58">
        <v>420</v>
      </c>
      <c r="I118" s="31"/>
      <c r="J118" s="62">
        <f t="shared" si="2"/>
        <v>1.7001722031560054</v>
      </c>
      <c r="K118" s="58">
        <v>420</v>
      </c>
      <c r="L118" s="106"/>
      <c r="M118" s="106"/>
      <c r="N118" s="31"/>
    </row>
    <row r="119" spans="1:20" s="32" customFormat="1" ht="15.75" customHeight="1" x14ac:dyDescent="0.35">
      <c r="A119" s="100">
        <f t="shared" si="0"/>
        <v>7</v>
      </c>
      <c r="B119" s="100"/>
      <c r="C119" s="68" t="s">
        <v>314</v>
      </c>
      <c r="D119" s="53">
        <f>(23.55)*10.764</f>
        <v>253.4922</v>
      </c>
      <c r="E119" s="53">
        <f>(1.2*3)*10.764</f>
        <v>38.750399999999992</v>
      </c>
      <c r="F119" s="68">
        <f t="shared" si="3"/>
        <v>292.24259999999998</v>
      </c>
      <c r="G119" s="68">
        <v>0</v>
      </c>
      <c r="H119" s="58">
        <v>545</v>
      </c>
      <c r="I119" s="31"/>
      <c r="J119" s="62">
        <f t="shared" si="2"/>
        <v>1.8648889655375365</v>
      </c>
      <c r="K119" s="58">
        <v>545</v>
      </c>
      <c r="L119" s="106"/>
      <c r="M119" s="106"/>
      <c r="N119" s="31"/>
    </row>
    <row r="120" spans="1:20" s="32" customFormat="1" ht="15.75" customHeight="1" x14ac:dyDescent="0.35">
      <c r="A120" s="100">
        <f t="shared" si="0"/>
        <v>8</v>
      </c>
      <c r="B120" s="100"/>
      <c r="C120" s="68" t="s">
        <v>314</v>
      </c>
      <c r="D120" s="53">
        <f>(21.195)*10.764</f>
        <v>228.14297999999999</v>
      </c>
      <c r="E120" s="53">
        <f>(1.2*2.7)*10.764</f>
        <v>34.875360000000001</v>
      </c>
      <c r="F120" s="68">
        <f t="shared" ref="F120:F121" si="4">D120+(IF(E120&lt;201,E120,IF(E120&lt;301,E120/2,E120/3)))</f>
        <v>263.01833999999997</v>
      </c>
      <c r="G120" s="68">
        <v>0</v>
      </c>
      <c r="H120" s="58">
        <v>460</v>
      </c>
      <c r="I120" s="31"/>
      <c r="J120" s="62">
        <f t="shared" si="2"/>
        <v>1.7489274702288824</v>
      </c>
      <c r="K120" s="58">
        <v>460</v>
      </c>
      <c r="L120" s="106"/>
      <c r="M120" s="106"/>
      <c r="N120" s="31"/>
    </row>
    <row r="121" spans="1:20" s="32" customFormat="1" ht="15.75" customHeight="1" x14ac:dyDescent="0.35">
      <c r="A121" s="100">
        <f t="shared" si="0"/>
        <v>9</v>
      </c>
      <c r="B121" s="100"/>
      <c r="C121" s="68" t="s">
        <v>314</v>
      </c>
      <c r="D121" s="53">
        <f>(25.12)*10.764</f>
        <v>270.39168000000001</v>
      </c>
      <c r="E121" s="53">
        <f>(1.2*3.2)*10.764</f>
        <v>41.333759999999998</v>
      </c>
      <c r="F121" s="68">
        <f t="shared" si="4"/>
        <v>311.72543999999999</v>
      </c>
      <c r="G121" s="68">
        <v>0</v>
      </c>
      <c r="H121" s="58">
        <v>545</v>
      </c>
      <c r="I121" s="31"/>
      <c r="J121" s="62">
        <f t="shared" si="2"/>
        <v>1.7483334051914403</v>
      </c>
      <c r="K121" s="58">
        <v>545</v>
      </c>
      <c r="L121" s="106"/>
      <c r="M121" s="106"/>
      <c r="N121" s="31"/>
    </row>
    <row r="122" spans="1:20" s="32" customFormat="1" x14ac:dyDescent="0.35">
      <c r="A122" s="100"/>
      <c r="B122" s="100"/>
      <c r="C122" s="100"/>
      <c r="D122" s="100"/>
      <c r="E122" s="100"/>
      <c r="F122" s="100"/>
      <c r="G122" s="100"/>
      <c r="H122" s="100"/>
      <c r="I122" s="31"/>
      <c r="N122" s="31"/>
    </row>
    <row r="123" spans="1:20" ht="47.25" customHeight="1" x14ac:dyDescent="0.35">
      <c r="A123" s="143" t="s">
        <v>322</v>
      </c>
      <c r="B123" s="143" t="s">
        <v>171</v>
      </c>
      <c r="C123" s="143" t="s">
        <v>55</v>
      </c>
      <c r="D123" s="143" t="s">
        <v>225</v>
      </c>
      <c r="E123" s="143" t="s">
        <v>321</v>
      </c>
      <c r="F123" s="143" t="s">
        <v>56</v>
      </c>
      <c r="G123" s="153" t="s">
        <v>57</v>
      </c>
      <c r="H123" s="66" t="s">
        <v>329</v>
      </c>
      <c r="I123" s="31"/>
      <c r="T123" s="32"/>
    </row>
    <row r="124" spans="1:20" s="32" customFormat="1" hidden="1" x14ac:dyDescent="0.35">
      <c r="A124" s="143"/>
      <c r="B124" s="143"/>
      <c r="C124" s="143"/>
      <c r="D124" s="143"/>
      <c r="E124" s="143"/>
      <c r="F124" s="143"/>
      <c r="G124" s="153"/>
      <c r="H124" s="67">
        <v>0.5</v>
      </c>
      <c r="I124" s="31"/>
    </row>
    <row r="125" spans="1:20" s="32" customFormat="1" x14ac:dyDescent="0.35">
      <c r="A125" s="107" t="s">
        <v>316</v>
      </c>
      <c r="B125" s="107"/>
      <c r="C125" s="107"/>
      <c r="D125" s="107"/>
      <c r="E125" s="107"/>
      <c r="F125" s="107"/>
      <c r="G125" s="107"/>
      <c r="H125" s="107"/>
      <c r="I125" s="31"/>
      <c r="L125" s="106"/>
      <c r="M125" s="106"/>
    </row>
    <row r="126" spans="1:20" s="32" customFormat="1" x14ac:dyDescent="0.35">
      <c r="A126" s="98">
        <v>1</v>
      </c>
      <c r="B126" s="98"/>
      <c r="C126" s="52" t="s">
        <v>317</v>
      </c>
      <c r="D126" s="53">
        <f>(49.54)*10.764</f>
        <v>533.24856</v>
      </c>
      <c r="E126" s="53">
        <f>(0.75*(3.2+2.7+2.79))*10.764</f>
        <v>70.15437</v>
      </c>
      <c r="F126" s="52">
        <f t="shared" ref="F126:F131" si="5">D126+E126</f>
        <v>603.40292999999997</v>
      </c>
      <c r="G126" s="53">
        <f>(1.4*2.05+2.25*2.75+2.79*2.5)*10.764</f>
        <v>172.57382999999999</v>
      </c>
      <c r="H126" s="58">
        <v>1135</v>
      </c>
      <c r="I126" s="31">
        <f>3*5+2.4*2.1+2.7*3+3.2*3.3+2.1*1.2+2.1*1.2+0.9*3.95+1.5*1.2</f>
        <v>49.095000000000006</v>
      </c>
      <c r="J126" s="57">
        <f>K126/F126</f>
        <v>1.8809984896825078</v>
      </c>
      <c r="K126" s="58">
        <v>1135</v>
      </c>
      <c r="N126" s="31"/>
    </row>
    <row r="127" spans="1:20" s="32" customFormat="1" x14ac:dyDescent="0.35">
      <c r="A127" s="100">
        <f t="shared" ref="A127:A133" si="6">A126+1</f>
        <v>2</v>
      </c>
      <c r="B127" s="100"/>
      <c r="C127" s="42" t="s">
        <v>318</v>
      </c>
      <c r="D127" s="53">
        <f>(35.461)*10.764</f>
        <v>381.70220399999994</v>
      </c>
      <c r="E127" s="53">
        <f>(0.75*(3+2.4+3))*10.764</f>
        <v>67.813200000000009</v>
      </c>
      <c r="F127" s="42">
        <f t="shared" si="5"/>
        <v>449.51540399999993</v>
      </c>
      <c r="G127" s="53">
        <f>(2.8*1.1)*10.764</f>
        <v>33.153120000000001</v>
      </c>
      <c r="H127" s="58">
        <v>730</v>
      </c>
      <c r="I127" s="31"/>
      <c r="J127" s="57">
        <f t="shared" ref="J127:J142" si="7">K127/F127</f>
        <v>1.6239710441602577</v>
      </c>
      <c r="K127" s="58">
        <v>730</v>
      </c>
      <c r="N127" s="31"/>
    </row>
    <row r="128" spans="1:20" s="32" customFormat="1" x14ac:dyDescent="0.35">
      <c r="A128" s="100">
        <f t="shared" si="6"/>
        <v>3</v>
      </c>
      <c r="B128" s="100"/>
      <c r="C128" s="42" t="s">
        <v>317</v>
      </c>
      <c r="D128" s="53">
        <f>(49.54)*10.764</f>
        <v>533.24856</v>
      </c>
      <c r="E128" s="53">
        <f>(0.75*(2.74+2.7+3.2))*10.764</f>
        <v>69.750720000000001</v>
      </c>
      <c r="F128" s="42">
        <f t="shared" si="5"/>
        <v>602.99928</v>
      </c>
      <c r="G128" s="53">
        <f>(1.4*2.05+2.25*2.75+2.79*2.5)*10.764</f>
        <v>172.57382999999999</v>
      </c>
      <c r="H128" s="58">
        <v>1135</v>
      </c>
      <c r="I128" s="31"/>
      <c r="J128" s="57">
        <f t="shared" si="7"/>
        <v>1.8822576371898818</v>
      </c>
      <c r="K128" s="58">
        <v>1135</v>
      </c>
      <c r="N128" s="31"/>
    </row>
    <row r="129" spans="1:14" s="32" customFormat="1" x14ac:dyDescent="0.35">
      <c r="A129" s="100">
        <f t="shared" si="6"/>
        <v>4</v>
      </c>
      <c r="B129" s="100"/>
      <c r="C129" s="42" t="s">
        <v>318</v>
      </c>
      <c r="D129" s="53">
        <f>(29.99)*10.764</f>
        <v>322.81235999999996</v>
      </c>
      <c r="E129" s="53">
        <f>(2.4+0.75*3+4.48)*10.764</f>
        <v>98.275320000000008</v>
      </c>
      <c r="F129" s="42">
        <f t="shared" si="5"/>
        <v>421.08767999999998</v>
      </c>
      <c r="G129" s="42">
        <v>0</v>
      </c>
      <c r="H129" s="58">
        <v>680</v>
      </c>
      <c r="I129" s="31">
        <f>4.8*2.8+2.1*2.4+3.1*3+1.2*1.2+1.5*1.2+0.9*2.4+0.45*1.2</f>
        <v>33.720000000000006</v>
      </c>
      <c r="J129" s="57">
        <f t="shared" si="7"/>
        <v>1.6148655785892383</v>
      </c>
      <c r="K129" s="58">
        <v>680</v>
      </c>
      <c r="L129" s="32">
        <f>29.99+4.48</f>
        <v>34.47</v>
      </c>
      <c r="N129" s="31"/>
    </row>
    <row r="130" spans="1:14" s="32" customFormat="1" x14ac:dyDescent="0.35">
      <c r="A130" s="100">
        <f t="shared" si="6"/>
        <v>5</v>
      </c>
      <c r="B130" s="100"/>
      <c r="C130" s="42" t="s">
        <v>318</v>
      </c>
      <c r="D130" s="53">
        <f>(29.99)*10.764</f>
        <v>322.81235999999996</v>
      </c>
      <c r="E130" s="53">
        <f>(2.4+4.48+0.75*(2.8+3))*10.764</f>
        <v>120.87971999999999</v>
      </c>
      <c r="F130" s="42">
        <f t="shared" si="5"/>
        <v>443.69207999999992</v>
      </c>
      <c r="G130" s="42">
        <v>0</v>
      </c>
      <c r="H130" s="58">
        <v>680</v>
      </c>
      <c r="I130" s="62">
        <f>0.75*(2.8+3)</f>
        <v>4.3499999999999996</v>
      </c>
      <c r="J130" s="57">
        <f t="shared" si="7"/>
        <v>1.5325944064631492</v>
      </c>
      <c r="K130" s="58">
        <v>680</v>
      </c>
      <c r="N130" s="31"/>
    </row>
    <row r="131" spans="1:14" s="32" customFormat="1" x14ac:dyDescent="0.35">
      <c r="A131" s="100">
        <f t="shared" si="6"/>
        <v>6</v>
      </c>
      <c r="B131" s="100"/>
      <c r="C131" s="42" t="s">
        <v>318</v>
      </c>
      <c r="D131" s="53">
        <f>(29.99)*10.764</f>
        <v>322.81235999999996</v>
      </c>
      <c r="E131" s="53">
        <f>(2.4+4.48+0.75*(2.8+3))*10.764</f>
        <v>120.87971999999999</v>
      </c>
      <c r="F131" s="42">
        <f t="shared" si="5"/>
        <v>443.69207999999992</v>
      </c>
      <c r="G131" s="42">
        <v>0</v>
      </c>
      <c r="H131" s="58">
        <v>680</v>
      </c>
      <c r="I131" s="31"/>
      <c r="J131" s="57">
        <f t="shared" si="7"/>
        <v>1.5325944064631492</v>
      </c>
      <c r="K131" s="58">
        <v>680</v>
      </c>
      <c r="N131" s="31"/>
    </row>
    <row r="132" spans="1:14" s="32" customFormat="1" x14ac:dyDescent="0.35">
      <c r="A132" s="100">
        <f t="shared" si="6"/>
        <v>7</v>
      </c>
      <c r="B132" s="100"/>
      <c r="C132" s="186" t="s">
        <v>336</v>
      </c>
      <c r="D132" s="187"/>
      <c r="E132" s="187"/>
      <c r="F132" s="187"/>
      <c r="G132" s="188"/>
      <c r="H132" s="58" t="s">
        <v>337</v>
      </c>
      <c r="I132" s="62">
        <f>0.75*(2.8+3)</f>
        <v>4.3499999999999996</v>
      </c>
      <c r="J132" s="57" t="e">
        <f t="shared" ref="J132:J133" si="8">K132/F132</f>
        <v>#DIV/0!</v>
      </c>
      <c r="K132" s="58">
        <v>680</v>
      </c>
      <c r="N132" s="31"/>
    </row>
    <row r="133" spans="1:14" s="32" customFormat="1" x14ac:dyDescent="0.35">
      <c r="A133" s="100">
        <f t="shared" si="6"/>
        <v>8</v>
      </c>
      <c r="B133" s="100"/>
      <c r="C133" s="189"/>
      <c r="D133" s="190"/>
      <c r="E133" s="190"/>
      <c r="F133" s="190"/>
      <c r="G133" s="191"/>
      <c r="H133" s="58" t="s">
        <v>337</v>
      </c>
      <c r="I133" s="31"/>
      <c r="J133" s="57" t="e">
        <f t="shared" si="8"/>
        <v>#DIV/0!</v>
      </c>
      <c r="K133" s="58">
        <v>680</v>
      </c>
      <c r="N133" s="31"/>
    </row>
    <row r="134" spans="1:14" s="32" customFormat="1" ht="15.75" customHeight="1" x14ac:dyDescent="0.35">
      <c r="A134" s="157" t="s">
        <v>319</v>
      </c>
      <c r="B134" s="158"/>
      <c r="C134" s="158"/>
      <c r="D134" s="158"/>
      <c r="E134" s="158"/>
      <c r="F134" s="158"/>
      <c r="G134" s="158"/>
      <c r="H134" s="159"/>
      <c r="I134" s="31"/>
      <c r="J134" s="57"/>
    </row>
    <row r="135" spans="1:14" s="32" customFormat="1" ht="15.75" customHeight="1" x14ac:dyDescent="0.35">
      <c r="A135" s="98">
        <v>1</v>
      </c>
      <c r="B135" s="98"/>
      <c r="C135" s="42" t="s">
        <v>318</v>
      </c>
      <c r="D135" s="53">
        <f>(29.99)*10.764</f>
        <v>322.81235999999996</v>
      </c>
      <c r="E135" s="53">
        <f>(4.48+2.4+0.75*(2.45+3))*10.764</f>
        <v>118.05417</v>
      </c>
      <c r="F135" s="42">
        <f t="shared" ref="F135:F142" si="9">D135+E135</f>
        <v>440.86652999999995</v>
      </c>
      <c r="G135" s="42">
        <v>0</v>
      </c>
      <c r="H135" s="58">
        <v>680</v>
      </c>
      <c r="I135" s="61">
        <f>(4.8*2.8+2.1*2.4+3.1*3+1.5*1.2+1.2*1+0.9*2.4+0.45*1.2)</f>
        <v>33.479999999999997</v>
      </c>
      <c r="J135" s="63">
        <f t="shared" si="7"/>
        <v>1.5424169305844109</v>
      </c>
      <c r="K135" s="58">
        <v>680</v>
      </c>
      <c r="L135" s="32">
        <f>29.99+4.48</f>
        <v>34.47</v>
      </c>
    </row>
    <row r="136" spans="1:14" s="32" customFormat="1" ht="15.75" customHeight="1" x14ac:dyDescent="0.35">
      <c r="A136" s="100">
        <f t="shared" ref="A136:A142" si="10">A135+1</f>
        <v>2</v>
      </c>
      <c r="B136" s="100"/>
      <c r="C136" s="42" t="s">
        <v>317</v>
      </c>
      <c r="D136" s="53">
        <f>(49.54)*10.764</f>
        <v>533.24856</v>
      </c>
      <c r="E136" s="53">
        <f>(2.1+0.75*(3+2.7+3.2))*10.764</f>
        <v>94.454099999999997</v>
      </c>
      <c r="F136" s="42">
        <f t="shared" si="9"/>
        <v>627.70266000000004</v>
      </c>
      <c r="G136" s="42">
        <v>0</v>
      </c>
      <c r="H136" s="58">
        <v>980</v>
      </c>
      <c r="I136" s="31"/>
      <c r="J136" s="63">
        <f t="shared" si="7"/>
        <v>1.5612487606791405</v>
      </c>
      <c r="K136" s="58">
        <v>980</v>
      </c>
    </row>
    <row r="137" spans="1:14" s="32" customFormat="1" ht="15.75" customHeight="1" x14ac:dyDescent="0.35">
      <c r="A137" s="100">
        <f t="shared" si="10"/>
        <v>3</v>
      </c>
      <c r="B137" s="100"/>
      <c r="C137" s="42" t="s">
        <v>318</v>
      </c>
      <c r="D137" s="53">
        <f>(35.461)*10.764</f>
        <v>381.70220399999994</v>
      </c>
      <c r="E137" s="53">
        <f>(2.4+0.75*(2.75+3))*10.764</f>
        <v>72.253349999999998</v>
      </c>
      <c r="F137" s="42">
        <f t="shared" si="9"/>
        <v>453.95555399999995</v>
      </c>
      <c r="G137" s="42">
        <v>0</v>
      </c>
      <c r="H137" s="58">
        <v>710</v>
      </c>
      <c r="I137" s="31"/>
      <c r="J137" s="63">
        <f t="shared" si="7"/>
        <v>1.5640297684297086</v>
      </c>
      <c r="K137" s="58">
        <v>710</v>
      </c>
    </row>
    <row r="138" spans="1:14" s="32" customFormat="1" ht="16" customHeight="1" x14ac:dyDescent="0.35">
      <c r="A138" s="100">
        <f t="shared" si="10"/>
        <v>4</v>
      </c>
      <c r="B138" s="100"/>
      <c r="C138" s="42" t="s">
        <v>317</v>
      </c>
      <c r="D138" s="53">
        <f>(49.54)*10.764</f>
        <v>533.24856</v>
      </c>
      <c r="E138" s="53">
        <f>(2.1+0.75*(2.9+2.7+3.2))*10.764</f>
        <v>93.646799999999999</v>
      </c>
      <c r="F138" s="42">
        <f t="shared" si="9"/>
        <v>626.89535999999998</v>
      </c>
      <c r="G138" s="42">
        <v>0</v>
      </c>
      <c r="H138" s="58">
        <v>980</v>
      </c>
      <c r="I138" s="31"/>
      <c r="J138" s="63">
        <f t="shared" si="7"/>
        <v>1.5632592973730097</v>
      </c>
      <c r="K138" s="58">
        <v>980</v>
      </c>
    </row>
    <row r="139" spans="1:14" s="32" customFormat="1" ht="15.75" customHeight="1" x14ac:dyDescent="0.35">
      <c r="A139" s="100">
        <f t="shared" si="10"/>
        <v>5</v>
      </c>
      <c r="B139" s="100"/>
      <c r="C139" s="42" t="s">
        <v>318</v>
      </c>
      <c r="D139" s="53">
        <f>(29.99)*10.764</f>
        <v>322.81235999999996</v>
      </c>
      <c r="E139" s="53">
        <f>(4.48+2.4+0.75*(2.7+3))*10.764</f>
        <v>120.07242000000001</v>
      </c>
      <c r="F139" s="42">
        <f t="shared" si="9"/>
        <v>442.88477999999998</v>
      </c>
      <c r="G139" s="42">
        <v>0</v>
      </c>
      <c r="H139" s="58">
        <v>680</v>
      </c>
      <c r="I139" s="31"/>
      <c r="J139" s="63">
        <f t="shared" si="7"/>
        <v>1.535388052847515</v>
      </c>
      <c r="K139" s="58">
        <v>680</v>
      </c>
    </row>
    <row r="140" spans="1:14" s="32" customFormat="1" ht="15.75" customHeight="1" x14ac:dyDescent="0.35">
      <c r="A140" s="100">
        <f t="shared" si="10"/>
        <v>6</v>
      </c>
      <c r="B140" s="100"/>
      <c r="C140" s="42" t="s">
        <v>318</v>
      </c>
      <c r="D140" s="53">
        <f>(29.99)*10.764</f>
        <v>322.81235999999996</v>
      </c>
      <c r="E140" s="53">
        <f>(4.48+2.4+0.75*(2.8+3))*10.764</f>
        <v>120.87971999999999</v>
      </c>
      <c r="F140" s="42">
        <f t="shared" si="9"/>
        <v>443.69207999999992</v>
      </c>
      <c r="G140" s="42">
        <v>0</v>
      </c>
      <c r="H140" s="58">
        <v>680</v>
      </c>
      <c r="I140" s="31"/>
      <c r="J140" s="63">
        <f t="shared" si="7"/>
        <v>1.5325944064631492</v>
      </c>
      <c r="K140" s="58">
        <v>680</v>
      </c>
    </row>
    <row r="141" spans="1:14" s="32" customFormat="1" ht="15.75" customHeight="1" x14ac:dyDescent="0.35">
      <c r="A141" s="100">
        <f t="shared" si="10"/>
        <v>7</v>
      </c>
      <c r="B141" s="100"/>
      <c r="C141" s="42" t="s">
        <v>318</v>
      </c>
      <c r="D141" s="53">
        <f>(29.99)*10.764</f>
        <v>322.81235999999996</v>
      </c>
      <c r="E141" s="53">
        <f>(4.48+2.4+0.75*(2.8+3))*10.764</f>
        <v>120.87971999999999</v>
      </c>
      <c r="F141" s="42">
        <f t="shared" si="9"/>
        <v>443.69207999999992</v>
      </c>
      <c r="G141" s="42">
        <v>0</v>
      </c>
      <c r="H141" s="58">
        <v>680</v>
      </c>
      <c r="I141" s="31"/>
      <c r="J141" s="63">
        <f t="shared" si="7"/>
        <v>1.5325944064631492</v>
      </c>
      <c r="K141" s="58">
        <v>680</v>
      </c>
    </row>
    <row r="142" spans="1:14" s="32" customFormat="1" ht="15.75" customHeight="1" x14ac:dyDescent="0.35">
      <c r="A142" s="100">
        <f t="shared" si="10"/>
        <v>8</v>
      </c>
      <c r="B142" s="100"/>
      <c r="C142" s="42" t="s">
        <v>318</v>
      </c>
      <c r="D142" s="53">
        <f>(29.99)*10.764</f>
        <v>322.81235999999996</v>
      </c>
      <c r="E142" s="53">
        <f>(4.48+2.4+0.75*(2.8+3))*10.764</f>
        <v>120.87971999999999</v>
      </c>
      <c r="F142" s="42">
        <f t="shared" si="9"/>
        <v>443.69207999999992</v>
      </c>
      <c r="G142" s="42">
        <v>0</v>
      </c>
      <c r="H142" s="58">
        <v>680</v>
      </c>
      <c r="I142" s="31"/>
      <c r="J142" s="63">
        <f t="shared" si="7"/>
        <v>1.5325944064631492</v>
      </c>
      <c r="K142" s="58">
        <v>680</v>
      </c>
    </row>
    <row r="143" spans="1:14" s="32" customFormat="1" x14ac:dyDescent="0.35">
      <c r="A143" s="157" t="s">
        <v>320</v>
      </c>
      <c r="B143" s="158"/>
      <c r="C143" s="158"/>
      <c r="D143" s="158"/>
      <c r="E143" s="158"/>
      <c r="F143" s="158"/>
      <c r="G143" s="158"/>
      <c r="H143" s="159"/>
      <c r="I143" s="31"/>
      <c r="L143" s="32">
        <v>3400</v>
      </c>
    </row>
    <row r="144" spans="1:14" s="32" customFormat="1" ht="15.75" customHeight="1" x14ac:dyDescent="0.35">
      <c r="A144" s="98">
        <v>1</v>
      </c>
      <c r="B144" s="98"/>
      <c r="C144" s="42" t="s">
        <v>318</v>
      </c>
      <c r="D144" s="53">
        <f>(29.99)*10.764</f>
        <v>322.81235999999996</v>
      </c>
      <c r="E144" s="53">
        <f>(4.48+2.4+0.75*(2.45+3))*10.764</f>
        <v>118.05417</v>
      </c>
      <c r="F144" s="42">
        <f t="shared" ref="F144:F151" si="11">D144+E144</f>
        <v>440.86652999999995</v>
      </c>
      <c r="G144" s="42">
        <v>0</v>
      </c>
      <c r="H144" s="58">
        <v>680</v>
      </c>
      <c r="I144" s="31"/>
      <c r="L144" s="32">
        <f>L$143*H144</f>
        <v>2312000</v>
      </c>
      <c r="M144" s="32">
        <f>L144+160000</f>
        <v>2472000</v>
      </c>
    </row>
    <row r="145" spans="1:20" s="32" customFormat="1" ht="15.75" customHeight="1" x14ac:dyDescent="0.35">
      <c r="A145" s="100">
        <f t="shared" ref="A145:A151" si="12">A144+1</f>
        <v>2</v>
      </c>
      <c r="B145" s="100"/>
      <c r="C145" s="42" t="s">
        <v>317</v>
      </c>
      <c r="D145" s="53">
        <f>(49.54)*10.764</f>
        <v>533.24856</v>
      </c>
      <c r="E145" s="53">
        <f>(2.1+0.75*(3+2.7+3.2))*10.764</f>
        <v>94.454099999999997</v>
      </c>
      <c r="F145" s="42">
        <f t="shared" si="11"/>
        <v>627.70266000000004</v>
      </c>
      <c r="G145" s="42">
        <v>0</v>
      </c>
      <c r="H145" s="58">
        <v>980</v>
      </c>
      <c r="I145" s="31"/>
      <c r="J145" s="31">
        <f>4050000/H145</f>
        <v>4132.6530612244896</v>
      </c>
      <c r="L145" s="32">
        <f t="shared" ref="L145:L151" si="13">L$143*H145</f>
        <v>3332000</v>
      </c>
      <c r="M145" s="32">
        <f t="shared" ref="M145:M151" si="14">L145+160000</f>
        <v>3492000</v>
      </c>
    </row>
    <row r="146" spans="1:20" s="32" customFormat="1" ht="15.75" customHeight="1" x14ac:dyDescent="0.35">
      <c r="A146" s="100">
        <f t="shared" si="12"/>
        <v>3</v>
      </c>
      <c r="B146" s="100"/>
      <c r="C146" s="42" t="s">
        <v>318</v>
      </c>
      <c r="D146" s="53">
        <f>(35.461)*10.764</f>
        <v>381.70220399999994</v>
      </c>
      <c r="E146" s="53">
        <f>(2.4+0.75*(2.75+3))*10.764</f>
        <v>72.253349999999998</v>
      </c>
      <c r="F146" s="42">
        <f t="shared" si="11"/>
        <v>453.95555399999995</v>
      </c>
      <c r="G146" s="42">
        <v>0</v>
      </c>
      <c r="H146" s="58">
        <v>710</v>
      </c>
      <c r="I146" s="31"/>
      <c r="L146" s="32">
        <f t="shared" si="13"/>
        <v>2414000</v>
      </c>
      <c r="M146" s="32">
        <f t="shared" si="14"/>
        <v>2574000</v>
      </c>
    </row>
    <row r="147" spans="1:20" s="32" customFormat="1" ht="15.75" customHeight="1" x14ac:dyDescent="0.35">
      <c r="A147" s="100">
        <f t="shared" si="12"/>
        <v>4</v>
      </c>
      <c r="B147" s="100"/>
      <c r="C147" s="42" t="s">
        <v>317</v>
      </c>
      <c r="D147" s="53">
        <f>(49.54)*10.764</f>
        <v>533.24856</v>
      </c>
      <c r="E147" s="53">
        <f>(2.1+0.75*(2.9+2.7+3.2))*10.764</f>
        <v>93.646799999999999</v>
      </c>
      <c r="F147" s="42">
        <f t="shared" si="11"/>
        <v>626.89535999999998</v>
      </c>
      <c r="G147" s="42">
        <v>0</v>
      </c>
      <c r="H147" s="58">
        <v>980</v>
      </c>
      <c r="I147" s="31"/>
      <c r="L147" s="32">
        <f t="shared" si="13"/>
        <v>3332000</v>
      </c>
      <c r="M147" s="32">
        <f t="shared" si="14"/>
        <v>3492000</v>
      </c>
    </row>
    <row r="148" spans="1:20" s="32" customFormat="1" ht="15.75" customHeight="1" x14ac:dyDescent="0.35">
      <c r="A148" s="100">
        <f t="shared" si="12"/>
        <v>5</v>
      </c>
      <c r="B148" s="100"/>
      <c r="C148" s="42" t="s">
        <v>318</v>
      </c>
      <c r="D148" s="53">
        <f>(29.99)*10.764</f>
        <v>322.81235999999996</v>
      </c>
      <c r="E148" s="53">
        <f>(4.48+2.4+0.75*(2.7+3))*10.764</f>
        <v>120.07242000000001</v>
      </c>
      <c r="F148" s="42">
        <f t="shared" si="11"/>
        <v>442.88477999999998</v>
      </c>
      <c r="G148" s="42">
        <v>0</v>
      </c>
      <c r="H148" s="58">
        <v>680</v>
      </c>
      <c r="I148" s="31"/>
      <c r="J148" s="31">
        <f>2700000/H148</f>
        <v>3970.5882352941176</v>
      </c>
      <c r="L148" s="32">
        <f t="shared" si="13"/>
        <v>2312000</v>
      </c>
      <c r="M148" s="32">
        <f t="shared" si="14"/>
        <v>2472000</v>
      </c>
    </row>
    <row r="149" spans="1:20" s="32" customFormat="1" ht="15.75" customHeight="1" x14ac:dyDescent="0.35">
      <c r="A149" s="100">
        <f t="shared" si="12"/>
        <v>6</v>
      </c>
      <c r="B149" s="100"/>
      <c r="C149" s="42" t="s">
        <v>318</v>
      </c>
      <c r="D149" s="53">
        <f>(29.99)*10.764</f>
        <v>322.81235999999996</v>
      </c>
      <c r="E149" s="53">
        <f>(4.48+2.4+0.75*(2.8+3))*10.764</f>
        <v>120.87971999999999</v>
      </c>
      <c r="F149" s="42">
        <f t="shared" si="11"/>
        <v>443.69207999999992</v>
      </c>
      <c r="G149" s="42">
        <v>0</v>
      </c>
      <c r="H149" s="58">
        <v>680</v>
      </c>
      <c r="I149" s="31"/>
      <c r="L149" s="32">
        <f t="shared" si="13"/>
        <v>2312000</v>
      </c>
      <c r="M149" s="32">
        <f t="shared" si="14"/>
        <v>2472000</v>
      </c>
    </row>
    <row r="150" spans="1:20" s="32" customFormat="1" ht="15.75" customHeight="1" x14ac:dyDescent="0.35">
      <c r="A150" s="100">
        <f t="shared" si="12"/>
        <v>7</v>
      </c>
      <c r="B150" s="100"/>
      <c r="C150" s="42" t="s">
        <v>318</v>
      </c>
      <c r="D150" s="53">
        <f>(29.99)*10.764</f>
        <v>322.81235999999996</v>
      </c>
      <c r="E150" s="53">
        <f>(4.48+2.4+0.75*(2.8+3))*10.764</f>
        <v>120.87971999999999</v>
      </c>
      <c r="F150" s="42">
        <f t="shared" si="11"/>
        <v>443.69207999999992</v>
      </c>
      <c r="G150" s="42">
        <v>0</v>
      </c>
      <c r="H150" s="58">
        <v>680</v>
      </c>
      <c r="I150" s="31"/>
      <c r="L150" s="32">
        <f t="shared" si="13"/>
        <v>2312000</v>
      </c>
      <c r="M150" s="32">
        <f t="shared" si="14"/>
        <v>2472000</v>
      </c>
    </row>
    <row r="151" spans="1:20" s="32" customFormat="1" ht="15.75" customHeight="1" x14ac:dyDescent="0.35">
      <c r="A151" s="100">
        <f t="shared" si="12"/>
        <v>8</v>
      </c>
      <c r="B151" s="100"/>
      <c r="C151" s="42" t="s">
        <v>318</v>
      </c>
      <c r="D151" s="53">
        <f>(29.99)*10.764</f>
        <v>322.81235999999996</v>
      </c>
      <c r="E151" s="53">
        <f>(4.48+2.4+0.75*(2.8+3))*10.764</f>
        <v>120.87971999999999</v>
      </c>
      <c r="F151" s="42">
        <f t="shared" si="11"/>
        <v>443.69207999999992</v>
      </c>
      <c r="G151" s="42">
        <v>0</v>
      </c>
      <c r="H151" s="58">
        <v>680</v>
      </c>
      <c r="I151" s="31"/>
      <c r="L151" s="32">
        <f t="shared" si="13"/>
        <v>2312000</v>
      </c>
      <c r="M151" s="32">
        <f t="shared" si="14"/>
        <v>2472000</v>
      </c>
    </row>
    <row r="152" spans="1:20" s="30" customFormat="1" x14ac:dyDescent="0.35">
      <c r="A152" s="156" t="s">
        <v>65</v>
      </c>
      <c r="B152" s="156"/>
      <c r="C152" s="156"/>
      <c r="D152" s="156"/>
      <c r="E152" s="156"/>
      <c r="F152" s="156"/>
      <c r="G152" s="156"/>
      <c r="H152" s="156"/>
      <c r="L152" s="32"/>
      <c r="T152" s="32"/>
    </row>
    <row r="153" spans="1:20" s="30" customFormat="1" x14ac:dyDescent="0.35">
      <c r="A153" s="70" t="s">
        <v>147</v>
      </c>
      <c r="B153" s="145" t="s">
        <v>344</v>
      </c>
      <c r="C153" s="145"/>
      <c r="D153" s="145"/>
      <c r="E153" s="145"/>
      <c r="F153" s="145"/>
      <c r="G153" s="145"/>
      <c r="H153" s="145"/>
      <c r="T153" s="32"/>
    </row>
    <row r="154" spans="1:20" s="30" customFormat="1" x14ac:dyDescent="0.35">
      <c r="A154" s="70" t="s">
        <v>147</v>
      </c>
      <c r="B154" s="145" t="str">
        <f>(IF(H123="Saleable area Loading :","We have considered Saleable area of Flats as per our Calculation.","We considered Saleable area of Flat as per Builder area Sheet."))</f>
        <v>We considered Saleable area of Flat as per Builder area Sheet.</v>
      </c>
      <c r="C154" s="145"/>
      <c r="D154" s="145"/>
      <c r="E154" s="145"/>
      <c r="F154" s="145"/>
      <c r="G154" s="145"/>
      <c r="H154" s="145"/>
      <c r="T154" s="32"/>
    </row>
    <row r="155" spans="1:20" s="30" customFormat="1" x14ac:dyDescent="0.35">
      <c r="A155" s="70" t="s">
        <v>147</v>
      </c>
      <c r="B155" s="145" t="str">
        <f>(IF(H110="Saleable area Loading :","We have considered Saleable area of Commercial as per our Calculation.","We considered Saleable area of Commercial as per Builder area Sheet."))</f>
        <v>We considered Saleable area of Commercial as per Builder area Sheet.</v>
      </c>
      <c r="C155" s="145"/>
      <c r="D155" s="145"/>
      <c r="E155" s="145"/>
      <c r="F155" s="145"/>
      <c r="G155" s="145"/>
      <c r="H155" s="145"/>
    </row>
    <row r="156" spans="1:20" s="30" customFormat="1" x14ac:dyDescent="0.35">
      <c r="A156" s="70" t="s">
        <v>147</v>
      </c>
      <c r="B156" s="145" t="s">
        <v>118</v>
      </c>
      <c r="C156" s="145"/>
      <c r="D156" s="145"/>
      <c r="E156" s="145"/>
      <c r="F156" s="145"/>
      <c r="G156" s="145"/>
      <c r="H156" s="145"/>
    </row>
    <row r="157" spans="1:20" s="30" customFormat="1" x14ac:dyDescent="0.35">
      <c r="A157" s="70" t="s">
        <v>147</v>
      </c>
      <c r="B157" s="145" t="s">
        <v>338</v>
      </c>
      <c r="C157" s="145"/>
      <c r="D157" s="145"/>
      <c r="E157" s="145"/>
      <c r="F157" s="145"/>
      <c r="G157" s="145"/>
      <c r="H157" s="145"/>
    </row>
    <row r="158" spans="1:20" s="30" customFormat="1" x14ac:dyDescent="0.35">
      <c r="A158" s="70" t="s">
        <v>147</v>
      </c>
      <c r="B158" s="145" t="s">
        <v>146</v>
      </c>
      <c r="C158" s="145"/>
      <c r="D158" s="145"/>
      <c r="E158" s="145"/>
      <c r="F158" s="145"/>
      <c r="G158" s="145"/>
      <c r="H158" s="145"/>
    </row>
    <row r="159" spans="1:20" s="30" customFormat="1" x14ac:dyDescent="0.35">
      <c r="A159" s="70" t="s">
        <v>147</v>
      </c>
      <c r="B159" s="144" t="s">
        <v>119</v>
      </c>
      <c r="C159" s="144"/>
      <c r="D159" s="144"/>
      <c r="E159" s="144"/>
      <c r="F159" s="144"/>
      <c r="G159" s="144"/>
      <c r="H159" s="144"/>
    </row>
    <row r="160" spans="1:20" s="30" customFormat="1" ht="34.5" hidden="1" customHeight="1" x14ac:dyDescent="0.35">
      <c r="A160" s="70" t="s">
        <v>147</v>
      </c>
      <c r="B160" s="144" t="s">
        <v>148</v>
      </c>
      <c r="C160" s="144"/>
      <c r="D160" s="144"/>
      <c r="E160" s="144"/>
      <c r="F160" s="144"/>
      <c r="G160" s="144"/>
      <c r="H160" s="144"/>
    </row>
    <row r="161" spans="1:20" s="30" customFormat="1" x14ac:dyDescent="0.35">
      <c r="A161" s="70" t="s">
        <v>147</v>
      </c>
      <c r="B161" s="144" t="s">
        <v>120</v>
      </c>
      <c r="C161" s="144"/>
      <c r="D161" s="144"/>
      <c r="E161" s="144"/>
      <c r="F161" s="144"/>
      <c r="G161" s="144"/>
      <c r="H161" s="144"/>
    </row>
    <row r="162" spans="1:20" x14ac:dyDescent="0.35">
      <c r="A162" s="141" t="s">
        <v>58</v>
      </c>
      <c r="B162" s="141"/>
      <c r="C162" s="141"/>
      <c r="D162" s="141"/>
      <c r="E162" s="141"/>
      <c r="F162" s="141"/>
      <c r="G162" s="141"/>
      <c r="H162" s="141"/>
      <c r="T162" s="30"/>
    </row>
    <row r="163" spans="1:20" x14ac:dyDescent="0.35">
      <c r="A163" s="74" t="s">
        <v>59</v>
      </c>
      <c r="B163" s="74"/>
      <c r="C163" s="74"/>
      <c r="D163" s="74"/>
      <c r="E163" s="74"/>
      <c r="F163" s="74"/>
      <c r="G163" s="74"/>
      <c r="H163" s="74"/>
      <c r="T163" s="30"/>
    </row>
    <row r="164" spans="1:20" ht="15.75" customHeight="1" x14ac:dyDescent="0.35">
      <c r="A164" s="160" t="s">
        <v>60</v>
      </c>
      <c r="B164" s="160"/>
      <c r="C164" s="160"/>
      <c r="D164" s="160"/>
      <c r="E164" s="160"/>
      <c r="F164" s="160"/>
      <c r="G164" s="160"/>
      <c r="H164" s="160"/>
      <c r="T164" s="30"/>
    </row>
    <row r="165" spans="1:20" x14ac:dyDescent="0.35">
      <c r="A165" s="74" t="s">
        <v>61</v>
      </c>
      <c r="B165" s="74"/>
      <c r="C165" s="74"/>
      <c r="D165" s="74"/>
      <c r="E165" s="74"/>
      <c r="F165" s="74"/>
      <c r="G165" s="74"/>
      <c r="H165" s="74"/>
    </row>
    <row r="166" spans="1:20" x14ac:dyDescent="0.35">
      <c r="A166" s="74" t="s">
        <v>62</v>
      </c>
      <c r="B166" s="74"/>
      <c r="C166" s="74"/>
      <c r="D166" s="74"/>
      <c r="E166" s="74"/>
      <c r="F166" s="74"/>
      <c r="G166" s="74"/>
      <c r="H166" s="74"/>
    </row>
    <row r="167" spans="1:20" x14ac:dyDescent="0.35">
      <c r="A167" s="74" t="s">
        <v>121</v>
      </c>
      <c r="B167" s="74"/>
      <c r="C167" s="74"/>
      <c r="D167" s="74"/>
      <c r="E167" s="74"/>
      <c r="F167" s="74"/>
      <c r="G167" s="74"/>
      <c r="H167" s="74"/>
    </row>
    <row r="168" spans="1:20" ht="34" customHeight="1" x14ac:dyDescent="0.35">
      <c r="A168" s="76" t="s">
        <v>122</v>
      </c>
      <c r="B168" s="76"/>
      <c r="C168" s="76"/>
      <c r="D168" s="76"/>
      <c r="E168" s="76"/>
      <c r="F168" s="76"/>
      <c r="G168" s="76"/>
      <c r="H168" s="76"/>
    </row>
    <row r="169" spans="1:20" x14ac:dyDescent="0.35">
      <c r="A169" s="138" t="s">
        <v>74</v>
      </c>
      <c r="B169" s="138"/>
      <c r="C169" s="138" t="s">
        <v>342</v>
      </c>
      <c r="D169" s="138"/>
      <c r="E169" s="138" t="s">
        <v>103</v>
      </c>
      <c r="F169" s="138"/>
      <c r="G169" s="138" t="s">
        <v>343</v>
      </c>
      <c r="H169" s="138"/>
    </row>
    <row r="170" spans="1:20" x14ac:dyDescent="0.35">
      <c r="A170" s="137" t="s">
        <v>76</v>
      </c>
      <c r="B170" s="137"/>
      <c r="C170" s="137"/>
      <c r="D170" s="137"/>
      <c r="E170" s="137"/>
      <c r="F170" s="137"/>
      <c r="G170" s="137"/>
      <c r="H170" s="137"/>
    </row>
    <row r="171" spans="1:20" x14ac:dyDescent="0.35">
      <c r="A171" s="137"/>
      <c r="B171" s="137"/>
      <c r="C171" s="137"/>
      <c r="D171" s="137"/>
      <c r="E171" s="137"/>
      <c r="F171" s="137"/>
      <c r="G171" s="137"/>
      <c r="H171" s="137"/>
    </row>
    <row r="172" spans="1:20" x14ac:dyDescent="0.35">
      <c r="A172" s="137"/>
      <c r="B172" s="137"/>
      <c r="C172" s="137"/>
      <c r="D172" s="137"/>
      <c r="E172" s="137"/>
      <c r="F172" s="137"/>
      <c r="G172" s="137"/>
      <c r="H172" s="137"/>
    </row>
    <row r="173" spans="1:20" x14ac:dyDescent="0.35">
      <c r="A173" s="137"/>
      <c r="B173" s="137"/>
      <c r="C173" s="137"/>
      <c r="D173" s="137"/>
      <c r="E173" s="137"/>
      <c r="F173" s="137"/>
      <c r="G173" s="137"/>
      <c r="H173" s="137"/>
    </row>
    <row r="174" spans="1:20" x14ac:dyDescent="0.35">
      <c r="A174" s="33" t="s">
        <v>63</v>
      </c>
      <c r="B174" s="34"/>
      <c r="C174" s="34"/>
      <c r="D174" s="33" t="str">
        <f>E9</f>
        <v>Sarangi</v>
      </c>
      <c r="F174" s="34"/>
      <c r="G174" s="34"/>
      <c r="H174" s="34"/>
    </row>
    <row r="175" spans="1:20" x14ac:dyDescent="0.35">
      <c r="A175" s="34"/>
      <c r="B175" s="34"/>
      <c r="C175" s="34"/>
      <c r="D175" s="34"/>
      <c r="E175" s="34"/>
      <c r="F175" s="34"/>
      <c r="G175" s="34"/>
      <c r="H175" s="34"/>
    </row>
    <row r="176" spans="1:20" x14ac:dyDescent="0.35">
      <c r="A176" s="34"/>
      <c r="B176" s="34"/>
      <c r="C176" s="34"/>
      <c r="D176" s="34"/>
      <c r="E176" s="34"/>
      <c r="F176" s="34"/>
      <c r="G176" s="34"/>
      <c r="H176" s="34"/>
    </row>
    <row r="177" ht="15" customHeight="1" x14ac:dyDescent="0.35"/>
    <row r="217" spans="1:1" x14ac:dyDescent="0.35">
      <c r="A217" s="36" t="s">
        <v>157</v>
      </c>
    </row>
    <row r="259" spans="1:1" x14ac:dyDescent="0.35">
      <c r="A259" s="36" t="s">
        <v>64</v>
      </c>
    </row>
  </sheetData>
  <mergeCells count="314">
    <mergeCell ref="A133:B133"/>
    <mergeCell ref="C132:G133"/>
    <mergeCell ref="L118:M118"/>
    <mergeCell ref="A119:B119"/>
    <mergeCell ref="L119:M119"/>
    <mergeCell ref="A120:B120"/>
    <mergeCell ref="L120:M120"/>
    <mergeCell ref="A121:B121"/>
    <mergeCell ref="L121:M121"/>
    <mergeCell ref="A125:H125"/>
    <mergeCell ref="L125:M125"/>
    <mergeCell ref="A123:A124"/>
    <mergeCell ref="F123:F124"/>
    <mergeCell ref="A67:C67"/>
    <mergeCell ref="D67:H67"/>
    <mergeCell ref="C74:H74"/>
    <mergeCell ref="A77:B77"/>
    <mergeCell ref="A71:C71"/>
    <mergeCell ref="D71:H71"/>
    <mergeCell ref="A69:C69"/>
    <mergeCell ref="I11:L11"/>
    <mergeCell ref="I14:P14"/>
    <mergeCell ref="A59:B59"/>
    <mergeCell ref="C59:E59"/>
    <mergeCell ref="D61:H61"/>
    <mergeCell ref="F33:H33"/>
    <mergeCell ref="F34:H34"/>
    <mergeCell ref="E13:H13"/>
    <mergeCell ref="A14:D14"/>
    <mergeCell ref="A11:D11"/>
    <mergeCell ref="E11:H11"/>
    <mergeCell ref="A22:D23"/>
    <mergeCell ref="E22:H23"/>
    <mergeCell ref="E14:H14"/>
    <mergeCell ref="A15:B15"/>
    <mergeCell ref="C15:H15"/>
    <mergeCell ref="C16:H16"/>
    <mergeCell ref="L117:M117"/>
    <mergeCell ref="G51:H51"/>
    <mergeCell ref="A50:B50"/>
    <mergeCell ref="A60:H60"/>
    <mergeCell ref="A61:C61"/>
    <mergeCell ref="A62:C62"/>
    <mergeCell ref="D62:H62"/>
    <mergeCell ref="G59:H59"/>
    <mergeCell ref="A53:B54"/>
    <mergeCell ref="C53:E53"/>
    <mergeCell ref="G53:H53"/>
    <mergeCell ref="A55:B56"/>
    <mergeCell ref="C55:E55"/>
    <mergeCell ref="G55:H55"/>
    <mergeCell ref="A57:B58"/>
    <mergeCell ref="C57:E57"/>
    <mergeCell ref="G57:H57"/>
    <mergeCell ref="G50:H50"/>
    <mergeCell ref="A51:B52"/>
    <mergeCell ref="C52:H52"/>
    <mergeCell ref="E107:F107"/>
    <mergeCell ref="F86:H86"/>
    <mergeCell ref="F91:H91"/>
    <mergeCell ref="A116:B116"/>
    <mergeCell ref="A167:H167"/>
    <mergeCell ref="A164:H164"/>
    <mergeCell ref="A104:B104"/>
    <mergeCell ref="D123:D124"/>
    <mergeCell ref="E123:E124"/>
    <mergeCell ref="F87:H87"/>
    <mergeCell ref="G101:H101"/>
    <mergeCell ref="F93:H93"/>
    <mergeCell ref="C100:D100"/>
    <mergeCell ref="C106:D106"/>
    <mergeCell ref="A118:B118"/>
    <mergeCell ref="A126:B126"/>
    <mergeCell ref="A127:B127"/>
    <mergeCell ref="A128:B128"/>
    <mergeCell ref="A129:B129"/>
    <mergeCell ref="A130:B130"/>
    <mergeCell ref="A131:B131"/>
    <mergeCell ref="A134:H134"/>
    <mergeCell ref="A135:B135"/>
    <mergeCell ref="A136:B136"/>
    <mergeCell ref="A137:B137"/>
    <mergeCell ref="A113:B113"/>
    <mergeCell ref="A107:B107"/>
    <mergeCell ref="C107:D107"/>
    <mergeCell ref="B159:H159"/>
    <mergeCell ref="B155:H155"/>
    <mergeCell ref="B153:H153"/>
    <mergeCell ref="B154:H154"/>
    <mergeCell ref="B156:H156"/>
    <mergeCell ref="B157:H157"/>
    <mergeCell ref="A152:H152"/>
    <mergeCell ref="A138:B138"/>
    <mergeCell ref="A139:B139"/>
    <mergeCell ref="A140:B140"/>
    <mergeCell ref="A141:B141"/>
    <mergeCell ref="A142:B142"/>
    <mergeCell ref="A143:H143"/>
    <mergeCell ref="A144:B144"/>
    <mergeCell ref="A145:B145"/>
    <mergeCell ref="A146:B146"/>
    <mergeCell ref="A147:B147"/>
    <mergeCell ref="A148:B148"/>
    <mergeCell ref="A149:B149"/>
    <mergeCell ref="A150:B150"/>
    <mergeCell ref="A151:B151"/>
    <mergeCell ref="B161:H161"/>
    <mergeCell ref="A117:B117"/>
    <mergeCell ref="A91:E91"/>
    <mergeCell ref="A106:B106"/>
    <mergeCell ref="E106:F106"/>
    <mergeCell ref="A96:E96"/>
    <mergeCell ref="G106:H106"/>
    <mergeCell ref="A102:B102"/>
    <mergeCell ref="C102:D102"/>
    <mergeCell ref="E102:F102"/>
    <mergeCell ref="G102:H102"/>
    <mergeCell ref="F95:H95"/>
    <mergeCell ref="E100:F100"/>
    <mergeCell ref="A100:B100"/>
    <mergeCell ref="C104:D104"/>
    <mergeCell ref="F96:H96"/>
    <mergeCell ref="F94:H94"/>
    <mergeCell ref="A109:H109"/>
    <mergeCell ref="G100:H100"/>
    <mergeCell ref="A95:E95"/>
    <mergeCell ref="A114:B114"/>
    <mergeCell ref="C123:C124"/>
    <mergeCell ref="G123:G124"/>
    <mergeCell ref="G107:H107"/>
    <mergeCell ref="A170:H173"/>
    <mergeCell ref="A169:B169"/>
    <mergeCell ref="E169:F169"/>
    <mergeCell ref="C169:D169"/>
    <mergeCell ref="G169:H169"/>
    <mergeCell ref="A99:H99"/>
    <mergeCell ref="A97:E97"/>
    <mergeCell ref="F97:H97"/>
    <mergeCell ref="A98:E98"/>
    <mergeCell ref="F98:H98"/>
    <mergeCell ref="A105:B105"/>
    <mergeCell ref="A101:B101"/>
    <mergeCell ref="A165:H165"/>
    <mergeCell ref="A103:H103"/>
    <mergeCell ref="A168:H168"/>
    <mergeCell ref="A166:H166"/>
    <mergeCell ref="A162:H162"/>
    <mergeCell ref="G104:H104"/>
    <mergeCell ref="C110:C111"/>
    <mergeCell ref="B123:B124"/>
    <mergeCell ref="A163:H163"/>
    <mergeCell ref="B160:H160"/>
    <mergeCell ref="B158:H158"/>
    <mergeCell ref="A132:B13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7:B17"/>
    <mergeCell ref="C17:H17"/>
    <mergeCell ref="A12:D12"/>
    <mergeCell ref="E12:H12"/>
    <mergeCell ref="A16:B16"/>
    <mergeCell ref="A13:D13"/>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E26:H26"/>
    <mergeCell ref="A28:D28"/>
    <mergeCell ref="E28:H28"/>
    <mergeCell ref="A25:D25"/>
    <mergeCell ref="E25:H25"/>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A37:H37"/>
    <mergeCell ref="A36:B36"/>
    <mergeCell ref="C36:E36"/>
    <mergeCell ref="A41:D41"/>
    <mergeCell ref="E41:H41"/>
    <mergeCell ref="A40:H40"/>
    <mergeCell ref="A65:C65"/>
    <mergeCell ref="A66:C66"/>
    <mergeCell ref="D65:H65"/>
    <mergeCell ref="D66:H66"/>
    <mergeCell ref="A43:D43"/>
    <mergeCell ref="E43:H43"/>
    <mergeCell ref="E44:H44"/>
    <mergeCell ref="E45:H45"/>
    <mergeCell ref="E46:H46"/>
    <mergeCell ref="C56:H56"/>
    <mergeCell ref="C58:H58"/>
    <mergeCell ref="F36:H36"/>
    <mergeCell ref="C51:E51"/>
    <mergeCell ref="A64:C64"/>
    <mergeCell ref="D64:H64"/>
    <mergeCell ref="C50:E50"/>
    <mergeCell ref="C49:E49"/>
    <mergeCell ref="G49:H49"/>
    <mergeCell ref="A38:B38"/>
    <mergeCell ref="C38:H38"/>
    <mergeCell ref="A45:D45"/>
    <mergeCell ref="L116:M116"/>
    <mergeCell ref="L115:M115"/>
    <mergeCell ref="L114:M114"/>
    <mergeCell ref="L113:M113"/>
    <mergeCell ref="A83:B83"/>
    <mergeCell ref="C105:D105"/>
    <mergeCell ref="E105:F105"/>
    <mergeCell ref="G105:H105"/>
    <mergeCell ref="A87:E87"/>
    <mergeCell ref="A112:H112"/>
    <mergeCell ref="E110:E111"/>
    <mergeCell ref="A46:D46"/>
    <mergeCell ref="A47:H47"/>
    <mergeCell ref="D63:H63"/>
    <mergeCell ref="A63:C63"/>
    <mergeCell ref="A82:B82"/>
    <mergeCell ref="A44:D44"/>
    <mergeCell ref="E76:F85"/>
    <mergeCell ref="G76:H85"/>
    <mergeCell ref="A84:B84"/>
    <mergeCell ref="A85:B85"/>
    <mergeCell ref="A115:B115"/>
    <mergeCell ref="A92:E92"/>
    <mergeCell ref="F92:H92"/>
    <mergeCell ref="A94:E94"/>
    <mergeCell ref="F89:H89"/>
    <mergeCell ref="A93:E93"/>
    <mergeCell ref="A122:H122"/>
    <mergeCell ref="D70:H70"/>
    <mergeCell ref="A76:B76"/>
    <mergeCell ref="G75:H75"/>
    <mergeCell ref="A75:B75"/>
    <mergeCell ref="F88:H88"/>
    <mergeCell ref="A88:E88"/>
    <mergeCell ref="D110:D111"/>
    <mergeCell ref="A90:E90"/>
    <mergeCell ref="A89:E89"/>
    <mergeCell ref="A86:E86"/>
    <mergeCell ref="F90:H90"/>
    <mergeCell ref="G110:G111"/>
    <mergeCell ref="A78:B78"/>
    <mergeCell ref="A74:B74"/>
    <mergeCell ref="A80:B80"/>
    <mergeCell ref="A39:B39"/>
    <mergeCell ref="C39:H39"/>
    <mergeCell ref="F110:F111"/>
    <mergeCell ref="C101:D101"/>
    <mergeCell ref="E101:F101"/>
    <mergeCell ref="B110:B111"/>
    <mergeCell ref="A110:A111"/>
    <mergeCell ref="E104:F104"/>
    <mergeCell ref="A108:H108"/>
    <mergeCell ref="D69:H69"/>
    <mergeCell ref="A70:C70"/>
    <mergeCell ref="E42:H42"/>
    <mergeCell ref="A42:D42"/>
    <mergeCell ref="A81:B81"/>
    <mergeCell ref="A49:B49"/>
    <mergeCell ref="A79:B79"/>
    <mergeCell ref="E75:F75"/>
    <mergeCell ref="A68:C68"/>
    <mergeCell ref="D68:H68"/>
    <mergeCell ref="A72:B72"/>
    <mergeCell ref="C72:H72"/>
    <mergeCell ref="C54:H54"/>
    <mergeCell ref="A48:B48"/>
    <mergeCell ref="C48:H48"/>
  </mergeCells>
  <dataValidations count="12">
    <dataValidation type="list" allowBlank="1" showInputMessage="1" showErrorMessage="1" sqref="E5:H5">
      <formula1>OFFSET($L$3,1,MATCH($E4,$L$3:$P$3,0)-1,10,1)</formula1>
    </dataValidation>
    <dataValidation type="list" allowBlank="1" showInputMessage="1" showErrorMessage="1" sqref="A16:B16">
      <formula1>"CTS No,Survey No,Plot No,Gut No,FP No,"</formula1>
    </dataValidation>
    <dataValidation type="list" allowBlank="1" showInputMessage="1" showErrorMessage="1" sqref="E110:E111">
      <formula1>"Attached Loft area,Attached Otla area,Attached Mezzanine area"</formula1>
    </dataValidation>
    <dataValidation type="list" allowBlank="1" showInputMessage="1" showErrorMessage="1" sqref="G169:H169">
      <formula1>"Kunal Kadam,Pranita Mhatre,Shruti Fule,Pooja Kawale,Mansee Mohite,Shruti Tathare, Hitakshi Mhatre, Sachin Sawant"</formula1>
    </dataValidation>
    <dataValidation type="list" allowBlank="1" showInputMessage="1" showErrorMessage="1" sqref="F86:H86">
      <formula1>"On Saleable Area,On Builtup Area,On Carpet Area,On Plot Area"</formula1>
    </dataValidation>
    <dataValidation type="list" allowBlank="1" showInputMessage="1" showErrorMessage="1" sqref="F97:H97">
      <formula1>OFFSET($S$86,1,MATCH($G19,$S$86:$W$86,0)-1,15,1)</formula1>
    </dataValidation>
    <dataValidation type="list" allowBlank="1" showInputMessage="1" showErrorMessage="1" sqref="B110:B111">
      <formula1>"Shop No. (Sale Plan),Sale / Rehab,Sale / Mhada"</formula1>
    </dataValidation>
    <dataValidation type="list" allowBlank="1" showInputMessage="1" showErrorMessage="1" sqref="B123:B124">
      <formula1>"Flat No. (Sale Plan),Sale / Rehab,Sale / Mhada"</formula1>
    </dataValidation>
    <dataValidation type="list" allowBlank="1" showInputMessage="1" showErrorMessage="1" sqref="E123:E124">
      <formula1>"Fungible area,Balcony Area,Chajja Area,Cornice Area,AP Area,WS Area"</formula1>
    </dataValidation>
    <dataValidation type="list" allowBlank="1" showInputMessage="1" showErrorMessage="1" sqref="H111 H124">
      <formula1>".45,.50,.55,.60"</formula1>
    </dataValidation>
    <dataValidation type="list" allowBlank="1" showInputMessage="1" showErrorMessage="1" sqref="E4:H4">
      <formula1>$L$3:$P$3</formula1>
    </dataValidation>
    <dataValidation type="whole" allowBlank="1" showInputMessage="1" showErrorMessage="1" sqref="C81">
      <formula1>0</formula1>
      <formula2>H73</formula2>
    </dataValidation>
  </dataValidations>
  <hyperlinks>
    <hyperlink ref="C39"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1" max="7" man="1"/>
    <brk id="173" max="16383" man="1"/>
    <brk id="216" max="16383" man="1"/>
    <brk id="25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D9" sqref="D9"/>
    </sheetView>
  </sheetViews>
  <sheetFormatPr defaultColWidth="8.81640625" defaultRowHeight="14.5" x14ac:dyDescent="0.35"/>
  <cols>
    <col min="1" max="1" width="8.81640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81640625" style="1"/>
  </cols>
  <sheetData>
    <row r="1" spans="1:9" ht="15" customHeight="1" x14ac:dyDescent="0.35"/>
    <row r="2" spans="1:9" ht="15" customHeight="1" x14ac:dyDescent="0.35">
      <c r="A2" s="2"/>
      <c r="B2" s="2"/>
      <c r="C2" s="2"/>
      <c r="D2" s="2"/>
      <c r="E2" s="2"/>
      <c r="F2" s="2"/>
      <c r="G2" s="2"/>
      <c r="H2" s="2"/>
    </row>
    <row r="3" spans="1:9" ht="15.75" customHeight="1" x14ac:dyDescent="0.35">
      <c r="A3" s="2"/>
      <c r="B3" s="192" t="s">
        <v>104</v>
      </c>
      <c r="C3" s="192"/>
      <c r="D3" s="192"/>
      <c r="E3" s="192"/>
      <c r="F3" s="192"/>
      <c r="G3" s="192"/>
      <c r="H3" s="192"/>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0"/>
      <c r="C4" s="40" t="s">
        <v>11</v>
      </c>
      <c r="D4" s="41" t="s">
        <v>172</v>
      </c>
      <c r="E4" s="41" t="s">
        <v>182</v>
      </c>
      <c r="F4" s="41" t="s">
        <v>165</v>
      </c>
      <c r="G4" s="41" t="s">
        <v>187</v>
      </c>
      <c r="H4" s="41" t="s">
        <v>205</v>
      </c>
      <c r="J4" t="s">
        <v>187</v>
      </c>
      <c r="K4" t="s">
        <v>203</v>
      </c>
    </row>
    <row r="5" spans="2:11" x14ac:dyDescent="0.35">
      <c r="B5" s="40"/>
      <c r="C5" s="40"/>
      <c r="D5" s="41" t="s">
        <v>173</v>
      </c>
      <c r="E5" s="41" t="s">
        <v>180</v>
      </c>
      <c r="F5" s="41" t="s">
        <v>202</v>
      </c>
      <c r="G5" s="41" t="s">
        <v>188</v>
      </c>
      <c r="H5" s="41" t="s">
        <v>206</v>
      </c>
    </row>
    <row r="6" spans="2:11" x14ac:dyDescent="0.35">
      <c r="B6" s="40"/>
      <c r="C6" s="40"/>
      <c r="D6" s="41" t="s">
        <v>174</v>
      </c>
      <c r="E6" s="41" t="s">
        <v>181</v>
      </c>
      <c r="F6" s="41" t="s">
        <v>203</v>
      </c>
      <c r="G6" s="41" t="s">
        <v>189</v>
      </c>
      <c r="H6" s="41" t="s">
        <v>219</v>
      </c>
    </row>
    <row r="7" spans="2:11" x14ac:dyDescent="0.35">
      <c r="B7" s="40"/>
      <c r="C7" s="40"/>
      <c r="D7" s="41" t="s">
        <v>175</v>
      </c>
      <c r="E7" s="41" t="s">
        <v>183</v>
      </c>
      <c r="F7" s="41" t="s">
        <v>204</v>
      </c>
      <c r="G7" s="41" t="s">
        <v>190</v>
      </c>
      <c r="H7" s="41" t="s">
        <v>207</v>
      </c>
    </row>
    <row r="8" spans="2:11" x14ac:dyDescent="0.35">
      <c r="B8" s="40"/>
      <c r="C8" s="40"/>
      <c r="D8" s="41" t="s">
        <v>176</v>
      </c>
      <c r="E8" s="41" t="s">
        <v>184</v>
      </c>
      <c r="F8" s="41"/>
      <c r="G8" s="41" t="s">
        <v>191</v>
      </c>
      <c r="H8" s="41" t="s">
        <v>208</v>
      </c>
    </row>
    <row r="9" spans="2:11" x14ac:dyDescent="0.35">
      <c r="B9" s="40"/>
      <c r="C9" s="40"/>
      <c r="D9" s="41" t="s">
        <v>177</v>
      </c>
      <c r="E9" s="41" t="s">
        <v>182</v>
      </c>
      <c r="F9" s="41"/>
      <c r="G9" s="41" t="s">
        <v>192</v>
      </c>
      <c r="H9" s="41" t="s">
        <v>209</v>
      </c>
    </row>
    <row r="10" spans="2:11" x14ac:dyDescent="0.35">
      <c r="B10" s="40"/>
      <c r="C10" s="40"/>
      <c r="D10" s="41" t="s">
        <v>178</v>
      </c>
      <c r="E10" s="41" t="s">
        <v>185</v>
      </c>
      <c r="F10" s="41"/>
      <c r="G10" s="41" t="s">
        <v>193</v>
      </c>
      <c r="H10" s="41" t="s">
        <v>210</v>
      </c>
    </row>
    <row r="11" spans="2:11" x14ac:dyDescent="0.35">
      <c r="B11" s="40"/>
      <c r="C11" s="40"/>
      <c r="D11" s="41" t="s">
        <v>179</v>
      </c>
      <c r="E11" s="41" t="s">
        <v>186</v>
      </c>
      <c r="F11" s="41"/>
      <c r="G11" s="41" t="s">
        <v>194</v>
      </c>
      <c r="H11" s="41" t="s">
        <v>211</v>
      </c>
    </row>
    <row r="12" spans="2:11" x14ac:dyDescent="0.35">
      <c r="B12" s="40"/>
      <c r="C12" s="40"/>
      <c r="D12" s="41"/>
      <c r="E12" s="41"/>
      <c r="F12" s="41"/>
      <c r="G12" s="41" t="s">
        <v>195</v>
      </c>
      <c r="H12" s="41" t="s">
        <v>212</v>
      </c>
    </row>
    <row r="13" spans="2:11" x14ac:dyDescent="0.35">
      <c r="B13" s="40"/>
      <c r="C13" s="40"/>
      <c r="D13" s="41"/>
      <c r="E13" s="41"/>
      <c r="F13" s="41"/>
      <c r="G13" s="41" t="s">
        <v>196</v>
      </c>
      <c r="H13" s="41" t="s">
        <v>213</v>
      </c>
    </row>
    <row r="14" spans="2:11" x14ac:dyDescent="0.35">
      <c r="B14" s="40"/>
      <c r="C14" s="40"/>
      <c r="D14" s="41"/>
      <c r="E14" s="41"/>
      <c r="F14" s="41"/>
      <c r="G14" s="41" t="s">
        <v>197</v>
      </c>
      <c r="H14" s="41" t="s">
        <v>214</v>
      </c>
    </row>
    <row r="15" spans="2:11" x14ac:dyDescent="0.35">
      <c r="B15" s="40"/>
      <c r="C15" s="40"/>
      <c r="D15" s="41"/>
      <c r="E15" s="41"/>
      <c r="F15" s="41"/>
      <c r="G15" s="41" t="s">
        <v>198</v>
      </c>
      <c r="H15" s="41" t="s">
        <v>215</v>
      </c>
    </row>
    <row r="16" spans="2:11" x14ac:dyDescent="0.35">
      <c r="B16" s="40"/>
      <c r="C16" s="40"/>
      <c r="D16" s="41"/>
      <c r="E16" s="41"/>
      <c r="F16" s="41"/>
      <c r="G16" s="41" t="s">
        <v>199</v>
      </c>
      <c r="H16" s="41" t="s">
        <v>216</v>
      </c>
    </row>
    <row r="17" spans="2:8" x14ac:dyDescent="0.35">
      <c r="B17" s="40"/>
      <c r="C17" s="40"/>
      <c r="D17" s="41"/>
      <c r="E17" s="41"/>
      <c r="F17" s="41"/>
      <c r="G17" s="41" t="s">
        <v>200</v>
      </c>
      <c r="H17" s="41" t="s">
        <v>217</v>
      </c>
    </row>
    <row r="18" spans="2:8" x14ac:dyDescent="0.35">
      <c r="B18" s="40"/>
      <c r="C18" s="40"/>
      <c r="D18" s="41"/>
      <c r="E18" s="41"/>
      <c r="F18" s="41"/>
      <c r="G18" s="41" t="s">
        <v>201</v>
      </c>
      <c r="H18" s="41" t="s">
        <v>218</v>
      </c>
    </row>
    <row r="24" spans="2:8" x14ac:dyDescent="0.35">
      <c r="C24" t="s">
        <v>163</v>
      </c>
    </row>
    <row r="25" spans="2:8" x14ac:dyDescent="0.35">
      <c r="C25" t="s">
        <v>220</v>
      </c>
    </row>
    <row r="26" spans="2:8" x14ac:dyDescent="0.35">
      <c r="C26" t="s">
        <v>221</v>
      </c>
    </row>
    <row r="27" spans="2:8" x14ac:dyDescent="0.35">
      <c r="C27" t="s">
        <v>222</v>
      </c>
    </row>
    <row r="28" spans="2:8" x14ac:dyDescent="0.35">
      <c r="C28" t="s">
        <v>223</v>
      </c>
    </row>
    <row r="29" spans="2:8" x14ac:dyDescent="0.35">
      <c r="C29" t="s">
        <v>224</v>
      </c>
    </row>
    <row r="30" spans="2:8" x14ac:dyDescent="0.35">
      <c r="C30" t="s">
        <v>163</v>
      </c>
    </row>
    <row r="33" spans="3:11" x14ac:dyDescent="0.35">
      <c r="J33">
        <v>1</v>
      </c>
      <c r="K33">
        <v>2</v>
      </c>
    </row>
    <row r="34" spans="3:11" x14ac:dyDescent="0.35">
      <c r="C34" s="43" t="s">
        <v>229</v>
      </c>
      <c r="D34" s="41" t="s">
        <v>227</v>
      </c>
      <c r="E34" s="41" t="s">
        <v>232</v>
      </c>
      <c r="F34" s="41" t="s">
        <v>230</v>
      </c>
      <c r="G34" s="41" t="s">
        <v>231</v>
      </c>
      <c r="H34" s="41" t="s">
        <v>233</v>
      </c>
      <c r="J34" t="s">
        <v>187</v>
      </c>
      <c r="K34" t="s">
        <v>203</v>
      </c>
    </row>
    <row r="35" spans="3:11" x14ac:dyDescent="0.35">
      <c r="C35" s="40" t="s">
        <v>228</v>
      </c>
      <c r="D35" s="41" t="s">
        <v>164</v>
      </c>
      <c r="E35" s="41" t="s">
        <v>237</v>
      </c>
      <c r="F35" s="41" t="s">
        <v>239</v>
      </c>
      <c r="G35" s="41" t="s">
        <v>241</v>
      </c>
      <c r="H35" s="41"/>
    </row>
    <row r="36" spans="3:11" x14ac:dyDescent="0.35">
      <c r="C36" s="40"/>
      <c r="D36" s="41" t="s">
        <v>234</v>
      </c>
      <c r="E36" s="41" t="s">
        <v>238</v>
      </c>
      <c r="F36" s="41" t="s">
        <v>240</v>
      </c>
      <c r="G36" s="41" t="s">
        <v>242</v>
      </c>
      <c r="H36" s="41"/>
    </row>
    <row r="37" spans="3:11" x14ac:dyDescent="0.35">
      <c r="C37" s="40"/>
      <c r="D37" s="41" t="s">
        <v>235</v>
      </c>
      <c r="E37" s="41"/>
      <c r="F37" s="41"/>
      <c r="G37" s="41" t="s">
        <v>243</v>
      </c>
      <c r="H37" s="41"/>
    </row>
    <row r="38" spans="3:11" x14ac:dyDescent="0.35">
      <c r="C38" s="40"/>
      <c r="D38" s="41" t="s">
        <v>236</v>
      </c>
      <c r="E38" s="41"/>
      <c r="F38" s="41"/>
      <c r="G38" s="41" t="s">
        <v>243</v>
      </c>
      <c r="H38" s="41"/>
    </row>
    <row r="39" spans="3:11" x14ac:dyDescent="0.35">
      <c r="C39" s="40"/>
      <c r="D39" s="41"/>
      <c r="E39" s="41"/>
      <c r="F39" s="41"/>
      <c r="G39" s="41" t="s">
        <v>244</v>
      </c>
      <c r="H39" s="41"/>
    </row>
    <row r="40" spans="3:11" x14ac:dyDescent="0.35">
      <c r="C40" s="40"/>
      <c r="D40" s="41"/>
      <c r="E40" s="41"/>
      <c r="F40" s="41"/>
      <c r="G40" s="41" t="s">
        <v>245</v>
      </c>
      <c r="H40" s="41"/>
    </row>
    <row r="41" spans="3:11" x14ac:dyDescent="0.35">
      <c r="C41" s="40"/>
      <c r="D41" s="41"/>
      <c r="E41" s="41"/>
      <c r="F41" s="41"/>
      <c r="G41" s="41"/>
      <c r="H41" s="41"/>
    </row>
    <row r="43" spans="3:11" x14ac:dyDescent="0.35">
      <c r="C43" t="s">
        <v>246</v>
      </c>
    </row>
    <row r="44" spans="3:11" x14ac:dyDescent="0.35">
      <c r="C44" t="s">
        <v>165</v>
      </c>
      <c r="D44" t="s">
        <v>247</v>
      </c>
    </row>
    <row r="45" spans="3:11" x14ac:dyDescent="0.35">
      <c r="D45" t="s">
        <v>248</v>
      </c>
    </row>
    <row r="46" spans="3:11" x14ac:dyDescent="0.35">
      <c r="D46" t="s">
        <v>249</v>
      </c>
    </row>
    <row r="47" spans="3:11" x14ac:dyDescent="0.35">
      <c r="D47" t="s">
        <v>250</v>
      </c>
    </row>
    <row r="48" spans="3:11" x14ac:dyDescent="0.35">
      <c r="D48" t="s">
        <v>251</v>
      </c>
    </row>
    <row r="49" spans="3:4" x14ac:dyDescent="0.35">
      <c r="C49" t="s">
        <v>172</v>
      </c>
      <c r="D49" t="s">
        <v>252</v>
      </c>
    </row>
    <row r="50" spans="3:4" x14ac:dyDescent="0.35">
      <c r="D50" t="s">
        <v>253</v>
      </c>
    </row>
    <row r="51" spans="3:4" x14ac:dyDescent="0.35">
      <c r="D51" t="s">
        <v>254</v>
      </c>
    </row>
    <row r="52" spans="3:4" x14ac:dyDescent="0.35">
      <c r="D52" t="s">
        <v>257</v>
      </c>
    </row>
    <row r="53" spans="3:4" x14ac:dyDescent="0.35">
      <c r="D53" t="s">
        <v>255</v>
      </c>
    </row>
    <row r="54" spans="3:4" x14ac:dyDescent="0.35">
      <c r="D54" t="s">
        <v>256</v>
      </c>
    </row>
    <row r="55" spans="3:4" x14ac:dyDescent="0.35">
      <c r="D55" t="s">
        <v>258</v>
      </c>
    </row>
    <row r="56" spans="3:4" x14ac:dyDescent="0.35">
      <c r="D56" t="s">
        <v>259</v>
      </c>
    </row>
    <row r="57" spans="3:4" x14ac:dyDescent="0.35">
      <c r="D57" t="s">
        <v>260</v>
      </c>
    </row>
    <row r="58" spans="3:4" x14ac:dyDescent="0.35">
      <c r="D58" t="s">
        <v>262</v>
      </c>
    </row>
    <row r="59" spans="3:4" x14ac:dyDescent="0.35">
      <c r="D59" t="s">
        <v>271</v>
      </c>
    </row>
    <row r="60" spans="3:4" x14ac:dyDescent="0.35">
      <c r="C60" t="s">
        <v>187</v>
      </c>
      <c r="D60" t="s">
        <v>263</v>
      </c>
    </row>
    <row r="61" spans="3:4" x14ac:dyDescent="0.35">
      <c r="D61" t="s">
        <v>261</v>
      </c>
    </row>
    <row r="62" spans="3:4" x14ac:dyDescent="0.35">
      <c r="D62" t="s">
        <v>251</v>
      </c>
    </row>
    <row r="63" spans="3:4" x14ac:dyDescent="0.35">
      <c r="D63" t="s">
        <v>264</v>
      </c>
    </row>
    <row r="64" spans="3:4" x14ac:dyDescent="0.35">
      <c r="D64" t="s">
        <v>265</v>
      </c>
    </row>
    <row r="65" spans="3:4" x14ac:dyDescent="0.35">
      <c r="D65" t="s">
        <v>266</v>
      </c>
    </row>
    <row r="66" spans="3:4" x14ac:dyDescent="0.35">
      <c r="D66" t="s">
        <v>267</v>
      </c>
    </row>
    <row r="67" spans="3:4" x14ac:dyDescent="0.35">
      <c r="C67" t="s">
        <v>182</v>
      </c>
      <c r="D67" t="s">
        <v>268</v>
      </c>
    </row>
    <row r="68" spans="3:4" x14ac:dyDescent="0.35">
      <c r="D68" t="s">
        <v>269</v>
      </c>
    </row>
    <row r="69" spans="3:4" x14ac:dyDescent="0.35">
      <c r="D69" t="s">
        <v>270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44">
        <v>1</v>
      </c>
      <c r="C2" s="46" t="s">
        <v>277</v>
      </c>
    </row>
    <row r="3" spans="2:3" x14ac:dyDescent="0.35">
      <c r="B3" s="44">
        <v>2</v>
      </c>
      <c r="C3" s="45" t="s">
        <v>278</v>
      </c>
    </row>
    <row r="4" spans="2:3" x14ac:dyDescent="0.35">
      <c r="B4" s="44">
        <v>3</v>
      </c>
      <c r="C4" s="44" t="s">
        <v>279</v>
      </c>
    </row>
    <row r="5" spans="2:3" x14ac:dyDescent="0.35">
      <c r="B5" s="44">
        <v>4</v>
      </c>
      <c r="C5" s="45" t="s">
        <v>280</v>
      </c>
    </row>
    <row r="6" spans="2:3" x14ac:dyDescent="0.35">
      <c r="B6" s="44">
        <v>5</v>
      </c>
      <c r="C6" s="44" t="s">
        <v>281</v>
      </c>
    </row>
    <row r="7" spans="2:3" ht="29" x14ac:dyDescent="0.35">
      <c r="B7" s="44">
        <v>6</v>
      </c>
      <c r="C7" s="45" t="s">
        <v>282</v>
      </c>
    </row>
    <row r="8" spans="2:3" ht="72.5" x14ac:dyDescent="0.35">
      <c r="B8" s="44">
        <v>7</v>
      </c>
      <c r="C8" s="45" t="s">
        <v>283</v>
      </c>
    </row>
    <row r="9" spans="2:3" x14ac:dyDescent="0.35">
      <c r="B9" s="44">
        <v>8</v>
      </c>
      <c r="C9" s="44" t="s">
        <v>284</v>
      </c>
    </row>
    <row r="10" spans="2:3" x14ac:dyDescent="0.35">
      <c r="B10" s="44">
        <v>9</v>
      </c>
      <c r="C10" s="44" t="s">
        <v>285</v>
      </c>
    </row>
    <row r="11" spans="2:3" x14ac:dyDescent="0.35">
      <c r="B11" s="44">
        <v>10</v>
      </c>
      <c r="C11" s="44" t="s">
        <v>286</v>
      </c>
    </row>
    <row r="12" spans="2:3" x14ac:dyDescent="0.35">
      <c r="B12" s="44">
        <v>11</v>
      </c>
      <c r="C12" s="44" t="s">
        <v>287</v>
      </c>
    </row>
    <row r="13" spans="2:3" x14ac:dyDescent="0.35">
      <c r="B13" s="44">
        <v>12</v>
      </c>
      <c r="C13" s="44" t="s">
        <v>288</v>
      </c>
    </row>
    <row r="14" spans="2:3" x14ac:dyDescent="0.35">
      <c r="B14" s="44">
        <v>13</v>
      </c>
      <c r="C14" s="44" t="s">
        <v>289</v>
      </c>
    </row>
    <row r="15" spans="2:3" x14ac:dyDescent="0.35">
      <c r="B15" s="44">
        <v>14</v>
      </c>
      <c r="C15" s="44"/>
    </row>
    <row r="16" spans="2:3" x14ac:dyDescent="0.35">
      <c r="B16" s="44">
        <v>15</v>
      </c>
      <c r="C16" s="44"/>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Sheet1</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2025-07-04T11:59:57Z</cp:lastPrinted>
  <dcterms:created xsi:type="dcterms:W3CDTF">2019-07-16T09:29:46Z</dcterms:created>
  <dcterms:modified xsi:type="dcterms:W3CDTF">2025-09-24T09:36:33Z</dcterms:modified>
</cp:coreProperties>
</file>